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3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82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3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84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5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86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87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88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9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9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9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9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9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94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95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E:\PhD\New Setup\"/>
    </mc:Choice>
  </mc:AlternateContent>
  <xr:revisionPtr revIDLastSave="0" documentId="13_ncr:1_{3492CF22-CF1D-49D5-B200-A231FA7743DE}" xr6:coauthVersionLast="47" xr6:coauthVersionMax="47" xr10:uidLastSave="{00000000-0000-0000-0000-000000000000}"/>
  <bookViews>
    <workbookView xWindow="-108" yWindow="-108" windowWidth="23256" windowHeight="12576" tabRatio="699" firstSheet="1" activeTab="2" xr2:uid="{00000000-000D-0000-FFFF-FFFF00000000}"/>
  </bookViews>
  <sheets>
    <sheet name="Su K. oro stendu" sheetId="7" r:id="rId1"/>
    <sheet name="Sheet3" sheetId="8" r:id="rId2"/>
    <sheet name="New" sheetId="9" r:id="rId3"/>
    <sheet name="Cooling water" sheetId="10" r:id="rId4"/>
    <sheet name="Interface temperature" sheetId="11" r:id="rId5"/>
    <sheet name="Trial and Error method" sheetId="12" r:id="rId6"/>
    <sheet name="Seni eksp." sheetId="1" r:id="rId7"/>
    <sheet name="Nauji eks(2 ruozai)" sheetId="3" r:id="rId8"/>
    <sheet name="Nauji eks(2 ruozai-darbinis" sheetId="5" r:id="rId9"/>
    <sheet name="Sheet1" sheetId="4" r:id="rId10"/>
    <sheet name="Sheet2" sheetId="2" r:id="rId11"/>
    <sheet name="Seni eksp" sheetId="6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</externalReferences>
  <definedNames>
    <definedName name="_xlnm._FilterDatabase" localSheetId="7" hidden="1">'Nauji eks(2 ruozai)'!$A$4:$V$28</definedName>
    <definedName name="_xlnm._FilterDatabase" localSheetId="8" hidden="1">'Nauji eks(2 ruozai-darbinis'!$A$4:$V$24</definedName>
    <definedName name="_xlnm._FilterDatabase" localSheetId="6" hidden="1">'Seni eksp.'!$B$4:$S$38</definedName>
    <definedName name="_xlnm._FilterDatabase" localSheetId="1" hidden="1">Sheet3!$DL$1:$DL$102</definedName>
    <definedName name="OpenSolver_ChosenSolver" localSheetId="4" hidden="1">CBC</definedName>
    <definedName name="OpenSolver_DualsNewSheet" localSheetId="4" hidden="1">0</definedName>
    <definedName name="OpenSolver_LinearityCheck" localSheetId="4" hidden="1">1</definedName>
    <definedName name="OpenSolver_UpdateSensitivity" localSheetId="4" hidden="1">1</definedName>
    <definedName name="solver_adj" localSheetId="4" hidden="1">'Interface temperature'!$U$2:$X$2</definedName>
    <definedName name="solver_cvg" localSheetId="4" hidden="1">0.0001</definedName>
    <definedName name="solver_drv" localSheetId="4" hidden="1">1</definedName>
    <definedName name="solver_est" localSheetId="4" hidden="1">1</definedName>
    <definedName name="solver_itr" localSheetId="4" hidden="1">2147483647</definedName>
    <definedName name="solver_lhs1" localSheetId="4" hidden="1">'Interface temperature'!$G$2</definedName>
    <definedName name="solver_lhs2" localSheetId="4" hidden="1">'Interface temperature'!$L$2</definedName>
    <definedName name="solver_lhs3" localSheetId="4" hidden="1">'Interface temperature'!$Q$2</definedName>
    <definedName name="solver_lhs4" localSheetId="4" hidden="1">'Interface temperature'!$AA$2</definedName>
    <definedName name="solver_lhs5" localSheetId="4" hidden="1">'Interface temperature'!$AA$3</definedName>
    <definedName name="solver_lhs6" localSheetId="4" hidden="1">'Interface temperature'!$W$2</definedName>
    <definedName name="solver_lhs7" localSheetId="4" hidden="1">'Interface temperature'!$X$2</definedName>
    <definedName name="solver_lhs8" localSheetId="4" hidden="1">'Interface temperature'!$X$2</definedName>
    <definedName name="solver_neg" localSheetId="4" hidden="1">1</definedName>
    <definedName name="solver_num" localSheetId="4" hidden="1">5</definedName>
    <definedName name="solver_nwt" localSheetId="4" hidden="1">1</definedName>
    <definedName name="solver_opt" localSheetId="4" hidden="1">'Interface temperature'!$B$2</definedName>
    <definedName name="solver_rel1" localSheetId="4" hidden="1">2</definedName>
    <definedName name="solver_rel2" localSheetId="4" hidden="1">2</definedName>
    <definedName name="solver_rel3" localSheetId="4" hidden="1">2</definedName>
    <definedName name="solver_rel4" localSheetId="4" hidden="1">3</definedName>
    <definedName name="solver_rel5" localSheetId="4" hidden="1">1</definedName>
    <definedName name="solver_rel6" localSheetId="4" hidden="1">3</definedName>
    <definedName name="solver_rel7" localSheetId="4" hidden="1">3</definedName>
    <definedName name="solver_rel8" localSheetId="4" hidden="1">3</definedName>
    <definedName name="solver_rhs1" localSheetId="4" hidden="1">'Interface temperature'!$I$2</definedName>
    <definedName name="solver_rhs2" localSheetId="4" hidden="1">'Interface temperature'!$N$2</definedName>
    <definedName name="solver_rhs3" localSheetId="4" hidden="1">'Interface temperature'!$S$2</definedName>
    <definedName name="solver_rhs4" localSheetId="4" hidden="1">'Interface temperature'!$AC$2</definedName>
    <definedName name="solver_rhs5" localSheetId="4" hidden="1">'Interface temperature'!$AC$3</definedName>
    <definedName name="solver_rhs6" localSheetId="4" hidden="1">'Interface temperature'!$Y$2</definedName>
    <definedName name="solver_rhs7" localSheetId="4" hidden="1">'Interface temperature'!$Y$2</definedName>
    <definedName name="solver_rhs8" localSheetId="4" hidden="1">'Interface temperature'!$Y$2</definedName>
    <definedName name="solver_rlx" localSheetId="4" hidden="1">2</definedName>
    <definedName name="solver_scl" localSheetId="4" hidden="1">2</definedName>
    <definedName name="solver_sho" localSheetId="4" hidden="1">0</definedName>
    <definedName name="solver_tim" localSheetId="4" hidden="1">2147483647</definedName>
    <definedName name="solver_tol" localSheetId="4" hidden="1">0.05</definedName>
    <definedName name="solver_typ" localSheetId="4" hidden="1">3</definedName>
    <definedName name="solver_val" localSheetId="4" hidden="1">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V3" i="9" l="1"/>
  <c r="HW3" i="9"/>
  <c r="HX3" i="9"/>
  <c r="HY3" i="9"/>
  <c r="HZ3" i="9"/>
  <c r="IA3" i="9"/>
  <c r="IB3" i="9"/>
  <c r="IC3" i="9"/>
  <c r="HV4" i="9"/>
  <c r="HW4" i="9"/>
  <c r="HX4" i="9"/>
  <c r="HY4" i="9"/>
  <c r="HZ4" i="9"/>
  <c r="IA4" i="9"/>
  <c r="IB4" i="9"/>
  <c r="IC4" i="9"/>
  <c r="HV5" i="9"/>
  <c r="HW5" i="9"/>
  <c r="HX5" i="9"/>
  <c r="HY5" i="9"/>
  <c r="HZ5" i="9"/>
  <c r="IA5" i="9"/>
  <c r="IB5" i="9"/>
  <c r="IC5" i="9"/>
  <c r="HV6" i="9"/>
  <c r="HW6" i="9"/>
  <c r="HX6" i="9"/>
  <c r="HY6" i="9"/>
  <c r="HZ6" i="9"/>
  <c r="IA6" i="9"/>
  <c r="IB6" i="9"/>
  <c r="IC6" i="9"/>
  <c r="HV7" i="9"/>
  <c r="HW7" i="9"/>
  <c r="HX7" i="9"/>
  <c r="HY7" i="9"/>
  <c r="HZ7" i="9"/>
  <c r="IA7" i="9"/>
  <c r="IB7" i="9"/>
  <c r="IC7" i="9"/>
  <c r="HV8" i="9"/>
  <c r="HW8" i="9"/>
  <c r="HX8" i="9"/>
  <c r="HY8" i="9"/>
  <c r="HZ8" i="9"/>
  <c r="IA8" i="9"/>
  <c r="IB8" i="9"/>
  <c r="IC8" i="9"/>
  <c r="HV9" i="9"/>
  <c r="HW9" i="9"/>
  <c r="HX9" i="9"/>
  <c r="HY9" i="9"/>
  <c r="HZ9" i="9"/>
  <c r="IA9" i="9"/>
  <c r="IB9" i="9"/>
  <c r="IC9" i="9"/>
  <c r="HV10" i="9"/>
  <c r="HW10" i="9"/>
  <c r="HX10" i="9"/>
  <c r="HY10" i="9"/>
  <c r="HZ10" i="9"/>
  <c r="IA10" i="9"/>
  <c r="IB10" i="9"/>
  <c r="IC10" i="9"/>
  <c r="HV11" i="9"/>
  <c r="HW11" i="9"/>
  <c r="HX11" i="9"/>
  <c r="HY11" i="9"/>
  <c r="HZ11" i="9"/>
  <c r="IA11" i="9"/>
  <c r="IB11" i="9"/>
  <c r="IC11" i="9"/>
  <c r="HV12" i="9"/>
  <c r="HW12" i="9"/>
  <c r="HX12" i="9"/>
  <c r="HY12" i="9"/>
  <c r="HZ12" i="9"/>
  <c r="IA12" i="9"/>
  <c r="IB12" i="9"/>
  <c r="IC12" i="9"/>
  <c r="HV13" i="9"/>
  <c r="HW13" i="9"/>
  <c r="HX13" i="9"/>
  <c r="HY13" i="9"/>
  <c r="HZ13" i="9"/>
  <c r="IA13" i="9"/>
  <c r="IB13" i="9"/>
  <c r="IC13" i="9"/>
  <c r="HV14" i="9"/>
  <c r="HW14" i="9"/>
  <c r="HX14" i="9"/>
  <c r="HY14" i="9"/>
  <c r="HZ14" i="9"/>
  <c r="IA14" i="9"/>
  <c r="IB14" i="9"/>
  <c r="IC14" i="9"/>
  <c r="HV15" i="9"/>
  <c r="HW15" i="9"/>
  <c r="HX15" i="9"/>
  <c r="HY15" i="9"/>
  <c r="HZ15" i="9"/>
  <c r="IA15" i="9"/>
  <c r="IB15" i="9"/>
  <c r="IC15" i="9"/>
  <c r="HV16" i="9"/>
  <c r="HW16" i="9"/>
  <c r="HX16" i="9"/>
  <c r="HY16" i="9"/>
  <c r="HZ16" i="9"/>
  <c r="IA16" i="9"/>
  <c r="IB16" i="9"/>
  <c r="IC16" i="9"/>
  <c r="HV17" i="9"/>
  <c r="HW17" i="9"/>
  <c r="HX17" i="9"/>
  <c r="HY17" i="9"/>
  <c r="HZ17" i="9"/>
  <c r="IA17" i="9"/>
  <c r="IB17" i="9"/>
  <c r="IC17" i="9"/>
  <c r="HV18" i="9"/>
  <c r="HW18" i="9"/>
  <c r="HX18" i="9"/>
  <c r="HY18" i="9"/>
  <c r="HZ18" i="9"/>
  <c r="IA18" i="9"/>
  <c r="IB18" i="9"/>
  <c r="IC18" i="9"/>
  <c r="HV19" i="9"/>
  <c r="HW19" i="9"/>
  <c r="HX19" i="9"/>
  <c r="HY19" i="9"/>
  <c r="HZ19" i="9"/>
  <c r="IA19" i="9"/>
  <c r="IB19" i="9"/>
  <c r="IC19" i="9"/>
  <c r="HV20" i="9"/>
  <c r="HW20" i="9"/>
  <c r="HX20" i="9"/>
  <c r="HY20" i="9"/>
  <c r="HZ20" i="9"/>
  <c r="IA20" i="9"/>
  <c r="IB20" i="9"/>
  <c r="IC20" i="9"/>
  <c r="HV21" i="9"/>
  <c r="HW21" i="9"/>
  <c r="HX21" i="9"/>
  <c r="HY21" i="9"/>
  <c r="HZ21" i="9"/>
  <c r="IA21" i="9"/>
  <c r="IB21" i="9"/>
  <c r="IC21" i="9"/>
  <c r="HV22" i="9"/>
  <c r="HW22" i="9"/>
  <c r="HX22" i="9"/>
  <c r="HY22" i="9"/>
  <c r="HZ22" i="9"/>
  <c r="IA22" i="9"/>
  <c r="IB22" i="9"/>
  <c r="IC22" i="9"/>
  <c r="HV23" i="9"/>
  <c r="HW23" i="9"/>
  <c r="HX23" i="9"/>
  <c r="HY23" i="9"/>
  <c r="HZ23" i="9"/>
  <c r="IA23" i="9"/>
  <c r="IB23" i="9"/>
  <c r="IC23" i="9"/>
  <c r="HV24" i="9"/>
  <c r="HW24" i="9"/>
  <c r="HX24" i="9"/>
  <c r="HY24" i="9"/>
  <c r="HZ24" i="9"/>
  <c r="IA24" i="9"/>
  <c r="IB24" i="9"/>
  <c r="IC24" i="9"/>
  <c r="HV25" i="9"/>
  <c r="HW25" i="9"/>
  <c r="HX25" i="9"/>
  <c r="HY25" i="9"/>
  <c r="HZ25" i="9"/>
  <c r="IA25" i="9"/>
  <c r="IB25" i="9"/>
  <c r="IC25" i="9"/>
  <c r="HV26" i="9"/>
  <c r="HW26" i="9"/>
  <c r="HX26" i="9"/>
  <c r="HY26" i="9"/>
  <c r="HZ26" i="9"/>
  <c r="IA26" i="9"/>
  <c r="IB26" i="9"/>
  <c r="IC26" i="9"/>
  <c r="HV27" i="9"/>
  <c r="HW27" i="9"/>
  <c r="HX27" i="9"/>
  <c r="HY27" i="9"/>
  <c r="HZ27" i="9"/>
  <c r="IA27" i="9"/>
  <c r="IB27" i="9"/>
  <c r="IC27" i="9"/>
  <c r="HV28" i="9"/>
  <c r="HW28" i="9"/>
  <c r="HX28" i="9"/>
  <c r="HY28" i="9"/>
  <c r="HZ28" i="9"/>
  <c r="IA28" i="9"/>
  <c r="IB28" i="9"/>
  <c r="IC28" i="9"/>
  <c r="HV29" i="9"/>
  <c r="HW29" i="9"/>
  <c r="HX29" i="9"/>
  <c r="HY29" i="9"/>
  <c r="HZ29" i="9"/>
  <c r="IA29" i="9"/>
  <c r="IB29" i="9"/>
  <c r="IC29" i="9"/>
  <c r="HV30" i="9"/>
  <c r="HW30" i="9"/>
  <c r="HX30" i="9"/>
  <c r="HY30" i="9"/>
  <c r="HZ30" i="9"/>
  <c r="IA30" i="9"/>
  <c r="IB30" i="9"/>
  <c r="IC30" i="9"/>
  <c r="HV31" i="9"/>
  <c r="HW31" i="9"/>
  <c r="HX31" i="9"/>
  <c r="HY31" i="9"/>
  <c r="HZ31" i="9"/>
  <c r="IA31" i="9"/>
  <c r="IB31" i="9"/>
  <c r="IC31" i="9"/>
  <c r="HV32" i="9"/>
  <c r="HW32" i="9"/>
  <c r="HX32" i="9"/>
  <c r="HY32" i="9"/>
  <c r="HZ32" i="9"/>
  <c r="IA32" i="9"/>
  <c r="IB32" i="9"/>
  <c r="IC32" i="9"/>
  <c r="HV33" i="9"/>
  <c r="HW33" i="9"/>
  <c r="HX33" i="9"/>
  <c r="HY33" i="9"/>
  <c r="HZ33" i="9"/>
  <c r="IA33" i="9"/>
  <c r="IB33" i="9"/>
  <c r="IC33" i="9"/>
  <c r="HV34" i="9"/>
  <c r="HW34" i="9"/>
  <c r="HX34" i="9"/>
  <c r="HY34" i="9"/>
  <c r="HZ34" i="9"/>
  <c r="IA34" i="9"/>
  <c r="IB34" i="9"/>
  <c r="IC34" i="9"/>
  <c r="HV35" i="9"/>
  <c r="HW35" i="9"/>
  <c r="HX35" i="9"/>
  <c r="HY35" i="9"/>
  <c r="HZ35" i="9"/>
  <c r="IA35" i="9"/>
  <c r="IB35" i="9"/>
  <c r="IC35" i="9"/>
  <c r="HV36" i="9"/>
  <c r="HW36" i="9"/>
  <c r="HX36" i="9"/>
  <c r="HY36" i="9"/>
  <c r="HZ36" i="9"/>
  <c r="IA36" i="9"/>
  <c r="IB36" i="9"/>
  <c r="IC36" i="9"/>
  <c r="HV37" i="9"/>
  <c r="HW37" i="9"/>
  <c r="HX37" i="9"/>
  <c r="HY37" i="9"/>
  <c r="HZ37" i="9"/>
  <c r="IA37" i="9"/>
  <c r="IB37" i="9"/>
  <c r="IC37" i="9"/>
  <c r="HV38" i="9"/>
  <c r="HW38" i="9"/>
  <c r="HX38" i="9"/>
  <c r="HY38" i="9"/>
  <c r="HZ38" i="9"/>
  <c r="IA38" i="9"/>
  <c r="IB38" i="9"/>
  <c r="IC38" i="9"/>
  <c r="HV39" i="9"/>
  <c r="HW39" i="9"/>
  <c r="HX39" i="9"/>
  <c r="HY39" i="9"/>
  <c r="HZ39" i="9"/>
  <c r="IA39" i="9"/>
  <c r="IB39" i="9"/>
  <c r="IC39" i="9"/>
  <c r="HV40" i="9"/>
  <c r="HW40" i="9"/>
  <c r="HX40" i="9"/>
  <c r="HY40" i="9"/>
  <c r="HZ40" i="9"/>
  <c r="IA40" i="9"/>
  <c r="IB40" i="9"/>
  <c r="IC40" i="9"/>
  <c r="HV41" i="9"/>
  <c r="HW41" i="9"/>
  <c r="HX41" i="9"/>
  <c r="HY41" i="9"/>
  <c r="HZ41" i="9"/>
  <c r="IA41" i="9"/>
  <c r="IB41" i="9"/>
  <c r="IC41" i="9"/>
  <c r="HV42" i="9"/>
  <c r="HW42" i="9"/>
  <c r="HX42" i="9"/>
  <c r="HY42" i="9"/>
  <c r="HZ42" i="9"/>
  <c r="IA42" i="9"/>
  <c r="IB42" i="9"/>
  <c r="IC42" i="9"/>
  <c r="HV43" i="9"/>
  <c r="HW43" i="9"/>
  <c r="HX43" i="9"/>
  <c r="HY43" i="9"/>
  <c r="HZ43" i="9"/>
  <c r="IA43" i="9"/>
  <c r="IB43" i="9"/>
  <c r="IC43" i="9"/>
  <c r="HV44" i="9"/>
  <c r="HW44" i="9"/>
  <c r="HX44" i="9"/>
  <c r="HY44" i="9"/>
  <c r="HZ44" i="9"/>
  <c r="IA44" i="9"/>
  <c r="IB44" i="9"/>
  <c r="IC44" i="9"/>
  <c r="HV45" i="9"/>
  <c r="HW45" i="9"/>
  <c r="HX45" i="9"/>
  <c r="HY45" i="9"/>
  <c r="HZ45" i="9"/>
  <c r="IA45" i="9"/>
  <c r="IB45" i="9"/>
  <c r="IC45" i="9"/>
  <c r="HV46" i="9"/>
  <c r="HW46" i="9"/>
  <c r="HX46" i="9"/>
  <c r="HY46" i="9"/>
  <c r="HZ46" i="9"/>
  <c r="IA46" i="9"/>
  <c r="IB46" i="9"/>
  <c r="IC46" i="9"/>
  <c r="HV47" i="9"/>
  <c r="HW47" i="9"/>
  <c r="HX47" i="9"/>
  <c r="HY47" i="9"/>
  <c r="HZ47" i="9"/>
  <c r="IA47" i="9"/>
  <c r="IB47" i="9"/>
  <c r="IC47" i="9"/>
  <c r="HV48" i="9"/>
  <c r="HW48" i="9"/>
  <c r="HX48" i="9"/>
  <c r="HY48" i="9"/>
  <c r="HZ48" i="9"/>
  <c r="IA48" i="9"/>
  <c r="IB48" i="9"/>
  <c r="IC48" i="9"/>
  <c r="HV49" i="9"/>
  <c r="HW49" i="9"/>
  <c r="HX49" i="9"/>
  <c r="HY49" i="9"/>
  <c r="HZ49" i="9"/>
  <c r="IA49" i="9"/>
  <c r="IB49" i="9"/>
  <c r="IC49" i="9"/>
  <c r="HV50" i="9"/>
  <c r="HW50" i="9"/>
  <c r="HX50" i="9"/>
  <c r="HY50" i="9"/>
  <c r="HZ50" i="9"/>
  <c r="IA50" i="9"/>
  <c r="IB50" i="9"/>
  <c r="IC50" i="9"/>
  <c r="HV51" i="9"/>
  <c r="HW51" i="9"/>
  <c r="HX51" i="9"/>
  <c r="HY51" i="9"/>
  <c r="HZ51" i="9"/>
  <c r="IA51" i="9"/>
  <c r="IB51" i="9"/>
  <c r="IC51" i="9"/>
  <c r="HV52" i="9"/>
  <c r="HW52" i="9"/>
  <c r="HX52" i="9"/>
  <c r="HY52" i="9"/>
  <c r="HZ52" i="9"/>
  <c r="IA52" i="9"/>
  <c r="IB52" i="9"/>
  <c r="IC52" i="9"/>
  <c r="HV53" i="9"/>
  <c r="HW53" i="9"/>
  <c r="HX53" i="9"/>
  <c r="HY53" i="9"/>
  <c r="HZ53" i="9"/>
  <c r="IA53" i="9"/>
  <c r="IB53" i="9"/>
  <c r="IC53" i="9"/>
  <c r="HV54" i="9"/>
  <c r="HW54" i="9"/>
  <c r="HX54" i="9"/>
  <c r="HY54" i="9"/>
  <c r="HZ54" i="9"/>
  <c r="IA54" i="9"/>
  <c r="IB54" i="9"/>
  <c r="IC54" i="9"/>
  <c r="HV55" i="9"/>
  <c r="HW55" i="9"/>
  <c r="HX55" i="9"/>
  <c r="HY55" i="9"/>
  <c r="HZ55" i="9"/>
  <c r="IA55" i="9"/>
  <c r="IB55" i="9"/>
  <c r="IC55" i="9"/>
  <c r="HV56" i="9"/>
  <c r="HW56" i="9"/>
  <c r="HX56" i="9"/>
  <c r="HY56" i="9"/>
  <c r="HZ56" i="9"/>
  <c r="IA56" i="9"/>
  <c r="IB56" i="9"/>
  <c r="IC56" i="9"/>
  <c r="HV57" i="9"/>
  <c r="HW57" i="9"/>
  <c r="HX57" i="9"/>
  <c r="HY57" i="9"/>
  <c r="HZ57" i="9"/>
  <c r="IA57" i="9"/>
  <c r="IB57" i="9"/>
  <c r="IC57" i="9"/>
  <c r="HV58" i="9"/>
  <c r="HW58" i="9"/>
  <c r="HX58" i="9"/>
  <c r="HY58" i="9"/>
  <c r="HZ58" i="9"/>
  <c r="IA58" i="9"/>
  <c r="IB58" i="9"/>
  <c r="IC58" i="9"/>
  <c r="HV59" i="9"/>
  <c r="HW59" i="9"/>
  <c r="HX59" i="9"/>
  <c r="HY59" i="9"/>
  <c r="HZ59" i="9"/>
  <c r="IA59" i="9"/>
  <c r="IB59" i="9"/>
  <c r="IC59" i="9"/>
  <c r="HV60" i="9"/>
  <c r="HW60" i="9"/>
  <c r="HX60" i="9"/>
  <c r="HY60" i="9"/>
  <c r="HZ60" i="9"/>
  <c r="IA60" i="9"/>
  <c r="IB60" i="9"/>
  <c r="IC60" i="9"/>
  <c r="HV61" i="9"/>
  <c r="HW61" i="9"/>
  <c r="HX61" i="9"/>
  <c r="HY61" i="9"/>
  <c r="HZ61" i="9"/>
  <c r="IA61" i="9"/>
  <c r="IB61" i="9"/>
  <c r="IC61" i="9"/>
  <c r="HV62" i="9"/>
  <c r="HW62" i="9"/>
  <c r="HX62" i="9"/>
  <c r="HY62" i="9"/>
  <c r="HZ62" i="9"/>
  <c r="IA62" i="9"/>
  <c r="IB62" i="9"/>
  <c r="IC62" i="9"/>
  <c r="HV63" i="9"/>
  <c r="HW63" i="9"/>
  <c r="HX63" i="9"/>
  <c r="HY63" i="9"/>
  <c r="HZ63" i="9"/>
  <c r="IA63" i="9"/>
  <c r="IB63" i="9"/>
  <c r="IC63" i="9"/>
  <c r="HV64" i="9"/>
  <c r="HW64" i="9"/>
  <c r="HX64" i="9"/>
  <c r="HY64" i="9"/>
  <c r="HZ64" i="9"/>
  <c r="IA64" i="9"/>
  <c r="IB64" i="9"/>
  <c r="IC64" i="9"/>
  <c r="HV65" i="9"/>
  <c r="HW65" i="9"/>
  <c r="HX65" i="9"/>
  <c r="HY65" i="9"/>
  <c r="HZ65" i="9"/>
  <c r="IA65" i="9"/>
  <c r="IB65" i="9"/>
  <c r="IC65" i="9"/>
  <c r="HV66" i="9"/>
  <c r="HW66" i="9"/>
  <c r="HX66" i="9"/>
  <c r="HY66" i="9"/>
  <c r="HZ66" i="9"/>
  <c r="IA66" i="9"/>
  <c r="IB66" i="9"/>
  <c r="IC66" i="9"/>
  <c r="HV67" i="9"/>
  <c r="HW67" i="9"/>
  <c r="HX67" i="9"/>
  <c r="HY67" i="9"/>
  <c r="HZ67" i="9"/>
  <c r="IA67" i="9"/>
  <c r="IB67" i="9"/>
  <c r="IC67" i="9"/>
  <c r="HV68" i="9"/>
  <c r="HW68" i="9"/>
  <c r="HX68" i="9"/>
  <c r="HY68" i="9"/>
  <c r="HZ68" i="9"/>
  <c r="IA68" i="9"/>
  <c r="IB68" i="9"/>
  <c r="IC68" i="9"/>
  <c r="HV69" i="9"/>
  <c r="HW69" i="9"/>
  <c r="HX69" i="9"/>
  <c r="HY69" i="9"/>
  <c r="HZ69" i="9"/>
  <c r="IA69" i="9"/>
  <c r="IB69" i="9"/>
  <c r="IC69" i="9"/>
  <c r="HV70" i="9"/>
  <c r="HW70" i="9"/>
  <c r="HX70" i="9"/>
  <c r="HY70" i="9"/>
  <c r="HZ70" i="9"/>
  <c r="IA70" i="9"/>
  <c r="IB70" i="9"/>
  <c r="IC70" i="9"/>
  <c r="HV71" i="9"/>
  <c r="HW71" i="9"/>
  <c r="HX71" i="9"/>
  <c r="HY71" i="9"/>
  <c r="HZ71" i="9"/>
  <c r="IA71" i="9"/>
  <c r="IB71" i="9"/>
  <c r="IC71" i="9"/>
  <c r="HV72" i="9"/>
  <c r="HW72" i="9"/>
  <c r="HX72" i="9"/>
  <c r="HY72" i="9"/>
  <c r="HZ72" i="9"/>
  <c r="IA72" i="9"/>
  <c r="IB72" i="9"/>
  <c r="IC72" i="9"/>
  <c r="HV73" i="9"/>
  <c r="HW73" i="9"/>
  <c r="HX73" i="9"/>
  <c r="HY73" i="9"/>
  <c r="HZ73" i="9"/>
  <c r="IA73" i="9"/>
  <c r="IB73" i="9"/>
  <c r="IC73" i="9"/>
  <c r="HV74" i="9"/>
  <c r="HW74" i="9"/>
  <c r="HX74" i="9"/>
  <c r="HY74" i="9"/>
  <c r="HZ74" i="9"/>
  <c r="IA74" i="9"/>
  <c r="IB74" i="9"/>
  <c r="IC74" i="9"/>
  <c r="HV75" i="9"/>
  <c r="HW75" i="9"/>
  <c r="HX75" i="9"/>
  <c r="HY75" i="9"/>
  <c r="HZ75" i="9"/>
  <c r="IA75" i="9"/>
  <c r="IB75" i="9"/>
  <c r="IC75" i="9"/>
  <c r="HV76" i="9"/>
  <c r="HW76" i="9"/>
  <c r="HX76" i="9"/>
  <c r="HY76" i="9"/>
  <c r="HZ76" i="9"/>
  <c r="IA76" i="9"/>
  <c r="IB76" i="9"/>
  <c r="IC76" i="9"/>
  <c r="HV77" i="9"/>
  <c r="HW77" i="9"/>
  <c r="HX77" i="9"/>
  <c r="HY77" i="9"/>
  <c r="HZ77" i="9"/>
  <c r="IA77" i="9"/>
  <c r="IB77" i="9"/>
  <c r="IC77" i="9"/>
  <c r="HV78" i="9"/>
  <c r="HW78" i="9"/>
  <c r="HX78" i="9"/>
  <c r="HY78" i="9"/>
  <c r="HZ78" i="9"/>
  <c r="IA78" i="9"/>
  <c r="IB78" i="9"/>
  <c r="IC78" i="9"/>
  <c r="HV79" i="9"/>
  <c r="HW79" i="9"/>
  <c r="HX79" i="9"/>
  <c r="HY79" i="9"/>
  <c r="HZ79" i="9"/>
  <c r="IA79" i="9"/>
  <c r="IB79" i="9"/>
  <c r="IC79" i="9"/>
  <c r="HV80" i="9"/>
  <c r="HW80" i="9"/>
  <c r="HX80" i="9"/>
  <c r="HY80" i="9"/>
  <c r="HZ80" i="9"/>
  <c r="IA80" i="9"/>
  <c r="IB80" i="9"/>
  <c r="IC80" i="9"/>
  <c r="HV81" i="9"/>
  <c r="HW81" i="9"/>
  <c r="HX81" i="9"/>
  <c r="HY81" i="9"/>
  <c r="HZ81" i="9"/>
  <c r="IA81" i="9"/>
  <c r="IB81" i="9"/>
  <c r="IC81" i="9"/>
  <c r="HV82" i="9"/>
  <c r="HW82" i="9"/>
  <c r="HX82" i="9"/>
  <c r="HY82" i="9"/>
  <c r="HZ82" i="9"/>
  <c r="IA82" i="9"/>
  <c r="IB82" i="9"/>
  <c r="IC82" i="9"/>
  <c r="HV83" i="9"/>
  <c r="HW83" i="9"/>
  <c r="HX83" i="9"/>
  <c r="HY83" i="9"/>
  <c r="HZ83" i="9"/>
  <c r="IA83" i="9"/>
  <c r="IB83" i="9"/>
  <c r="IC83" i="9"/>
  <c r="HV84" i="9"/>
  <c r="HW84" i="9"/>
  <c r="HX84" i="9"/>
  <c r="HY84" i="9"/>
  <c r="HZ84" i="9"/>
  <c r="IA84" i="9"/>
  <c r="IB84" i="9"/>
  <c r="IC84" i="9"/>
  <c r="HV85" i="9"/>
  <c r="HW85" i="9"/>
  <c r="HX85" i="9"/>
  <c r="HY85" i="9"/>
  <c r="HZ85" i="9"/>
  <c r="IA85" i="9"/>
  <c r="IB85" i="9"/>
  <c r="IC85" i="9"/>
  <c r="HV86" i="9"/>
  <c r="HW86" i="9"/>
  <c r="HX86" i="9"/>
  <c r="HY86" i="9"/>
  <c r="HZ86" i="9"/>
  <c r="IA86" i="9"/>
  <c r="IB86" i="9"/>
  <c r="IC86" i="9"/>
  <c r="HV87" i="9"/>
  <c r="HW87" i="9"/>
  <c r="HX87" i="9"/>
  <c r="HY87" i="9"/>
  <c r="HZ87" i="9"/>
  <c r="IA87" i="9"/>
  <c r="IB87" i="9"/>
  <c r="IC87" i="9"/>
  <c r="HV88" i="9"/>
  <c r="HW88" i="9"/>
  <c r="HX88" i="9"/>
  <c r="HY88" i="9"/>
  <c r="HZ88" i="9"/>
  <c r="IA88" i="9"/>
  <c r="IB88" i="9"/>
  <c r="IC88" i="9"/>
  <c r="HV89" i="9"/>
  <c r="HW89" i="9"/>
  <c r="HX89" i="9"/>
  <c r="HY89" i="9"/>
  <c r="HZ89" i="9"/>
  <c r="IA89" i="9"/>
  <c r="IB89" i="9"/>
  <c r="IC89" i="9"/>
  <c r="HV90" i="9"/>
  <c r="HW90" i="9"/>
  <c r="HX90" i="9"/>
  <c r="HY90" i="9"/>
  <c r="HZ90" i="9"/>
  <c r="IA90" i="9"/>
  <c r="IB90" i="9"/>
  <c r="IC90" i="9"/>
  <c r="HV91" i="9"/>
  <c r="HW91" i="9"/>
  <c r="HX91" i="9"/>
  <c r="HY91" i="9"/>
  <c r="HZ91" i="9"/>
  <c r="IA91" i="9"/>
  <c r="IB91" i="9"/>
  <c r="IC91" i="9"/>
  <c r="HV92" i="9"/>
  <c r="HW92" i="9"/>
  <c r="HX92" i="9"/>
  <c r="HY92" i="9"/>
  <c r="HZ92" i="9"/>
  <c r="IA92" i="9"/>
  <c r="IB92" i="9"/>
  <c r="IC92" i="9"/>
  <c r="HV93" i="9"/>
  <c r="HW93" i="9"/>
  <c r="HX93" i="9"/>
  <c r="HY93" i="9"/>
  <c r="HZ93" i="9"/>
  <c r="IA93" i="9"/>
  <c r="IB93" i="9"/>
  <c r="IC93" i="9"/>
  <c r="HV94" i="9"/>
  <c r="HW94" i="9"/>
  <c r="HX94" i="9"/>
  <c r="HY94" i="9"/>
  <c r="HZ94" i="9"/>
  <c r="IA94" i="9"/>
  <c r="IB94" i="9"/>
  <c r="IC94" i="9"/>
  <c r="HV95" i="9"/>
  <c r="HW95" i="9"/>
  <c r="HX95" i="9"/>
  <c r="HY95" i="9"/>
  <c r="HZ95" i="9"/>
  <c r="IA95" i="9"/>
  <c r="IB95" i="9"/>
  <c r="IC95" i="9"/>
  <c r="HV96" i="9"/>
  <c r="HW96" i="9"/>
  <c r="HX96" i="9"/>
  <c r="HY96" i="9"/>
  <c r="HZ96" i="9"/>
  <c r="IA96" i="9"/>
  <c r="IB96" i="9"/>
  <c r="IC96" i="9"/>
  <c r="HV97" i="9"/>
  <c r="HW97" i="9"/>
  <c r="HX97" i="9"/>
  <c r="HY97" i="9"/>
  <c r="HZ97" i="9"/>
  <c r="IA97" i="9"/>
  <c r="IB97" i="9"/>
  <c r="IC97" i="9"/>
  <c r="HV98" i="9"/>
  <c r="HW98" i="9"/>
  <c r="HX98" i="9"/>
  <c r="HY98" i="9"/>
  <c r="HZ98" i="9"/>
  <c r="IA98" i="9"/>
  <c r="IB98" i="9"/>
  <c r="IC98" i="9"/>
  <c r="HV99" i="9"/>
  <c r="HW99" i="9"/>
  <c r="HX99" i="9"/>
  <c r="HY99" i="9"/>
  <c r="HZ99" i="9"/>
  <c r="IA99" i="9"/>
  <c r="IB99" i="9"/>
  <c r="IC99" i="9"/>
  <c r="HV100" i="9"/>
  <c r="HW100" i="9"/>
  <c r="HX100" i="9"/>
  <c r="HY100" i="9"/>
  <c r="HZ100" i="9"/>
  <c r="IA100" i="9"/>
  <c r="IB100" i="9"/>
  <c r="IC100" i="9"/>
  <c r="HV101" i="9"/>
  <c r="HW101" i="9"/>
  <c r="HX101" i="9"/>
  <c r="HY101" i="9"/>
  <c r="HZ101" i="9"/>
  <c r="IA101" i="9"/>
  <c r="IB101" i="9"/>
  <c r="IC101" i="9"/>
  <c r="HV102" i="9"/>
  <c r="HW102" i="9"/>
  <c r="HX102" i="9"/>
  <c r="HY102" i="9"/>
  <c r="HZ102" i="9"/>
  <c r="IA102" i="9"/>
  <c r="IB102" i="9"/>
  <c r="IC102" i="9"/>
  <c r="HW2" i="9"/>
  <c r="HX2" i="9"/>
  <c r="HY2" i="9"/>
  <c r="HZ2" i="9"/>
  <c r="IA2" i="9"/>
  <c r="IB2" i="9"/>
  <c r="IC2" i="9"/>
  <c r="HV2" i="9"/>
  <c r="HU3" i="9"/>
  <c r="HU4" i="9"/>
  <c r="HU5" i="9"/>
  <c r="HU6" i="9"/>
  <c r="HU7" i="9"/>
  <c r="HU8" i="9"/>
  <c r="HU9" i="9"/>
  <c r="HU10" i="9"/>
  <c r="HU11" i="9"/>
  <c r="HU12" i="9"/>
  <c r="HU13" i="9"/>
  <c r="HU14" i="9"/>
  <c r="HU15" i="9"/>
  <c r="HU16" i="9"/>
  <c r="HU17" i="9"/>
  <c r="HU18" i="9"/>
  <c r="HU19" i="9"/>
  <c r="HU20" i="9"/>
  <c r="HU21" i="9"/>
  <c r="HU22" i="9"/>
  <c r="HU23" i="9"/>
  <c r="HU24" i="9"/>
  <c r="HU25" i="9"/>
  <c r="HU26" i="9"/>
  <c r="HU27" i="9"/>
  <c r="HU28" i="9"/>
  <c r="HU29" i="9"/>
  <c r="HU30" i="9"/>
  <c r="HU31" i="9"/>
  <c r="HU32" i="9"/>
  <c r="HU33" i="9"/>
  <c r="HU34" i="9"/>
  <c r="HU35" i="9"/>
  <c r="HU36" i="9"/>
  <c r="HU37" i="9"/>
  <c r="HU38" i="9"/>
  <c r="HU39" i="9"/>
  <c r="HU40" i="9"/>
  <c r="HU41" i="9"/>
  <c r="HU42" i="9"/>
  <c r="HU43" i="9"/>
  <c r="HU44" i="9"/>
  <c r="HU45" i="9"/>
  <c r="HU46" i="9"/>
  <c r="HU47" i="9"/>
  <c r="HU48" i="9"/>
  <c r="HU49" i="9"/>
  <c r="HU50" i="9"/>
  <c r="HU51" i="9"/>
  <c r="HU52" i="9"/>
  <c r="HU53" i="9"/>
  <c r="HU54" i="9"/>
  <c r="HU55" i="9"/>
  <c r="HU56" i="9"/>
  <c r="HU57" i="9"/>
  <c r="HU58" i="9"/>
  <c r="HU59" i="9"/>
  <c r="HU60" i="9"/>
  <c r="HU61" i="9"/>
  <c r="HU62" i="9"/>
  <c r="HU63" i="9"/>
  <c r="HU64" i="9"/>
  <c r="HU65" i="9"/>
  <c r="HU66" i="9"/>
  <c r="HU67" i="9"/>
  <c r="HU68" i="9"/>
  <c r="HU69" i="9"/>
  <c r="HU70" i="9"/>
  <c r="HU71" i="9"/>
  <c r="HU72" i="9"/>
  <c r="HU73" i="9"/>
  <c r="HU74" i="9"/>
  <c r="HU75" i="9"/>
  <c r="HU76" i="9"/>
  <c r="HU77" i="9"/>
  <c r="HU78" i="9"/>
  <c r="HU79" i="9"/>
  <c r="HU80" i="9"/>
  <c r="HU81" i="9"/>
  <c r="HU82" i="9"/>
  <c r="HU83" i="9"/>
  <c r="HU84" i="9"/>
  <c r="HU85" i="9"/>
  <c r="HU86" i="9"/>
  <c r="HU87" i="9"/>
  <c r="HU88" i="9"/>
  <c r="HU89" i="9"/>
  <c r="HU90" i="9"/>
  <c r="HU91" i="9"/>
  <c r="HU92" i="9"/>
  <c r="HU93" i="9"/>
  <c r="HU94" i="9"/>
  <c r="HU95" i="9"/>
  <c r="HU96" i="9"/>
  <c r="HU97" i="9"/>
  <c r="HU98" i="9"/>
  <c r="HU99" i="9"/>
  <c r="HU100" i="9"/>
  <c r="HU101" i="9"/>
  <c r="HU102" i="9"/>
  <c r="HU2" i="9"/>
  <c r="JM2" i="9"/>
  <c r="C3" i="12"/>
  <c r="D3" i="12"/>
  <c r="E3" i="12"/>
  <c r="F3" i="12"/>
  <c r="G3" i="12"/>
  <c r="H3" i="12"/>
  <c r="I3" i="12"/>
  <c r="J3" i="12"/>
  <c r="C4" i="12"/>
  <c r="D4" i="12"/>
  <c r="E4" i="12"/>
  <c r="F4" i="12"/>
  <c r="G4" i="12"/>
  <c r="H4" i="12"/>
  <c r="I4" i="12"/>
  <c r="J4" i="12"/>
  <c r="C5" i="12"/>
  <c r="D5" i="12"/>
  <c r="E5" i="12"/>
  <c r="F5" i="12"/>
  <c r="G5" i="12"/>
  <c r="H5" i="12"/>
  <c r="I5" i="12"/>
  <c r="J5" i="12"/>
  <c r="C6" i="12"/>
  <c r="D6" i="12"/>
  <c r="E6" i="12"/>
  <c r="F6" i="12"/>
  <c r="G6" i="12"/>
  <c r="H6" i="12"/>
  <c r="I6" i="12"/>
  <c r="J6" i="12"/>
  <c r="C7" i="12"/>
  <c r="D7" i="12"/>
  <c r="E7" i="12"/>
  <c r="F7" i="12"/>
  <c r="G7" i="12"/>
  <c r="H7" i="12"/>
  <c r="I7" i="12"/>
  <c r="J7" i="12"/>
  <c r="C8" i="12"/>
  <c r="D8" i="12"/>
  <c r="E8" i="12"/>
  <c r="F8" i="12"/>
  <c r="G8" i="12"/>
  <c r="H8" i="12"/>
  <c r="I8" i="12"/>
  <c r="J8" i="12"/>
  <c r="C9" i="12"/>
  <c r="D9" i="12"/>
  <c r="E9" i="12"/>
  <c r="F9" i="12"/>
  <c r="G9" i="12"/>
  <c r="H9" i="12"/>
  <c r="I9" i="12"/>
  <c r="J9" i="12"/>
  <c r="C10" i="12"/>
  <c r="D10" i="12"/>
  <c r="E10" i="12"/>
  <c r="F10" i="12"/>
  <c r="G10" i="12"/>
  <c r="H10" i="12"/>
  <c r="I10" i="12"/>
  <c r="J10" i="12"/>
  <c r="C11" i="12"/>
  <c r="D11" i="12"/>
  <c r="E11" i="12"/>
  <c r="F11" i="12"/>
  <c r="G11" i="12"/>
  <c r="H11" i="12"/>
  <c r="I11" i="12"/>
  <c r="J11" i="12"/>
  <c r="C12" i="12"/>
  <c r="D12" i="12"/>
  <c r="E12" i="12"/>
  <c r="F12" i="12"/>
  <c r="G12" i="12"/>
  <c r="H12" i="12"/>
  <c r="I12" i="12"/>
  <c r="J12" i="12"/>
  <c r="C13" i="12"/>
  <c r="D13" i="12"/>
  <c r="E13" i="12"/>
  <c r="F13" i="12"/>
  <c r="G13" i="12"/>
  <c r="H13" i="12"/>
  <c r="I13" i="12"/>
  <c r="J13" i="12"/>
  <c r="C14" i="12"/>
  <c r="D14" i="12"/>
  <c r="E14" i="12"/>
  <c r="F14" i="12"/>
  <c r="G14" i="12"/>
  <c r="H14" i="12"/>
  <c r="I14" i="12"/>
  <c r="J14" i="12"/>
  <c r="C15" i="12"/>
  <c r="D15" i="12"/>
  <c r="E15" i="12"/>
  <c r="F15" i="12"/>
  <c r="G15" i="12"/>
  <c r="H15" i="12"/>
  <c r="I15" i="12"/>
  <c r="J15" i="12"/>
  <c r="C16" i="12"/>
  <c r="D16" i="12"/>
  <c r="E16" i="12"/>
  <c r="F16" i="12"/>
  <c r="G16" i="12"/>
  <c r="H16" i="12"/>
  <c r="I16" i="12"/>
  <c r="J16" i="12"/>
  <c r="C17" i="12"/>
  <c r="D17" i="12"/>
  <c r="E17" i="12"/>
  <c r="F17" i="12"/>
  <c r="G17" i="12"/>
  <c r="H17" i="12"/>
  <c r="I17" i="12"/>
  <c r="J17" i="12"/>
  <c r="C18" i="12"/>
  <c r="D18" i="12"/>
  <c r="E18" i="12"/>
  <c r="F18" i="12"/>
  <c r="G18" i="12"/>
  <c r="H18" i="12"/>
  <c r="I18" i="12"/>
  <c r="J18" i="12"/>
  <c r="C19" i="12"/>
  <c r="D19" i="12"/>
  <c r="E19" i="12"/>
  <c r="F19" i="12"/>
  <c r="G19" i="12"/>
  <c r="H19" i="12"/>
  <c r="I19" i="12"/>
  <c r="J19" i="12"/>
  <c r="C20" i="12"/>
  <c r="D20" i="12"/>
  <c r="E20" i="12"/>
  <c r="F20" i="12"/>
  <c r="G20" i="12"/>
  <c r="H20" i="12"/>
  <c r="I20" i="12"/>
  <c r="J20" i="12"/>
  <c r="C21" i="12"/>
  <c r="D21" i="12"/>
  <c r="E21" i="12"/>
  <c r="F21" i="12"/>
  <c r="G21" i="12"/>
  <c r="H21" i="12"/>
  <c r="I21" i="12"/>
  <c r="J21" i="12"/>
  <c r="C22" i="12"/>
  <c r="D22" i="12"/>
  <c r="E22" i="12"/>
  <c r="F22" i="12"/>
  <c r="G22" i="12"/>
  <c r="H22" i="12"/>
  <c r="I22" i="12"/>
  <c r="J22" i="12"/>
  <c r="C23" i="12"/>
  <c r="D23" i="12"/>
  <c r="E23" i="12"/>
  <c r="F23" i="12"/>
  <c r="G23" i="12"/>
  <c r="H23" i="12"/>
  <c r="I23" i="12"/>
  <c r="J23" i="12"/>
  <c r="C24" i="12"/>
  <c r="D24" i="12"/>
  <c r="E24" i="12"/>
  <c r="F24" i="12"/>
  <c r="G24" i="12"/>
  <c r="H24" i="12"/>
  <c r="I24" i="12"/>
  <c r="J24" i="12"/>
  <c r="C25" i="12"/>
  <c r="D25" i="12"/>
  <c r="E25" i="12"/>
  <c r="F25" i="12"/>
  <c r="G25" i="12"/>
  <c r="H25" i="12"/>
  <c r="I25" i="12"/>
  <c r="J25" i="12"/>
  <c r="C26" i="12"/>
  <c r="D26" i="12"/>
  <c r="E26" i="12"/>
  <c r="F26" i="12"/>
  <c r="G26" i="12"/>
  <c r="H26" i="12"/>
  <c r="I26" i="12"/>
  <c r="J26" i="12"/>
  <c r="C27" i="12"/>
  <c r="D27" i="12"/>
  <c r="E27" i="12"/>
  <c r="F27" i="12"/>
  <c r="G27" i="12"/>
  <c r="H27" i="12"/>
  <c r="I27" i="12"/>
  <c r="J27" i="12"/>
  <c r="C28" i="12"/>
  <c r="D28" i="12"/>
  <c r="E28" i="12"/>
  <c r="F28" i="12"/>
  <c r="G28" i="12"/>
  <c r="H28" i="12"/>
  <c r="I28" i="12"/>
  <c r="J28" i="12"/>
  <c r="C29" i="12"/>
  <c r="D29" i="12"/>
  <c r="E29" i="12"/>
  <c r="F29" i="12"/>
  <c r="G29" i="12"/>
  <c r="H29" i="12"/>
  <c r="I29" i="12"/>
  <c r="J29" i="12"/>
  <c r="C30" i="12"/>
  <c r="D30" i="12"/>
  <c r="E30" i="12"/>
  <c r="F30" i="12"/>
  <c r="G30" i="12"/>
  <c r="H30" i="12"/>
  <c r="I30" i="12"/>
  <c r="J30" i="12"/>
  <c r="C31" i="12"/>
  <c r="D31" i="12"/>
  <c r="E31" i="12"/>
  <c r="F31" i="12"/>
  <c r="G31" i="12"/>
  <c r="H31" i="12"/>
  <c r="I31" i="12"/>
  <c r="J31" i="12"/>
  <c r="C32" i="12"/>
  <c r="D32" i="12"/>
  <c r="E32" i="12"/>
  <c r="F32" i="12"/>
  <c r="G32" i="12"/>
  <c r="H32" i="12"/>
  <c r="I32" i="12"/>
  <c r="J32" i="12"/>
  <c r="C33" i="12"/>
  <c r="D33" i="12"/>
  <c r="E33" i="12"/>
  <c r="F33" i="12"/>
  <c r="G33" i="12"/>
  <c r="H33" i="12"/>
  <c r="I33" i="12"/>
  <c r="J33" i="12"/>
  <c r="C34" i="12"/>
  <c r="D34" i="12"/>
  <c r="E34" i="12"/>
  <c r="F34" i="12"/>
  <c r="G34" i="12"/>
  <c r="H34" i="12"/>
  <c r="I34" i="12"/>
  <c r="J34" i="12"/>
  <c r="C35" i="12"/>
  <c r="D35" i="12"/>
  <c r="E35" i="12"/>
  <c r="F35" i="12"/>
  <c r="G35" i="12"/>
  <c r="H35" i="12"/>
  <c r="I35" i="12"/>
  <c r="J35" i="12"/>
  <c r="C36" i="12"/>
  <c r="D36" i="12"/>
  <c r="E36" i="12"/>
  <c r="F36" i="12"/>
  <c r="G36" i="12"/>
  <c r="H36" i="12"/>
  <c r="I36" i="12"/>
  <c r="J36" i="12"/>
  <c r="C37" i="12"/>
  <c r="D37" i="12"/>
  <c r="E37" i="12"/>
  <c r="F37" i="12"/>
  <c r="G37" i="12"/>
  <c r="H37" i="12"/>
  <c r="I37" i="12"/>
  <c r="J37" i="12"/>
  <c r="C38" i="12"/>
  <c r="D38" i="12"/>
  <c r="E38" i="12"/>
  <c r="F38" i="12"/>
  <c r="G38" i="12"/>
  <c r="H38" i="12"/>
  <c r="I38" i="12"/>
  <c r="J38" i="12"/>
  <c r="C39" i="12"/>
  <c r="D39" i="12"/>
  <c r="E39" i="12"/>
  <c r="F39" i="12"/>
  <c r="G39" i="12"/>
  <c r="H39" i="12"/>
  <c r="I39" i="12"/>
  <c r="J39" i="12"/>
  <c r="C40" i="12"/>
  <c r="D40" i="12"/>
  <c r="E40" i="12"/>
  <c r="F40" i="12"/>
  <c r="G40" i="12"/>
  <c r="H40" i="12"/>
  <c r="I40" i="12"/>
  <c r="J40" i="12"/>
  <c r="C41" i="12"/>
  <c r="D41" i="12"/>
  <c r="E41" i="12"/>
  <c r="F41" i="12"/>
  <c r="G41" i="12"/>
  <c r="H41" i="12"/>
  <c r="I41" i="12"/>
  <c r="J41" i="12"/>
  <c r="C42" i="12"/>
  <c r="D42" i="12"/>
  <c r="E42" i="12"/>
  <c r="F42" i="12"/>
  <c r="G42" i="12"/>
  <c r="H42" i="12"/>
  <c r="I42" i="12"/>
  <c r="J42" i="12"/>
  <c r="C43" i="12"/>
  <c r="D43" i="12"/>
  <c r="E43" i="12"/>
  <c r="F43" i="12"/>
  <c r="G43" i="12"/>
  <c r="H43" i="12"/>
  <c r="I43" i="12"/>
  <c r="J43" i="12"/>
  <c r="C44" i="12"/>
  <c r="D44" i="12"/>
  <c r="E44" i="12"/>
  <c r="F44" i="12"/>
  <c r="G44" i="12"/>
  <c r="H44" i="12"/>
  <c r="I44" i="12"/>
  <c r="J44" i="12"/>
  <c r="C45" i="12"/>
  <c r="D45" i="12"/>
  <c r="E45" i="12"/>
  <c r="F45" i="12"/>
  <c r="G45" i="12"/>
  <c r="H45" i="12"/>
  <c r="I45" i="12"/>
  <c r="J45" i="12"/>
  <c r="C46" i="12"/>
  <c r="D46" i="12"/>
  <c r="E46" i="12"/>
  <c r="F46" i="12"/>
  <c r="G46" i="12"/>
  <c r="H46" i="12"/>
  <c r="I46" i="12"/>
  <c r="J46" i="12"/>
  <c r="C47" i="12"/>
  <c r="D47" i="12"/>
  <c r="E47" i="12"/>
  <c r="F47" i="12"/>
  <c r="G47" i="12"/>
  <c r="H47" i="12"/>
  <c r="I47" i="12"/>
  <c r="J47" i="12"/>
  <c r="C48" i="12"/>
  <c r="D48" i="12"/>
  <c r="E48" i="12"/>
  <c r="F48" i="12"/>
  <c r="G48" i="12"/>
  <c r="H48" i="12"/>
  <c r="I48" i="12"/>
  <c r="J48" i="12"/>
  <c r="C49" i="12"/>
  <c r="D49" i="12"/>
  <c r="E49" i="12"/>
  <c r="F49" i="12"/>
  <c r="G49" i="12"/>
  <c r="H49" i="12"/>
  <c r="I49" i="12"/>
  <c r="J49" i="12"/>
  <c r="C50" i="12"/>
  <c r="D50" i="12"/>
  <c r="E50" i="12"/>
  <c r="F50" i="12"/>
  <c r="G50" i="12"/>
  <c r="H50" i="12"/>
  <c r="I50" i="12"/>
  <c r="J50" i="12"/>
  <c r="C51" i="12"/>
  <c r="D51" i="12"/>
  <c r="E51" i="12"/>
  <c r="F51" i="12"/>
  <c r="G51" i="12"/>
  <c r="H51" i="12"/>
  <c r="I51" i="12"/>
  <c r="J51" i="12"/>
  <c r="C52" i="12"/>
  <c r="D52" i="12"/>
  <c r="E52" i="12"/>
  <c r="F52" i="12"/>
  <c r="G52" i="12"/>
  <c r="H52" i="12"/>
  <c r="I52" i="12"/>
  <c r="J52" i="12"/>
  <c r="C53" i="12"/>
  <c r="D53" i="12"/>
  <c r="E53" i="12"/>
  <c r="F53" i="12"/>
  <c r="G53" i="12"/>
  <c r="H53" i="12"/>
  <c r="I53" i="12"/>
  <c r="J53" i="12"/>
  <c r="C54" i="12"/>
  <c r="D54" i="12"/>
  <c r="E54" i="12"/>
  <c r="F54" i="12"/>
  <c r="G54" i="12"/>
  <c r="H54" i="12"/>
  <c r="I54" i="12"/>
  <c r="J54" i="12"/>
  <c r="C55" i="12"/>
  <c r="D55" i="12"/>
  <c r="E55" i="12"/>
  <c r="F55" i="12"/>
  <c r="G55" i="12"/>
  <c r="H55" i="12"/>
  <c r="I55" i="12"/>
  <c r="J55" i="12"/>
  <c r="C56" i="12"/>
  <c r="D56" i="12"/>
  <c r="E56" i="12"/>
  <c r="F56" i="12"/>
  <c r="G56" i="12"/>
  <c r="H56" i="12"/>
  <c r="I56" i="12"/>
  <c r="J56" i="12"/>
  <c r="C57" i="12"/>
  <c r="D57" i="12"/>
  <c r="E57" i="12"/>
  <c r="F57" i="12"/>
  <c r="G57" i="12"/>
  <c r="H57" i="12"/>
  <c r="I57" i="12"/>
  <c r="J57" i="12"/>
  <c r="C58" i="12"/>
  <c r="D58" i="12"/>
  <c r="E58" i="12"/>
  <c r="F58" i="12"/>
  <c r="G58" i="12"/>
  <c r="H58" i="12"/>
  <c r="I58" i="12"/>
  <c r="J58" i="12"/>
  <c r="C59" i="12"/>
  <c r="D59" i="12"/>
  <c r="E59" i="12"/>
  <c r="F59" i="12"/>
  <c r="G59" i="12"/>
  <c r="H59" i="12"/>
  <c r="I59" i="12"/>
  <c r="J59" i="12"/>
  <c r="C60" i="12"/>
  <c r="D60" i="12"/>
  <c r="E60" i="12"/>
  <c r="F60" i="12"/>
  <c r="G60" i="12"/>
  <c r="H60" i="12"/>
  <c r="I60" i="12"/>
  <c r="J60" i="12"/>
  <c r="C61" i="12"/>
  <c r="D61" i="12"/>
  <c r="E61" i="12"/>
  <c r="F61" i="12"/>
  <c r="G61" i="12"/>
  <c r="H61" i="12"/>
  <c r="I61" i="12"/>
  <c r="J61" i="12"/>
  <c r="C62" i="12"/>
  <c r="D62" i="12"/>
  <c r="E62" i="12"/>
  <c r="F62" i="12"/>
  <c r="G62" i="12"/>
  <c r="H62" i="12"/>
  <c r="I62" i="12"/>
  <c r="J62" i="12"/>
  <c r="C63" i="12"/>
  <c r="D63" i="12"/>
  <c r="E63" i="12"/>
  <c r="F63" i="12"/>
  <c r="G63" i="12"/>
  <c r="H63" i="12"/>
  <c r="I63" i="12"/>
  <c r="J63" i="12"/>
  <c r="C64" i="12"/>
  <c r="D64" i="12"/>
  <c r="E64" i="12"/>
  <c r="F64" i="12"/>
  <c r="G64" i="12"/>
  <c r="H64" i="12"/>
  <c r="I64" i="12"/>
  <c r="J64" i="12"/>
  <c r="C65" i="12"/>
  <c r="D65" i="12"/>
  <c r="E65" i="12"/>
  <c r="F65" i="12"/>
  <c r="G65" i="12"/>
  <c r="H65" i="12"/>
  <c r="I65" i="12"/>
  <c r="J65" i="12"/>
  <c r="C66" i="12"/>
  <c r="D66" i="12"/>
  <c r="E66" i="12"/>
  <c r="F66" i="12"/>
  <c r="G66" i="12"/>
  <c r="H66" i="12"/>
  <c r="I66" i="12"/>
  <c r="J66" i="12"/>
  <c r="C67" i="12"/>
  <c r="D67" i="12"/>
  <c r="E67" i="12"/>
  <c r="F67" i="12"/>
  <c r="G67" i="12"/>
  <c r="H67" i="12"/>
  <c r="I67" i="12"/>
  <c r="J67" i="12"/>
  <c r="C68" i="12"/>
  <c r="D68" i="12"/>
  <c r="E68" i="12"/>
  <c r="F68" i="12"/>
  <c r="G68" i="12"/>
  <c r="H68" i="12"/>
  <c r="I68" i="12"/>
  <c r="J68" i="12"/>
  <c r="C69" i="12"/>
  <c r="D69" i="12"/>
  <c r="E69" i="12"/>
  <c r="F69" i="12"/>
  <c r="G69" i="12"/>
  <c r="H69" i="12"/>
  <c r="I69" i="12"/>
  <c r="J69" i="12"/>
  <c r="C70" i="12"/>
  <c r="D70" i="12"/>
  <c r="E70" i="12"/>
  <c r="F70" i="12"/>
  <c r="G70" i="12"/>
  <c r="H70" i="12"/>
  <c r="I70" i="12"/>
  <c r="J70" i="12"/>
  <c r="C71" i="12"/>
  <c r="D71" i="12"/>
  <c r="E71" i="12"/>
  <c r="F71" i="12"/>
  <c r="G71" i="12"/>
  <c r="H71" i="12"/>
  <c r="I71" i="12"/>
  <c r="J71" i="12"/>
  <c r="C72" i="12"/>
  <c r="D72" i="12"/>
  <c r="E72" i="12"/>
  <c r="F72" i="12"/>
  <c r="G72" i="12"/>
  <c r="H72" i="12"/>
  <c r="I72" i="12"/>
  <c r="J72" i="12"/>
  <c r="C73" i="12"/>
  <c r="D73" i="12"/>
  <c r="E73" i="12"/>
  <c r="F73" i="12"/>
  <c r="G73" i="12"/>
  <c r="H73" i="12"/>
  <c r="I73" i="12"/>
  <c r="J73" i="12"/>
  <c r="C74" i="12"/>
  <c r="D74" i="12"/>
  <c r="E74" i="12"/>
  <c r="F74" i="12"/>
  <c r="G74" i="12"/>
  <c r="H74" i="12"/>
  <c r="I74" i="12"/>
  <c r="J74" i="12"/>
  <c r="C75" i="12"/>
  <c r="D75" i="12"/>
  <c r="E75" i="12"/>
  <c r="F75" i="12"/>
  <c r="G75" i="12"/>
  <c r="H75" i="12"/>
  <c r="I75" i="12"/>
  <c r="J75" i="12"/>
  <c r="C76" i="12"/>
  <c r="D76" i="12"/>
  <c r="E76" i="12"/>
  <c r="F76" i="12"/>
  <c r="G76" i="12"/>
  <c r="H76" i="12"/>
  <c r="I76" i="12"/>
  <c r="J76" i="12"/>
  <c r="C77" i="12"/>
  <c r="D77" i="12"/>
  <c r="E77" i="12"/>
  <c r="F77" i="12"/>
  <c r="G77" i="12"/>
  <c r="H77" i="12"/>
  <c r="I77" i="12"/>
  <c r="J77" i="12"/>
  <c r="C78" i="12"/>
  <c r="D78" i="12"/>
  <c r="E78" i="12"/>
  <c r="F78" i="12"/>
  <c r="G78" i="12"/>
  <c r="H78" i="12"/>
  <c r="I78" i="12"/>
  <c r="J78" i="12"/>
  <c r="C79" i="12"/>
  <c r="D79" i="12"/>
  <c r="E79" i="12"/>
  <c r="F79" i="12"/>
  <c r="G79" i="12"/>
  <c r="H79" i="12"/>
  <c r="I79" i="12"/>
  <c r="J79" i="12"/>
  <c r="C80" i="12"/>
  <c r="D80" i="12"/>
  <c r="E80" i="12"/>
  <c r="F80" i="12"/>
  <c r="G80" i="12"/>
  <c r="H80" i="12"/>
  <c r="I80" i="12"/>
  <c r="J80" i="12"/>
  <c r="C81" i="12"/>
  <c r="D81" i="12"/>
  <c r="E81" i="12"/>
  <c r="F81" i="12"/>
  <c r="G81" i="12"/>
  <c r="H81" i="12"/>
  <c r="I81" i="12"/>
  <c r="J81" i="12"/>
  <c r="C82" i="12"/>
  <c r="D82" i="12"/>
  <c r="E82" i="12"/>
  <c r="F82" i="12"/>
  <c r="G82" i="12"/>
  <c r="H82" i="12"/>
  <c r="I82" i="12"/>
  <c r="J82" i="12"/>
  <c r="C83" i="12"/>
  <c r="D83" i="12"/>
  <c r="E83" i="12"/>
  <c r="F83" i="12"/>
  <c r="G83" i="12"/>
  <c r="H83" i="12"/>
  <c r="I83" i="12"/>
  <c r="J83" i="12"/>
  <c r="C84" i="12"/>
  <c r="D84" i="12"/>
  <c r="E84" i="12"/>
  <c r="F84" i="12"/>
  <c r="G84" i="12"/>
  <c r="H84" i="12"/>
  <c r="I84" i="12"/>
  <c r="J84" i="12"/>
  <c r="C85" i="12"/>
  <c r="D85" i="12"/>
  <c r="E85" i="12"/>
  <c r="F85" i="12"/>
  <c r="G85" i="12"/>
  <c r="H85" i="12"/>
  <c r="I85" i="12"/>
  <c r="J85" i="12"/>
  <c r="C86" i="12"/>
  <c r="D86" i="12"/>
  <c r="E86" i="12"/>
  <c r="F86" i="12"/>
  <c r="G86" i="12"/>
  <c r="H86" i="12"/>
  <c r="I86" i="12"/>
  <c r="J86" i="12"/>
  <c r="C87" i="12"/>
  <c r="D87" i="12"/>
  <c r="E87" i="12"/>
  <c r="F87" i="12"/>
  <c r="G87" i="12"/>
  <c r="H87" i="12"/>
  <c r="I87" i="12"/>
  <c r="J87" i="12"/>
  <c r="C88" i="12"/>
  <c r="D88" i="12"/>
  <c r="E88" i="12"/>
  <c r="F88" i="12"/>
  <c r="G88" i="12"/>
  <c r="H88" i="12"/>
  <c r="I88" i="12"/>
  <c r="J88" i="12"/>
  <c r="C89" i="12"/>
  <c r="D89" i="12"/>
  <c r="E89" i="12"/>
  <c r="F89" i="12"/>
  <c r="G89" i="12"/>
  <c r="H89" i="12"/>
  <c r="I89" i="12"/>
  <c r="J89" i="12"/>
  <c r="C90" i="12"/>
  <c r="D90" i="12"/>
  <c r="E90" i="12"/>
  <c r="F90" i="12"/>
  <c r="G90" i="12"/>
  <c r="H90" i="12"/>
  <c r="I90" i="12"/>
  <c r="J90" i="12"/>
  <c r="C91" i="12"/>
  <c r="D91" i="12"/>
  <c r="E91" i="12"/>
  <c r="F91" i="12"/>
  <c r="G91" i="12"/>
  <c r="H91" i="12"/>
  <c r="I91" i="12"/>
  <c r="J91" i="12"/>
  <c r="C92" i="12"/>
  <c r="D92" i="12"/>
  <c r="E92" i="12"/>
  <c r="F92" i="12"/>
  <c r="G92" i="12"/>
  <c r="H92" i="12"/>
  <c r="I92" i="12"/>
  <c r="J92" i="12"/>
  <c r="C93" i="12"/>
  <c r="D93" i="12"/>
  <c r="E93" i="12"/>
  <c r="F93" i="12"/>
  <c r="G93" i="12"/>
  <c r="H93" i="12"/>
  <c r="I93" i="12"/>
  <c r="J93" i="12"/>
  <c r="C94" i="12"/>
  <c r="D94" i="12"/>
  <c r="E94" i="12"/>
  <c r="F94" i="12"/>
  <c r="G94" i="12"/>
  <c r="H94" i="12"/>
  <c r="I94" i="12"/>
  <c r="J94" i="12"/>
  <c r="C95" i="12"/>
  <c r="D95" i="12"/>
  <c r="E95" i="12"/>
  <c r="F95" i="12"/>
  <c r="G95" i="12"/>
  <c r="H95" i="12"/>
  <c r="I95" i="12"/>
  <c r="J95" i="12"/>
  <c r="C96" i="12"/>
  <c r="D96" i="12"/>
  <c r="E96" i="12"/>
  <c r="F96" i="12"/>
  <c r="G96" i="12"/>
  <c r="H96" i="12"/>
  <c r="I96" i="12"/>
  <c r="J96" i="12"/>
  <c r="C97" i="12"/>
  <c r="D97" i="12"/>
  <c r="E97" i="12"/>
  <c r="F97" i="12"/>
  <c r="G97" i="12"/>
  <c r="H97" i="12"/>
  <c r="I97" i="12"/>
  <c r="J97" i="12"/>
  <c r="C98" i="12"/>
  <c r="D98" i="12"/>
  <c r="E98" i="12"/>
  <c r="F98" i="12"/>
  <c r="G98" i="12"/>
  <c r="H98" i="12"/>
  <c r="I98" i="12"/>
  <c r="J98" i="12"/>
  <c r="C99" i="12"/>
  <c r="D99" i="12"/>
  <c r="E99" i="12"/>
  <c r="F99" i="12"/>
  <c r="G99" i="12"/>
  <c r="H99" i="12"/>
  <c r="I99" i="12"/>
  <c r="J99" i="12"/>
  <c r="C100" i="12"/>
  <c r="D100" i="12"/>
  <c r="E100" i="12"/>
  <c r="F100" i="12"/>
  <c r="G100" i="12"/>
  <c r="H100" i="12"/>
  <c r="I100" i="12"/>
  <c r="J100" i="12"/>
  <c r="C101" i="12"/>
  <c r="D101" i="12"/>
  <c r="E101" i="12"/>
  <c r="F101" i="12"/>
  <c r="G101" i="12"/>
  <c r="H101" i="12"/>
  <c r="I101" i="12"/>
  <c r="J101" i="12"/>
  <c r="C102" i="12"/>
  <c r="D102" i="12"/>
  <c r="E102" i="12"/>
  <c r="F102" i="12"/>
  <c r="G102" i="12"/>
  <c r="H102" i="12"/>
  <c r="I102" i="12"/>
  <c r="J102" i="12"/>
  <c r="C2" i="12"/>
  <c r="D2" i="12"/>
  <c r="E2" i="12"/>
  <c r="F2" i="12"/>
  <c r="G2" i="12"/>
  <c r="H2" i="12"/>
  <c r="I2" i="12"/>
  <c r="J2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2" i="12"/>
  <c r="AR102" i="8" l="1" a="1"/>
  <c r="AR102" i="8" s="1"/>
  <c r="AH102" i="8" a="1"/>
  <c r="AH102" i="8" s="1"/>
  <c r="AQ102" i="8" s="1"/>
  <c r="AP102" i="8" s="1"/>
  <c r="Z102" i="8" a="1"/>
  <c r="Z102" i="8" s="1"/>
  <c r="AR101" i="8" l="1" a="1"/>
  <c r="AR101" i="8" s="1"/>
  <c r="AH101" i="8" a="1"/>
  <c r="AH101" i="8" s="1"/>
  <c r="AQ101" i="8" s="1"/>
  <c r="AP101" i="8" s="1"/>
  <c r="Z101" i="8" a="1"/>
  <c r="Z101" i="8" s="1"/>
  <c r="AR100" i="8" l="1" a="1"/>
  <c r="AR100" i="8" s="1"/>
  <c r="AH100" i="8" a="1"/>
  <c r="AH100" i="8" s="1"/>
  <c r="AQ100" i="8" s="1"/>
  <c r="AP100" i="8" s="1"/>
  <c r="Z100" i="8" a="1"/>
  <c r="Z100" i="8" s="1"/>
  <c r="AR99" i="8" l="1" a="1"/>
  <c r="AR99" i="8" s="1"/>
  <c r="AH99" i="8" a="1"/>
  <c r="AH99" i="8" s="1"/>
  <c r="AQ99" i="8" s="1"/>
  <c r="AP99" i="8" s="1"/>
  <c r="Z99" i="8" a="1"/>
  <c r="Z99" i="8" s="1"/>
  <c r="AR98" i="8" l="1" a="1"/>
  <c r="AR98" i="8" s="1"/>
  <c r="AH98" i="8" a="1"/>
  <c r="AH98" i="8" s="1"/>
  <c r="AQ98" i="8" s="1"/>
  <c r="AP98" i="8" s="1"/>
  <c r="Z98" i="8" a="1"/>
  <c r="Z98" i="8" s="1"/>
  <c r="AR97" i="8" l="1" a="1"/>
  <c r="AR97" i="8" s="1"/>
  <c r="AH97" i="8" a="1"/>
  <c r="AH97" i="8" s="1"/>
  <c r="AQ97" i="8" s="1"/>
  <c r="AP97" i="8" s="1"/>
  <c r="Z97" i="8" a="1"/>
  <c r="Z97" i="8" s="1"/>
  <c r="AR96" i="8" l="1" a="1"/>
  <c r="AR96" i="8" s="1"/>
  <c r="AH96" i="8" a="1"/>
  <c r="AH96" i="8" s="1"/>
  <c r="AQ96" i="8" s="1"/>
  <c r="AP96" i="8" s="1"/>
  <c r="Z96" i="8" a="1"/>
  <c r="Z96" i="8" s="1"/>
  <c r="AR95" i="8" l="1" a="1"/>
  <c r="AR95" i="8" s="1"/>
  <c r="AH95" i="8" a="1"/>
  <c r="AH95" i="8" s="1"/>
  <c r="AQ95" i="8" s="1"/>
  <c r="AP95" i="8" s="1"/>
  <c r="Z95" i="8" a="1"/>
  <c r="Z95" i="8" s="1"/>
  <c r="AR94" i="8" l="1" a="1"/>
  <c r="AR94" i="8" s="1"/>
  <c r="AH94" i="8" a="1"/>
  <c r="AH94" i="8" s="1"/>
  <c r="AQ94" i="8" s="1"/>
  <c r="AP94" i="8" s="1"/>
  <c r="Z94" i="8" a="1"/>
  <c r="Z94" i="8" s="1"/>
  <c r="AR93" i="8" l="1" a="1"/>
  <c r="AR93" i="8" s="1"/>
  <c r="AH93" i="8" a="1"/>
  <c r="AH93" i="8" s="1"/>
  <c r="AQ93" i="8" s="1"/>
  <c r="AP93" i="8" s="1"/>
  <c r="Z93" i="8" a="1"/>
  <c r="Z93" i="8" s="1"/>
  <c r="AR92" i="8" l="1" a="1"/>
  <c r="AR92" i="8" s="1"/>
  <c r="AH92" i="8" a="1"/>
  <c r="AH92" i="8" s="1"/>
  <c r="AQ92" i="8" s="1"/>
  <c r="AP92" i="8" s="1"/>
  <c r="Z92" i="8" a="1"/>
  <c r="Z92" i="8" s="1"/>
  <c r="AR91" i="8" l="1" a="1"/>
  <c r="AR91" i="8" s="1"/>
  <c r="AH91" i="8" a="1"/>
  <c r="AH91" i="8" s="1"/>
  <c r="AQ91" i="8" s="1"/>
  <c r="AP91" i="8" s="1"/>
  <c r="Z91" i="8" a="1"/>
  <c r="Z91" i="8" s="1"/>
  <c r="AR90" i="8" l="1" a="1"/>
  <c r="AR90" i="8" s="1"/>
  <c r="AH90" i="8" a="1"/>
  <c r="AH90" i="8" s="1"/>
  <c r="AQ90" i="8" s="1"/>
  <c r="AP90" i="8" s="1"/>
  <c r="Z90" i="8" a="1"/>
  <c r="Z90" i="8" s="1"/>
  <c r="AR89" i="8" l="1" a="1"/>
  <c r="AR89" i="8" s="1"/>
  <c r="AH89" i="8" a="1"/>
  <c r="AH89" i="8" s="1"/>
  <c r="AQ89" i="8" s="1"/>
  <c r="AP89" i="8" s="1"/>
  <c r="Z89" i="8" a="1"/>
  <c r="Z89" i="8" s="1"/>
  <c r="AR88" i="8" l="1" a="1"/>
  <c r="AR88" i="8" s="1"/>
  <c r="AH88" i="8" a="1"/>
  <c r="AH88" i="8" s="1"/>
  <c r="AQ88" i="8" s="1"/>
  <c r="AP88" i="8" s="1"/>
  <c r="Z88" i="8" a="1"/>
  <c r="Z88" i="8" s="1"/>
  <c r="AR87" i="8" l="1" a="1"/>
  <c r="AR87" i="8" s="1"/>
  <c r="AH87" i="8" a="1"/>
  <c r="AH87" i="8" s="1"/>
  <c r="AQ87" i="8" s="1"/>
  <c r="AP87" i="8" s="1"/>
  <c r="Z87" i="8" a="1"/>
  <c r="Z87" i="8" s="1"/>
  <c r="AR86" i="8" l="1" a="1"/>
  <c r="AR86" i="8" s="1"/>
  <c r="AH86" i="8" a="1"/>
  <c r="AH86" i="8" s="1"/>
  <c r="AQ86" i="8" s="1"/>
  <c r="AP86" i="8" s="1"/>
  <c r="Z86" i="8" a="1"/>
  <c r="Z86" i="8" s="1"/>
  <c r="AR85" i="8" l="1" a="1"/>
  <c r="AR85" i="8" s="1"/>
  <c r="AH85" i="8" a="1"/>
  <c r="AH85" i="8" s="1"/>
  <c r="AQ85" i="8" s="1"/>
  <c r="AP85" i="8" s="1"/>
  <c r="Z85" i="8" a="1"/>
  <c r="Z85" i="8" s="1"/>
  <c r="AR84" i="8" l="1" a="1"/>
  <c r="AR84" i="8" s="1"/>
  <c r="AH84" i="8" a="1"/>
  <c r="AH84" i="8" s="1"/>
  <c r="AQ84" i="8" s="1"/>
  <c r="AP84" i="8" s="1"/>
  <c r="Z84" i="8" a="1"/>
  <c r="Z84" i="8" s="1"/>
  <c r="AR83" i="8" l="1" a="1"/>
  <c r="AR83" i="8" s="1"/>
  <c r="AH83" i="8" a="1"/>
  <c r="AH83" i="8" s="1"/>
  <c r="AQ83" i="8" s="1"/>
  <c r="AP83" i="8" s="1"/>
  <c r="Z83" i="8" a="1"/>
  <c r="Z83" i="8" s="1"/>
  <c r="AR82" i="8" l="1" a="1"/>
  <c r="AR82" i="8" s="1"/>
  <c r="AH82" i="8" a="1"/>
  <c r="AH82" i="8" s="1"/>
  <c r="AQ82" i="8" s="1"/>
  <c r="AP82" i="8" s="1"/>
  <c r="Z82" i="8" a="1"/>
  <c r="Z82" i="8" s="1"/>
  <c r="AR81" i="8" l="1" a="1"/>
  <c r="AR81" i="8" s="1"/>
  <c r="AH81" i="8" a="1"/>
  <c r="AH81" i="8" s="1"/>
  <c r="AQ81" i="8" s="1"/>
  <c r="AP81" i="8" s="1"/>
  <c r="Z81" i="8" a="1"/>
  <c r="Z81" i="8" s="1"/>
  <c r="AR80" i="8" l="1" a="1"/>
  <c r="AR80" i="8" s="1"/>
  <c r="AH80" i="8" a="1"/>
  <c r="AH80" i="8" s="1"/>
  <c r="AQ80" i="8" s="1"/>
  <c r="AP80" i="8" s="1"/>
  <c r="Z80" i="8" a="1"/>
  <c r="Z80" i="8" s="1"/>
  <c r="AR79" i="8" a="1"/>
  <c r="AR79" i="8" s="1"/>
  <c r="AH79" i="8" a="1"/>
  <c r="AH79" i="8" s="1"/>
  <c r="AQ79" i="8" s="1"/>
  <c r="AP79" i="8" s="1"/>
  <c r="Z79" i="8" a="1"/>
  <c r="Z79" i="8" s="1"/>
  <c r="AR78" i="8" l="1" a="1"/>
  <c r="AR78" i="8" s="1"/>
  <c r="AH78" i="8" a="1"/>
  <c r="AH78" i="8" s="1"/>
  <c r="AQ78" i="8" s="1"/>
  <c r="AP78" i="8" s="1"/>
  <c r="Z78" i="8" a="1"/>
  <c r="Z78" i="8" s="1"/>
  <c r="AR77" i="8" l="1" a="1"/>
  <c r="AR77" i="8" s="1"/>
  <c r="AH77" i="8" a="1"/>
  <c r="AH77" i="8" s="1"/>
  <c r="AQ77" i="8" s="1"/>
  <c r="AP77" i="8" s="1"/>
  <c r="Z77" i="8" a="1"/>
  <c r="Z77" i="8" s="1"/>
  <c r="AR76" i="8" l="1" a="1"/>
  <c r="AR76" i="8" s="1"/>
  <c r="AH76" i="8" a="1"/>
  <c r="AH76" i="8" s="1"/>
  <c r="AQ76" i="8" s="1"/>
  <c r="AP76" i="8" s="1"/>
  <c r="Z76" i="8" a="1"/>
  <c r="Z76" i="8" s="1"/>
  <c r="AR75" i="8" l="1" a="1"/>
  <c r="AR75" i="8" s="1"/>
  <c r="AH75" i="8" a="1"/>
  <c r="AH75" i="8" s="1"/>
  <c r="AQ75" i="8" s="1"/>
  <c r="AP75" i="8" s="1"/>
  <c r="Z75" i="8" a="1"/>
  <c r="Z75" i="8" s="1"/>
  <c r="AR74" i="8" l="1" a="1"/>
  <c r="AR74" i="8" s="1"/>
  <c r="AH74" i="8" a="1"/>
  <c r="AH74" i="8" s="1"/>
  <c r="AQ74" i="8" s="1"/>
  <c r="AP74" i="8" s="1"/>
  <c r="Z74" i="8" a="1"/>
  <c r="Z74" i="8" s="1"/>
  <c r="AR73" i="8" l="1" a="1"/>
  <c r="AR73" i="8" s="1"/>
  <c r="AH73" i="8" a="1"/>
  <c r="AH73" i="8" s="1"/>
  <c r="AQ73" i="8" s="1"/>
  <c r="AP73" i="8" s="1"/>
  <c r="Z73" i="8" a="1"/>
  <c r="Z73" i="8" s="1"/>
  <c r="AR72" i="8" l="1" a="1"/>
  <c r="AR72" i="8" s="1"/>
  <c r="AH72" i="8" a="1"/>
  <c r="AH72" i="8" s="1"/>
  <c r="AQ72" i="8" s="1"/>
  <c r="AP72" i="8" s="1"/>
  <c r="Z72" i="8" a="1"/>
  <c r="Z72" i="8" s="1"/>
  <c r="AR71" i="8" l="1" a="1"/>
  <c r="AR71" i="8" s="1"/>
  <c r="AH71" i="8" a="1"/>
  <c r="AH71" i="8" s="1"/>
  <c r="AQ71" i="8" s="1"/>
  <c r="AP71" i="8" s="1"/>
  <c r="Z71" i="8" a="1"/>
  <c r="Z71" i="8" s="1"/>
  <c r="AR70" i="8" l="1" a="1"/>
  <c r="AR70" i="8" s="1"/>
  <c r="AH70" i="8" a="1"/>
  <c r="AH70" i="8" s="1"/>
  <c r="AQ70" i="8" s="1"/>
  <c r="AP70" i="8" s="1"/>
  <c r="Z70" i="8" a="1"/>
  <c r="Z70" i="8" s="1"/>
  <c r="AR69" i="8" l="1" a="1"/>
  <c r="AR69" i="8" s="1"/>
  <c r="AH69" i="8" a="1"/>
  <c r="AH69" i="8" s="1"/>
  <c r="AQ69" i="8" s="1"/>
  <c r="AP69" i="8" s="1"/>
  <c r="Z69" i="8" a="1"/>
  <c r="Z69" i="8" s="1"/>
  <c r="AR68" i="8" l="1" a="1"/>
  <c r="AR68" i="8" s="1"/>
  <c r="AH68" i="8" a="1"/>
  <c r="AH68" i="8" s="1"/>
  <c r="AQ68" i="8" s="1"/>
  <c r="AP68" i="8" s="1"/>
  <c r="Z68" i="8" a="1"/>
  <c r="Z68" i="8" s="1"/>
  <c r="AR67" i="8" l="1" a="1"/>
  <c r="AR67" i="8" s="1"/>
  <c r="AH67" i="8" a="1"/>
  <c r="AH67" i="8" s="1"/>
  <c r="AQ67" i="8" s="1"/>
  <c r="AP67" i="8" s="1"/>
  <c r="Z67" i="8" a="1"/>
  <c r="Z67" i="8" s="1"/>
  <c r="AR66" i="8" l="1" a="1"/>
  <c r="AR66" i="8" s="1"/>
  <c r="AH66" i="8" a="1"/>
  <c r="AH66" i="8" s="1"/>
  <c r="AQ66" i="8" s="1"/>
  <c r="AP66" i="8" s="1"/>
  <c r="Z66" i="8" a="1"/>
  <c r="Z66" i="8" s="1"/>
  <c r="AR65" i="8" l="1" a="1"/>
  <c r="AR65" i="8" s="1"/>
  <c r="AH65" i="8" a="1"/>
  <c r="AH65" i="8" s="1"/>
  <c r="AQ65" i="8" s="1"/>
  <c r="AP65" i="8" s="1"/>
  <c r="Z65" i="8" a="1"/>
  <c r="Z65" i="8" s="1"/>
  <c r="AR64" i="8" l="1" a="1"/>
  <c r="AR64" i="8" s="1"/>
  <c r="AH64" i="8" a="1"/>
  <c r="AH64" i="8" s="1"/>
  <c r="AQ64" i="8" s="1"/>
  <c r="AP64" i="8" s="1"/>
  <c r="Z64" i="8" a="1"/>
  <c r="Z64" i="8" s="1"/>
  <c r="AR63" i="8" l="1" a="1"/>
  <c r="AR63" i="8" s="1"/>
  <c r="AH63" i="8" a="1"/>
  <c r="AH63" i="8" s="1"/>
  <c r="AQ63" i="8" s="1"/>
  <c r="AP63" i="8" s="1"/>
  <c r="Z63" i="8" a="1"/>
  <c r="Z63" i="8" s="1"/>
  <c r="AR62" i="8" l="1" a="1"/>
  <c r="AR62" i="8" s="1"/>
  <c r="AH62" i="8" a="1"/>
  <c r="AH62" i="8" s="1"/>
  <c r="AQ62" i="8" s="1"/>
  <c r="AP62" i="8" s="1"/>
  <c r="Z62" i="8" a="1"/>
  <c r="Z62" i="8" s="1"/>
  <c r="AR61" i="8" l="1" a="1"/>
  <c r="AR61" i="8" s="1"/>
  <c r="AH61" i="8" a="1"/>
  <c r="AH61" i="8" s="1"/>
  <c r="AQ61" i="8" s="1"/>
  <c r="AP61" i="8" s="1"/>
  <c r="Z61" i="8" a="1"/>
  <c r="Z61" i="8" s="1"/>
  <c r="AR60" i="8" l="1" a="1"/>
  <c r="AR60" i="8" s="1"/>
  <c r="AH60" i="8" a="1"/>
  <c r="AH60" i="8" s="1"/>
  <c r="AQ60" i="8" s="1"/>
  <c r="AP60" i="8" s="1"/>
  <c r="Z60" i="8" a="1"/>
  <c r="Z60" i="8" s="1"/>
  <c r="AR59" i="8" l="1" a="1"/>
  <c r="AR59" i="8" s="1"/>
  <c r="AH59" i="8" a="1"/>
  <c r="AH59" i="8" s="1"/>
  <c r="AQ59" i="8" s="1"/>
  <c r="AP59" i="8" s="1"/>
  <c r="Z59" i="8" a="1"/>
  <c r="Z59" i="8" s="1"/>
  <c r="AR58" i="8" l="1" a="1"/>
  <c r="AR58" i="8" s="1"/>
  <c r="AH58" i="8" a="1"/>
  <c r="AH58" i="8" s="1"/>
  <c r="AQ58" i="8" s="1"/>
  <c r="AP58" i="8" s="1"/>
  <c r="Z58" i="8" a="1"/>
  <c r="Z58" i="8" s="1"/>
  <c r="AR57" i="8" l="1" a="1"/>
  <c r="AR57" i="8" s="1"/>
  <c r="AH57" i="8" a="1"/>
  <c r="AH57" i="8" s="1"/>
  <c r="AQ57" i="8" s="1"/>
  <c r="AP57" i="8" s="1"/>
  <c r="Z57" i="8" a="1"/>
  <c r="Z57" i="8" s="1"/>
  <c r="AR56" i="8" l="1" a="1"/>
  <c r="AR56" i="8" s="1"/>
  <c r="AH56" i="8" a="1"/>
  <c r="AH56" i="8" s="1"/>
  <c r="AQ56" i="8" s="1"/>
  <c r="AP56" i="8" s="1"/>
  <c r="Z56" i="8" a="1"/>
  <c r="Z56" i="8" s="1"/>
  <c r="AR55" i="8" l="1" a="1"/>
  <c r="AR55" i="8" s="1"/>
  <c r="AH55" i="8" a="1"/>
  <c r="AH55" i="8" s="1"/>
  <c r="AQ55" i="8" s="1"/>
  <c r="AP55" i="8" s="1"/>
  <c r="Z55" i="8" a="1"/>
  <c r="Z55" i="8" s="1"/>
  <c r="AR54" i="8" l="1" a="1"/>
  <c r="AR54" i="8" s="1"/>
  <c r="AH54" i="8" a="1"/>
  <c r="AH54" i="8" s="1"/>
  <c r="AQ54" i="8" s="1"/>
  <c r="AP54" i="8" s="1"/>
  <c r="Z54" i="8" a="1"/>
  <c r="Z54" i="8" s="1"/>
  <c r="AR53" i="8" l="1" a="1"/>
  <c r="AR53" i="8" s="1"/>
  <c r="AH53" i="8" a="1"/>
  <c r="AH53" i="8" s="1"/>
  <c r="AQ53" i="8" s="1"/>
  <c r="AP53" i="8" s="1"/>
  <c r="Z53" i="8" a="1"/>
  <c r="Z53" i="8" s="1"/>
  <c r="AR52" i="8" l="1" a="1"/>
  <c r="AR52" i="8" s="1"/>
  <c r="AH52" i="8" a="1"/>
  <c r="AH52" i="8" s="1"/>
  <c r="AQ52" i="8" s="1"/>
  <c r="AP52" i="8" s="1"/>
  <c r="Z52" i="8" a="1"/>
  <c r="Z52" i="8" s="1"/>
  <c r="AR51" i="8" l="1" a="1"/>
  <c r="AR51" i="8" s="1"/>
  <c r="AH51" i="8" a="1"/>
  <c r="AH51" i="8" s="1"/>
  <c r="AQ51" i="8" s="1"/>
  <c r="AP51" i="8" s="1"/>
  <c r="Z51" i="8" a="1"/>
  <c r="Z51" i="8" s="1"/>
  <c r="AR50" i="8" l="1" a="1"/>
  <c r="AR50" i="8" s="1"/>
  <c r="AH50" i="8" a="1"/>
  <c r="AH50" i="8" s="1"/>
  <c r="AQ50" i="8" s="1"/>
  <c r="AP50" i="8" s="1"/>
  <c r="Z50" i="8" a="1"/>
  <c r="Z50" i="8" s="1"/>
  <c r="AR49" i="8" l="1" a="1"/>
  <c r="AR49" i="8" s="1"/>
  <c r="AH49" i="8" a="1"/>
  <c r="AH49" i="8" s="1"/>
  <c r="AQ49" i="8" s="1"/>
  <c r="AP49" i="8" s="1"/>
  <c r="Z49" i="8" a="1"/>
  <c r="Z49" i="8" s="1"/>
  <c r="AR48" i="8" l="1" a="1"/>
  <c r="AR48" i="8" s="1"/>
  <c r="AH48" i="8" a="1"/>
  <c r="AH48" i="8" s="1"/>
  <c r="AQ48" i="8" s="1"/>
  <c r="AP48" i="8" s="1"/>
  <c r="Z48" i="8" a="1"/>
  <c r="Z48" i="8" s="1"/>
  <c r="AR47" i="8" l="1" a="1"/>
  <c r="AR47" i="8" s="1"/>
  <c r="AH47" i="8" a="1"/>
  <c r="AH47" i="8" s="1"/>
  <c r="AQ47" i="8" s="1"/>
  <c r="AP47" i="8" s="1"/>
  <c r="Z47" i="8" a="1"/>
  <c r="Z47" i="8" s="1"/>
  <c r="AR46" i="8" l="1" a="1"/>
  <c r="AR46" i="8" s="1"/>
  <c r="AH46" i="8" a="1"/>
  <c r="AH46" i="8" s="1"/>
  <c r="AQ46" i="8" s="1"/>
  <c r="AP46" i="8" s="1"/>
  <c r="Z46" i="8" a="1"/>
  <c r="Z46" i="8" s="1"/>
  <c r="AR45" i="8" l="1" a="1"/>
  <c r="AR45" i="8" s="1"/>
  <c r="AH45" i="8" a="1"/>
  <c r="AH45" i="8" s="1"/>
  <c r="AQ45" i="8" s="1"/>
  <c r="AP45" i="8" s="1"/>
  <c r="Z45" i="8" a="1"/>
  <c r="Z45" i="8" s="1"/>
  <c r="AR44" i="8" l="1" a="1"/>
  <c r="AR44" i="8" s="1"/>
  <c r="AH44" i="8" a="1"/>
  <c r="AH44" i="8" s="1"/>
  <c r="AQ44" i="8" s="1"/>
  <c r="AP44" i="8" s="1"/>
  <c r="Z44" i="8" a="1"/>
  <c r="Z44" i="8" s="1"/>
  <c r="AR43" i="8" l="1" a="1"/>
  <c r="AR43" i="8" s="1"/>
  <c r="AH43" i="8" a="1"/>
  <c r="AH43" i="8" s="1"/>
  <c r="AQ43" i="8" s="1"/>
  <c r="AP43" i="8" s="1"/>
  <c r="Z43" i="8" a="1"/>
  <c r="Z43" i="8" s="1"/>
  <c r="AR42" i="8" l="1" a="1"/>
  <c r="AR42" i="8" s="1"/>
  <c r="AH42" i="8" a="1"/>
  <c r="AH42" i="8" s="1"/>
  <c r="AQ42" i="8" s="1"/>
  <c r="AP42" i="8" s="1"/>
  <c r="Z42" i="8" a="1"/>
  <c r="Z42" i="8" s="1"/>
  <c r="AR41" i="8" l="1" a="1"/>
  <c r="AR41" i="8" s="1"/>
  <c r="AH41" i="8" a="1"/>
  <c r="AH41" i="8" s="1"/>
  <c r="AQ41" i="8" s="1"/>
  <c r="AP41" i="8" s="1"/>
  <c r="Z41" i="8" a="1"/>
  <c r="Z41" i="8" s="1"/>
  <c r="AR40" i="8" l="1" a="1"/>
  <c r="AR40" i="8" s="1"/>
  <c r="AH40" i="8" a="1"/>
  <c r="AH40" i="8" s="1"/>
  <c r="AQ40" i="8" s="1"/>
  <c r="AP40" i="8" s="1"/>
  <c r="Z40" i="8" a="1"/>
  <c r="Z40" i="8" s="1"/>
  <c r="AR39" i="8" l="1" a="1"/>
  <c r="AR39" i="8" s="1"/>
  <c r="AH39" i="8" a="1"/>
  <c r="AH39" i="8" s="1"/>
  <c r="AQ39" i="8" s="1"/>
  <c r="AP39" i="8" s="1"/>
  <c r="Z39" i="8" a="1"/>
  <c r="Z39" i="8" s="1"/>
  <c r="AR38" i="8" l="1" a="1"/>
  <c r="AR38" i="8" s="1"/>
  <c r="AH38" i="8" a="1"/>
  <c r="AH38" i="8" s="1"/>
  <c r="AQ38" i="8" s="1"/>
  <c r="AP38" i="8" s="1"/>
  <c r="Z38" i="8" a="1"/>
  <c r="Z38" i="8" s="1"/>
  <c r="AR37" i="8" l="1" a="1"/>
  <c r="AR37" i="8" s="1"/>
  <c r="AH37" i="8" a="1"/>
  <c r="AH37" i="8" s="1"/>
  <c r="AQ37" i="8" s="1"/>
  <c r="AP37" i="8" s="1"/>
  <c r="Z37" i="8" a="1"/>
  <c r="Z37" i="8" s="1"/>
  <c r="AR36" i="8" l="1" a="1"/>
  <c r="AR36" i="8" s="1"/>
  <c r="AH36" i="8" a="1"/>
  <c r="AH36" i="8" s="1"/>
  <c r="AQ36" i="8" s="1"/>
  <c r="AP36" i="8" s="1"/>
  <c r="Z36" i="8" a="1"/>
  <c r="Z36" i="8" s="1"/>
  <c r="AR35" i="8" l="1" a="1"/>
  <c r="AR35" i="8" s="1"/>
  <c r="AH35" i="8" a="1"/>
  <c r="AH35" i="8" s="1"/>
  <c r="AQ35" i="8" s="1"/>
  <c r="AP35" i="8" s="1"/>
  <c r="Z35" i="8" a="1"/>
  <c r="Z35" i="8" s="1"/>
  <c r="AR34" i="8" l="1" a="1"/>
  <c r="AR34" i="8" s="1"/>
  <c r="AH34" i="8" a="1"/>
  <c r="AH34" i="8" s="1"/>
  <c r="AQ34" i="8" s="1"/>
  <c r="AP34" i="8" s="1"/>
  <c r="Z34" i="8" a="1"/>
  <c r="Z34" i="8" s="1"/>
  <c r="AR33" i="8" l="1" a="1"/>
  <c r="AR33" i="8" s="1"/>
  <c r="AH33" i="8" a="1"/>
  <c r="AH33" i="8" s="1"/>
  <c r="AQ33" i="8" s="1"/>
  <c r="AP33" i="8" s="1"/>
  <c r="Z33" i="8" a="1"/>
  <c r="Z33" i="8" s="1"/>
  <c r="AR32" i="8" l="1" a="1"/>
  <c r="AR32" i="8" s="1"/>
  <c r="AH32" i="8" a="1"/>
  <c r="AH32" i="8" s="1"/>
  <c r="AQ32" i="8" s="1"/>
  <c r="AP32" i="8" s="1"/>
  <c r="Z32" i="8" a="1"/>
  <c r="Z32" i="8" s="1"/>
  <c r="AR31" i="8" l="1" a="1"/>
  <c r="AR31" i="8" s="1"/>
  <c r="AH31" i="8" a="1"/>
  <c r="AH31" i="8" s="1"/>
  <c r="AQ31" i="8" s="1"/>
  <c r="AP31" i="8" s="1"/>
  <c r="Z31" i="8" a="1"/>
  <c r="Z31" i="8" s="1"/>
  <c r="AR30" i="8" l="1" a="1"/>
  <c r="AR30" i="8" s="1"/>
  <c r="AH30" i="8" a="1"/>
  <c r="AH30" i="8" s="1"/>
  <c r="AQ30" i="8" s="1"/>
  <c r="AP30" i="8" s="1"/>
  <c r="Z30" i="8" a="1"/>
  <c r="Z30" i="8" s="1"/>
  <c r="AR29" i="8" l="1" a="1"/>
  <c r="AR29" i="8" s="1"/>
  <c r="AH29" i="8" a="1"/>
  <c r="AH29" i="8" s="1"/>
  <c r="AQ29" i="8" s="1"/>
  <c r="AP29" i="8" s="1"/>
  <c r="Z29" i="8" a="1"/>
  <c r="Z29" i="8" s="1"/>
  <c r="AR28" i="8" l="1" a="1"/>
  <c r="AR28" i="8" s="1"/>
  <c r="AH28" i="8" a="1"/>
  <c r="AH28" i="8" s="1"/>
  <c r="AQ28" i="8" s="1"/>
  <c r="AP28" i="8" s="1"/>
  <c r="Z28" i="8" a="1"/>
  <c r="Z28" i="8" s="1"/>
  <c r="AR27" i="8" l="1" a="1"/>
  <c r="AR27" i="8" s="1"/>
  <c r="AH27" i="8" a="1"/>
  <c r="AH27" i="8" s="1"/>
  <c r="AQ27" i="8" s="1"/>
  <c r="AP27" i="8" s="1"/>
  <c r="Z27" i="8" a="1"/>
  <c r="Z27" i="8" s="1"/>
  <c r="AR26" i="8" l="1" a="1"/>
  <c r="AR26" i="8" s="1"/>
  <c r="AH26" i="8" a="1"/>
  <c r="AH26" i="8" s="1"/>
  <c r="AQ26" i="8" s="1"/>
  <c r="AP26" i="8" s="1"/>
  <c r="Z26" i="8" a="1"/>
  <c r="Z26" i="8" s="1"/>
  <c r="AR25" i="8" l="1" a="1"/>
  <c r="AR25" i="8" s="1"/>
  <c r="AH25" i="8" a="1"/>
  <c r="AH25" i="8" s="1"/>
  <c r="AQ25" i="8" s="1"/>
  <c r="AP25" i="8" s="1"/>
  <c r="Z25" i="8" a="1"/>
  <c r="Z25" i="8" s="1"/>
  <c r="AR24" i="8" l="1" a="1"/>
  <c r="AR24" i="8" s="1"/>
  <c r="AH24" i="8" a="1"/>
  <c r="AH24" i="8" s="1"/>
  <c r="AQ24" i="8" s="1"/>
  <c r="AP24" i="8" s="1"/>
  <c r="Z24" i="8" a="1"/>
  <c r="Z24" i="8" s="1"/>
  <c r="AR23" i="8" l="1" a="1"/>
  <c r="AR23" i="8" s="1"/>
  <c r="AH23" i="8" a="1"/>
  <c r="AH23" i="8" s="1"/>
  <c r="AQ23" i="8" s="1"/>
  <c r="AP23" i="8" s="1"/>
  <c r="Z23" i="8" a="1"/>
  <c r="Z23" i="8" s="1"/>
  <c r="AR22" i="8" l="1" a="1"/>
  <c r="AR22" i="8" s="1"/>
  <c r="AH22" i="8" a="1"/>
  <c r="AH22" i="8" s="1"/>
  <c r="AQ22" i="8" s="1"/>
  <c r="AP22" i="8" s="1"/>
  <c r="Z22" i="8" a="1"/>
  <c r="Z22" i="8" s="1"/>
  <c r="AR21" i="8" l="1" a="1"/>
  <c r="AR21" i="8" s="1"/>
  <c r="AH21" i="8" a="1"/>
  <c r="AH21" i="8" s="1"/>
  <c r="AQ21" i="8" s="1"/>
  <c r="AP21" i="8" s="1"/>
  <c r="Z21" i="8" a="1"/>
  <c r="Z21" i="8" s="1"/>
  <c r="AR20" i="8" l="1" a="1"/>
  <c r="AR20" i="8" s="1"/>
  <c r="AH20" i="8" a="1"/>
  <c r="AH20" i="8" s="1"/>
  <c r="AQ20" i="8" s="1"/>
  <c r="AP20" i="8" s="1"/>
  <c r="Z20" i="8" a="1"/>
  <c r="Z20" i="8" s="1"/>
  <c r="AR19" i="8" l="1" a="1"/>
  <c r="AR19" i="8" s="1"/>
  <c r="AH19" i="8" a="1"/>
  <c r="AH19" i="8" s="1"/>
  <c r="AQ19" i="8" s="1"/>
  <c r="AP19" i="8" s="1"/>
  <c r="Z19" i="8" a="1"/>
  <c r="Z19" i="8" s="1"/>
  <c r="AR18" i="8" l="1" a="1"/>
  <c r="AR18" i="8" s="1"/>
  <c r="AH18" i="8" a="1"/>
  <c r="AH18" i="8" s="1"/>
  <c r="AQ18" i="8" s="1"/>
  <c r="AP18" i="8" s="1"/>
  <c r="Z18" i="8" a="1"/>
  <c r="Z18" i="8" s="1"/>
  <c r="AR17" i="8" l="1" a="1"/>
  <c r="AR17" i="8" s="1"/>
  <c r="AH17" i="8" a="1"/>
  <c r="AH17" i="8" s="1"/>
  <c r="AQ17" i="8" s="1"/>
  <c r="AP17" i="8" s="1"/>
  <c r="Z17" i="8" a="1"/>
  <c r="Z17" i="8" s="1"/>
  <c r="AR16" i="8" l="1" a="1"/>
  <c r="AR16" i="8" s="1"/>
  <c r="AH16" i="8" a="1"/>
  <c r="AH16" i="8" s="1"/>
  <c r="AQ16" i="8" s="1"/>
  <c r="AP16" i="8" s="1"/>
  <c r="Z16" i="8" a="1"/>
  <c r="Z16" i="8" s="1"/>
  <c r="AR14" i="8" l="1" a="1"/>
  <c r="AR14" i="8" s="1"/>
  <c r="AH14" i="8" a="1"/>
  <c r="AH14" i="8" s="1"/>
  <c r="AQ14" i="8" s="1"/>
  <c r="AP14" i="8" s="1"/>
  <c r="Z14" i="8" a="1"/>
  <c r="Z14" i="8" s="1"/>
  <c r="AR12" i="8" l="1" a="1"/>
  <c r="AR12" i="8" s="1"/>
  <c r="AH12" i="8" a="1"/>
  <c r="AH12" i="8" s="1"/>
  <c r="AQ12" i="8" s="1"/>
  <c r="AP12" i="8" s="1"/>
  <c r="Z12" i="8" a="1"/>
  <c r="Z12" i="8" s="1"/>
  <c r="AR11" i="8" l="1" a="1"/>
  <c r="AR11" i="8" s="1"/>
  <c r="AH11" i="8" a="1"/>
  <c r="AH11" i="8" s="1"/>
  <c r="AQ11" i="8" s="1"/>
  <c r="AP11" i="8" s="1"/>
  <c r="Z11" i="8" a="1"/>
  <c r="Z11" i="8" s="1"/>
  <c r="AR10" i="8" l="1" a="1"/>
  <c r="AR10" i="8" s="1"/>
  <c r="AH10" i="8" a="1"/>
  <c r="AH10" i="8" s="1"/>
  <c r="AQ10" i="8" s="1"/>
  <c r="AP10" i="8" s="1"/>
  <c r="Z10" i="8" a="1"/>
  <c r="Z10" i="8" s="1"/>
  <c r="AR9" i="8" l="1" a="1"/>
  <c r="AR9" i="8" s="1"/>
  <c r="AH9" i="8" a="1"/>
  <c r="AH9" i="8" s="1"/>
  <c r="AQ9" i="8" s="1"/>
  <c r="AP9" i="8" s="1"/>
  <c r="Z9" i="8" a="1"/>
  <c r="Z9" i="8" s="1"/>
  <c r="AR8" i="8" l="1" a="1"/>
  <c r="AR8" i="8" s="1"/>
  <c r="AH8" i="8" a="1"/>
  <c r="AH8" i="8" s="1"/>
  <c r="AQ8" i="8" s="1"/>
  <c r="AP8" i="8" s="1"/>
  <c r="Z8" i="8" a="1"/>
  <c r="Z8" i="8" s="1"/>
  <c r="AR7" i="8" l="1" a="1"/>
  <c r="AR7" i="8" s="1"/>
  <c r="AH7" i="8" a="1"/>
  <c r="AH7" i="8" s="1"/>
  <c r="AQ7" i="8" s="1"/>
  <c r="AP7" i="8" s="1"/>
  <c r="Z7" i="8" a="1"/>
  <c r="Z7" i="8" s="1"/>
  <c r="AR5" i="8" l="1" a="1"/>
  <c r="AR5" i="8" s="1"/>
  <c r="AH5" i="8" a="1"/>
  <c r="AH5" i="8" s="1"/>
  <c r="AQ5" i="8" s="1"/>
  <c r="AP5" i="8" s="1"/>
  <c r="Z5" i="8" a="1"/>
  <c r="Z5" i="8" s="1"/>
  <c r="AR4" i="8" l="1" a="1"/>
  <c r="AR4" i="8" s="1"/>
  <c r="AH4" i="8" a="1"/>
  <c r="AH4" i="8" s="1"/>
  <c r="AQ4" i="8" s="1"/>
  <c r="AP4" i="8" s="1"/>
  <c r="Z4" i="8" a="1"/>
  <c r="Z4" i="8" s="1"/>
  <c r="AH2" i="8" l="1" a="1"/>
  <c r="AH2" i="8" s="1"/>
  <c r="AQ2" i="8" s="1"/>
  <c r="AP2" i="8" s="1"/>
  <c r="AR2" i="8" a="1"/>
  <c r="AR2" i="8" s="1"/>
  <c r="Z2" i="8" a="1"/>
  <c r="Z2" i="8" s="1"/>
  <c r="CU99" i="8" l="1"/>
  <c r="CU98" i="8" l="1"/>
  <c r="CU95" i="8" l="1"/>
  <c r="CU92" i="8" l="1"/>
  <c r="CU91" i="8" l="1"/>
  <c r="CU90" i="8" l="1"/>
  <c r="CU83" i="8" l="1"/>
  <c r="CU82" i="8" l="1"/>
  <c r="CU81" i="8" l="1"/>
  <c r="CU73" i="8" l="1"/>
  <c r="CU72" i="8" l="1"/>
  <c r="CU71" i="8" l="1"/>
  <c r="CU67" i="8" l="1"/>
  <c r="CU66" i="8" l="1"/>
  <c r="CU62" i="8" l="1"/>
  <c r="CU61" i="8" l="1"/>
  <c r="CU60" i="8" l="1"/>
  <c r="CU53" i="8" l="1"/>
  <c r="CU52" i="8" l="1"/>
  <c r="CU51" i="8" l="1"/>
  <c r="CU50" i="8" l="1"/>
  <c r="CU49" i="8" l="1"/>
  <c r="CU48" i="8" l="1"/>
  <c r="CU47" i="8" l="1"/>
  <c r="CU46" i="8" l="1"/>
  <c r="CU45" i="8" l="1"/>
  <c r="CU44" i="8" l="1"/>
  <c r="CU41" i="8" l="1"/>
  <c r="CU39" i="8" l="1"/>
  <c r="CU38" i="8" l="1"/>
  <c r="CU35" i="8" l="1"/>
  <c r="CU37" i="8" l="1"/>
  <c r="CU36" i="8" l="1"/>
  <c r="CU34" i="8" l="1"/>
  <c r="CU33" i="8" l="1"/>
  <c r="CU32" i="8" l="1"/>
  <c r="CU31" i="8" l="1"/>
  <c r="CU30" i="8" l="1"/>
  <c r="CU29" i="8" l="1"/>
  <c r="CU27" i="8" l="1"/>
  <c r="CU25" i="8" l="1"/>
  <c r="CU23" i="8" l="1"/>
  <c r="CU22" i="8" l="1"/>
  <c r="CU21" i="8" l="1"/>
  <c r="CU20" i="8" l="1"/>
  <c r="CU19" i="8" l="1"/>
  <c r="CU18" i="8" l="1"/>
  <c r="CU17" i="8" l="1"/>
  <c r="CU16" i="8" l="1"/>
  <c r="CU15" i="8" l="1"/>
  <c r="CU14" i="8" l="1"/>
  <c r="CU13" i="8" l="1"/>
  <c r="CU12" i="8" l="1"/>
  <c r="CU11" i="8" l="1"/>
  <c r="CU10" i="8" l="1"/>
  <c r="CU9" i="8" l="1"/>
  <c r="CU8" i="8" l="1"/>
  <c r="CU7" i="8" l="1"/>
  <c r="CU6" i="8" l="1"/>
  <c r="CU5" i="8" l="1"/>
  <c r="CU4" i="8" l="1"/>
  <c r="CU3" i="8" l="1"/>
  <c r="CU2" i="8" l="1"/>
  <c r="CU43" i="8" l="1"/>
  <c r="CU42" i="8" l="1"/>
  <c r="CU40" i="8" l="1"/>
  <c r="CU28" i="8" l="1"/>
  <c r="CU26" i="8" l="1"/>
  <c r="CU24" i="8" l="1"/>
  <c r="CU89" i="8" l="1"/>
  <c r="CU88" i="8" l="1"/>
  <c r="CU87" i="8"/>
  <c r="CU65" i="8" l="1"/>
  <c r="CU64" i="8" l="1"/>
  <c r="CU63" i="8" l="1"/>
  <c r="CU97" i="8" l="1"/>
  <c r="CU96" i="8"/>
  <c r="CU94" i="8" l="1"/>
  <c r="CU93" i="8"/>
  <c r="CU70" i="8" l="1"/>
  <c r="CU69" i="8" l="1"/>
  <c r="CU68" i="8" l="1"/>
  <c r="CU80" i="8" l="1"/>
  <c r="CU79" i="8" l="1"/>
  <c r="CU78" i="8" l="1"/>
  <c r="CU56" i="8" l="1"/>
  <c r="CU55" i="8" l="1"/>
  <c r="CU54" i="8" l="1"/>
  <c r="CU86" i="8" l="1"/>
  <c r="CU85" i="8" l="1"/>
  <c r="CU84" i="8"/>
  <c r="CU59" i="8" l="1"/>
  <c r="CU58" i="8"/>
  <c r="CU57" i="8" l="1"/>
  <c r="CU102" i="8" l="1"/>
  <c r="CU101" i="8"/>
  <c r="CU100" i="8"/>
  <c r="CU77" i="8"/>
  <c r="CU76" i="8"/>
  <c r="CU75" i="8"/>
  <c r="CU74" i="8"/>
  <c r="CV1" i="8"/>
  <c r="J54" i="8" l="1" a="1"/>
  <c r="J54" i="8" s="1"/>
  <c r="CI39" i="8" l="1" a="1"/>
  <c r="BR39" i="8" a="1"/>
  <c r="BR39" i="8" s="1"/>
  <c r="DV39" i="8" s="1"/>
  <c r="BZ39" i="8" a="1"/>
  <c r="BZ38" i="8" a="1"/>
  <c r="CI39" i="8" l="1"/>
  <c r="T39" i="10"/>
  <c r="N39" i="10"/>
  <c r="O39" i="10"/>
  <c r="P39" i="10"/>
  <c r="R39" i="10"/>
  <c r="I39" i="10"/>
  <c r="J39" i="10"/>
  <c r="K39" i="10"/>
  <c r="Q39" i="10"/>
  <c r="E39" i="10"/>
  <c r="S39" i="10"/>
  <c r="F39" i="10"/>
  <c r="G39" i="10"/>
  <c r="H39" i="10"/>
  <c r="BZ38" i="8"/>
  <c r="JH38" i="9"/>
  <c r="JI38" i="9"/>
  <c r="JJ38" i="9"/>
  <c r="JK38" i="9"/>
  <c r="JL38" i="9"/>
  <c r="JM38" i="9"/>
  <c r="JG38" i="9"/>
  <c r="IX38" i="9"/>
  <c r="IY38" i="9"/>
  <c r="IZ38" i="9"/>
  <c r="KJ38" i="9" s="1"/>
  <c r="JA38" i="9"/>
  <c r="JB38" i="9"/>
  <c r="JC38" i="9"/>
  <c r="KM38" i="9" s="1"/>
  <c r="JD38" i="9"/>
  <c r="BZ39" i="8"/>
  <c r="JH39" i="9"/>
  <c r="JI39" i="9"/>
  <c r="JJ39" i="9"/>
  <c r="JK39" i="9"/>
  <c r="JL39" i="9"/>
  <c r="JM39" i="9"/>
  <c r="IX39" i="9"/>
  <c r="JG39" i="9"/>
  <c r="IY39" i="9"/>
  <c r="IZ39" i="9"/>
  <c r="JA39" i="9"/>
  <c r="KK39" i="9" s="1"/>
  <c r="JB39" i="9"/>
  <c r="KL39" i="9" s="1"/>
  <c r="JC39" i="9"/>
  <c r="JD39" i="9"/>
  <c r="KN39" i="9" s="1"/>
  <c r="DI55" i="8"/>
  <c r="DH55" i="8"/>
  <c r="DG55" i="8"/>
  <c r="BF38" i="9"/>
  <c r="BG38" i="9"/>
  <c r="BH38" i="9"/>
  <c r="BI38" i="9"/>
  <c r="BJ38" i="9"/>
  <c r="BK38" i="9"/>
  <c r="BL38" i="9"/>
  <c r="BF39" i="9"/>
  <c r="BG39" i="9"/>
  <c r="BH39" i="9"/>
  <c r="BI39" i="9"/>
  <c r="BJ39" i="9"/>
  <c r="BK39" i="9"/>
  <c r="BL39" i="9"/>
  <c r="CY55" i="8"/>
  <c r="KJ39" i="9" l="1"/>
  <c r="KM39" i="9"/>
  <c r="DJ55" i="8"/>
  <c r="DL55" i="8" s="1"/>
  <c r="M39" i="10"/>
  <c r="D39" i="10"/>
  <c r="BE39" i="9"/>
  <c r="DU39" i="8"/>
  <c r="BE38" i="9"/>
  <c r="KI39" i="9"/>
  <c r="KH39" i="9"/>
  <c r="KI38" i="9"/>
  <c r="KH38" i="9"/>
  <c r="KL38" i="9"/>
  <c r="KK38" i="9"/>
  <c r="KN38" i="9"/>
  <c r="JF39" i="9"/>
  <c r="IW39" i="9"/>
  <c r="JF38" i="9"/>
  <c r="IW38" i="9"/>
  <c r="CI102" i="8" a="1"/>
  <c r="CI101" i="8" a="1"/>
  <c r="CI100" i="8" a="1"/>
  <c r="CI99" i="8" a="1"/>
  <c r="CI98" i="8" a="1"/>
  <c r="CI97" i="8" a="1"/>
  <c r="CI96" i="8" a="1"/>
  <c r="CI95" i="8" a="1"/>
  <c r="CI94" i="8" a="1"/>
  <c r="CI93" i="8" a="1"/>
  <c r="CI92" i="8" a="1"/>
  <c r="CI91" i="8" a="1"/>
  <c r="CI90" i="8" a="1"/>
  <c r="CI89" i="8" a="1"/>
  <c r="CI88" i="8" a="1"/>
  <c r="CI87" i="8" a="1"/>
  <c r="CI86" i="8" a="1"/>
  <c r="CI85" i="8" a="1"/>
  <c r="CI84" i="8" a="1"/>
  <c r="CI83" i="8" a="1"/>
  <c r="CI82" i="8" a="1"/>
  <c r="CI81" i="8" a="1"/>
  <c r="CI80" i="8" a="1"/>
  <c r="CI79" i="8" a="1"/>
  <c r="CI78" i="8" a="1"/>
  <c r="CI77" i="8" a="1"/>
  <c r="CI76" i="8" a="1"/>
  <c r="CI75" i="8" a="1"/>
  <c r="CI74" i="8" a="1"/>
  <c r="CI73" i="8" a="1"/>
  <c r="CI72" i="8" a="1"/>
  <c r="CI71" i="8" a="1"/>
  <c r="CI70" i="8" a="1"/>
  <c r="CI69" i="8" a="1"/>
  <c r="CI68" i="8" a="1"/>
  <c r="CI67" i="8" a="1"/>
  <c r="CI66" i="8" a="1"/>
  <c r="CI65" i="8" a="1"/>
  <c r="CI64" i="8" a="1"/>
  <c r="CI63" i="8" a="1"/>
  <c r="CI62" i="8" a="1"/>
  <c r="CI61" i="8" a="1"/>
  <c r="CI60" i="8" a="1"/>
  <c r="CI59" i="8" a="1"/>
  <c r="CI58" i="8" a="1"/>
  <c r="CI57" i="8" a="1"/>
  <c r="CI56" i="8" a="1"/>
  <c r="CI55" i="8" a="1"/>
  <c r="CI54" i="8" a="1"/>
  <c r="CI53" i="8" a="1"/>
  <c r="CI52" i="8" a="1"/>
  <c r="CI51" i="8" a="1"/>
  <c r="CI50" i="8" a="1"/>
  <c r="CI49" i="8" a="1"/>
  <c r="CI48" i="8" a="1"/>
  <c r="CI47" i="8" a="1"/>
  <c r="CI46" i="8" a="1"/>
  <c r="CI45" i="8" a="1"/>
  <c r="CI44" i="8" a="1"/>
  <c r="CI43" i="8" a="1"/>
  <c r="CI42" i="8" a="1"/>
  <c r="CI41" i="8" a="1"/>
  <c r="CI40" i="8" a="1"/>
  <c r="CI38" i="8" a="1"/>
  <c r="CI37" i="8" a="1"/>
  <c r="CI36" i="8" a="1"/>
  <c r="CI35" i="8" a="1"/>
  <c r="CI34" i="8" a="1"/>
  <c r="CI33" i="8" a="1"/>
  <c r="CI32" i="8" a="1"/>
  <c r="CI31" i="8" a="1"/>
  <c r="CI30" i="8" a="1"/>
  <c r="CI29" i="8" a="1"/>
  <c r="CI28" i="8" a="1"/>
  <c r="CI27" i="8" a="1"/>
  <c r="CI26" i="8" a="1"/>
  <c r="CI25" i="8" a="1"/>
  <c r="CI24" i="8" a="1"/>
  <c r="CI23" i="8" a="1"/>
  <c r="CI22" i="8" a="1"/>
  <c r="CI21" i="8" a="1"/>
  <c r="CI20" i="8" a="1"/>
  <c r="CI19" i="8" a="1"/>
  <c r="CI18" i="8" a="1"/>
  <c r="CI17" i="8" a="1"/>
  <c r="CI16" i="8" a="1"/>
  <c r="CI15" i="8" a="1"/>
  <c r="CI14" i="8" a="1"/>
  <c r="CI13" i="8" a="1"/>
  <c r="CI12" i="8" a="1"/>
  <c r="CI11" i="8" a="1"/>
  <c r="CI10" i="8" a="1"/>
  <c r="CI9" i="8" a="1"/>
  <c r="CI8" i="8" a="1"/>
  <c r="CI7" i="8" a="1"/>
  <c r="CI6" i="8" a="1"/>
  <c r="CI5" i="8" a="1"/>
  <c r="CI4" i="8" a="1"/>
  <c r="CI3" i="8" a="1"/>
  <c r="CI2" i="8" a="1"/>
  <c r="BZ92" i="8" a="1"/>
  <c r="BZ102" i="8" a="1"/>
  <c r="BZ101" i="8" a="1"/>
  <c r="BZ100" i="8" a="1"/>
  <c r="BZ99" i="8" a="1"/>
  <c r="BZ98" i="8" a="1"/>
  <c r="BZ97" i="8" a="1"/>
  <c r="BZ96" i="8" a="1"/>
  <c r="BZ95" i="8" a="1"/>
  <c r="BZ94" i="8" a="1"/>
  <c r="BZ93" i="8" a="1"/>
  <c r="BZ91" i="8" a="1"/>
  <c r="BZ90" i="8" a="1"/>
  <c r="BZ89" i="8" a="1"/>
  <c r="BZ88" i="8" a="1"/>
  <c r="BZ87" i="8" a="1"/>
  <c r="BZ86" i="8" a="1"/>
  <c r="BZ85" i="8" a="1"/>
  <c r="BZ84" i="8" a="1"/>
  <c r="BZ83" i="8" a="1"/>
  <c r="BZ82" i="8" a="1"/>
  <c r="BZ81" i="8" a="1"/>
  <c r="BZ80" i="8" a="1"/>
  <c r="BZ79" i="8" a="1"/>
  <c r="BZ78" i="8" a="1"/>
  <c r="BZ77" i="8" a="1"/>
  <c r="BZ76" i="8" a="1"/>
  <c r="BZ75" i="8" a="1"/>
  <c r="BZ74" i="8" a="1"/>
  <c r="BZ73" i="8" a="1"/>
  <c r="BZ72" i="8" a="1"/>
  <c r="BZ71" i="8" a="1"/>
  <c r="BZ70" i="8" a="1"/>
  <c r="BZ69" i="8" a="1"/>
  <c r="BZ68" i="8" a="1"/>
  <c r="BZ67" i="8" a="1"/>
  <c r="BZ66" i="8" a="1"/>
  <c r="BZ65" i="8" a="1"/>
  <c r="BZ64" i="8" a="1"/>
  <c r="BZ63" i="8" a="1"/>
  <c r="BZ62" i="8" a="1"/>
  <c r="BZ61" i="8" a="1"/>
  <c r="BZ60" i="8" a="1"/>
  <c r="BZ59" i="8" a="1"/>
  <c r="BZ58" i="8" a="1"/>
  <c r="BZ57" i="8" a="1"/>
  <c r="BZ56" i="8" a="1"/>
  <c r="BZ55" i="8" a="1"/>
  <c r="BZ54" i="8" a="1"/>
  <c r="BZ53" i="8" a="1"/>
  <c r="BZ48" i="8" a="1"/>
  <c r="BZ47" i="8" a="1"/>
  <c r="BZ46" i="8" a="1"/>
  <c r="BZ45" i="8" a="1"/>
  <c r="BZ44" i="8" a="1"/>
  <c r="BZ43" i="8" a="1"/>
  <c r="BZ42" i="8" a="1"/>
  <c r="BZ41" i="8" a="1"/>
  <c r="BZ40" i="8" a="1"/>
  <c r="BZ37" i="8" a="1"/>
  <c r="BZ36" i="8" a="1"/>
  <c r="BZ35" i="8" a="1"/>
  <c r="BZ34" i="8" a="1"/>
  <c r="BZ33" i="8" a="1"/>
  <c r="BZ32" i="8" a="1"/>
  <c r="BZ31" i="8" a="1"/>
  <c r="BZ30" i="8" a="1"/>
  <c r="BZ29" i="8" a="1"/>
  <c r="BZ28" i="8" a="1"/>
  <c r="BZ27" i="8" a="1"/>
  <c r="BZ26" i="8" a="1"/>
  <c r="BZ25" i="8" a="1"/>
  <c r="BZ24" i="8" a="1"/>
  <c r="BZ23" i="8" a="1"/>
  <c r="BZ22" i="8" a="1"/>
  <c r="BZ21" i="8" a="1"/>
  <c r="BZ20" i="8" a="1"/>
  <c r="BZ19" i="8" a="1"/>
  <c r="BZ18" i="8" a="1"/>
  <c r="BZ17" i="8" a="1"/>
  <c r="BZ16" i="8" a="1"/>
  <c r="BZ15" i="8" a="1"/>
  <c r="BZ14" i="8" a="1"/>
  <c r="CI14" i="9" s="1"/>
  <c r="BZ13" i="8" a="1"/>
  <c r="CI13" i="9" s="1"/>
  <c r="BZ12" i="8" a="1"/>
  <c r="CI12" i="9" s="1"/>
  <c r="BZ11" i="8" a="1"/>
  <c r="CI11" i="9" s="1"/>
  <c r="BZ10" i="8" a="1"/>
  <c r="CI10" i="9" s="1"/>
  <c r="BZ9" i="8" a="1"/>
  <c r="CI9" i="9" s="1"/>
  <c r="BZ8" i="8" a="1"/>
  <c r="BZ7" i="8" a="1"/>
  <c r="CH7" i="9" s="1"/>
  <c r="BZ6" i="8" a="1"/>
  <c r="CI6" i="9" s="1"/>
  <c r="BZ5" i="8" a="1"/>
  <c r="BZ4" i="8" a="1"/>
  <c r="BZ3" i="8" a="1"/>
  <c r="BZ2" i="8" a="1"/>
  <c r="BZ52" i="8" a="1"/>
  <c r="BZ51" i="8" a="1"/>
  <c r="BZ50" i="8" a="1"/>
  <c r="BZ49" i="8" a="1"/>
  <c r="DK55" i="8" l="1"/>
  <c r="CI30" i="8"/>
  <c r="T30" i="10"/>
  <c r="N30" i="10"/>
  <c r="O30" i="10"/>
  <c r="P30" i="10"/>
  <c r="R30" i="10"/>
  <c r="I30" i="10"/>
  <c r="J30" i="10"/>
  <c r="Q30" i="10"/>
  <c r="K30" i="10"/>
  <c r="S30" i="10"/>
  <c r="E30" i="10"/>
  <c r="F30" i="10"/>
  <c r="G30" i="10"/>
  <c r="H30" i="10"/>
  <c r="CI63" i="8"/>
  <c r="T63" i="10"/>
  <c r="N63" i="10"/>
  <c r="O63" i="10"/>
  <c r="P63" i="10"/>
  <c r="R63" i="10"/>
  <c r="I63" i="10"/>
  <c r="J63" i="10"/>
  <c r="K63" i="10"/>
  <c r="S63" i="10"/>
  <c r="F63" i="10"/>
  <c r="Q63" i="10"/>
  <c r="E63" i="10"/>
  <c r="G63" i="10"/>
  <c r="H63" i="10"/>
  <c r="CI87" i="8"/>
  <c r="R87" i="10"/>
  <c r="I87" i="10"/>
  <c r="S87" i="10"/>
  <c r="J87" i="10"/>
  <c r="O87" i="10"/>
  <c r="T87" i="10"/>
  <c r="K87" i="10"/>
  <c r="N87" i="10"/>
  <c r="E87" i="10"/>
  <c r="P87" i="10"/>
  <c r="G87" i="10"/>
  <c r="Q87" i="10"/>
  <c r="F87" i="10"/>
  <c r="H87" i="10"/>
  <c r="CI95" i="8"/>
  <c r="R95" i="10"/>
  <c r="I95" i="10"/>
  <c r="O95" i="10"/>
  <c r="S95" i="10"/>
  <c r="J95" i="10"/>
  <c r="T95" i="10"/>
  <c r="K95" i="10"/>
  <c r="N95" i="10"/>
  <c r="E95" i="10"/>
  <c r="P95" i="10"/>
  <c r="G95" i="10"/>
  <c r="F95" i="10"/>
  <c r="H95" i="10"/>
  <c r="Q95" i="10"/>
  <c r="CI7" i="8"/>
  <c r="T7" i="10"/>
  <c r="N7" i="10"/>
  <c r="O7" i="10"/>
  <c r="P7" i="10"/>
  <c r="R7" i="10"/>
  <c r="I7" i="10"/>
  <c r="S7" i="10"/>
  <c r="J7" i="10"/>
  <c r="F7" i="10"/>
  <c r="K7" i="10"/>
  <c r="Q7" i="10"/>
  <c r="E7" i="10"/>
  <c r="G7" i="10"/>
  <c r="H7" i="10"/>
  <c r="CI15" i="8"/>
  <c r="T15" i="10"/>
  <c r="N15" i="10"/>
  <c r="O15" i="10"/>
  <c r="P15" i="10"/>
  <c r="R15" i="10"/>
  <c r="I15" i="10"/>
  <c r="J15" i="10"/>
  <c r="F15" i="10"/>
  <c r="K15" i="10"/>
  <c r="S15" i="10"/>
  <c r="Q15" i="10"/>
  <c r="E15" i="10"/>
  <c r="G15" i="10"/>
  <c r="H15" i="10"/>
  <c r="CI23" i="8"/>
  <c r="T23" i="10"/>
  <c r="N23" i="10"/>
  <c r="O23" i="10"/>
  <c r="P23" i="10"/>
  <c r="R23" i="10"/>
  <c r="I23" i="10"/>
  <c r="J23" i="10"/>
  <c r="S23" i="10"/>
  <c r="K23" i="10"/>
  <c r="Q23" i="10"/>
  <c r="E23" i="10"/>
  <c r="F23" i="10"/>
  <c r="G23" i="10"/>
  <c r="H23" i="10"/>
  <c r="CI31" i="8"/>
  <c r="T31" i="10"/>
  <c r="N31" i="10"/>
  <c r="O31" i="10"/>
  <c r="P31" i="10"/>
  <c r="R31" i="10"/>
  <c r="I31" i="10"/>
  <c r="J31" i="10"/>
  <c r="K31" i="10"/>
  <c r="F31" i="10"/>
  <c r="Q31" i="10"/>
  <c r="E31" i="10"/>
  <c r="S31" i="10"/>
  <c r="G31" i="10"/>
  <c r="H31" i="10"/>
  <c r="CI40" i="8"/>
  <c r="T40" i="10"/>
  <c r="N40" i="10"/>
  <c r="O40" i="10"/>
  <c r="P40" i="10"/>
  <c r="R40" i="10"/>
  <c r="I40" i="10"/>
  <c r="J40" i="10"/>
  <c r="K40" i="10"/>
  <c r="F40" i="10"/>
  <c r="E40" i="10"/>
  <c r="Q40" i="10"/>
  <c r="G40" i="10"/>
  <c r="S40" i="10"/>
  <c r="H40" i="10"/>
  <c r="CI48" i="8"/>
  <c r="T48" i="10"/>
  <c r="N48" i="10"/>
  <c r="O48" i="10"/>
  <c r="P48" i="10"/>
  <c r="R48" i="10"/>
  <c r="I48" i="10"/>
  <c r="F48" i="10"/>
  <c r="J48" i="10"/>
  <c r="K48" i="10"/>
  <c r="E48" i="10"/>
  <c r="Q48" i="10"/>
  <c r="G48" i="10"/>
  <c r="S48" i="10"/>
  <c r="H48" i="10"/>
  <c r="CI56" i="8"/>
  <c r="T56" i="10"/>
  <c r="N56" i="10"/>
  <c r="O56" i="10"/>
  <c r="P56" i="10"/>
  <c r="R56" i="10"/>
  <c r="I56" i="10"/>
  <c r="J56" i="10"/>
  <c r="F56" i="10"/>
  <c r="K56" i="10"/>
  <c r="E56" i="10"/>
  <c r="Q56" i="10"/>
  <c r="G56" i="10"/>
  <c r="S56" i="10"/>
  <c r="H56" i="10"/>
  <c r="CI64" i="8"/>
  <c r="T64" i="10"/>
  <c r="N64" i="10"/>
  <c r="O64" i="10"/>
  <c r="P64" i="10"/>
  <c r="R64" i="10"/>
  <c r="I64" i="10"/>
  <c r="J64" i="10"/>
  <c r="K64" i="10"/>
  <c r="E64" i="10"/>
  <c r="F64" i="10"/>
  <c r="Q64" i="10"/>
  <c r="G64" i="10"/>
  <c r="S64" i="10"/>
  <c r="H64" i="10"/>
  <c r="CI72" i="8"/>
  <c r="T72" i="10"/>
  <c r="N72" i="10"/>
  <c r="O72" i="10"/>
  <c r="P72" i="10"/>
  <c r="R72" i="10"/>
  <c r="I72" i="10"/>
  <c r="J72" i="10"/>
  <c r="K72" i="10"/>
  <c r="E72" i="10"/>
  <c r="Q72" i="10"/>
  <c r="G72" i="10"/>
  <c r="S72" i="10"/>
  <c r="F72" i="10"/>
  <c r="H72" i="10"/>
  <c r="CI80" i="8"/>
  <c r="T80" i="10"/>
  <c r="N80" i="10"/>
  <c r="O80" i="10"/>
  <c r="P80" i="10"/>
  <c r="R80" i="10"/>
  <c r="I80" i="10"/>
  <c r="J80" i="10"/>
  <c r="K80" i="10"/>
  <c r="E80" i="10"/>
  <c r="Q80" i="10"/>
  <c r="G80" i="10"/>
  <c r="S80" i="10"/>
  <c r="F80" i="10"/>
  <c r="H80" i="10"/>
  <c r="CI88" i="8"/>
  <c r="R88" i="10"/>
  <c r="I88" i="10"/>
  <c r="S88" i="10"/>
  <c r="J88" i="10"/>
  <c r="O88" i="10"/>
  <c r="T88" i="10"/>
  <c r="K88" i="10"/>
  <c r="N88" i="10"/>
  <c r="E88" i="10"/>
  <c r="P88" i="10"/>
  <c r="G88" i="10"/>
  <c r="Q88" i="10"/>
  <c r="F88" i="10"/>
  <c r="H88" i="10"/>
  <c r="CI96" i="8"/>
  <c r="R96" i="10"/>
  <c r="I96" i="10"/>
  <c r="S96" i="10"/>
  <c r="J96" i="10"/>
  <c r="O96" i="10"/>
  <c r="T96" i="10"/>
  <c r="K96" i="10"/>
  <c r="N96" i="10"/>
  <c r="E96" i="10"/>
  <c r="P96" i="10"/>
  <c r="G96" i="10"/>
  <c r="F96" i="10"/>
  <c r="H96" i="10"/>
  <c r="Q96" i="10"/>
  <c r="CI14" i="8"/>
  <c r="T14" i="10"/>
  <c r="N14" i="10"/>
  <c r="O14" i="10"/>
  <c r="P14" i="10"/>
  <c r="R14" i="10"/>
  <c r="I14" i="10"/>
  <c r="J14" i="10"/>
  <c r="Q14" i="10"/>
  <c r="K14" i="10"/>
  <c r="S14" i="10"/>
  <c r="E14" i="10"/>
  <c r="F14" i="10"/>
  <c r="G14" i="10"/>
  <c r="H14" i="10"/>
  <c r="CI55" i="8"/>
  <c r="T55" i="10"/>
  <c r="N55" i="10"/>
  <c r="O55" i="10"/>
  <c r="P55" i="10"/>
  <c r="R55" i="10"/>
  <c r="I55" i="10"/>
  <c r="S55" i="10"/>
  <c r="J55" i="10"/>
  <c r="K55" i="10"/>
  <c r="Q55" i="10"/>
  <c r="E55" i="10"/>
  <c r="F55" i="10"/>
  <c r="G55" i="10"/>
  <c r="H55" i="10"/>
  <c r="CH8" i="9"/>
  <c r="CI9" i="8"/>
  <c r="T9" i="10"/>
  <c r="N9" i="10"/>
  <c r="O9" i="10"/>
  <c r="P9" i="10"/>
  <c r="R9" i="10"/>
  <c r="Q9" i="10"/>
  <c r="I9" i="10"/>
  <c r="F9" i="10"/>
  <c r="S9" i="10"/>
  <c r="J9" i="10"/>
  <c r="K9" i="10"/>
  <c r="E9" i="10"/>
  <c r="G9" i="10"/>
  <c r="H9" i="10"/>
  <c r="CI17" i="8"/>
  <c r="T17" i="10"/>
  <c r="N17" i="10"/>
  <c r="O17" i="10"/>
  <c r="P17" i="10"/>
  <c r="R17" i="10"/>
  <c r="Q17" i="10"/>
  <c r="I17" i="10"/>
  <c r="S17" i="10"/>
  <c r="J17" i="10"/>
  <c r="K17" i="10"/>
  <c r="F17" i="10"/>
  <c r="E17" i="10"/>
  <c r="G17" i="10"/>
  <c r="H17" i="10"/>
  <c r="CI25" i="8"/>
  <c r="T25" i="10"/>
  <c r="N25" i="10"/>
  <c r="O25" i="10"/>
  <c r="P25" i="10"/>
  <c r="R25" i="10"/>
  <c r="Q25" i="10"/>
  <c r="I25" i="10"/>
  <c r="S25" i="10"/>
  <c r="J25" i="10"/>
  <c r="K25" i="10"/>
  <c r="F25" i="10"/>
  <c r="E25" i="10"/>
  <c r="G25" i="10"/>
  <c r="H25" i="10"/>
  <c r="CI33" i="8"/>
  <c r="T33" i="10"/>
  <c r="N33" i="10"/>
  <c r="O33" i="10"/>
  <c r="P33" i="10"/>
  <c r="R33" i="10"/>
  <c r="Q33" i="10"/>
  <c r="I33" i="10"/>
  <c r="F33" i="10"/>
  <c r="S33" i="10"/>
  <c r="J33" i="10"/>
  <c r="K33" i="10"/>
  <c r="E33" i="10"/>
  <c r="G33" i="10"/>
  <c r="H33" i="10"/>
  <c r="CI42" i="8"/>
  <c r="T42" i="10"/>
  <c r="N42" i="10"/>
  <c r="O42" i="10"/>
  <c r="P42" i="10"/>
  <c r="R42" i="10"/>
  <c r="I42" i="10"/>
  <c r="F42" i="10"/>
  <c r="J42" i="10"/>
  <c r="Q42" i="10"/>
  <c r="K42" i="10"/>
  <c r="S42" i="10"/>
  <c r="E42" i="10"/>
  <c r="G42" i="10"/>
  <c r="H42" i="10"/>
  <c r="CI50" i="8"/>
  <c r="T50" i="10"/>
  <c r="N50" i="10"/>
  <c r="O50" i="10"/>
  <c r="P50" i="10"/>
  <c r="R50" i="10"/>
  <c r="I50" i="10"/>
  <c r="J50" i="10"/>
  <c r="Q50" i="10"/>
  <c r="K50" i="10"/>
  <c r="S50" i="10"/>
  <c r="E50" i="10"/>
  <c r="F50" i="10"/>
  <c r="G50" i="10"/>
  <c r="H50" i="10"/>
  <c r="CI58" i="8"/>
  <c r="T58" i="10"/>
  <c r="N58" i="10"/>
  <c r="O58" i="10"/>
  <c r="P58" i="10"/>
  <c r="R58" i="10"/>
  <c r="I58" i="10"/>
  <c r="J58" i="10"/>
  <c r="Q58" i="10"/>
  <c r="K58" i="10"/>
  <c r="S58" i="10"/>
  <c r="F58" i="10"/>
  <c r="E58" i="10"/>
  <c r="G58" i="10"/>
  <c r="H58" i="10"/>
  <c r="CI66" i="8"/>
  <c r="T66" i="10"/>
  <c r="N66" i="10"/>
  <c r="O66" i="10"/>
  <c r="P66" i="10"/>
  <c r="R66" i="10"/>
  <c r="I66" i="10"/>
  <c r="F66" i="10"/>
  <c r="J66" i="10"/>
  <c r="Q66" i="10"/>
  <c r="K66" i="10"/>
  <c r="S66" i="10"/>
  <c r="E66" i="10"/>
  <c r="G66" i="10"/>
  <c r="H66" i="10"/>
  <c r="CI74" i="8"/>
  <c r="T74" i="10"/>
  <c r="N74" i="10"/>
  <c r="O74" i="10"/>
  <c r="P74" i="10"/>
  <c r="R74" i="10"/>
  <c r="I74" i="10"/>
  <c r="J74" i="10"/>
  <c r="Q74" i="10"/>
  <c r="K74" i="10"/>
  <c r="S74" i="10"/>
  <c r="E74" i="10"/>
  <c r="G74" i="10"/>
  <c r="H74" i="10"/>
  <c r="F74" i="10"/>
  <c r="CI82" i="8"/>
  <c r="T82" i="10"/>
  <c r="N82" i="10"/>
  <c r="O82" i="10"/>
  <c r="P82" i="10"/>
  <c r="R82" i="10"/>
  <c r="I82" i="10"/>
  <c r="J82" i="10"/>
  <c r="Q82" i="10"/>
  <c r="K82" i="10"/>
  <c r="S82" i="10"/>
  <c r="E82" i="10"/>
  <c r="G82" i="10"/>
  <c r="H82" i="10"/>
  <c r="F82" i="10"/>
  <c r="CI90" i="8"/>
  <c r="R90" i="10"/>
  <c r="I90" i="10"/>
  <c r="S90" i="10"/>
  <c r="J90" i="10"/>
  <c r="T90" i="10"/>
  <c r="K90" i="10"/>
  <c r="N90" i="10"/>
  <c r="E90" i="10"/>
  <c r="O90" i="10"/>
  <c r="P90" i="10"/>
  <c r="G90" i="10"/>
  <c r="Q90" i="10"/>
  <c r="H90" i="10"/>
  <c r="F90" i="10"/>
  <c r="CI98" i="8"/>
  <c r="R98" i="10"/>
  <c r="I98" i="10"/>
  <c r="S98" i="10"/>
  <c r="J98" i="10"/>
  <c r="T98" i="10"/>
  <c r="K98" i="10"/>
  <c r="N98" i="10"/>
  <c r="E98" i="10"/>
  <c r="O98" i="10"/>
  <c r="P98" i="10"/>
  <c r="G98" i="10"/>
  <c r="Q98" i="10"/>
  <c r="H98" i="10"/>
  <c r="F98" i="10"/>
  <c r="CI47" i="8"/>
  <c r="T47" i="10"/>
  <c r="N47" i="10"/>
  <c r="O47" i="10"/>
  <c r="P47" i="10"/>
  <c r="R47" i="10"/>
  <c r="I47" i="10"/>
  <c r="J47" i="10"/>
  <c r="K47" i="10"/>
  <c r="S47" i="10"/>
  <c r="Q47" i="10"/>
  <c r="E47" i="10"/>
  <c r="F47" i="10"/>
  <c r="G47" i="10"/>
  <c r="H47" i="10"/>
  <c r="CI24" i="8"/>
  <c r="T24" i="10"/>
  <c r="N24" i="10"/>
  <c r="O24" i="10"/>
  <c r="P24" i="10"/>
  <c r="R24" i="10"/>
  <c r="I24" i="10"/>
  <c r="J24" i="10"/>
  <c r="F24" i="10"/>
  <c r="K24" i="10"/>
  <c r="E24" i="10"/>
  <c r="Q24" i="10"/>
  <c r="G24" i="10"/>
  <c r="S24" i="10"/>
  <c r="H24" i="10"/>
  <c r="CI81" i="8"/>
  <c r="T81" i="10"/>
  <c r="N81" i="10"/>
  <c r="O81" i="10"/>
  <c r="P81" i="10"/>
  <c r="R81" i="10"/>
  <c r="Q81" i="10"/>
  <c r="I81" i="10"/>
  <c r="S81" i="10"/>
  <c r="J81" i="10"/>
  <c r="K81" i="10"/>
  <c r="E81" i="10"/>
  <c r="G81" i="10"/>
  <c r="F81" i="10"/>
  <c r="H81" i="10"/>
  <c r="CI2" i="8"/>
  <c r="S2" i="10"/>
  <c r="J2" i="10"/>
  <c r="T2" i="10"/>
  <c r="K2" i="10"/>
  <c r="P2" i="10"/>
  <c r="N2" i="10"/>
  <c r="E2" i="10"/>
  <c r="O2" i="10"/>
  <c r="F2" i="10"/>
  <c r="Q2" i="10"/>
  <c r="H2" i="10"/>
  <c r="G2" i="10"/>
  <c r="I2" i="10"/>
  <c r="R2" i="10"/>
  <c r="CI10" i="8"/>
  <c r="T10" i="10"/>
  <c r="N10" i="10"/>
  <c r="O10" i="10"/>
  <c r="P10" i="10"/>
  <c r="R10" i="10"/>
  <c r="I10" i="10"/>
  <c r="J10" i="10"/>
  <c r="Q10" i="10"/>
  <c r="K10" i="10"/>
  <c r="S10" i="10"/>
  <c r="E10" i="10"/>
  <c r="F10" i="10"/>
  <c r="G10" i="10"/>
  <c r="H10" i="10"/>
  <c r="CI18" i="8"/>
  <c r="T18" i="10"/>
  <c r="N18" i="10"/>
  <c r="O18" i="10"/>
  <c r="P18" i="10"/>
  <c r="R18" i="10"/>
  <c r="I18" i="10"/>
  <c r="F18" i="10"/>
  <c r="J18" i="10"/>
  <c r="Q18" i="10"/>
  <c r="K18" i="10"/>
  <c r="S18" i="10"/>
  <c r="E18" i="10"/>
  <c r="G18" i="10"/>
  <c r="H18" i="10"/>
  <c r="CI26" i="8"/>
  <c r="T26" i="10"/>
  <c r="N26" i="10"/>
  <c r="O26" i="10"/>
  <c r="P26" i="10"/>
  <c r="R26" i="10"/>
  <c r="I26" i="10"/>
  <c r="J26" i="10"/>
  <c r="Q26" i="10"/>
  <c r="K26" i="10"/>
  <c r="S26" i="10"/>
  <c r="F26" i="10"/>
  <c r="E26" i="10"/>
  <c r="G26" i="10"/>
  <c r="H26" i="10"/>
  <c r="CI34" i="8"/>
  <c r="T34" i="10"/>
  <c r="N34" i="10"/>
  <c r="O34" i="10"/>
  <c r="P34" i="10"/>
  <c r="R34" i="10"/>
  <c r="I34" i="10"/>
  <c r="J34" i="10"/>
  <c r="Q34" i="10"/>
  <c r="K34" i="10"/>
  <c r="F34" i="10"/>
  <c r="S34" i="10"/>
  <c r="E34" i="10"/>
  <c r="G34" i="10"/>
  <c r="H34" i="10"/>
  <c r="CI43" i="8"/>
  <c r="T43" i="10"/>
  <c r="N43" i="10"/>
  <c r="O43" i="10"/>
  <c r="P43" i="10"/>
  <c r="R43" i="10"/>
  <c r="I43" i="10"/>
  <c r="J43" i="10"/>
  <c r="S43" i="10"/>
  <c r="K43" i="10"/>
  <c r="Q43" i="10"/>
  <c r="E43" i="10"/>
  <c r="F43" i="10"/>
  <c r="G43" i="10"/>
  <c r="H43" i="10"/>
  <c r="CI51" i="8"/>
  <c r="T51" i="10"/>
  <c r="N51" i="10"/>
  <c r="O51" i="10"/>
  <c r="P51" i="10"/>
  <c r="R51" i="10"/>
  <c r="I51" i="10"/>
  <c r="J51" i="10"/>
  <c r="F51" i="10"/>
  <c r="K51" i="10"/>
  <c r="Q51" i="10"/>
  <c r="E51" i="10"/>
  <c r="S51" i="10"/>
  <c r="G51" i="10"/>
  <c r="H51" i="10"/>
  <c r="CI59" i="8"/>
  <c r="T59" i="10"/>
  <c r="N59" i="10"/>
  <c r="O59" i="10"/>
  <c r="P59" i="10"/>
  <c r="R59" i="10"/>
  <c r="I59" i="10"/>
  <c r="J59" i="10"/>
  <c r="S59" i="10"/>
  <c r="K59" i="10"/>
  <c r="Q59" i="10"/>
  <c r="E59" i="10"/>
  <c r="F59" i="10"/>
  <c r="G59" i="10"/>
  <c r="H59" i="10"/>
  <c r="CI67" i="8"/>
  <c r="T67" i="10"/>
  <c r="N67" i="10"/>
  <c r="O67" i="10"/>
  <c r="P67" i="10"/>
  <c r="R67" i="10"/>
  <c r="I67" i="10"/>
  <c r="J67" i="10"/>
  <c r="K67" i="10"/>
  <c r="S67" i="10"/>
  <c r="F67" i="10"/>
  <c r="Q67" i="10"/>
  <c r="E67" i="10"/>
  <c r="G67" i="10"/>
  <c r="H67" i="10"/>
  <c r="CI75" i="8"/>
  <c r="T75" i="10"/>
  <c r="N75" i="10"/>
  <c r="O75" i="10"/>
  <c r="P75" i="10"/>
  <c r="R75" i="10"/>
  <c r="I75" i="10"/>
  <c r="J75" i="10"/>
  <c r="S75" i="10"/>
  <c r="K75" i="10"/>
  <c r="Q75" i="10"/>
  <c r="E75" i="10"/>
  <c r="G75" i="10"/>
  <c r="F75" i="10"/>
  <c r="H75" i="10"/>
  <c r="CI83" i="8"/>
  <c r="T83" i="10"/>
  <c r="N83" i="10"/>
  <c r="O83" i="10"/>
  <c r="P83" i="10"/>
  <c r="R83" i="10"/>
  <c r="I83" i="10"/>
  <c r="J83" i="10"/>
  <c r="K83" i="10"/>
  <c r="Q83" i="10"/>
  <c r="E83" i="10"/>
  <c r="S83" i="10"/>
  <c r="G83" i="10"/>
  <c r="F83" i="10"/>
  <c r="H83" i="10"/>
  <c r="CI91" i="8"/>
  <c r="R91" i="10"/>
  <c r="I91" i="10"/>
  <c r="S91" i="10"/>
  <c r="J91" i="10"/>
  <c r="T91" i="10"/>
  <c r="K91" i="10"/>
  <c r="O91" i="10"/>
  <c r="N91" i="10"/>
  <c r="E91" i="10"/>
  <c r="P91" i="10"/>
  <c r="G91" i="10"/>
  <c r="Q91" i="10"/>
  <c r="F91" i="10"/>
  <c r="H91" i="10"/>
  <c r="CI99" i="8"/>
  <c r="R99" i="10"/>
  <c r="I99" i="10"/>
  <c r="S99" i="10"/>
  <c r="J99" i="10"/>
  <c r="O99" i="10"/>
  <c r="T99" i="10"/>
  <c r="K99" i="10"/>
  <c r="N99" i="10"/>
  <c r="E99" i="10"/>
  <c r="P99" i="10"/>
  <c r="G99" i="10"/>
  <c r="Q99" i="10"/>
  <c r="F99" i="10"/>
  <c r="H99" i="10"/>
  <c r="CI22" i="8"/>
  <c r="T22" i="10"/>
  <c r="N22" i="10"/>
  <c r="O22" i="10"/>
  <c r="P22" i="10"/>
  <c r="R22" i="10"/>
  <c r="I22" i="10"/>
  <c r="F22" i="10"/>
  <c r="J22" i="10"/>
  <c r="Q22" i="10"/>
  <c r="K22" i="10"/>
  <c r="S22" i="10"/>
  <c r="E22" i="10"/>
  <c r="G22" i="10"/>
  <c r="H22" i="10"/>
  <c r="CI79" i="8"/>
  <c r="T79" i="10"/>
  <c r="N79" i="10"/>
  <c r="O79" i="10"/>
  <c r="P79" i="10"/>
  <c r="R79" i="10"/>
  <c r="I79" i="10"/>
  <c r="S79" i="10"/>
  <c r="J79" i="10"/>
  <c r="K79" i="10"/>
  <c r="Q79" i="10"/>
  <c r="E79" i="10"/>
  <c r="G79" i="10"/>
  <c r="F79" i="10"/>
  <c r="H79" i="10"/>
  <c r="CI32" i="8"/>
  <c r="T32" i="10"/>
  <c r="N32" i="10"/>
  <c r="O32" i="10"/>
  <c r="P32" i="10"/>
  <c r="R32" i="10"/>
  <c r="I32" i="10"/>
  <c r="J32" i="10"/>
  <c r="F32" i="10"/>
  <c r="K32" i="10"/>
  <c r="E32" i="10"/>
  <c r="Q32" i="10"/>
  <c r="G32" i="10"/>
  <c r="S32" i="10"/>
  <c r="H32" i="10"/>
  <c r="CI73" i="8"/>
  <c r="T73" i="10"/>
  <c r="N73" i="10"/>
  <c r="O73" i="10"/>
  <c r="P73" i="10"/>
  <c r="R73" i="10"/>
  <c r="Q73" i="10"/>
  <c r="I73" i="10"/>
  <c r="S73" i="10"/>
  <c r="J73" i="10"/>
  <c r="K73" i="10"/>
  <c r="E73" i="10"/>
  <c r="G73" i="10"/>
  <c r="F73" i="10"/>
  <c r="H73" i="10"/>
  <c r="CH2" i="9"/>
  <c r="CI3" i="8"/>
  <c r="T3" i="10"/>
  <c r="N3" i="10"/>
  <c r="O3" i="10"/>
  <c r="P3" i="10"/>
  <c r="R3" i="10"/>
  <c r="I3" i="10"/>
  <c r="F3" i="10"/>
  <c r="J3" i="10"/>
  <c r="K3" i="10"/>
  <c r="Q3" i="10"/>
  <c r="E3" i="10"/>
  <c r="S3" i="10"/>
  <c r="G3" i="10"/>
  <c r="H3" i="10"/>
  <c r="CI11" i="8"/>
  <c r="T11" i="10"/>
  <c r="N11" i="10"/>
  <c r="O11" i="10"/>
  <c r="P11" i="10"/>
  <c r="R11" i="10"/>
  <c r="I11" i="10"/>
  <c r="J11" i="10"/>
  <c r="F11" i="10"/>
  <c r="K11" i="10"/>
  <c r="Q11" i="10"/>
  <c r="E11" i="10"/>
  <c r="S11" i="10"/>
  <c r="G11" i="10"/>
  <c r="H11" i="10"/>
  <c r="CI19" i="8"/>
  <c r="T19" i="10"/>
  <c r="N19" i="10"/>
  <c r="O19" i="10"/>
  <c r="P19" i="10"/>
  <c r="R19" i="10"/>
  <c r="I19" i="10"/>
  <c r="J19" i="10"/>
  <c r="K19" i="10"/>
  <c r="Q19" i="10"/>
  <c r="E19" i="10"/>
  <c r="S19" i="10"/>
  <c r="F19" i="10"/>
  <c r="G19" i="10"/>
  <c r="H19" i="10"/>
  <c r="CI27" i="8"/>
  <c r="T27" i="10"/>
  <c r="N27" i="10"/>
  <c r="O27" i="10"/>
  <c r="P27" i="10"/>
  <c r="R27" i="10"/>
  <c r="I27" i="10"/>
  <c r="J27" i="10"/>
  <c r="K27" i="10"/>
  <c r="S27" i="10"/>
  <c r="Q27" i="10"/>
  <c r="E27" i="10"/>
  <c r="F27" i="10"/>
  <c r="G27" i="10"/>
  <c r="H27" i="10"/>
  <c r="CI35" i="8"/>
  <c r="T35" i="10"/>
  <c r="N35" i="10"/>
  <c r="O35" i="10"/>
  <c r="P35" i="10"/>
  <c r="R35" i="10"/>
  <c r="I35" i="10"/>
  <c r="J35" i="10"/>
  <c r="K35" i="10"/>
  <c r="S35" i="10"/>
  <c r="Q35" i="10"/>
  <c r="E35" i="10"/>
  <c r="F35" i="10"/>
  <c r="G35" i="10"/>
  <c r="H35" i="10"/>
  <c r="CI44" i="8"/>
  <c r="T44" i="10"/>
  <c r="N44" i="10"/>
  <c r="O44" i="10"/>
  <c r="P44" i="10"/>
  <c r="R44" i="10"/>
  <c r="I44" i="10"/>
  <c r="J44" i="10"/>
  <c r="K44" i="10"/>
  <c r="F44" i="10"/>
  <c r="E44" i="10"/>
  <c r="Q44" i="10"/>
  <c r="G44" i="10"/>
  <c r="S44" i="10"/>
  <c r="H44" i="10"/>
  <c r="CI52" i="8"/>
  <c r="T52" i="10"/>
  <c r="N52" i="10"/>
  <c r="O52" i="10"/>
  <c r="P52" i="10"/>
  <c r="R52" i="10"/>
  <c r="I52" i="10"/>
  <c r="F52" i="10"/>
  <c r="J52" i="10"/>
  <c r="K52" i="10"/>
  <c r="E52" i="10"/>
  <c r="Q52" i="10"/>
  <c r="G52" i="10"/>
  <c r="S52" i="10"/>
  <c r="H52" i="10"/>
  <c r="CI60" i="8"/>
  <c r="T60" i="10"/>
  <c r="N60" i="10"/>
  <c r="O60" i="10"/>
  <c r="P60" i="10"/>
  <c r="R60" i="10"/>
  <c r="I60" i="10"/>
  <c r="J60" i="10"/>
  <c r="F60" i="10"/>
  <c r="K60" i="10"/>
  <c r="E60" i="10"/>
  <c r="Q60" i="10"/>
  <c r="G60" i="10"/>
  <c r="S60" i="10"/>
  <c r="H60" i="10"/>
  <c r="CI68" i="8"/>
  <c r="T68" i="10"/>
  <c r="N68" i="10"/>
  <c r="O68" i="10"/>
  <c r="P68" i="10"/>
  <c r="R68" i="10"/>
  <c r="I68" i="10"/>
  <c r="J68" i="10"/>
  <c r="K68" i="10"/>
  <c r="F68" i="10"/>
  <c r="E68" i="10"/>
  <c r="Q68" i="10"/>
  <c r="G68" i="10"/>
  <c r="S68" i="10"/>
  <c r="H68" i="10"/>
  <c r="CI76" i="8"/>
  <c r="T76" i="10"/>
  <c r="N76" i="10"/>
  <c r="O76" i="10"/>
  <c r="P76" i="10"/>
  <c r="R76" i="10"/>
  <c r="I76" i="10"/>
  <c r="J76" i="10"/>
  <c r="K76" i="10"/>
  <c r="E76" i="10"/>
  <c r="Q76" i="10"/>
  <c r="G76" i="10"/>
  <c r="S76" i="10"/>
  <c r="F76" i="10"/>
  <c r="H76" i="10"/>
  <c r="CI84" i="8"/>
  <c r="T84" i="10"/>
  <c r="N84" i="10"/>
  <c r="O84" i="10"/>
  <c r="P84" i="10"/>
  <c r="R84" i="10"/>
  <c r="I84" i="10"/>
  <c r="J84" i="10"/>
  <c r="K84" i="10"/>
  <c r="E84" i="10"/>
  <c r="Q84" i="10"/>
  <c r="G84" i="10"/>
  <c r="S84" i="10"/>
  <c r="F84" i="10"/>
  <c r="H84" i="10"/>
  <c r="CI92" i="8"/>
  <c r="R92" i="10"/>
  <c r="I92" i="10"/>
  <c r="S92" i="10"/>
  <c r="J92" i="10"/>
  <c r="O92" i="10"/>
  <c r="T92" i="10"/>
  <c r="K92" i="10"/>
  <c r="N92" i="10"/>
  <c r="E92" i="10"/>
  <c r="P92" i="10"/>
  <c r="G92" i="10"/>
  <c r="Q92" i="10"/>
  <c r="F92" i="10"/>
  <c r="H92" i="10"/>
  <c r="CI100" i="8"/>
  <c r="R100" i="10"/>
  <c r="I100" i="10"/>
  <c r="O100" i="10"/>
  <c r="S100" i="10"/>
  <c r="J100" i="10"/>
  <c r="T100" i="10"/>
  <c r="K100" i="10"/>
  <c r="N100" i="10"/>
  <c r="E100" i="10"/>
  <c r="P100" i="10"/>
  <c r="G100" i="10"/>
  <c r="Q100" i="10"/>
  <c r="F100" i="10"/>
  <c r="H100" i="10"/>
  <c r="CI38" i="8"/>
  <c r="T38" i="10"/>
  <c r="N38" i="10"/>
  <c r="O38" i="10"/>
  <c r="P38" i="10"/>
  <c r="R38" i="10"/>
  <c r="I38" i="10"/>
  <c r="F38" i="10"/>
  <c r="J38" i="10"/>
  <c r="Q38" i="10"/>
  <c r="K38" i="10"/>
  <c r="S38" i="10"/>
  <c r="E38" i="10"/>
  <c r="G38" i="10"/>
  <c r="H38" i="10"/>
  <c r="CI8" i="8"/>
  <c r="T8" i="10"/>
  <c r="N8" i="10"/>
  <c r="O8" i="10"/>
  <c r="P8" i="10"/>
  <c r="R8" i="10"/>
  <c r="I8" i="10"/>
  <c r="J8" i="10"/>
  <c r="K8" i="10"/>
  <c r="F8" i="10"/>
  <c r="E8" i="10"/>
  <c r="Q8" i="10"/>
  <c r="G8" i="10"/>
  <c r="S8" i="10"/>
  <c r="H8" i="10"/>
  <c r="CI41" i="8"/>
  <c r="T41" i="10"/>
  <c r="N41" i="10"/>
  <c r="O41" i="10"/>
  <c r="P41" i="10"/>
  <c r="R41" i="10"/>
  <c r="Q41" i="10"/>
  <c r="I41" i="10"/>
  <c r="S41" i="10"/>
  <c r="J41" i="10"/>
  <c r="F41" i="10"/>
  <c r="K41" i="10"/>
  <c r="E41" i="10"/>
  <c r="G41" i="10"/>
  <c r="H41" i="10"/>
  <c r="CI57" i="8"/>
  <c r="T57" i="10"/>
  <c r="N57" i="10"/>
  <c r="O57" i="10"/>
  <c r="P57" i="10"/>
  <c r="R57" i="10"/>
  <c r="Q57" i="10"/>
  <c r="I57" i="10"/>
  <c r="F57" i="10"/>
  <c r="S57" i="10"/>
  <c r="J57" i="10"/>
  <c r="K57" i="10"/>
  <c r="E57" i="10"/>
  <c r="G57" i="10"/>
  <c r="H57" i="10"/>
  <c r="CI89" i="8"/>
  <c r="R89" i="10"/>
  <c r="I89" i="10"/>
  <c r="O89" i="10"/>
  <c r="S89" i="10"/>
  <c r="J89" i="10"/>
  <c r="T89" i="10"/>
  <c r="K89" i="10"/>
  <c r="N89" i="10"/>
  <c r="E89" i="10"/>
  <c r="P89" i="10"/>
  <c r="G89" i="10"/>
  <c r="Q89" i="10"/>
  <c r="F89" i="10"/>
  <c r="H89" i="10"/>
  <c r="CI4" i="8"/>
  <c r="T4" i="10"/>
  <c r="N4" i="10"/>
  <c r="O4" i="10"/>
  <c r="P4" i="10"/>
  <c r="R4" i="10"/>
  <c r="I4" i="10"/>
  <c r="J4" i="10"/>
  <c r="K4" i="10"/>
  <c r="F4" i="10"/>
  <c r="E4" i="10"/>
  <c r="Q4" i="10"/>
  <c r="G4" i="10"/>
  <c r="S4" i="10"/>
  <c r="H4" i="10"/>
  <c r="CI12" i="8"/>
  <c r="T12" i="10"/>
  <c r="N12" i="10"/>
  <c r="O12" i="10"/>
  <c r="P12" i="10"/>
  <c r="R12" i="10"/>
  <c r="I12" i="10"/>
  <c r="J12" i="10"/>
  <c r="K12" i="10"/>
  <c r="F12" i="10"/>
  <c r="E12" i="10"/>
  <c r="Q12" i="10"/>
  <c r="G12" i="10"/>
  <c r="S12" i="10"/>
  <c r="H12" i="10"/>
  <c r="CI20" i="8"/>
  <c r="T20" i="10"/>
  <c r="N20" i="10"/>
  <c r="O20" i="10"/>
  <c r="P20" i="10"/>
  <c r="R20" i="10"/>
  <c r="I20" i="10"/>
  <c r="J20" i="10"/>
  <c r="F20" i="10"/>
  <c r="K20" i="10"/>
  <c r="E20" i="10"/>
  <c r="Q20" i="10"/>
  <c r="G20" i="10"/>
  <c r="S20" i="10"/>
  <c r="H20" i="10"/>
  <c r="CI28" i="8"/>
  <c r="T28" i="10"/>
  <c r="N28" i="10"/>
  <c r="O28" i="10"/>
  <c r="P28" i="10"/>
  <c r="R28" i="10"/>
  <c r="I28" i="10"/>
  <c r="F28" i="10"/>
  <c r="J28" i="10"/>
  <c r="K28" i="10"/>
  <c r="E28" i="10"/>
  <c r="Q28" i="10"/>
  <c r="G28" i="10"/>
  <c r="S28" i="10"/>
  <c r="H28" i="10"/>
  <c r="CI36" i="8"/>
  <c r="T36" i="10"/>
  <c r="N36" i="10"/>
  <c r="O36" i="10"/>
  <c r="P36" i="10"/>
  <c r="R36" i="10"/>
  <c r="I36" i="10"/>
  <c r="J36" i="10"/>
  <c r="K36" i="10"/>
  <c r="F36" i="10"/>
  <c r="E36" i="10"/>
  <c r="Q36" i="10"/>
  <c r="G36" i="10"/>
  <c r="S36" i="10"/>
  <c r="H36" i="10"/>
  <c r="CI45" i="8"/>
  <c r="T45" i="10"/>
  <c r="N45" i="10"/>
  <c r="O45" i="10"/>
  <c r="P45" i="10"/>
  <c r="R45" i="10"/>
  <c r="Q45" i="10"/>
  <c r="I45" i="10"/>
  <c r="S45" i="10"/>
  <c r="J45" i="10"/>
  <c r="K45" i="10"/>
  <c r="F45" i="10"/>
  <c r="E45" i="10"/>
  <c r="G45" i="10"/>
  <c r="H45" i="10"/>
  <c r="CI53" i="8"/>
  <c r="T53" i="10"/>
  <c r="N53" i="10"/>
  <c r="O53" i="10"/>
  <c r="P53" i="10"/>
  <c r="R53" i="10"/>
  <c r="Q53" i="10"/>
  <c r="I53" i="10"/>
  <c r="S53" i="10"/>
  <c r="J53" i="10"/>
  <c r="K53" i="10"/>
  <c r="F53" i="10"/>
  <c r="E53" i="10"/>
  <c r="G53" i="10"/>
  <c r="H53" i="10"/>
  <c r="CI61" i="8"/>
  <c r="T61" i="10"/>
  <c r="N61" i="10"/>
  <c r="O61" i="10"/>
  <c r="P61" i="10"/>
  <c r="R61" i="10"/>
  <c r="Q61" i="10"/>
  <c r="I61" i="10"/>
  <c r="S61" i="10"/>
  <c r="J61" i="10"/>
  <c r="K61" i="10"/>
  <c r="F61" i="10"/>
  <c r="E61" i="10"/>
  <c r="G61" i="10"/>
  <c r="H61" i="10"/>
  <c r="CI69" i="8"/>
  <c r="T69" i="10"/>
  <c r="N69" i="10"/>
  <c r="O69" i="10"/>
  <c r="P69" i="10"/>
  <c r="R69" i="10"/>
  <c r="Q69" i="10"/>
  <c r="I69" i="10"/>
  <c r="S69" i="10"/>
  <c r="J69" i="10"/>
  <c r="K69" i="10"/>
  <c r="E69" i="10"/>
  <c r="F69" i="10"/>
  <c r="G69" i="10"/>
  <c r="H69" i="10"/>
  <c r="CI77" i="8"/>
  <c r="T77" i="10"/>
  <c r="N77" i="10"/>
  <c r="O77" i="10"/>
  <c r="P77" i="10"/>
  <c r="R77" i="10"/>
  <c r="Q77" i="10"/>
  <c r="I77" i="10"/>
  <c r="S77" i="10"/>
  <c r="J77" i="10"/>
  <c r="K77" i="10"/>
  <c r="E77" i="10"/>
  <c r="G77" i="10"/>
  <c r="H77" i="10"/>
  <c r="F77" i="10"/>
  <c r="CI85" i="8"/>
  <c r="N85" i="10"/>
  <c r="O85" i="10"/>
  <c r="P85" i="10"/>
  <c r="R85" i="10"/>
  <c r="Q85" i="10"/>
  <c r="I85" i="10"/>
  <c r="S85" i="10"/>
  <c r="J85" i="10"/>
  <c r="T85" i="10"/>
  <c r="K85" i="10"/>
  <c r="E85" i="10"/>
  <c r="G85" i="10"/>
  <c r="H85" i="10"/>
  <c r="F85" i="10"/>
  <c r="CI93" i="8"/>
  <c r="R93" i="10"/>
  <c r="I93" i="10"/>
  <c r="S93" i="10"/>
  <c r="J93" i="10"/>
  <c r="T93" i="10"/>
  <c r="K93" i="10"/>
  <c r="O93" i="10"/>
  <c r="N93" i="10"/>
  <c r="E93" i="10"/>
  <c r="P93" i="10"/>
  <c r="G93" i="10"/>
  <c r="Q93" i="10"/>
  <c r="F93" i="10"/>
  <c r="H93" i="10"/>
  <c r="CI101" i="8"/>
  <c r="R101" i="10"/>
  <c r="I101" i="10"/>
  <c r="S101" i="10"/>
  <c r="J101" i="10"/>
  <c r="T101" i="10"/>
  <c r="K101" i="10"/>
  <c r="O101" i="10"/>
  <c r="N101" i="10"/>
  <c r="E101" i="10"/>
  <c r="P101" i="10"/>
  <c r="G101" i="10"/>
  <c r="Q101" i="10"/>
  <c r="F101" i="10"/>
  <c r="H101" i="10"/>
  <c r="CI6" i="8"/>
  <c r="T6" i="10"/>
  <c r="N6" i="10"/>
  <c r="O6" i="10"/>
  <c r="P6" i="10"/>
  <c r="R6" i="10"/>
  <c r="I6" i="10"/>
  <c r="J6" i="10"/>
  <c r="Q6" i="10"/>
  <c r="K6" i="10"/>
  <c r="F6" i="10"/>
  <c r="S6" i="10"/>
  <c r="E6" i="10"/>
  <c r="G6" i="10"/>
  <c r="H6" i="10"/>
  <c r="CI71" i="8"/>
  <c r="T71" i="10"/>
  <c r="N71" i="10"/>
  <c r="O71" i="10"/>
  <c r="P71" i="10"/>
  <c r="R71" i="10"/>
  <c r="I71" i="10"/>
  <c r="J71" i="10"/>
  <c r="K71" i="10"/>
  <c r="F71" i="10"/>
  <c r="Q71" i="10"/>
  <c r="E71" i="10"/>
  <c r="S71" i="10"/>
  <c r="G71" i="10"/>
  <c r="H71" i="10"/>
  <c r="CI16" i="8"/>
  <c r="T16" i="10"/>
  <c r="N16" i="10"/>
  <c r="O16" i="10"/>
  <c r="P16" i="10"/>
  <c r="R16" i="10"/>
  <c r="I16" i="10"/>
  <c r="J16" i="10"/>
  <c r="K16" i="10"/>
  <c r="F16" i="10"/>
  <c r="E16" i="10"/>
  <c r="Q16" i="10"/>
  <c r="G16" i="10"/>
  <c r="S16" i="10"/>
  <c r="H16" i="10"/>
  <c r="CI49" i="8"/>
  <c r="T49" i="10"/>
  <c r="N49" i="10"/>
  <c r="O49" i="10"/>
  <c r="P49" i="10"/>
  <c r="R49" i="10"/>
  <c r="Q49" i="10"/>
  <c r="I49" i="10"/>
  <c r="S49" i="10"/>
  <c r="J49" i="10"/>
  <c r="K49" i="10"/>
  <c r="F49" i="10"/>
  <c r="E49" i="10"/>
  <c r="G49" i="10"/>
  <c r="H49" i="10"/>
  <c r="CI65" i="8"/>
  <c r="T65" i="10"/>
  <c r="N65" i="10"/>
  <c r="O65" i="10"/>
  <c r="P65" i="10"/>
  <c r="R65" i="10"/>
  <c r="Q65" i="10"/>
  <c r="I65" i="10"/>
  <c r="S65" i="10"/>
  <c r="J65" i="10"/>
  <c r="F65" i="10"/>
  <c r="K65" i="10"/>
  <c r="E65" i="10"/>
  <c r="G65" i="10"/>
  <c r="H65" i="10"/>
  <c r="CI97" i="8"/>
  <c r="R97" i="10"/>
  <c r="I97" i="10"/>
  <c r="S97" i="10"/>
  <c r="J97" i="10"/>
  <c r="T97" i="10"/>
  <c r="K97" i="10"/>
  <c r="O97" i="10"/>
  <c r="N97" i="10"/>
  <c r="E97" i="10"/>
  <c r="P97" i="10"/>
  <c r="G97" i="10"/>
  <c r="H97" i="10"/>
  <c r="F97" i="10"/>
  <c r="Q97" i="10"/>
  <c r="CI5" i="8"/>
  <c r="T5" i="10"/>
  <c r="N5" i="10"/>
  <c r="O5" i="10"/>
  <c r="P5" i="10"/>
  <c r="R5" i="10"/>
  <c r="Q5" i="10"/>
  <c r="I5" i="10"/>
  <c r="S5" i="10"/>
  <c r="J5" i="10"/>
  <c r="K5" i="10"/>
  <c r="E5" i="10"/>
  <c r="F5" i="10"/>
  <c r="G5" i="10"/>
  <c r="H5" i="10"/>
  <c r="CI13" i="8"/>
  <c r="T13" i="10"/>
  <c r="N13" i="10"/>
  <c r="O13" i="10"/>
  <c r="P13" i="10"/>
  <c r="R13" i="10"/>
  <c r="Q13" i="10"/>
  <c r="I13" i="10"/>
  <c r="F13" i="10"/>
  <c r="S13" i="10"/>
  <c r="J13" i="10"/>
  <c r="K13" i="10"/>
  <c r="E13" i="10"/>
  <c r="G13" i="10"/>
  <c r="H13" i="10"/>
  <c r="CI21" i="8"/>
  <c r="T21" i="10"/>
  <c r="N21" i="10"/>
  <c r="O21" i="10"/>
  <c r="P21" i="10"/>
  <c r="R21" i="10"/>
  <c r="Q21" i="10"/>
  <c r="I21" i="10"/>
  <c r="S21" i="10"/>
  <c r="J21" i="10"/>
  <c r="K21" i="10"/>
  <c r="F21" i="10"/>
  <c r="E21" i="10"/>
  <c r="G21" i="10"/>
  <c r="H21" i="10"/>
  <c r="CI29" i="8"/>
  <c r="T29" i="10"/>
  <c r="N29" i="10"/>
  <c r="O29" i="10"/>
  <c r="P29" i="10"/>
  <c r="R29" i="10"/>
  <c r="Q29" i="10"/>
  <c r="I29" i="10"/>
  <c r="S29" i="10"/>
  <c r="J29" i="10"/>
  <c r="F29" i="10"/>
  <c r="K29" i="10"/>
  <c r="E29" i="10"/>
  <c r="G29" i="10"/>
  <c r="H29" i="10"/>
  <c r="CI37" i="8"/>
  <c r="T37" i="10"/>
  <c r="N37" i="10"/>
  <c r="O37" i="10"/>
  <c r="P37" i="10"/>
  <c r="R37" i="10"/>
  <c r="Q37" i="10"/>
  <c r="I37" i="10"/>
  <c r="S37" i="10"/>
  <c r="J37" i="10"/>
  <c r="F37" i="10"/>
  <c r="K37" i="10"/>
  <c r="E37" i="10"/>
  <c r="G37" i="10"/>
  <c r="H37" i="10"/>
  <c r="CI46" i="8"/>
  <c r="T46" i="10"/>
  <c r="N46" i="10"/>
  <c r="O46" i="10"/>
  <c r="P46" i="10"/>
  <c r="R46" i="10"/>
  <c r="I46" i="10"/>
  <c r="J46" i="10"/>
  <c r="F46" i="10"/>
  <c r="Q46" i="10"/>
  <c r="K46" i="10"/>
  <c r="S46" i="10"/>
  <c r="E46" i="10"/>
  <c r="G46" i="10"/>
  <c r="H46" i="10"/>
  <c r="CI54" i="8"/>
  <c r="T54" i="10"/>
  <c r="N54" i="10"/>
  <c r="O54" i="10"/>
  <c r="P54" i="10"/>
  <c r="R54" i="10"/>
  <c r="I54" i="10"/>
  <c r="J54" i="10"/>
  <c r="Q54" i="10"/>
  <c r="K54" i="10"/>
  <c r="S54" i="10"/>
  <c r="F54" i="10"/>
  <c r="E54" i="10"/>
  <c r="G54" i="10"/>
  <c r="H54" i="10"/>
  <c r="CI62" i="8"/>
  <c r="T62" i="10"/>
  <c r="N62" i="10"/>
  <c r="O62" i="10"/>
  <c r="P62" i="10"/>
  <c r="R62" i="10"/>
  <c r="I62" i="10"/>
  <c r="F62" i="10"/>
  <c r="J62" i="10"/>
  <c r="Q62" i="10"/>
  <c r="K62" i="10"/>
  <c r="S62" i="10"/>
  <c r="E62" i="10"/>
  <c r="G62" i="10"/>
  <c r="H62" i="10"/>
  <c r="CI70" i="8"/>
  <c r="T70" i="10"/>
  <c r="N70" i="10"/>
  <c r="O70" i="10"/>
  <c r="P70" i="10"/>
  <c r="R70" i="10"/>
  <c r="I70" i="10"/>
  <c r="J70" i="10"/>
  <c r="F70" i="10"/>
  <c r="Q70" i="10"/>
  <c r="K70" i="10"/>
  <c r="S70" i="10"/>
  <c r="E70" i="10"/>
  <c r="G70" i="10"/>
  <c r="H70" i="10"/>
  <c r="CI78" i="8"/>
  <c r="T78" i="10"/>
  <c r="N78" i="10"/>
  <c r="O78" i="10"/>
  <c r="P78" i="10"/>
  <c r="R78" i="10"/>
  <c r="I78" i="10"/>
  <c r="J78" i="10"/>
  <c r="Q78" i="10"/>
  <c r="K78" i="10"/>
  <c r="S78" i="10"/>
  <c r="E78" i="10"/>
  <c r="G78" i="10"/>
  <c r="H78" i="10"/>
  <c r="F78" i="10"/>
  <c r="CI86" i="8"/>
  <c r="R86" i="10"/>
  <c r="I86" i="10"/>
  <c r="S86" i="10"/>
  <c r="J86" i="10"/>
  <c r="T86" i="10"/>
  <c r="K86" i="10"/>
  <c r="O86" i="10"/>
  <c r="N86" i="10"/>
  <c r="E86" i="10"/>
  <c r="P86" i="10"/>
  <c r="G86" i="10"/>
  <c r="Q86" i="10"/>
  <c r="H86" i="10"/>
  <c r="F86" i="10"/>
  <c r="CI94" i="8"/>
  <c r="R94" i="10"/>
  <c r="I94" i="10"/>
  <c r="S94" i="10"/>
  <c r="J94" i="10"/>
  <c r="T94" i="10"/>
  <c r="K94" i="10"/>
  <c r="N94" i="10"/>
  <c r="E94" i="10"/>
  <c r="O94" i="10"/>
  <c r="P94" i="10"/>
  <c r="G94" i="10"/>
  <c r="H94" i="10"/>
  <c r="F94" i="10"/>
  <c r="Q94" i="10"/>
  <c r="CI102" i="8"/>
  <c r="R102" i="10"/>
  <c r="I102" i="10"/>
  <c r="S102" i="10"/>
  <c r="J102" i="10"/>
  <c r="T102" i="10"/>
  <c r="K102" i="10"/>
  <c r="N102" i="10"/>
  <c r="E102" i="10"/>
  <c r="O102" i="10"/>
  <c r="P102" i="10"/>
  <c r="G102" i="10"/>
  <c r="H102" i="10"/>
  <c r="Q102" i="10"/>
  <c r="F102" i="10"/>
  <c r="BB3" i="9"/>
  <c r="BJ3" i="9"/>
  <c r="CH3" i="9"/>
  <c r="CP3" i="9"/>
  <c r="CM3" i="9"/>
  <c r="DC3" i="9"/>
  <c r="BC3" i="9"/>
  <c r="BK3" i="9"/>
  <c r="CI3" i="9"/>
  <c r="CQ3" i="9"/>
  <c r="CY3" i="9"/>
  <c r="BG3" i="9"/>
  <c r="CU3" i="9"/>
  <c r="BL3" i="9"/>
  <c r="CJ3" i="9"/>
  <c r="CR3" i="9"/>
  <c r="CZ3" i="9"/>
  <c r="AW3" i="9"/>
  <c r="CK3" i="9"/>
  <c r="CS3" i="9"/>
  <c r="DA3" i="9"/>
  <c r="AY3" i="9"/>
  <c r="AX3" i="9"/>
  <c r="BF3" i="9"/>
  <c r="CL3" i="9"/>
  <c r="CT3" i="9"/>
  <c r="DB3" i="9"/>
  <c r="AZ3" i="9"/>
  <c r="BH3" i="9"/>
  <c r="CV3" i="9"/>
  <c r="DD3" i="9"/>
  <c r="BI3" i="9"/>
  <c r="DE3" i="9"/>
  <c r="BA3" i="9"/>
  <c r="CG3" i="9"/>
  <c r="AZ6" i="9"/>
  <c r="BH6" i="9"/>
  <c r="CV6" i="9"/>
  <c r="DD6" i="9"/>
  <c r="BA6" i="9"/>
  <c r="BI6" i="9"/>
  <c r="CG6" i="9"/>
  <c r="DE6" i="9"/>
  <c r="BB6" i="9"/>
  <c r="BJ6" i="9"/>
  <c r="CH6" i="9"/>
  <c r="CP6" i="9"/>
  <c r="BC6" i="9"/>
  <c r="BK6" i="9"/>
  <c r="CQ6" i="9"/>
  <c r="CY6" i="9"/>
  <c r="BL6" i="9"/>
  <c r="CJ6" i="9"/>
  <c r="CR6" i="9"/>
  <c r="CZ6" i="9"/>
  <c r="AX6" i="9"/>
  <c r="BF6" i="9"/>
  <c r="CL6" i="9"/>
  <c r="CT6" i="9"/>
  <c r="DB6" i="9"/>
  <c r="AW6" i="9"/>
  <c r="CU6" i="9"/>
  <c r="CK6" i="9"/>
  <c r="AY6" i="9"/>
  <c r="DA6" i="9"/>
  <c r="BG6" i="9"/>
  <c r="DC6" i="9"/>
  <c r="CM6" i="9"/>
  <c r="CS6" i="9"/>
  <c r="AW2" i="9"/>
  <c r="CK2" i="9"/>
  <c r="CS2" i="9"/>
  <c r="DA2" i="9"/>
  <c r="BJ2" i="9"/>
  <c r="CP2" i="9"/>
  <c r="AX2" i="9"/>
  <c r="BF2" i="9"/>
  <c r="CL2" i="9"/>
  <c r="CT2" i="9"/>
  <c r="DB2" i="9"/>
  <c r="AY2" i="9"/>
  <c r="BG2" i="9"/>
  <c r="CM2" i="9"/>
  <c r="CU2" i="9"/>
  <c r="DC2" i="9"/>
  <c r="AZ2" i="9"/>
  <c r="BH2" i="9"/>
  <c r="CV2" i="9"/>
  <c r="DD2" i="9"/>
  <c r="BB2" i="9"/>
  <c r="BA2" i="9"/>
  <c r="BI2" i="9"/>
  <c r="CG2" i="9"/>
  <c r="DE2" i="9"/>
  <c r="BC2" i="9"/>
  <c r="BK2" i="9"/>
  <c r="CI2" i="9"/>
  <c r="CQ2" i="9"/>
  <c r="CY2" i="9"/>
  <c r="BL2" i="9"/>
  <c r="CJ2" i="9"/>
  <c r="CR2" i="9"/>
  <c r="CZ2" i="9"/>
  <c r="BL4" i="9"/>
  <c r="CJ4" i="9"/>
  <c r="CR4" i="9"/>
  <c r="CZ4" i="9"/>
  <c r="BI4" i="9"/>
  <c r="AW4" i="9"/>
  <c r="CK4" i="9"/>
  <c r="CS4" i="9"/>
  <c r="DA4" i="9"/>
  <c r="AX4" i="9"/>
  <c r="BF4" i="9"/>
  <c r="CL4" i="9"/>
  <c r="CT4" i="9"/>
  <c r="DB4" i="9"/>
  <c r="AY4" i="9"/>
  <c r="BG4" i="9"/>
  <c r="CM4" i="9"/>
  <c r="CU4" i="9"/>
  <c r="DC4" i="9"/>
  <c r="BA4" i="9"/>
  <c r="AZ4" i="9"/>
  <c r="BH4" i="9"/>
  <c r="CV4" i="9"/>
  <c r="DD4" i="9"/>
  <c r="BB4" i="9"/>
  <c r="BJ4" i="9"/>
  <c r="CH4" i="9"/>
  <c r="CP4" i="9"/>
  <c r="CQ4" i="9"/>
  <c r="BC4" i="9"/>
  <c r="CY4" i="9"/>
  <c r="DE4" i="9"/>
  <c r="BK4" i="9"/>
  <c r="CG4" i="9"/>
  <c r="CI4" i="9"/>
  <c r="AX5" i="9"/>
  <c r="BF5" i="9"/>
  <c r="CL5" i="9"/>
  <c r="CT5" i="9"/>
  <c r="DB5" i="9"/>
  <c r="AY5" i="9"/>
  <c r="BG5" i="9"/>
  <c r="CM5" i="9"/>
  <c r="CU5" i="9"/>
  <c r="DC5" i="9"/>
  <c r="AZ5" i="9"/>
  <c r="BH5" i="9"/>
  <c r="CV5" i="9"/>
  <c r="DD5" i="9"/>
  <c r="BA5" i="9"/>
  <c r="BI5" i="9"/>
  <c r="CG5" i="9"/>
  <c r="DE5" i="9"/>
  <c r="BB5" i="9"/>
  <c r="BJ5" i="9"/>
  <c r="CH5" i="9"/>
  <c r="CP5" i="9"/>
  <c r="BL5" i="9"/>
  <c r="CJ5" i="9"/>
  <c r="CR5" i="9"/>
  <c r="CZ5" i="9"/>
  <c r="BK5" i="9"/>
  <c r="CI5" i="9"/>
  <c r="CK5" i="9"/>
  <c r="CS5" i="9"/>
  <c r="CQ5" i="9"/>
  <c r="AW5" i="9"/>
  <c r="CY5" i="9"/>
  <c r="DA5" i="9"/>
  <c r="BC5" i="9"/>
  <c r="BC7" i="9"/>
  <c r="BK7" i="9"/>
  <c r="CI7" i="9"/>
  <c r="CQ7" i="9"/>
  <c r="CY7" i="9"/>
  <c r="BL7" i="9"/>
  <c r="CJ7" i="9"/>
  <c r="CR7" i="9"/>
  <c r="CZ7" i="9"/>
  <c r="AW7" i="9"/>
  <c r="CK7" i="9"/>
  <c r="CS7" i="9"/>
  <c r="DA7" i="9"/>
  <c r="AX7" i="9"/>
  <c r="BF7" i="9"/>
  <c r="CL7" i="9"/>
  <c r="CT7" i="9"/>
  <c r="DB7" i="9"/>
  <c r="AY7" i="9"/>
  <c r="BG7" i="9"/>
  <c r="CM7" i="9"/>
  <c r="CU7" i="9"/>
  <c r="DC7" i="9"/>
  <c r="BA7" i="9"/>
  <c r="BI7" i="9"/>
  <c r="CG7" i="9"/>
  <c r="DE7" i="9"/>
  <c r="BJ7" i="9"/>
  <c r="AZ7" i="9"/>
  <c r="CP7" i="9"/>
  <c r="CV7" i="9"/>
  <c r="BH7" i="9"/>
  <c r="DD7" i="9"/>
  <c r="BB7" i="9"/>
  <c r="AW8" i="9"/>
  <c r="CK8" i="9"/>
  <c r="CS8" i="9"/>
  <c r="DA8" i="9"/>
  <c r="AX8" i="9"/>
  <c r="BF8" i="9"/>
  <c r="CL8" i="9"/>
  <c r="CT8" i="9"/>
  <c r="DB8" i="9"/>
  <c r="AY8" i="9"/>
  <c r="BG8" i="9"/>
  <c r="CM8" i="9"/>
  <c r="CU8" i="9"/>
  <c r="DC8" i="9"/>
  <c r="AZ8" i="9"/>
  <c r="BH8" i="9"/>
  <c r="CV8" i="9"/>
  <c r="DD8" i="9"/>
  <c r="BA8" i="9"/>
  <c r="BI8" i="9"/>
  <c r="CG8" i="9"/>
  <c r="DE8" i="9"/>
  <c r="BC8" i="9"/>
  <c r="BK8" i="9"/>
  <c r="CI8" i="9"/>
  <c r="CQ8" i="9"/>
  <c r="CY8" i="9"/>
  <c r="BB8" i="9"/>
  <c r="CJ8" i="9"/>
  <c r="BJ8" i="9"/>
  <c r="CZ8" i="9"/>
  <c r="BL8" i="9"/>
  <c r="CP8" i="9"/>
  <c r="CR8" i="9"/>
  <c r="AZ9" i="9"/>
  <c r="BH9" i="9"/>
  <c r="CV9" i="9"/>
  <c r="DD9" i="9"/>
  <c r="BA9" i="9"/>
  <c r="BI9" i="9"/>
  <c r="CG9" i="9"/>
  <c r="DE9" i="9"/>
  <c r="BB9" i="9"/>
  <c r="BJ9" i="9"/>
  <c r="CH9" i="9"/>
  <c r="CP9" i="9"/>
  <c r="BC9" i="9"/>
  <c r="BK9" i="9"/>
  <c r="CQ9" i="9"/>
  <c r="CY9" i="9"/>
  <c r="BL9" i="9"/>
  <c r="CJ9" i="9"/>
  <c r="CR9" i="9"/>
  <c r="CZ9" i="9"/>
  <c r="AX9" i="9"/>
  <c r="BF9" i="9"/>
  <c r="CL9" i="9"/>
  <c r="CT9" i="9"/>
  <c r="DB9" i="9"/>
  <c r="DC9" i="9"/>
  <c r="CS9" i="9"/>
  <c r="AW9" i="9"/>
  <c r="CU9" i="9"/>
  <c r="DA9" i="9"/>
  <c r="AY9" i="9"/>
  <c r="BG9" i="9"/>
  <c r="CK9" i="9"/>
  <c r="CM9" i="9"/>
  <c r="JH16" i="9"/>
  <c r="JA16" i="9"/>
  <c r="JI16" i="9"/>
  <c r="JB16" i="9"/>
  <c r="JJ16" i="9"/>
  <c r="JC16" i="9"/>
  <c r="JK16" i="9"/>
  <c r="JD16" i="9"/>
  <c r="JL16" i="9"/>
  <c r="JM16" i="9"/>
  <c r="IX16" i="9"/>
  <c r="IY16" i="9"/>
  <c r="JG16" i="9"/>
  <c r="IZ16" i="9"/>
  <c r="JH33" i="9"/>
  <c r="JI33" i="9"/>
  <c r="JJ33" i="9"/>
  <c r="JK33" i="9"/>
  <c r="JL33" i="9"/>
  <c r="JM33" i="9"/>
  <c r="IX33" i="9"/>
  <c r="IY33" i="9"/>
  <c r="IZ33" i="9"/>
  <c r="JG33" i="9"/>
  <c r="JA33" i="9"/>
  <c r="KK33" i="9" s="1"/>
  <c r="JB33" i="9"/>
  <c r="JC33" i="9"/>
  <c r="KM33" i="9" s="1"/>
  <c r="JD33" i="9"/>
  <c r="KN33" i="9" s="1"/>
  <c r="JH63" i="9"/>
  <c r="JI63" i="9"/>
  <c r="JJ63" i="9"/>
  <c r="JK63" i="9"/>
  <c r="JL63" i="9"/>
  <c r="JM63" i="9"/>
  <c r="IX63" i="9"/>
  <c r="JG63" i="9"/>
  <c r="IY63" i="9"/>
  <c r="KI63" i="9" s="1"/>
  <c r="IZ63" i="9"/>
  <c r="KJ63" i="9" s="1"/>
  <c r="JA63" i="9"/>
  <c r="KK63" i="9" s="1"/>
  <c r="JB63" i="9"/>
  <c r="JC63" i="9"/>
  <c r="KM63" i="9" s="1"/>
  <c r="JD63" i="9"/>
  <c r="JH96" i="9"/>
  <c r="JI96" i="9"/>
  <c r="JJ96" i="9"/>
  <c r="JK96" i="9"/>
  <c r="JL96" i="9"/>
  <c r="JM96" i="9"/>
  <c r="IY96" i="9"/>
  <c r="JG96" i="9"/>
  <c r="IZ96" i="9"/>
  <c r="JA96" i="9"/>
  <c r="JB96" i="9"/>
  <c r="JC96" i="9"/>
  <c r="JD96" i="9"/>
  <c r="IX96" i="9"/>
  <c r="JI2" i="9"/>
  <c r="JJ2" i="9"/>
  <c r="JK2" i="9"/>
  <c r="JL2" i="9"/>
  <c r="JG2" i="9"/>
  <c r="IZ2" i="9"/>
  <c r="JH2" i="9"/>
  <c r="JA2" i="9"/>
  <c r="JB2" i="9"/>
  <c r="JC2" i="9"/>
  <c r="IX2" i="9"/>
  <c r="JD2" i="9"/>
  <c r="IY2" i="9"/>
  <c r="JH10" i="9"/>
  <c r="JA10" i="9"/>
  <c r="JI10" i="9"/>
  <c r="JB10" i="9"/>
  <c r="JJ10" i="9"/>
  <c r="JC10" i="9"/>
  <c r="JK10" i="9"/>
  <c r="JD10" i="9"/>
  <c r="JL10" i="9"/>
  <c r="JM10" i="9"/>
  <c r="IX10" i="9"/>
  <c r="IY10" i="9"/>
  <c r="IZ10" i="9"/>
  <c r="JG10" i="9"/>
  <c r="JH18" i="9"/>
  <c r="JA18" i="9"/>
  <c r="JI18" i="9"/>
  <c r="JB18" i="9"/>
  <c r="JJ18" i="9"/>
  <c r="JC18" i="9"/>
  <c r="JK18" i="9"/>
  <c r="JD18" i="9"/>
  <c r="JL18" i="9"/>
  <c r="JM18" i="9"/>
  <c r="IX18" i="9"/>
  <c r="IY18" i="9"/>
  <c r="JG18" i="9"/>
  <c r="IZ18" i="9"/>
  <c r="JH26" i="9"/>
  <c r="JA26" i="9"/>
  <c r="JI26" i="9"/>
  <c r="JB26" i="9"/>
  <c r="JJ26" i="9"/>
  <c r="JC26" i="9"/>
  <c r="JK26" i="9"/>
  <c r="JD26" i="9"/>
  <c r="JL26" i="9"/>
  <c r="JM26" i="9"/>
  <c r="IX26" i="9"/>
  <c r="IY26" i="9"/>
  <c r="JG26" i="9"/>
  <c r="IZ26" i="9"/>
  <c r="JH34" i="9"/>
  <c r="JI34" i="9"/>
  <c r="JJ34" i="9"/>
  <c r="JK34" i="9"/>
  <c r="JL34" i="9"/>
  <c r="JM34" i="9"/>
  <c r="IX34" i="9"/>
  <c r="IY34" i="9"/>
  <c r="IZ34" i="9"/>
  <c r="JA34" i="9"/>
  <c r="JG34" i="9"/>
  <c r="JB34" i="9"/>
  <c r="KL34" i="9" s="1"/>
  <c r="JC34" i="9"/>
  <c r="JD34" i="9"/>
  <c r="KN34" i="9" s="1"/>
  <c r="JH44" i="9"/>
  <c r="JI44" i="9"/>
  <c r="JJ44" i="9"/>
  <c r="JK44" i="9"/>
  <c r="JL44" i="9"/>
  <c r="JM44" i="9"/>
  <c r="IX44" i="9"/>
  <c r="IY44" i="9"/>
  <c r="IZ44" i="9"/>
  <c r="JA44" i="9"/>
  <c r="JB44" i="9"/>
  <c r="JC44" i="9"/>
  <c r="JG44" i="9"/>
  <c r="JD44" i="9"/>
  <c r="KN44" i="9" s="1"/>
  <c r="JH56" i="9"/>
  <c r="JI56" i="9"/>
  <c r="JJ56" i="9"/>
  <c r="JK56" i="9"/>
  <c r="JL56" i="9"/>
  <c r="JM56" i="9"/>
  <c r="IX56" i="9"/>
  <c r="IY56" i="9"/>
  <c r="JG56" i="9"/>
  <c r="IZ56" i="9"/>
  <c r="JA56" i="9"/>
  <c r="JB56" i="9"/>
  <c r="KL56" i="9" s="1"/>
  <c r="JC56" i="9"/>
  <c r="KM56" i="9" s="1"/>
  <c r="JD56" i="9"/>
  <c r="KN56" i="9" s="1"/>
  <c r="JH64" i="9"/>
  <c r="JI64" i="9"/>
  <c r="JJ64" i="9"/>
  <c r="JK64" i="9"/>
  <c r="JL64" i="9"/>
  <c r="JM64" i="9"/>
  <c r="IX64" i="9"/>
  <c r="IY64" i="9"/>
  <c r="JG64" i="9"/>
  <c r="IZ64" i="9"/>
  <c r="KJ64" i="9" s="1"/>
  <c r="JA64" i="9"/>
  <c r="KK64" i="9" s="1"/>
  <c r="JB64" i="9"/>
  <c r="KL64" i="9" s="1"/>
  <c r="JC64" i="9"/>
  <c r="KM64" i="9" s="1"/>
  <c r="JD64" i="9"/>
  <c r="KN64" i="9" s="1"/>
  <c r="JH72" i="9"/>
  <c r="JI72" i="9"/>
  <c r="JJ72" i="9"/>
  <c r="JK72" i="9"/>
  <c r="JL72" i="9"/>
  <c r="JM72" i="9"/>
  <c r="IX72" i="9"/>
  <c r="IY72" i="9"/>
  <c r="JG72" i="9"/>
  <c r="IZ72" i="9"/>
  <c r="KJ72" i="9" s="1"/>
  <c r="JA72" i="9"/>
  <c r="KK72" i="9" s="1"/>
  <c r="JB72" i="9"/>
  <c r="KL72" i="9" s="1"/>
  <c r="JC72" i="9"/>
  <c r="KM72" i="9" s="1"/>
  <c r="JD72" i="9"/>
  <c r="KN72" i="9" s="1"/>
  <c r="JH80" i="9"/>
  <c r="JI80" i="9"/>
  <c r="JJ80" i="9"/>
  <c r="JK80" i="9"/>
  <c r="JL80" i="9"/>
  <c r="JM80" i="9"/>
  <c r="IY80" i="9"/>
  <c r="JG80" i="9"/>
  <c r="IZ80" i="9"/>
  <c r="JA80" i="9"/>
  <c r="JB80" i="9"/>
  <c r="JC80" i="9"/>
  <c r="IX80" i="9"/>
  <c r="JD80" i="9"/>
  <c r="KN80" i="9" s="1"/>
  <c r="JH88" i="9"/>
  <c r="JI88" i="9"/>
  <c r="JJ88" i="9"/>
  <c r="JK88" i="9"/>
  <c r="JL88" i="9"/>
  <c r="JM88" i="9"/>
  <c r="IY88" i="9"/>
  <c r="JG88" i="9"/>
  <c r="IZ88" i="9"/>
  <c r="IX88" i="9"/>
  <c r="JA88" i="9"/>
  <c r="KK88" i="9" s="1"/>
  <c r="JB88" i="9"/>
  <c r="KL88" i="9" s="1"/>
  <c r="JC88" i="9"/>
  <c r="KM88" i="9" s="1"/>
  <c r="JD88" i="9"/>
  <c r="KN88" i="9" s="1"/>
  <c r="JH97" i="9"/>
  <c r="JI97" i="9"/>
  <c r="JJ97" i="9"/>
  <c r="JK97" i="9"/>
  <c r="JL97" i="9"/>
  <c r="JM97" i="9"/>
  <c r="IZ97" i="9"/>
  <c r="IX97" i="9"/>
  <c r="JG97" i="9"/>
  <c r="JA97" i="9"/>
  <c r="IY97" i="9"/>
  <c r="JB97" i="9"/>
  <c r="KL97" i="9" s="1"/>
  <c r="JC97" i="9"/>
  <c r="JD97" i="9"/>
  <c r="KN97" i="9" s="1"/>
  <c r="JH51" i="9"/>
  <c r="JI51" i="9"/>
  <c r="JJ51" i="9"/>
  <c r="JK51" i="9"/>
  <c r="JL51" i="9"/>
  <c r="JM51" i="9"/>
  <c r="IX51" i="9"/>
  <c r="IY51" i="9"/>
  <c r="IZ51" i="9"/>
  <c r="JA51" i="9"/>
  <c r="JB51" i="9"/>
  <c r="JG51" i="9"/>
  <c r="JC51" i="9"/>
  <c r="KM51" i="9" s="1"/>
  <c r="JD51" i="9"/>
  <c r="KN51" i="9" s="1"/>
  <c r="JH52" i="9"/>
  <c r="JI52" i="9"/>
  <c r="JJ52" i="9"/>
  <c r="JK52" i="9"/>
  <c r="JL52" i="9"/>
  <c r="JM52" i="9"/>
  <c r="IX52" i="9"/>
  <c r="IY52" i="9"/>
  <c r="IZ52" i="9"/>
  <c r="JA52" i="9"/>
  <c r="JB52" i="9"/>
  <c r="JC52" i="9"/>
  <c r="JG52" i="9"/>
  <c r="JD52" i="9"/>
  <c r="KN52" i="9" s="1"/>
  <c r="JH43" i="9"/>
  <c r="JI43" i="9"/>
  <c r="JJ43" i="9"/>
  <c r="JK43" i="9"/>
  <c r="JL43" i="9"/>
  <c r="JM43" i="9"/>
  <c r="IX43" i="9"/>
  <c r="IY43" i="9"/>
  <c r="IZ43" i="9"/>
  <c r="JA43" i="9"/>
  <c r="JB43" i="9"/>
  <c r="JG43" i="9"/>
  <c r="JC43" i="9"/>
  <c r="KM43" i="9" s="1"/>
  <c r="JD43" i="9"/>
  <c r="KN43" i="9" s="1"/>
  <c r="JH87" i="9"/>
  <c r="JI87" i="9"/>
  <c r="JJ87" i="9"/>
  <c r="JK87" i="9"/>
  <c r="JL87" i="9"/>
  <c r="JM87" i="9"/>
  <c r="JG87" i="9"/>
  <c r="IZ87" i="9"/>
  <c r="JA87" i="9"/>
  <c r="JB87" i="9"/>
  <c r="JC87" i="9"/>
  <c r="IX87" i="9"/>
  <c r="JD87" i="9"/>
  <c r="IY87" i="9"/>
  <c r="JH3" i="9"/>
  <c r="JA3" i="9"/>
  <c r="JI3" i="9"/>
  <c r="JB3" i="9"/>
  <c r="JJ3" i="9"/>
  <c r="JC3" i="9"/>
  <c r="JK3" i="9"/>
  <c r="JD3" i="9"/>
  <c r="JL3" i="9"/>
  <c r="JM3" i="9"/>
  <c r="IX3" i="9"/>
  <c r="IY3" i="9"/>
  <c r="IZ3" i="9"/>
  <c r="JG3" i="9"/>
  <c r="JH11" i="9"/>
  <c r="JA11" i="9"/>
  <c r="JI11" i="9"/>
  <c r="JB11" i="9"/>
  <c r="JJ11" i="9"/>
  <c r="JC11" i="9"/>
  <c r="JK11" i="9"/>
  <c r="JD11" i="9"/>
  <c r="JL11" i="9"/>
  <c r="JM11" i="9"/>
  <c r="IX11" i="9"/>
  <c r="IY11" i="9"/>
  <c r="IZ11" i="9"/>
  <c r="JG11" i="9"/>
  <c r="JH19" i="9"/>
  <c r="JA19" i="9"/>
  <c r="JI19" i="9"/>
  <c r="JB19" i="9"/>
  <c r="JJ19" i="9"/>
  <c r="JC19" i="9"/>
  <c r="JK19" i="9"/>
  <c r="JD19" i="9"/>
  <c r="JL19" i="9"/>
  <c r="JM19" i="9"/>
  <c r="IX19" i="9"/>
  <c r="IY19" i="9"/>
  <c r="IZ19" i="9"/>
  <c r="JG19" i="9"/>
  <c r="JH27" i="9"/>
  <c r="JA27" i="9"/>
  <c r="JI27" i="9"/>
  <c r="JB27" i="9"/>
  <c r="JJ27" i="9"/>
  <c r="JC27" i="9"/>
  <c r="JK27" i="9"/>
  <c r="JD27" i="9"/>
  <c r="JL27" i="9"/>
  <c r="JM27" i="9"/>
  <c r="IX27" i="9"/>
  <c r="IY27" i="9"/>
  <c r="IZ27" i="9"/>
  <c r="JG27" i="9"/>
  <c r="JH35" i="9"/>
  <c r="JI35" i="9"/>
  <c r="JJ35" i="9"/>
  <c r="JK35" i="9"/>
  <c r="JL35" i="9"/>
  <c r="JM35" i="9"/>
  <c r="IX35" i="9"/>
  <c r="IY35" i="9"/>
  <c r="IZ35" i="9"/>
  <c r="JA35" i="9"/>
  <c r="JB35" i="9"/>
  <c r="JG35" i="9"/>
  <c r="JC35" i="9"/>
  <c r="JD35" i="9"/>
  <c r="KN35" i="9" s="1"/>
  <c r="JH45" i="9"/>
  <c r="JI45" i="9"/>
  <c r="JJ45" i="9"/>
  <c r="JK45" i="9"/>
  <c r="JL45" i="9"/>
  <c r="JM45" i="9"/>
  <c r="IX45" i="9"/>
  <c r="IY45" i="9"/>
  <c r="IZ45" i="9"/>
  <c r="JA45" i="9"/>
  <c r="JB45" i="9"/>
  <c r="JG45" i="9"/>
  <c r="JC45" i="9"/>
  <c r="KM45" i="9" s="1"/>
  <c r="JD45" i="9"/>
  <c r="KN45" i="9" s="1"/>
  <c r="JH57" i="9"/>
  <c r="JI57" i="9"/>
  <c r="JJ57" i="9"/>
  <c r="JK57" i="9"/>
  <c r="JL57" i="9"/>
  <c r="JM57" i="9"/>
  <c r="IX57" i="9"/>
  <c r="IY57" i="9"/>
  <c r="IZ57" i="9"/>
  <c r="JG57" i="9"/>
  <c r="JA57" i="9"/>
  <c r="KK57" i="9" s="1"/>
  <c r="JB57" i="9"/>
  <c r="JC57" i="9"/>
  <c r="KM57" i="9" s="1"/>
  <c r="JD57" i="9"/>
  <c r="KN57" i="9" s="1"/>
  <c r="JH65" i="9"/>
  <c r="JI65" i="9"/>
  <c r="JJ65" i="9"/>
  <c r="JK65" i="9"/>
  <c r="JL65" i="9"/>
  <c r="JM65" i="9"/>
  <c r="IX65" i="9"/>
  <c r="IY65" i="9"/>
  <c r="IZ65" i="9"/>
  <c r="JG65" i="9"/>
  <c r="JA65" i="9"/>
  <c r="KK65" i="9" s="1"/>
  <c r="JB65" i="9"/>
  <c r="KL65" i="9" s="1"/>
  <c r="JC65" i="9"/>
  <c r="KM65" i="9" s="1"/>
  <c r="JD65" i="9"/>
  <c r="KN65" i="9" s="1"/>
  <c r="JH73" i="9"/>
  <c r="JI73" i="9"/>
  <c r="JJ73" i="9"/>
  <c r="JK73" i="9"/>
  <c r="JL73" i="9"/>
  <c r="JM73" i="9"/>
  <c r="IY73" i="9"/>
  <c r="IZ73" i="9"/>
  <c r="JG73" i="9"/>
  <c r="JA73" i="9"/>
  <c r="IX73" i="9"/>
  <c r="JB73" i="9"/>
  <c r="KL73" i="9" s="1"/>
  <c r="JC73" i="9"/>
  <c r="JD73" i="9"/>
  <c r="KN73" i="9" s="1"/>
  <c r="JH81" i="9"/>
  <c r="JI81" i="9"/>
  <c r="JJ81" i="9"/>
  <c r="JK81" i="9"/>
  <c r="JL81" i="9"/>
  <c r="JM81" i="9"/>
  <c r="IX81" i="9"/>
  <c r="IY81" i="9"/>
  <c r="IZ81" i="9"/>
  <c r="JG81" i="9"/>
  <c r="JA81" i="9"/>
  <c r="KK81" i="9" s="1"/>
  <c r="JB81" i="9"/>
  <c r="KL81" i="9" s="1"/>
  <c r="JC81" i="9"/>
  <c r="KM81" i="9" s="1"/>
  <c r="JD81" i="9"/>
  <c r="JH89" i="9"/>
  <c r="JI89" i="9"/>
  <c r="JJ89" i="9"/>
  <c r="JK89" i="9"/>
  <c r="JL89" i="9"/>
  <c r="JM89" i="9"/>
  <c r="IZ89" i="9"/>
  <c r="JG89" i="9"/>
  <c r="JA89" i="9"/>
  <c r="IY89" i="9"/>
  <c r="JB89" i="9"/>
  <c r="JC89" i="9"/>
  <c r="JD89" i="9"/>
  <c r="IX89" i="9"/>
  <c r="JH98" i="9"/>
  <c r="JI98" i="9"/>
  <c r="JJ98" i="9"/>
  <c r="JK98" i="9"/>
  <c r="JL98" i="9"/>
  <c r="JM98" i="9"/>
  <c r="IY98" i="9"/>
  <c r="IZ98" i="9"/>
  <c r="JA98" i="9"/>
  <c r="JG98" i="9"/>
  <c r="JB98" i="9"/>
  <c r="JC98" i="9"/>
  <c r="IX98" i="9"/>
  <c r="JD98" i="9"/>
  <c r="JH25" i="9"/>
  <c r="JA25" i="9"/>
  <c r="JI25" i="9"/>
  <c r="JB25" i="9"/>
  <c r="JJ25" i="9"/>
  <c r="JC25" i="9"/>
  <c r="JK25" i="9"/>
  <c r="JD25" i="9"/>
  <c r="JL25" i="9"/>
  <c r="JM25" i="9"/>
  <c r="IX25" i="9"/>
  <c r="IY25" i="9"/>
  <c r="JG25" i="9"/>
  <c r="IZ25" i="9"/>
  <c r="JH71" i="9"/>
  <c r="JI71" i="9"/>
  <c r="JJ71" i="9"/>
  <c r="JK71" i="9"/>
  <c r="JL71" i="9"/>
  <c r="JM71" i="9"/>
  <c r="JG71" i="9"/>
  <c r="IY71" i="9"/>
  <c r="IZ71" i="9"/>
  <c r="JA71" i="9"/>
  <c r="JB71" i="9"/>
  <c r="JC71" i="9"/>
  <c r="IX71" i="9"/>
  <c r="JD71" i="9"/>
  <c r="KN71" i="9" s="1"/>
  <c r="JH4" i="9"/>
  <c r="JA4" i="9"/>
  <c r="JI4" i="9"/>
  <c r="JB4" i="9"/>
  <c r="JJ4" i="9"/>
  <c r="JC4" i="9"/>
  <c r="JK4" i="9"/>
  <c r="JD4" i="9"/>
  <c r="JL4" i="9"/>
  <c r="JM4" i="9"/>
  <c r="IX4" i="9"/>
  <c r="IY4" i="9"/>
  <c r="IZ4" i="9"/>
  <c r="JG4" i="9"/>
  <c r="JH12" i="9"/>
  <c r="JA12" i="9"/>
  <c r="JI12" i="9"/>
  <c r="JB12" i="9"/>
  <c r="JJ12" i="9"/>
  <c r="JC12" i="9"/>
  <c r="JK12" i="9"/>
  <c r="JD12" i="9"/>
  <c r="JL12" i="9"/>
  <c r="JM12" i="9"/>
  <c r="IX12" i="9"/>
  <c r="IY12" i="9"/>
  <c r="IZ12" i="9"/>
  <c r="JG12" i="9"/>
  <c r="JH20" i="9"/>
  <c r="JA20" i="9"/>
  <c r="JI20" i="9"/>
  <c r="JB20" i="9"/>
  <c r="JJ20" i="9"/>
  <c r="JC20" i="9"/>
  <c r="JK20" i="9"/>
  <c r="JD20" i="9"/>
  <c r="JL20" i="9"/>
  <c r="JM20" i="9"/>
  <c r="IX20" i="9"/>
  <c r="IY20" i="9"/>
  <c r="IZ20" i="9"/>
  <c r="JG20" i="9"/>
  <c r="JH28" i="9"/>
  <c r="JA28" i="9"/>
  <c r="JI28" i="9"/>
  <c r="JB28" i="9"/>
  <c r="JJ28" i="9"/>
  <c r="JC28" i="9"/>
  <c r="JK28" i="9"/>
  <c r="JD28" i="9"/>
  <c r="JL28" i="9"/>
  <c r="JM28" i="9"/>
  <c r="IX28" i="9"/>
  <c r="IY28" i="9"/>
  <c r="IZ28" i="9"/>
  <c r="JG28" i="9"/>
  <c r="JH36" i="9"/>
  <c r="JI36" i="9"/>
  <c r="JJ36" i="9"/>
  <c r="JK36" i="9"/>
  <c r="JL36" i="9"/>
  <c r="JM36" i="9"/>
  <c r="IX36" i="9"/>
  <c r="IY36" i="9"/>
  <c r="IZ36" i="9"/>
  <c r="JA36" i="9"/>
  <c r="JB36" i="9"/>
  <c r="JC36" i="9"/>
  <c r="JG36" i="9"/>
  <c r="JD36" i="9"/>
  <c r="KN36" i="9" s="1"/>
  <c r="JH46" i="9"/>
  <c r="JI46" i="9"/>
  <c r="JJ46" i="9"/>
  <c r="JK46" i="9"/>
  <c r="JL46" i="9"/>
  <c r="JM46" i="9"/>
  <c r="JG46" i="9"/>
  <c r="IX46" i="9"/>
  <c r="IY46" i="9"/>
  <c r="KI46" i="9" s="1"/>
  <c r="IZ46" i="9"/>
  <c r="KJ46" i="9" s="1"/>
  <c r="JA46" i="9"/>
  <c r="JB46" i="9"/>
  <c r="KL46" i="9" s="1"/>
  <c r="JC46" i="9"/>
  <c r="KM46" i="9" s="1"/>
  <c r="JD46" i="9"/>
  <c r="KN46" i="9" s="1"/>
  <c r="JH58" i="9"/>
  <c r="JI58" i="9"/>
  <c r="JJ58" i="9"/>
  <c r="JK58" i="9"/>
  <c r="JL58" i="9"/>
  <c r="JM58" i="9"/>
  <c r="IX58" i="9"/>
  <c r="IY58" i="9"/>
  <c r="IZ58" i="9"/>
  <c r="JA58" i="9"/>
  <c r="JG58" i="9"/>
  <c r="JB58" i="9"/>
  <c r="KL58" i="9" s="1"/>
  <c r="JC58" i="9"/>
  <c r="KM58" i="9" s="1"/>
  <c r="JD58" i="9"/>
  <c r="KN58" i="9" s="1"/>
  <c r="JH66" i="9"/>
  <c r="JI66" i="9"/>
  <c r="JJ66" i="9"/>
  <c r="JK66" i="9"/>
  <c r="JL66" i="9"/>
  <c r="JM66" i="9"/>
  <c r="IX66" i="9"/>
  <c r="IY66" i="9"/>
  <c r="IZ66" i="9"/>
  <c r="JA66" i="9"/>
  <c r="JG66" i="9"/>
  <c r="JB66" i="9"/>
  <c r="KL66" i="9" s="1"/>
  <c r="JC66" i="9"/>
  <c r="KM66" i="9" s="1"/>
  <c r="JD66" i="9"/>
  <c r="JH74" i="9"/>
  <c r="JI74" i="9"/>
  <c r="JJ74" i="9"/>
  <c r="JK74" i="9"/>
  <c r="JL74" i="9"/>
  <c r="JM74" i="9"/>
  <c r="IX74" i="9"/>
  <c r="IY74" i="9"/>
  <c r="IZ74" i="9"/>
  <c r="JA74" i="9"/>
  <c r="JG74" i="9"/>
  <c r="JB74" i="9"/>
  <c r="KL74" i="9" s="1"/>
  <c r="JC74" i="9"/>
  <c r="KM74" i="9" s="1"/>
  <c r="JD74" i="9"/>
  <c r="KN74" i="9" s="1"/>
  <c r="JH82" i="9"/>
  <c r="JI82" i="9"/>
  <c r="JJ82" i="9"/>
  <c r="JK82" i="9"/>
  <c r="JL82" i="9"/>
  <c r="JM82" i="9"/>
  <c r="IY82" i="9"/>
  <c r="IZ82" i="9"/>
  <c r="JA82" i="9"/>
  <c r="JG82" i="9"/>
  <c r="JB82" i="9"/>
  <c r="JC82" i="9"/>
  <c r="JD82" i="9"/>
  <c r="IX82" i="9"/>
  <c r="JH90" i="9"/>
  <c r="JI90" i="9"/>
  <c r="JJ90" i="9"/>
  <c r="JK90" i="9"/>
  <c r="JL90" i="9"/>
  <c r="JM90" i="9"/>
  <c r="IY90" i="9"/>
  <c r="IZ90" i="9"/>
  <c r="JA90" i="9"/>
  <c r="JG90" i="9"/>
  <c r="JB90" i="9"/>
  <c r="IX90" i="9"/>
  <c r="JC90" i="9"/>
  <c r="KM90" i="9" s="1"/>
  <c r="JD90" i="9"/>
  <c r="KN90" i="9" s="1"/>
  <c r="JH99" i="9"/>
  <c r="JI99" i="9"/>
  <c r="JJ99" i="9"/>
  <c r="JK99" i="9"/>
  <c r="JL99" i="9"/>
  <c r="JM99" i="9"/>
  <c r="IZ99" i="9"/>
  <c r="JA99" i="9"/>
  <c r="JB99" i="9"/>
  <c r="IX99" i="9"/>
  <c r="IY99" i="9"/>
  <c r="JG99" i="9"/>
  <c r="JC99" i="9"/>
  <c r="KM99" i="9" s="1"/>
  <c r="JD99" i="9"/>
  <c r="KN99" i="9" s="1"/>
  <c r="JH8" i="9"/>
  <c r="JA8" i="9"/>
  <c r="JI8" i="9"/>
  <c r="JB8" i="9"/>
  <c r="JJ8" i="9"/>
  <c r="JC8" i="9"/>
  <c r="JK8" i="9"/>
  <c r="JD8" i="9"/>
  <c r="JL8" i="9"/>
  <c r="JM8" i="9"/>
  <c r="IX8" i="9"/>
  <c r="IY8" i="9"/>
  <c r="JG8" i="9"/>
  <c r="IZ8" i="9"/>
  <c r="JH9" i="9"/>
  <c r="JA9" i="9"/>
  <c r="JI9" i="9"/>
  <c r="JB9" i="9"/>
  <c r="JJ9" i="9"/>
  <c r="JC9" i="9"/>
  <c r="JK9" i="9"/>
  <c r="JD9" i="9"/>
  <c r="JL9" i="9"/>
  <c r="JM9" i="9"/>
  <c r="IX9" i="9"/>
  <c r="IY9" i="9"/>
  <c r="JG9" i="9"/>
  <c r="IZ9" i="9"/>
  <c r="JH55" i="9"/>
  <c r="JI55" i="9"/>
  <c r="JJ55" i="9"/>
  <c r="JK55" i="9"/>
  <c r="JL55" i="9"/>
  <c r="JM55" i="9"/>
  <c r="IX55" i="9"/>
  <c r="JG55" i="9"/>
  <c r="IY55" i="9"/>
  <c r="KI55" i="9" s="1"/>
  <c r="IZ55" i="9"/>
  <c r="KJ55" i="9" s="1"/>
  <c r="JA55" i="9"/>
  <c r="KK55" i="9" s="1"/>
  <c r="JB55" i="9"/>
  <c r="KL55" i="9" s="1"/>
  <c r="JC55" i="9"/>
  <c r="KM55" i="9" s="1"/>
  <c r="JD55" i="9"/>
  <c r="KN55" i="9" s="1"/>
  <c r="JH79" i="9"/>
  <c r="JI79" i="9"/>
  <c r="JJ79" i="9"/>
  <c r="JK79" i="9"/>
  <c r="JL79" i="9"/>
  <c r="JM79" i="9"/>
  <c r="JG79" i="9"/>
  <c r="IY79" i="9"/>
  <c r="IZ79" i="9"/>
  <c r="JA79" i="9"/>
  <c r="JB79" i="9"/>
  <c r="IX79" i="9"/>
  <c r="JC79" i="9"/>
  <c r="KM79" i="9" s="1"/>
  <c r="JD79" i="9"/>
  <c r="JH5" i="9"/>
  <c r="JA5" i="9"/>
  <c r="JI5" i="9"/>
  <c r="JB5" i="9"/>
  <c r="JJ5" i="9"/>
  <c r="JC5" i="9"/>
  <c r="JK5" i="9"/>
  <c r="JD5" i="9"/>
  <c r="JL5" i="9"/>
  <c r="JM5" i="9"/>
  <c r="IX5" i="9"/>
  <c r="IY5" i="9"/>
  <c r="IZ5" i="9"/>
  <c r="JG5" i="9"/>
  <c r="JH13" i="9"/>
  <c r="JA13" i="9"/>
  <c r="JI13" i="9"/>
  <c r="JB13" i="9"/>
  <c r="JJ13" i="9"/>
  <c r="JC13" i="9"/>
  <c r="JK13" i="9"/>
  <c r="JD13" i="9"/>
  <c r="JL13" i="9"/>
  <c r="JM13" i="9"/>
  <c r="IX13" i="9"/>
  <c r="IY13" i="9"/>
  <c r="IZ13" i="9"/>
  <c r="JG13" i="9"/>
  <c r="JH21" i="9"/>
  <c r="JA21" i="9"/>
  <c r="JI21" i="9"/>
  <c r="JB21" i="9"/>
  <c r="JJ21" i="9"/>
  <c r="JC21" i="9"/>
  <c r="JK21" i="9"/>
  <c r="JD21" i="9"/>
  <c r="JL21" i="9"/>
  <c r="JM21" i="9"/>
  <c r="IX21" i="9"/>
  <c r="IY21" i="9"/>
  <c r="IZ21" i="9"/>
  <c r="JG21" i="9"/>
  <c r="JH29" i="9"/>
  <c r="JA29" i="9"/>
  <c r="JI29" i="9"/>
  <c r="JB29" i="9"/>
  <c r="JJ29" i="9"/>
  <c r="JC29" i="9"/>
  <c r="JK29" i="9"/>
  <c r="JD29" i="9"/>
  <c r="JL29" i="9"/>
  <c r="JM29" i="9"/>
  <c r="IX29" i="9"/>
  <c r="IY29" i="9"/>
  <c r="IZ29" i="9"/>
  <c r="JG29" i="9"/>
  <c r="JH37" i="9"/>
  <c r="JI37" i="9"/>
  <c r="JJ37" i="9"/>
  <c r="JK37" i="9"/>
  <c r="JL37" i="9"/>
  <c r="JM37" i="9"/>
  <c r="IX37" i="9"/>
  <c r="IY37" i="9"/>
  <c r="IZ37" i="9"/>
  <c r="JA37" i="9"/>
  <c r="JB37" i="9"/>
  <c r="JC37" i="9"/>
  <c r="JD37" i="9"/>
  <c r="JG37" i="9"/>
  <c r="JH47" i="9"/>
  <c r="JI47" i="9"/>
  <c r="JJ47" i="9"/>
  <c r="JK47" i="9"/>
  <c r="JL47" i="9"/>
  <c r="JM47" i="9"/>
  <c r="IX47" i="9"/>
  <c r="JG47" i="9"/>
  <c r="IY47" i="9"/>
  <c r="KI47" i="9" s="1"/>
  <c r="IZ47" i="9"/>
  <c r="KJ47" i="9" s="1"/>
  <c r="JA47" i="9"/>
  <c r="KK47" i="9" s="1"/>
  <c r="JB47" i="9"/>
  <c r="JC47" i="9"/>
  <c r="KM47" i="9" s="1"/>
  <c r="JD47" i="9"/>
  <c r="KN47" i="9" s="1"/>
  <c r="JH59" i="9"/>
  <c r="JI59" i="9"/>
  <c r="JJ59" i="9"/>
  <c r="JK59" i="9"/>
  <c r="JL59" i="9"/>
  <c r="JM59" i="9"/>
  <c r="IX59" i="9"/>
  <c r="IY59" i="9"/>
  <c r="IZ59" i="9"/>
  <c r="JA59" i="9"/>
  <c r="JB59" i="9"/>
  <c r="JG59" i="9"/>
  <c r="JC59" i="9"/>
  <c r="KM59" i="9" s="1"/>
  <c r="JD59" i="9"/>
  <c r="KN59" i="9" s="1"/>
  <c r="JH67" i="9"/>
  <c r="JI67" i="9"/>
  <c r="JJ67" i="9"/>
  <c r="JK67" i="9"/>
  <c r="JL67" i="9"/>
  <c r="JM67" i="9"/>
  <c r="IX67" i="9"/>
  <c r="IY67" i="9"/>
  <c r="IZ67" i="9"/>
  <c r="JA67" i="9"/>
  <c r="JB67" i="9"/>
  <c r="JG67" i="9"/>
  <c r="JC67" i="9"/>
  <c r="KM67" i="9" s="1"/>
  <c r="JD67" i="9"/>
  <c r="KN67" i="9" s="1"/>
  <c r="JH75" i="9"/>
  <c r="JI75" i="9"/>
  <c r="JJ75" i="9"/>
  <c r="JK75" i="9"/>
  <c r="JL75" i="9"/>
  <c r="JM75" i="9"/>
  <c r="IX75" i="9"/>
  <c r="IY75" i="9"/>
  <c r="IZ75" i="9"/>
  <c r="JA75" i="9"/>
  <c r="JB75" i="9"/>
  <c r="JG75" i="9"/>
  <c r="JC75" i="9"/>
  <c r="KM75" i="9" s="1"/>
  <c r="JD75" i="9"/>
  <c r="KN75" i="9" s="1"/>
  <c r="JH83" i="9"/>
  <c r="JI83" i="9"/>
  <c r="JJ83" i="9"/>
  <c r="JK83" i="9"/>
  <c r="JL83" i="9"/>
  <c r="JM83" i="9"/>
  <c r="IY83" i="9"/>
  <c r="IZ83" i="9"/>
  <c r="IX83" i="9"/>
  <c r="JA83" i="9"/>
  <c r="JB83" i="9"/>
  <c r="JG83" i="9"/>
  <c r="JC83" i="9"/>
  <c r="KM83" i="9" s="1"/>
  <c r="JD83" i="9"/>
  <c r="KN83" i="9" s="1"/>
  <c r="JH91" i="9"/>
  <c r="JI91" i="9"/>
  <c r="JJ91" i="9"/>
  <c r="JK91" i="9"/>
  <c r="JL91" i="9"/>
  <c r="JM91" i="9"/>
  <c r="IY91" i="9"/>
  <c r="IZ91" i="9"/>
  <c r="JA91" i="9"/>
  <c r="JB91" i="9"/>
  <c r="JG91" i="9"/>
  <c r="JC91" i="9"/>
  <c r="IX91" i="9"/>
  <c r="JD91" i="9"/>
  <c r="KN91" i="9" s="1"/>
  <c r="JH100" i="9"/>
  <c r="JI100" i="9"/>
  <c r="JJ100" i="9"/>
  <c r="JK100" i="9"/>
  <c r="JL100" i="9"/>
  <c r="JM100" i="9"/>
  <c r="IX100" i="9"/>
  <c r="IZ100" i="9"/>
  <c r="IY100" i="9"/>
  <c r="KI100" i="9" s="1"/>
  <c r="JA100" i="9"/>
  <c r="JB100" i="9"/>
  <c r="JC100" i="9"/>
  <c r="JG100" i="9"/>
  <c r="JD100" i="9"/>
  <c r="KG38" i="9"/>
  <c r="JH32" i="9"/>
  <c r="JA32" i="9"/>
  <c r="JI32" i="9"/>
  <c r="JB32" i="9"/>
  <c r="JJ32" i="9"/>
  <c r="JC32" i="9"/>
  <c r="JK32" i="9"/>
  <c r="JL32" i="9"/>
  <c r="JM32" i="9"/>
  <c r="IX32" i="9"/>
  <c r="IY32" i="9"/>
  <c r="JG32" i="9"/>
  <c r="IZ32" i="9"/>
  <c r="JD32" i="9"/>
  <c r="JH49" i="9"/>
  <c r="JI49" i="9"/>
  <c r="JJ49" i="9"/>
  <c r="JK49" i="9"/>
  <c r="JL49" i="9"/>
  <c r="JM49" i="9"/>
  <c r="IX49" i="9"/>
  <c r="IY49" i="9"/>
  <c r="IZ49" i="9"/>
  <c r="JG49" i="9"/>
  <c r="JA49" i="9"/>
  <c r="KK49" i="9" s="1"/>
  <c r="JB49" i="9"/>
  <c r="KL49" i="9" s="1"/>
  <c r="JC49" i="9"/>
  <c r="KM49" i="9" s="1"/>
  <c r="JD49" i="9"/>
  <c r="KN49" i="9" s="1"/>
  <c r="JH14" i="9"/>
  <c r="JA14" i="9"/>
  <c r="JI14" i="9"/>
  <c r="JB14" i="9"/>
  <c r="JJ14" i="9"/>
  <c r="JC14" i="9"/>
  <c r="JK14" i="9"/>
  <c r="JD14" i="9"/>
  <c r="JL14" i="9"/>
  <c r="JM14" i="9"/>
  <c r="IX14" i="9"/>
  <c r="IY14" i="9"/>
  <c r="JG14" i="9"/>
  <c r="IZ14" i="9"/>
  <c r="JH30" i="9"/>
  <c r="JA30" i="9"/>
  <c r="JI30" i="9"/>
  <c r="JB30" i="9"/>
  <c r="JJ30" i="9"/>
  <c r="JC30" i="9"/>
  <c r="JK30" i="9"/>
  <c r="JD30" i="9"/>
  <c r="JL30" i="9"/>
  <c r="JM30" i="9"/>
  <c r="IX30" i="9"/>
  <c r="IY30" i="9"/>
  <c r="JG30" i="9"/>
  <c r="IZ30" i="9"/>
  <c r="JH48" i="9"/>
  <c r="JI48" i="9"/>
  <c r="JJ48" i="9"/>
  <c r="JK48" i="9"/>
  <c r="JL48" i="9"/>
  <c r="JM48" i="9"/>
  <c r="IX48" i="9"/>
  <c r="IY48" i="9"/>
  <c r="JG48" i="9"/>
  <c r="IZ48" i="9"/>
  <c r="KJ48" i="9" s="1"/>
  <c r="JA48" i="9"/>
  <c r="KK48" i="9" s="1"/>
  <c r="JB48" i="9"/>
  <c r="KL48" i="9" s="1"/>
  <c r="JC48" i="9"/>
  <c r="KM48" i="9" s="1"/>
  <c r="JD48" i="9"/>
  <c r="KN48" i="9" s="1"/>
  <c r="JH68" i="9"/>
  <c r="JI68" i="9"/>
  <c r="JJ68" i="9"/>
  <c r="JK68" i="9"/>
  <c r="JL68" i="9"/>
  <c r="JM68" i="9"/>
  <c r="IY68" i="9"/>
  <c r="IZ68" i="9"/>
  <c r="JA68" i="9"/>
  <c r="JB68" i="9"/>
  <c r="JC68" i="9"/>
  <c r="JG68" i="9"/>
  <c r="JD68" i="9"/>
  <c r="IX68" i="9"/>
  <c r="JH84" i="9"/>
  <c r="JI84" i="9"/>
  <c r="JJ84" i="9"/>
  <c r="JK84" i="9"/>
  <c r="JL84" i="9"/>
  <c r="JM84" i="9"/>
  <c r="IZ84" i="9"/>
  <c r="JA84" i="9"/>
  <c r="IX84" i="9"/>
  <c r="JB84" i="9"/>
  <c r="JC84" i="9"/>
  <c r="IY84" i="9"/>
  <c r="JG84" i="9"/>
  <c r="JD84" i="9"/>
  <c r="KN84" i="9" s="1"/>
  <c r="JH93" i="9"/>
  <c r="JI93" i="9"/>
  <c r="JJ93" i="9"/>
  <c r="JK93" i="9"/>
  <c r="JL93" i="9"/>
  <c r="JM93" i="9"/>
  <c r="IZ93" i="9"/>
  <c r="JA93" i="9"/>
  <c r="IX93" i="9"/>
  <c r="JB93" i="9"/>
  <c r="JC93" i="9"/>
  <c r="JG93" i="9"/>
  <c r="JD93" i="9"/>
  <c r="IY93" i="9"/>
  <c r="JH101" i="9"/>
  <c r="JI101" i="9"/>
  <c r="JJ101" i="9"/>
  <c r="JK101" i="9"/>
  <c r="JL101" i="9"/>
  <c r="JM101" i="9"/>
  <c r="IZ101" i="9"/>
  <c r="JG101" i="9"/>
  <c r="IX101" i="9"/>
  <c r="JA101" i="9"/>
  <c r="JB101" i="9"/>
  <c r="JC101" i="9"/>
  <c r="IY101" i="9"/>
  <c r="JD101" i="9"/>
  <c r="KN101" i="9" s="1"/>
  <c r="JH17" i="9"/>
  <c r="JA17" i="9"/>
  <c r="JI17" i="9"/>
  <c r="JB17" i="9"/>
  <c r="JJ17" i="9"/>
  <c r="JC17" i="9"/>
  <c r="JK17" i="9"/>
  <c r="JD17" i="9"/>
  <c r="JL17" i="9"/>
  <c r="JM17" i="9"/>
  <c r="IX17" i="9"/>
  <c r="IY17" i="9"/>
  <c r="JG17" i="9"/>
  <c r="IZ17" i="9"/>
  <c r="JH6" i="9"/>
  <c r="JA6" i="9"/>
  <c r="JI6" i="9"/>
  <c r="JB6" i="9"/>
  <c r="JJ6" i="9"/>
  <c r="JC6" i="9"/>
  <c r="JK6" i="9"/>
  <c r="JD6" i="9"/>
  <c r="JL6" i="9"/>
  <c r="JM6" i="9"/>
  <c r="IX6" i="9"/>
  <c r="IY6" i="9"/>
  <c r="JG6" i="9"/>
  <c r="IZ6" i="9"/>
  <c r="JH22" i="9"/>
  <c r="JA22" i="9"/>
  <c r="JI22" i="9"/>
  <c r="JB22" i="9"/>
  <c r="JJ22" i="9"/>
  <c r="JC22" i="9"/>
  <c r="JK22" i="9"/>
  <c r="JD22" i="9"/>
  <c r="JL22" i="9"/>
  <c r="JM22" i="9"/>
  <c r="IX22" i="9"/>
  <c r="IY22" i="9"/>
  <c r="JG22" i="9"/>
  <c r="IZ22" i="9"/>
  <c r="JH40" i="9"/>
  <c r="JI40" i="9"/>
  <c r="JJ40" i="9"/>
  <c r="JK40" i="9"/>
  <c r="JL40" i="9"/>
  <c r="JM40" i="9"/>
  <c r="IX40" i="9"/>
  <c r="IY40" i="9"/>
  <c r="JG40" i="9"/>
  <c r="IZ40" i="9"/>
  <c r="KJ40" i="9" s="1"/>
  <c r="JA40" i="9"/>
  <c r="KK40" i="9" s="1"/>
  <c r="JB40" i="9"/>
  <c r="KL40" i="9" s="1"/>
  <c r="JC40" i="9"/>
  <c r="JD40" i="9"/>
  <c r="KN40" i="9" s="1"/>
  <c r="JH60" i="9"/>
  <c r="JI60" i="9"/>
  <c r="JJ60" i="9"/>
  <c r="JK60" i="9"/>
  <c r="JL60" i="9"/>
  <c r="JM60" i="9"/>
  <c r="IX60" i="9"/>
  <c r="IY60" i="9"/>
  <c r="IZ60" i="9"/>
  <c r="JA60" i="9"/>
  <c r="JB60" i="9"/>
  <c r="JC60" i="9"/>
  <c r="JG60" i="9"/>
  <c r="JD60" i="9"/>
  <c r="KN60" i="9" s="1"/>
  <c r="JH76" i="9"/>
  <c r="JI76" i="9"/>
  <c r="JJ76" i="9"/>
  <c r="JK76" i="9"/>
  <c r="JL76" i="9"/>
  <c r="JM76" i="9"/>
  <c r="IX76" i="9"/>
  <c r="IY76" i="9"/>
  <c r="IZ76" i="9"/>
  <c r="JA76" i="9"/>
  <c r="JB76" i="9"/>
  <c r="JC76" i="9"/>
  <c r="JG76" i="9"/>
  <c r="JD76" i="9"/>
  <c r="KN76" i="9" s="1"/>
  <c r="JH50" i="9"/>
  <c r="JI50" i="9"/>
  <c r="JJ50" i="9"/>
  <c r="JK50" i="9"/>
  <c r="JL50" i="9"/>
  <c r="JM50" i="9"/>
  <c r="IX50" i="9"/>
  <c r="IY50" i="9"/>
  <c r="IZ50" i="9"/>
  <c r="JA50" i="9"/>
  <c r="JG50" i="9"/>
  <c r="JB50" i="9"/>
  <c r="KL50" i="9" s="1"/>
  <c r="JC50" i="9"/>
  <c r="KM50" i="9" s="1"/>
  <c r="JD50" i="9"/>
  <c r="KN50" i="9" s="1"/>
  <c r="JH7" i="9"/>
  <c r="JA7" i="9"/>
  <c r="JI7" i="9"/>
  <c r="JB7" i="9"/>
  <c r="JJ7" i="9"/>
  <c r="JC7" i="9"/>
  <c r="JK7" i="9"/>
  <c r="JD7" i="9"/>
  <c r="JL7" i="9"/>
  <c r="JM7" i="9"/>
  <c r="IX7" i="9"/>
  <c r="IY7" i="9"/>
  <c r="JG7" i="9"/>
  <c r="IZ7" i="9"/>
  <c r="JH15" i="9"/>
  <c r="JA15" i="9"/>
  <c r="JI15" i="9"/>
  <c r="JB15" i="9"/>
  <c r="JJ15" i="9"/>
  <c r="JC15" i="9"/>
  <c r="JK15" i="9"/>
  <c r="JD15" i="9"/>
  <c r="JL15" i="9"/>
  <c r="JM15" i="9"/>
  <c r="IX15" i="9"/>
  <c r="IY15" i="9"/>
  <c r="JG15" i="9"/>
  <c r="IZ15" i="9"/>
  <c r="JH23" i="9"/>
  <c r="JA23" i="9"/>
  <c r="JI23" i="9"/>
  <c r="JB23" i="9"/>
  <c r="JJ23" i="9"/>
  <c r="JC23" i="9"/>
  <c r="JK23" i="9"/>
  <c r="JD23" i="9"/>
  <c r="JL23" i="9"/>
  <c r="JM23" i="9"/>
  <c r="IX23" i="9"/>
  <c r="IY23" i="9"/>
  <c r="JG23" i="9"/>
  <c r="IZ23" i="9"/>
  <c r="JH31" i="9"/>
  <c r="JA31" i="9"/>
  <c r="JI31" i="9"/>
  <c r="JB31" i="9"/>
  <c r="JJ31" i="9"/>
  <c r="JC31" i="9"/>
  <c r="JK31" i="9"/>
  <c r="JD31" i="9"/>
  <c r="JL31" i="9"/>
  <c r="JM31" i="9"/>
  <c r="IX31" i="9"/>
  <c r="IY31" i="9"/>
  <c r="JG31" i="9"/>
  <c r="IZ31" i="9"/>
  <c r="JH41" i="9"/>
  <c r="JI41" i="9"/>
  <c r="JJ41" i="9"/>
  <c r="JK41" i="9"/>
  <c r="JL41" i="9"/>
  <c r="JM41" i="9"/>
  <c r="IX41" i="9"/>
  <c r="IY41" i="9"/>
  <c r="IZ41" i="9"/>
  <c r="JG41" i="9"/>
  <c r="JA41" i="9"/>
  <c r="KK41" i="9" s="1"/>
  <c r="JB41" i="9"/>
  <c r="KL41" i="9" s="1"/>
  <c r="JC41" i="9"/>
  <c r="KM41" i="9" s="1"/>
  <c r="JD41" i="9"/>
  <c r="KN41" i="9" s="1"/>
  <c r="JH53" i="9"/>
  <c r="JI53" i="9"/>
  <c r="JJ53" i="9"/>
  <c r="JK53" i="9"/>
  <c r="JL53" i="9"/>
  <c r="JM53" i="9"/>
  <c r="IX53" i="9"/>
  <c r="IY53" i="9"/>
  <c r="IZ53" i="9"/>
  <c r="JG53" i="9"/>
  <c r="JA53" i="9"/>
  <c r="KK53" i="9" s="1"/>
  <c r="JB53" i="9"/>
  <c r="JC53" i="9"/>
  <c r="KM53" i="9" s="1"/>
  <c r="JD53" i="9"/>
  <c r="KN53" i="9" s="1"/>
  <c r="JH61" i="9"/>
  <c r="JI61" i="9"/>
  <c r="JJ61" i="9"/>
  <c r="JK61" i="9"/>
  <c r="JL61" i="9"/>
  <c r="JM61" i="9"/>
  <c r="IX61" i="9"/>
  <c r="IY61" i="9"/>
  <c r="IZ61" i="9"/>
  <c r="JA61" i="9"/>
  <c r="JB61" i="9"/>
  <c r="JC61" i="9"/>
  <c r="JG61" i="9"/>
  <c r="JD61" i="9"/>
  <c r="KN61" i="9" s="1"/>
  <c r="JH69" i="9"/>
  <c r="JI69" i="9"/>
  <c r="JJ69" i="9"/>
  <c r="JK69" i="9"/>
  <c r="JL69" i="9"/>
  <c r="JM69" i="9"/>
  <c r="IY69" i="9"/>
  <c r="IZ69" i="9"/>
  <c r="IX69" i="9"/>
  <c r="JA69" i="9"/>
  <c r="JB69" i="9"/>
  <c r="JC69" i="9"/>
  <c r="JD69" i="9"/>
  <c r="JG69" i="9"/>
  <c r="JH77" i="9"/>
  <c r="JI77" i="9"/>
  <c r="JJ77" i="9"/>
  <c r="JK77" i="9"/>
  <c r="JL77" i="9"/>
  <c r="JM77" i="9"/>
  <c r="IY77" i="9"/>
  <c r="IZ77" i="9"/>
  <c r="JG77" i="9"/>
  <c r="IX77" i="9"/>
  <c r="JA77" i="9"/>
  <c r="KK77" i="9" s="1"/>
  <c r="JB77" i="9"/>
  <c r="JC77" i="9"/>
  <c r="KM77" i="9" s="1"/>
  <c r="JD77" i="9"/>
  <c r="KN77" i="9" s="1"/>
  <c r="JH85" i="9"/>
  <c r="JI85" i="9"/>
  <c r="JJ85" i="9"/>
  <c r="JK85" i="9"/>
  <c r="JL85" i="9"/>
  <c r="JM85" i="9"/>
  <c r="IZ85" i="9"/>
  <c r="JA85" i="9"/>
  <c r="JB85" i="9"/>
  <c r="JG85" i="9"/>
  <c r="IX85" i="9"/>
  <c r="IY85" i="9"/>
  <c r="JC85" i="9"/>
  <c r="KM85" i="9" s="1"/>
  <c r="JD85" i="9"/>
  <c r="KN85" i="9" s="1"/>
  <c r="JH94" i="9"/>
  <c r="JI94" i="9"/>
  <c r="JJ94" i="9"/>
  <c r="JK94" i="9"/>
  <c r="JL94" i="9"/>
  <c r="JM94" i="9"/>
  <c r="JG94" i="9"/>
  <c r="IZ94" i="9"/>
  <c r="IY94" i="9"/>
  <c r="KI94" i="9" s="1"/>
  <c r="JA94" i="9"/>
  <c r="JB94" i="9"/>
  <c r="JC94" i="9"/>
  <c r="IX94" i="9"/>
  <c r="JD94" i="9"/>
  <c r="KN94" i="9" s="1"/>
  <c r="JH102" i="9"/>
  <c r="JI102" i="9"/>
  <c r="JJ102" i="9"/>
  <c r="JK102" i="9"/>
  <c r="JL102" i="9"/>
  <c r="JM102" i="9"/>
  <c r="JG102" i="9"/>
  <c r="IZ102" i="9"/>
  <c r="JA102" i="9"/>
  <c r="JB102" i="9"/>
  <c r="JC102" i="9"/>
  <c r="JD102" i="9"/>
  <c r="IX102" i="9"/>
  <c r="IY102" i="9"/>
  <c r="KG39" i="9"/>
  <c r="JH24" i="9"/>
  <c r="JA24" i="9"/>
  <c r="JI24" i="9"/>
  <c r="JB24" i="9"/>
  <c r="JJ24" i="9"/>
  <c r="JC24" i="9"/>
  <c r="JK24" i="9"/>
  <c r="JD24" i="9"/>
  <c r="JL24" i="9"/>
  <c r="JM24" i="9"/>
  <c r="IX24" i="9"/>
  <c r="IY24" i="9"/>
  <c r="JG24" i="9"/>
  <c r="IZ24" i="9"/>
  <c r="JH42" i="9"/>
  <c r="JI42" i="9"/>
  <c r="JJ42" i="9"/>
  <c r="JK42" i="9"/>
  <c r="JL42" i="9"/>
  <c r="JM42" i="9"/>
  <c r="IX42" i="9"/>
  <c r="IY42" i="9"/>
  <c r="IZ42" i="9"/>
  <c r="JA42" i="9"/>
  <c r="JG42" i="9"/>
  <c r="JB42" i="9"/>
  <c r="KL42" i="9" s="1"/>
  <c r="JC42" i="9"/>
  <c r="KM42" i="9" s="1"/>
  <c r="JD42" i="9"/>
  <c r="KN42" i="9" s="1"/>
  <c r="JH54" i="9"/>
  <c r="JI54" i="9"/>
  <c r="JJ54" i="9"/>
  <c r="JK54" i="9"/>
  <c r="JL54" i="9"/>
  <c r="JM54" i="9"/>
  <c r="JG54" i="9"/>
  <c r="IX54" i="9"/>
  <c r="IY54" i="9"/>
  <c r="KI54" i="9" s="1"/>
  <c r="IZ54" i="9"/>
  <c r="KJ54" i="9" s="1"/>
  <c r="JA54" i="9"/>
  <c r="KK54" i="9" s="1"/>
  <c r="JB54" i="9"/>
  <c r="KL54" i="9" s="1"/>
  <c r="JC54" i="9"/>
  <c r="KM54" i="9" s="1"/>
  <c r="JD54" i="9"/>
  <c r="KN54" i="9" s="1"/>
  <c r="JH62" i="9"/>
  <c r="JI62" i="9"/>
  <c r="JJ62" i="9"/>
  <c r="JK62" i="9"/>
  <c r="JL62" i="9"/>
  <c r="JM62" i="9"/>
  <c r="JG62" i="9"/>
  <c r="IX62" i="9"/>
  <c r="IY62" i="9"/>
  <c r="KI62" i="9" s="1"/>
  <c r="IZ62" i="9"/>
  <c r="KJ62" i="9" s="1"/>
  <c r="JA62" i="9"/>
  <c r="KK62" i="9" s="1"/>
  <c r="JB62" i="9"/>
  <c r="KL62" i="9" s="1"/>
  <c r="JC62" i="9"/>
  <c r="JD62" i="9"/>
  <c r="KN62" i="9" s="1"/>
  <c r="JH70" i="9"/>
  <c r="JI70" i="9"/>
  <c r="JJ70" i="9"/>
  <c r="JK70" i="9"/>
  <c r="JL70" i="9"/>
  <c r="JM70" i="9"/>
  <c r="JG70" i="9"/>
  <c r="IY70" i="9"/>
  <c r="IZ70" i="9"/>
  <c r="JA70" i="9"/>
  <c r="JB70" i="9"/>
  <c r="IX70" i="9"/>
  <c r="JC70" i="9"/>
  <c r="KM70" i="9" s="1"/>
  <c r="JD70" i="9"/>
  <c r="KN70" i="9" s="1"/>
  <c r="JH78" i="9"/>
  <c r="JI78" i="9"/>
  <c r="JJ78" i="9"/>
  <c r="JK78" i="9"/>
  <c r="JL78" i="9"/>
  <c r="JM78" i="9"/>
  <c r="JG78" i="9"/>
  <c r="IY78" i="9"/>
  <c r="IZ78" i="9"/>
  <c r="JA78" i="9"/>
  <c r="JB78" i="9"/>
  <c r="JC78" i="9"/>
  <c r="JD78" i="9"/>
  <c r="IX78" i="9"/>
  <c r="JH86" i="9"/>
  <c r="JI86" i="9"/>
  <c r="JJ86" i="9"/>
  <c r="JK86" i="9"/>
  <c r="JL86" i="9"/>
  <c r="JM86" i="9"/>
  <c r="JG86" i="9"/>
  <c r="IX86" i="9"/>
  <c r="IZ86" i="9"/>
  <c r="IY86" i="9"/>
  <c r="JA86" i="9"/>
  <c r="KK86" i="9" s="1"/>
  <c r="JB86" i="9"/>
  <c r="KL86" i="9" s="1"/>
  <c r="JC86" i="9"/>
  <c r="KM86" i="9" s="1"/>
  <c r="JD86" i="9"/>
  <c r="KN86" i="9" s="1"/>
  <c r="JH95" i="9"/>
  <c r="JI95" i="9"/>
  <c r="JJ95" i="9"/>
  <c r="JK95" i="9"/>
  <c r="JL95" i="9"/>
  <c r="JM95" i="9"/>
  <c r="JG95" i="9"/>
  <c r="IZ95" i="9"/>
  <c r="JA95" i="9"/>
  <c r="JB95" i="9"/>
  <c r="IX95" i="9"/>
  <c r="JC95" i="9"/>
  <c r="IY95" i="9"/>
  <c r="JD95" i="9"/>
  <c r="KN95" i="9" s="1"/>
  <c r="JH92" i="9"/>
  <c r="JI92" i="9"/>
  <c r="JJ92" i="9"/>
  <c r="JK92" i="9"/>
  <c r="JL92" i="9"/>
  <c r="JM92" i="9"/>
  <c r="IX92" i="9"/>
  <c r="IZ92" i="9"/>
  <c r="JA92" i="9"/>
  <c r="JB92" i="9"/>
  <c r="IY92" i="9"/>
  <c r="JC92" i="9"/>
  <c r="JG92" i="9"/>
  <c r="JD92" i="9"/>
  <c r="KN92" i="9" s="1"/>
  <c r="BZ16" i="8"/>
  <c r="BI16" i="9"/>
  <c r="BJ16" i="9"/>
  <c r="BK16" i="9"/>
  <c r="BL16" i="9"/>
  <c r="BF16" i="9"/>
  <c r="BG16" i="9"/>
  <c r="BH16" i="9"/>
  <c r="BZ70" i="8"/>
  <c r="BJ70" i="9"/>
  <c r="BF70" i="9"/>
  <c r="BG70" i="9"/>
  <c r="BI70" i="9"/>
  <c r="BH70" i="9"/>
  <c r="BK70" i="9"/>
  <c r="BL70" i="9"/>
  <c r="BZ25" i="8"/>
  <c r="BI25" i="9"/>
  <c r="BJ25" i="9"/>
  <c r="BK25" i="9"/>
  <c r="BL25" i="9"/>
  <c r="BF25" i="9"/>
  <c r="BG25" i="9"/>
  <c r="BH25" i="9"/>
  <c r="BZ79" i="8"/>
  <c r="BJ79" i="9"/>
  <c r="BF79" i="9"/>
  <c r="BG79" i="9"/>
  <c r="BH79" i="9"/>
  <c r="BI79" i="9"/>
  <c r="BK79" i="9"/>
  <c r="BL79" i="9"/>
  <c r="BZ49" i="8"/>
  <c r="BJ49" i="9"/>
  <c r="BK49" i="9"/>
  <c r="BF49" i="9"/>
  <c r="BG49" i="9"/>
  <c r="BH49" i="9"/>
  <c r="BI49" i="9"/>
  <c r="BL49" i="9"/>
  <c r="BZ6" i="8"/>
  <c r="BZ14" i="8"/>
  <c r="BI14" i="9"/>
  <c r="BJ14" i="9"/>
  <c r="BK14" i="9"/>
  <c r="BL14" i="9"/>
  <c r="BF14" i="9"/>
  <c r="BG14" i="9"/>
  <c r="BH14" i="9"/>
  <c r="BZ22" i="8"/>
  <c r="BI22" i="9"/>
  <c r="BJ22" i="9"/>
  <c r="BK22" i="9"/>
  <c r="BL22" i="9"/>
  <c r="BF22" i="9"/>
  <c r="BG22" i="9"/>
  <c r="BH22" i="9"/>
  <c r="BZ30" i="8"/>
  <c r="BI30" i="9"/>
  <c r="BJ30" i="9"/>
  <c r="BK30" i="9"/>
  <c r="BL30" i="9"/>
  <c r="BF30" i="9"/>
  <c r="BG30" i="9"/>
  <c r="BH30" i="9"/>
  <c r="BZ40" i="8"/>
  <c r="BJ40" i="9"/>
  <c r="BK40" i="9"/>
  <c r="BL40" i="9"/>
  <c r="BF40" i="9"/>
  <c r="BG40" i="9"/>
  <c r="BH40" i="9"/>
  <c r="BI40" i="9"/>
  <c r="BZ48" i="8"/>
  <c r="BJ48" i="9"/>
  <c r="BK48" i="9"/>
  <c r="BF48" i="9"/>
  <c r="BG48" i="9"/>
  <c r="BH48" i="9"/>
  <c r="BL48" i="9"/>
  <c r="BI48" i="9"/>
  <c r="BZ60" i="8"/>
  <c r="BJ60" i="9"/>
  <c r="BK60" i="9"/>
  <c r="BF60" i="9"/>
  <c r="BG60" i="9"/>
  <c r="BH60" i="9"/>
  <c r="BI60" i="9"/>
  <c r="BL60" i="9"/>
  <c r="BZ68" i="8"/>
  <c r="BJ68" i="9"/>
  <c r="BF68" i="9"/>
  <c r="BG68" i="9"/>
  <c r="BH68" i="9"/>
  <c r="BI68" i="9"/>
  <c r="BK68" i="9"/>
  <c r="BL68" i="9"/>
  <c r="BZ76" i="8"/>
  <c r="BJ76" i="9"/>
  <c r="BF76" i="9"/>
  <c r="BG76" i="9"/>
  <c r="BH76" i="9"/>
  <c r="BI76" i="9"/>
  <c r="BK76" i="9"/>
  <c r="BL76" i="9"/>
  <c r="BZ84" i="8"/>
  <c r="BF84" i="9"/>
  <c r="BJ84" i="9"/>
  <c r="BG84" i="9"/>
  <c r="BI84" i="9"/>
  <c r="BH84" i="9"/>
  <c r="BK84" i="9"/>
  <c r="BL84" i="9"/>
  <c r="BZ93" i="8"/>
  <c r="BF93" i="9"/>
  <c r="BG93" i="9"/>
  <c r="BI93" i="9"/>
  <c r="BH93" i="9"/>
  <c r="BJ93" i="9"/>
  <c r="BK93" i="9"/>
  <c r="BL93" i="9"/>
  <c r="BZ101" i="8"/>
  <c r="BF101" i="9"/>
  <c r="BI101" i="9"/>
  <c r="BG101" i="9"/>
  <c r="BJ101" i="9"/>
  <c r="BH101" i="9"/>
  <c r="BK101" i="9"/>
  <c r="BL101" i="9"/>
  <c r="BZ51" i="8"/>
  <c r="BJ51" i="9"/>
  <c r="BK51" i="9"/>
  <c r="BF51" i="9"/>
  <c r="BG51" i="9"/>
  <c r="BH51" i="9"/>
  <c r="BI51" i="9"/>
  <c r="BL51" i="9"/>
  <c r="BZ42" i="8"/>
  <c r="BJ42" i="9"/>
  <c r="BK42" i="9"/>
  <c r="BL42" i="9"/>
  <c r="BF42" i="9"/>
  <c r="BG42" i="9"/>
  <c r="BH42" i="9"/>
  <c r="BI42" i="9"/>
  <c r="BZ86" i="8"/>
  <c r="BF86" i="9"/>
  <c r="BG86" i="9"/>
  <c r="BH86" i="9"/>
  <c r="BK86" i="9"/>
  <c r="BJ86" i="9"/>
  <c r="BL86" i="9"/>
  <c r="BI86" i="9"/>
  <c r="BZ9" i="8"/>
  <c r="BZ63" i="8"/>
  <c r="BJ63" i="9"/>
  <c r="BF63" i="9"/>
  <c r="BG63" i="9"/>
  <c r="BH63" i="9"/>
  <c r="BI63" i="9"/>
  <c r="BK63" i="9"/>
  <c r="BL63" i="9"/>
  <c r="BZ50" i="8"/>
  <c r="BJ50" i="9"/>
  <c r="BK50" i="9"/>
  <c r="BF50" i="9"/>
  <c r="BG50" i="9"/>
  <c r="BH50" i="9"/>
  <c r="BI50" i="9"/>
  <c r="BL50" i="9"/>
  <c r="BZ7" i="8"/>
  <c r="BZ15" i="8"/>
  <c r="BI15" i="9"/>
  <c r="BJ15" i="9"/>
  <c r="BK15" i="9"/>
  <c r="BL15" i="9"/>
  <c r="BF15" i="9"/>
  <c r="BG15" i="9"/>
  <c r="BH15" i="9"/>
  <c r="BZ23" i="8"/>
  <c r="BI23" i="9"/>
  <c r="BJ23" i="9"/>
  <c r="BK23" i="9"/>
  <c r="BL23" i="9"/>
  <c r="BF23" i="9"/>
  <c r="BG23" i="9"/>
  <c r="BH23" i="9"/>
  <c r="BZ31" i="8"/>
  <c r="BI31" i="9"/>
  <c r="BJ31" i="9"/>
  <c r="BK31" i="9"/>
  <c r="BL31" i="9"/>
  <c r="BF31" i="9"/>
  <c r="BG31" i="9"/>
  <c r="BH31" i="9"/>
  <c r="BZ41" i="8"/>
  <c r="BJ41" i="9"/>
  <c r="BK41" i="9"/>
  <c r="BL41" i="9"/>
  <c r="BF41" i="9"/>
  <c r="BG41" i="9"/>
  <c r="BH41" i="9"/>
  <c r="BI41" i="9"/>
  <c r="BZ53" i="8"/>
  <c r="BJ53" i="9"/>
  <c r="BK53" i="9"/>
  <c r="BF53" i="9"/>
  <c r="BG53" i="9"/>
  <c r="BH53" i="9"/>
  <c r="BI53" i="9"/>
  <c r="BL53" i="9"/>
  <c r="BZ61" i="8"/>
  <c r="BJ61" i="9"/>
  <c r="BF61" i="9"/>
  <c r="BG61" i="9"/>
  <c r="BH61" i="9"/>
  <c r="BI61" i="9"/>
  <c r="BK61" i="9"/>
  <c r="BL61" i="9"/>
  <c r="BZ69" i="8"/>
  <c r="BJ69" i="9"/>
  <c r="BF69" i="9"/>
  <c r="BG69" i="9"/>
  <c r="BH69" i="9"/>
  <c r="BI69" i="9"/>
  <c r="BK69" i="9"/>
  <c r="BL69" i="9"/>
  <c r="BZ77" i="8"/>
  <c r="BJ77" i="9"/>
  <c r="BF77" i="9"/>
  <c r="BG77" i="9"/>
  <c r="BH77" i="9"/>
  <c r="BK77" i="9"/>
  <c r="BL77" i="9"/>
  <c r="BI77" i="9"/>
  <c r="BZ85" i="8"/>
  <c r="BI85" i="9"/>
  <c r="BF85" i="9"/>
  <c r="BG85" i="9"/>
  <c r="BH85" i="9"/>
  <c r="BK85" i="9"/>
  <c r="BL85" i="9"/>
  <c r="BJ85" i="9"/>
  <c r="BZ94" i="8"/>
  <c r="BF94" i="9"/>
  <c r="BG94" i="9"/>
  <c r="BH94" i="9"/>
  <c r="BI94" i="9"/>
  <c r="BK94" i="9"/>
  <c r="BL94" i="9"/>
  <c r="BJ94" i="9"/>
  <c r="BZ102" i="8"/>
  <c r="BF102" i="9"/>
  <c r="BG102" i="9"/>
  <c r="BH102" i="9"/>
  <c r="BK102" i="9"/>
  <c r="BJ102" i="9"/>
  <c r="BL102" i="9"/>
  <c r="BI102" i="9"/>
  <c r="BZ32" i="8"/>
  <c r="BI32" i="9"/>
  <c r="BJ32" i="9"/>
  <c r="BK32" i="9"/>
  <c r="BL32" i="9"/>
  <c r="BF32" i="9"/>
  <c r="BG32" i="9"/>
  <c r="BH32" i="9"/>
  <c r="BZ95" i="8"/>
  <c r="BF95" i="9"/>
  <c r="BI95" i="9"/>
  <c r="BG95" i="9"/>
  <c r="BJ95" i="9"/>
  <c r="BH95" i="9"/>
  <c r="BK95" i="9"/>
  <c r="BL95" i="9"/>
  <c r="BZ33" i="8"/>
  <c r="BI33" i="9"/>
  <c r="BJ33" i="9"/>
  <c r="BK33" i="9"/>
  <c r="BL33" i="9"/>
  <c r="BF33" i="9"/>
  <c r="BG33" i="9"/>
  <c r="BH33" i="9"/>
  <c r="BZ71" i="8"/>
  <c r="BJ71" i="9"/>
  <c r="BF71" i="9"/>
  <c r="BG71" i="9"/>
  <c r="BH71" i="9"/>
  <c r="BI71" i="9"/>
  <c r="BK71" i="9"/>
  <c r="BL71" i="9"/>
  <c r="BZ2" i="8"/>
  <c r="BZ10" i="8"/>
  <c r="BI10" i="9"/>
  <c r="BJ10" i="9"/>
  <c r="BK10" i="9"/>
  <c r="BL10" i="9"/>
  <c r="BF10" i="9"/>
  <c r="BG10" i="9"/>
  <c r="BH10" i="9"/>
  <c r="BZ18" i="8"/>
  <c r="BI18" i="9"/>
  <c r="BJ18" i="9"/>
  <c r="BK18" i="9"/>
  <c r="BL18" i="9"/>
  <c r="BF18" i="9"/>
  <c r="BG18" i="9"/>
  <c r="BH18" i="9"/>
  <c r="BZ26" i="8"/>
  <c r="BI26" i="9"/>
  <c r="BJ26" i="9"/>
  <c r="BK26" i="9"/>
  <c r="BL26" i="9"/>
  <c r="BF26" i="9"/>
  <c r="BG26" i="9"/>
  <c r="BH26" i="9"/>
  <c r="BZ34" i="8"/>
  <c r="BI34" i="9"/>
  <c r="BJ34" i="9"/>
  <c r="BK34" i="9"/>
  <c r="BL34" i="9"/>
  <c r="BF34" i="9"/>
  <c r="BG34" i="9"/>
  <c r="BH34" i="9"/>
  <c r="BZ44" i="8"/>
  <c r="BJ44" i="9"/>
  <c r="BK44" i="9"/>
  <c r="BL44" i="9"/>
  <c r="BF44" i="9"/>
  <c r="BG44" i="9"/>
  <c r="BH44" i="9"/>
  <c r="BI44" i="9"/>
  <c r="BZ56" i="8"/>
  <c r="BJ56" i="9"/>
  <c r="BK56" i="9"/>
  <c r="BF56" i="9"/>
  <c r="BG56" i="9"/>
  <c r="BH56" i="9"/>
  <c r="BI56" i="9"/>
  <c r="BL56" i="9"/>
  <c r="BZ64" i="8"/>
  <c r="BJ64" i="9"/>
  <c r="BF64" i="9"/>
  <c r="BG64" i="9"/>
  <c r="BH64" i="9"/>
  <c r="BI64" i="9"/>
  <c r="BK64" i="9"/>
  <c r="BL64" i="9"/>
  <c r="BZ72" i="8"/>
  <c r="BJ72" i="9"/>
  <c r="BF72" i="9"/>
  <c r="BG72" i="9"/>
  <c r="BI72" i="9"/>
  <c r="BK72" i="9"/>
  <c r="BL72" i="9"/>
  <c r="BH72" i="9"/>
  <c r="BZ80" i="8"/>
  <c r="BJ80" i="9"/>
  <c r="BF80" i="9"/>
  <c r="BG80" i="9"/>
  <c r="BH80" i="9"/>
  <c r="BK80" i="9"/>
  <c r="BI80" i="9"/>
  <c r="BL80" i="9"/>
  <c r="BZ88" i="8"/>
  <c r="BF88" i="9"/>
  <c r="BG88" i="9"/>
  <c r="BI88" i="9"/>
  <c r="BH88" i="9"/>
  <c r="BJ88" i="9"/>
  <c r="BK88" i="9"/>
  <c r="BL88" i="9"/>
  <c r="BZ97" i="8"/>
  <c r="BJ97" i="9"/>
  <c r="BF97" i="9"/>
  <c r="BG97" i="9"/>
  <c r="BH97" i="9"/>
  <c r="BI97" i="9"/>
  <c r="BK97" i="9"/>
  <c r="BL97" i="9"/>
  <c r="BZ8" i="8"/>
  <c r="BZ62" i="8"/>
  <c r="BJ62" i="9"/>
  <c r="BF62" i="9"/>
  <c r="BG62" i="9"/>
  <c r="BH62" i="9"/>
  <c r="BK62" i="9"/>
  <c r="BL62" i="9"/>
  <c r="BI62" i="9"/>
  <c r="BZ92" i="8"/>
  <c r="BF92" i="9"/>
  <c r="BJ92" i="9"/>
  <c r="BG92" i="9"/>
  <c r="BH92" i="9"/>
  <c r="BK92" i="9"/>
  <c r="BL92" i="9"/>
  <c r="BI92" i="9"/>
  <c r="BZ43" i="8"/>
  <c r="BJ43" i="9"/>
  <c r="BK43" i="9"/>
  <c r="BL43" i="9"/>
  <c r="BF43" i="9"/>
  <c r="BG43" i="9"/>
  <c r="BH43" i="9"/>
  <c r="BI43" i="9"/>
  <c r="BZ96" i="8"/>
  <c r="BF96" i="9"/>
  <c r="BG96" i="9"/>
  <c r="BH96" i="9"/>
  <c r="BK96" i="9"/>
  <c r="BJ96" i="9"/>
  <c r="BL96" i="9"/>
  <c r="BI96" i="9"/>
  <c r="BZ3" i="8"/>
  <c r="BZ11" i="8"/>
  <c r="BI11" i="9"/>
  <c r="BJ11" i="9"/>
  <c r="BK11" i="9"/>
  <c r="BL11" i="9"/>
  <c r="BF11" i="9"/>
  <c r="BG11" i="9"/>
  <c r="BH11" i="9"/>
  <c r="BZ19" i="8"/>
  <c r="BI19" i="9"/>
  <c r="BJ19" i="9"/>
  <c r="BK19" i="9"/>
  <c r="BL19" i="9"/>
  <c r="BF19" i="9"/>
  <c r="BG19" i="9"/>
  <c r="BH19" i="9"/>
  <c r="BZ27" i="8"/>
  <c r="BI27" i="9"/>
  <c r="BJ27" i="9"/>
  <c r="BK27" i="9"/>
  <c r="BL27" i="9"/>
  <c r="BF27" i="9"/>
  <c r="BG27" i="9"/>
  <c r="BH27" i="9"/>
  <c r="BZ35" i="8"/>
  <c r="BI35" i="9"/>
  <c r="BJ35" i="9"/>
  <c r="BK35" i="9"/>
  <c r="BL35" i="9"/>
  <c r="BF35" i="9"/>
  <c r="BG35" i="9"/>
  <c r="BH35" i="9"/>
  <c r="BZ45" i="8"/>
  <c r="BJ45" i="9"/>
  <c r="BK45" i="9"/>
  <c r="BL45" i="9"/>
  <c r="BF45" i="9"/>
  <c r="BG45" i="9"/>
  <c r="BH45" i="9"/>
  <c r="BI45" i="9"/>
  <c r="BZ57" i="8"/>
  <c r="BJ57" i="9"/>
  <c r="BK57" i="9"/>
  <c r="BF57" i="9"/>
  <c r="BG57" i="9"/>
  <c r="BH57" i="9"/>
  <c r="BL57" i="9"/>
  <c r="BI57" i="9"/>
  <c r="BZ65" i="8"/>
  <c r="BJ65" i="9"/>
  <c r="BF65" i="9"/>
  <c r="BG65" i="9"/>
  <c r="BH65" i="9"/>
  <c r="BI65" i="9"/>
  <c r="BK65" i="9"/>
  <c r="BL65" i="9"/>
  <c r="BZ73" i="8"/>
  <c r="BJ73" i="9"/>
  <c r="BF73" i="9"/>
  <c r="BG73" i="9"/>
  <c r="BH73" i="9"/>
  <c r="BI73" i="9"/>
  <c r="BK73" i="9"/>
  <c r="BL73" i="9"/>
  <c r="BZ81" i="8"/>
  <c r="BF81" i="9"/>
  <c r="BG81" i="9"/>
  <c r="BJ81" i="9"/>
  <c r="BH81" i="9"/>
  <c r="BK81" i="9"/>
  <c r="BL81" i="9"/>
  <c r="BI81" i="9"/>
  <c r="BZ89" i="8"/>
  <c r="BJ89" i="9"/>
  <c r="BF89" i="9"/>
  <c r="BI89" i="9"/>
  <c r="BG89" i="9"/>
  <c r="BH89" i="9"/>
  <c r="BK89" i="9"/>
  <c r="BL89" i="9"/>
  <c r="BZ98" i="8"/>
  <c r="BI98" i="9"/>
  <c r="BF98" i="9"/>
  <c r="BJ98" i="9"/>
  <c r="BG98" i="9"/>
  <c r="BH98" i="9"/>
  <c r="BK98" i="9"/>
  <c r="BL98" i="9"/>
  <c r="BZ52" i="8"/>
  <c r="BJ52" i="9"/>
  <c r="BK52" i="9"/>
  <c r="BF52" i="9"/>
  <c r="BG52" i="9"/>
  <c r="BH52" i="9"/>
  <c r="BI52" i="9"/>
  <c r="BL52" i="9"/>
  <c r="BZ55" i="8"/>
  <c r="BJ55" i="9"/>
  <c r="BK55" i="9"/>
  <c r="BF55" i="9"/>
  <c r="BG55" i="9"/>
  <c r="BH55" i="9"/>
  <c r="BI55" i="9"/>
  <c r="BL55" i="9"/>
  <c r="BZ4" i="8"/>
  <c r="BZ12" i="8"/>
  <c r="BI12" i="9"/>
  <c r="BJ12" i="9"/>
  <c r="BK12" i="9"/>
  <c r="BL12" i="9"/>
  <c r="BF12" i="9"/>
  <c r="BG12" i="9"/>
  <c r="BH12" i="9"/>
  <c r="BZ20" i="8"/>
  <c r="BI20" i="9"/>
  <c r="BJ20" i="9"/>
  <c r="BK20" i="9"/>
  <c r="BL20" i="9"/>
  <c r="BF20" i="9"/>
  <c r="BG20" i="9"/>
  <c r="BH20" i="9"/>
  <c r="BZ28" i="8"/>
  <c r="BI28" i="9"/>
  <c r="BJ28" i="9"/>
  <c r="BK28" i="9"/>
  <c r="BL28" i="9"/>
  <c r="BF28" i="9"/>
  <c r="BG28" i="9"/>
  <c r="BH28" i="9"/>
  <c r="BZ36" i="8"/>
  <c r="BI36" i="9"/>
  <c r="BJ36" i="9"/>
  <c r="BK36" i="9"/>
  <c r="BL36" i="9"/>
  <c r="BF36" i="9"/>
  <c r="BG36" i="9"/>
  <c r="BH36" i="9"/>
  <c r="BZ46" i="8"/>
  <c r="BJ46" i="9"/>
  <c r="BK46" i="9"/>
  <c r="BL46" i="9"/>
  <c r="BF46" i="9"/>
  <c r="BG46" i="9"/>
  <c r="BH46" i="9"/>
  <c r="BI46" i="9"/>
  <c r="BZ58" i="8"/>
  <c r="BJ58" i="9"/>
  <c r="BK58" i="9"/>
  <c r="BF58" i="9"/>
  <c r="BG58" i="9"/>
  <c r="BH58" i="9"/>
  <c r="BI58" i="9"/>
  <c r="BL58" i="9"/>
  <c r="BZ66" i="8"/>
  <c r="BJ66" i="9"/>
  <c r="BF66" i="9"/>
  <c r="BG66" i="9"/>
  <c r="BH66" i="9"/>
  <c r="BK66" i="9"/>
  <c r="BL66" i="9"/>
  <c r="BI66" i="9"/>
  <c r="BZ74" i="8"/>
  <c r="BJ74" i="9"/>
  <c r="BF74" i="9"/>
  <c r="BG74" i="9"/>
  <c r="BH74" i="9"/>
  <c r="BI74" i="9"/>
  <c r="BK74" i="9"/>
  <c r="BL74" i="9"/>
  <c r="BZ82" i="8"/>
  <c r="BF82" i="9"/>
  <c r="BI82" i="9"/>
  <c r="BG82" i="9"/>
  <c r="BH82" i="9"/>
  <c r="BJ82" i="9"/>
  <c r="BK82" i="9"/>
  <c r="BL82" i="9"/>
  <c r="BZ90" i="8"/>
  <c r="BF90" i="9"/>
  <c r="BG90" i="9"/>
  <c r="BH90" i="9"/>
  <c r="BI90" i="9"/>
  <c r="BK90" i="9"/>
  <c r="BL90" i="9"/>
  <c r="BJ90" i="9"/>
  <c r="BZ99" i="8"/>
  <c r="BF99" i="9"/>
  <c r="BG99" i="9"/>
  <c r="BI99" i="9"/>
  <c r="BH99" i="9"/>
  <c r="BJ99" i="9"/>
  <c r="BK99" i="9"/>
  <c r="BL99" i="9"/>
  <c r="BZ24" i="8"/>
  <c r="BI24" i="9"/>
  <c r="BJ24" i="9"/>
  <c r="BK24" i="9"/>
  <c r="BL24" i="9"/>
  <c r="BF24" i="9"/>
  <c r="BG24" i="9"/>
  <c r="BH24" i="9"/>
  <c r="BZ17" i="8"/>
  <c r="BI17" i="9"/>
  <c r="BJ17" i="9"/>
  <c r="BK17" i="9"/>
  <c r="BL17" i="9"/>
  <c r="BF17" i="9"/>
  <c r="BG17" i="9"/>
  <c r="BH17" i="9"/>
  <c r="BZ87" i="8"/>
  <c r="BF87" i="9"/>
  <c r="BG87" i="9"/>
  <c r="BJ87" i="9"/>
  <c r="BH87" i="9"/>
  <c r="BI87" i="9"/>
  <c r="BK87" i="9"/>
  <c r="BL87" i="9"/>
  <c r="BZ5" i="8"/>
  <c r="BZ13" i="8"/>
  <c r="BI13" i="9"/>
  <c r="BJ13" i="9"/>
  <c r="BK13" i="9"/>
  <c r="BL13" i="9"/>
  <c r="BF13" i="9"/>
  <c r="BG13" i="9"/>
  <c r="BH13" i="9"/>
  <c r="BZ21" i="8"/>
  <c r="BI21" i="9"/>
  <c r="BJ21" i="9"/>
  <c r="BK21" i="9"/>
  <c r="BL21" i="9"/>
  <c r="BF21" i="9"/>
  <c r="BG21" i="9"/>
  <c r="BH21" i="9"/>
  <c r="BZ29" i="8"/>
  <c r="BI29" i="9"/>
  <c r="BJ29" i="9"/>
  <c r="BK29" i="9"/>
  <c r="BL29" i="9"/>
  <c r="BF29" i="9"/>
  <c r="BG29" i="9"/>
  <c r="BH29" i="9"/>
  <c r="BZ37" i="8"/>
  <c r="BI37" i="9"/>
  <c r="BJ37" i="9"/>
  <c r="BK37" i="9"/>
  <c r="BL37" i="9"/>
  <c r="BF37" i="9"/>
  <c r="BG37" i="9"/>
  <c r="BH37" i="9"/>
  <c r="BZ47" i="8"/>
  <c r="BJ47" i="9"/>
  <c r="BK47" i="9"/>
  <c r="BL47" i="9"/>
  <c r="BF47" i="9"/>
  <c r="BG47" i="9"/>
  <c r="BH47" i="9"/>
  <c r="BI47" i="9"/>
  <c r="BZ59" i="8"/>
  <c r="BJ59" i="9"/>
  <c r="BK59" i="9"/>
  <c r="BF59" i="9"/>
  <c r="BG59" i="9"/>
  <c r="BH59" i="9"/>
  <c r="BI59" i="9"/>
  <c r="BL59" i="9"/>
  <c r="BZ67" i="8"/>
  <c r="BJ67" i="9"/>
  <c r="BF67" i="9"/>
  <c r="BG67" i="9"/>
  <c r="BH67" i="9"/>
  <c r="BI67" i="9"/>
  <c r="BK67" i="9"/>
  <c r="BL67" i="9"/>
  <c r="BZ83" i="8"/>
  <c r="BJ83" i="9"/>
  <c r="BF83" i="9"/>
  <c r="BG83" i="9"/>
  <c r="BH83" i="9"/>
  <c r="BI83" i="9"/>
  <c r="BK83" i="9"/>
  <c r="BL83" i="9"/>
  <c r="BZ91" i="8"/>
  <c r="BI91" i="9"/>
  <c r="BF91" i="9"/>
  <c r="BG91" i="9"/>
  <c r="BH91" i="9"/>
  <c r="BK91" i="9"/>
  <c r="BJ91" i="9"/>
  <c r="BL91" i="9"/>
  <c r="BZ100" i="8"/>
  <c r="BF100" i="9"/>
  <c r="BG100" i="9"/>
  <c r="BH100" i="9"/>
  <c r="BI100" i="9"/>
  <c r="BK100" i="9"/>
  <c r="BL100" i="9"/>
  <c r="BJ100" i="9"/>
  <c r="BZ54" i="8"/>
  <c r="BH54" i="9"/>
  <c r="BI54" i="9"/>
  <c r="BJ54" i="9"/>
  <c r="BK54" i="9"/>
  <c r="BL54" i="9"/>
  <c r="BF54" i="9"/>
  <c r="BG54" i="9"/>
  <c r="BZ78" i="8"/>
  <c r="BG78" i="9"/>
  <c r="BH78" i="9"/>
  <c r="BI78" i="9"/>
  <c r="BJ78" i="9"/>
  <c r="BK78" i="9"/>
  <c r="BL78" i="9"/>
  <c r="BF78" i="9"/>
  <c r="BZ75" i="8"/>
  <c r="BF75" i="9"/>
  <c r="BL75" i="9"/>
  <c r="BG75" i="9"/>
  <c r="BH75" i="9"/>
  <c r="BI75" i="9"/>
  <c r="BJ75" i="9"/>
  <c r="BK75" i="9"/>
  <c r="KN66" i="9" l="1"/>
  <c r="KJ56" i="9"/>
  <c r="KN79" i="9"/>
  <c r="KN100" i="9"/>
  <c r="KN2" i="9"/>
  <c r="KL77" i="9"/>
  <c r="KN63" i="9"/>
  <c r="KL33" i="9"/>
  <c r="KM62" i="9"/>
  <c r="KL57" i="9"/>
  <c r="KN98" i="9"/>
  <c r="KL47" i="9"/>
  <c r="KM34" i="9"/>
  <c r="KL53" i="9"/>
  <c r="KM40" i="9"/>
  <c r="KK46" i="9"/>
  <c r="M54" i="10"/>
  <c r="D54" i="10"/>
  <c r="M12" i="10"/>
  <c r="D12" i="10"/>
  <c r="M82" i="10"/>
  <c r="D82" i="10"/>
  <c r="M17" i="10"/>
  <c r="D17" i="10"/>
  <c r="M55" i="10"/>
  <c r="D55" i="10"/>
  <c r="M100" i="10"/>
  <c r="D100" i="10"/>
  <c r="M35" i="10"/>
  <c r="D35" i="10"/>
  <c r="M91" i="10"/>
  <c r="D91" i="10"/>
  <c r="M26" i="10"/>
  <c r="D26" i="10"/>
  <c r="M90" i="10"/>
  <c r="D90" i="10"/>
  <c r="M25" i="10"/>
  <c r="D25" i="10"/>
  <c r="M56" i="10"/>
  <c r="D56" i="10"/>
  <c r="M87" i="10"/>
  <c r="D87" i="10"/>
  <c r="M70" i="10"/>
  <c r="D70" i="10"/>
  <c r="M5" i="10"/>
  <c r="D5" i="10"/>
  <c r="M93" i="10"/>
  <c r="D93" i="10"/>
  <c r="M28" i="10"/>
  <c r="D28" i="10"/>
  <c r="M38" i="10"/>
  <c r="D38" i="10"/>
  <c r="M44" i="10"/>
  <c r="D44" i="10"/>
  <c r="M99" i="10"/>
  <c r="D99" i="10"/>
  <c r="M34" i="10"/>
  <c r="D34" i="10"/>
  <c r="M98" i="10"/>
  <c r="D98" i="10"/>
  <c r="M33" i="10"/>
  <c r="D33" i="10"/>
  <c r="M64" i="10"/>
  <c r="D64" i="10"/>
  <c r="M95" i="10"/>
  <c r="D95" i="10"/>
  <c r="M65" i="10"/>
  <c r="D65" i="10"/>
  <c r="M83" i="10"/>
  <c r="D83" i="10"/>
  <c r="M85" i="10"/>
  <c r="D85" i="10"/>
  <c r="M78" i="10"/>
  <c r="D78" i="10"/>
  <c r="M13" i="10"/>
  <c r="D13" i="10"/>
  <c r="M101" i="10"/>
  <c r="D101" i="10"/>
  <c r="M36" i="10"/>
  <c r="D36" i="10"/>
  <c r="M8" i="10"/>
  <c r="D8" i="10"/>
  <c r="M52" i="10"/>
  <c r="D52" i="10"/>
  <c r="M22" i="10"/>
  <c r="D22" i="10"/>
  <c r="M43" i="10"/>
  <c r="D43" i="10"/>
  <c r="M47" i="10"/>
  <c r="D47" i="10"/>
  <c r="M42" i="10"/>
  <c r="D42" i="10"/>
  <c r="M72" i="10"/>
  <c r="D72" i="10"/>
  <c r="M7" i="10"/>
  <c r="D7" i="10"/>
  <c r="M63" i="10"/>
  <c r="D63" i="10"/>
  <c r="M97" i="10"/>
  <c r="D97" i="10"/>
  <c r="M86" i="10"/>
  <c r="D86" i="10"/>
  <c r="M21" i="10"/>
  <c r="D21" i="10"/>
  <c r="M6" i="10"/>
  <c r="D6" i="10"/>
  <c r="M45" i="10"/>
  <c r="D45" i="10"/>
  <c r="M41" i="10"/>
  <c r="D41" i="10"/>
  <c r="M60" i="10"/>
  <c r="D60" i="10"/>
  <c r="M79" i="10"/>
  <c r="D79" i="10"/>
  <c r="M51" i="10"/>
  <c r="D51" i="10"/>
  <c r="M24" i="10"/>
  <c r="D24" i="10"/>
  <c r="M50" i="10"/>
  <c r="D50" i="10"/>
  <c r="M80" i="10"/>
  <c r="D80" i="10"/>
  <c r="M15" i="10"/>
  <c r="D15" i="10"/>
  <c r="M27" i="10"/>
  <c r="D27" i="10"/>
  <c r="M48" i="10"/>
  <c r="D48" i="10"/>
  <c r="M62" i="10"/>
  <c r="D62" i="10"/>
  <c r="M20" i="10"/>
  <c r="D20" i="10"/>
  <c r="M94" i="10"/>
  <c r="D94" i="10"/>
  <c r="M29" i="10"/>
  <c r="D29" i="10"/>
  <c r="M71" i="10"/>
  <c r="D71" i="10"/>
  <c r="M53" i="10"/>
  <c r="D53" i="10"/>
  <c r="M57" i="10"/>
  <c r="D57" i="10"/>
  <c r="M68" i="10"/>
  <c r="D68" i="10"/>
  <c r="M3" i="10"/>
  <c r="D3" i="10"/>
  <c r="M32" i="10"/>
  <c r="D32" i="10"/>
  <c r="M59" i="10"/>
  <c r="D59" i="10"/>
  <c r="M81" i="10"/>
  <c r="D81" i="10"/>
  <c r="M58" i="10"/>
  <c r="D58" i="10"/>
  <c r="M88" i="10"/>
  <c r="D88" i="10"/>
  <c r="M23" i="10"/>
  <c r="D23" i="10"/>
  <c r="M18" i="10"/>
  <c r="D18" i="10"/>
  <c r="M102" i="10"/>
  <c r="D102" i="10"/>
  <c r="M37" i="10"/>
  <c r="D37" i="10"/>
  <c r="M16" i="10"/>
  <c r="D16" i="10"/>
  <c r="M61" i="10"/>
  <c r="D61" i="10"/>
  <c r="M89" i="10"/>
  <c r="D89" i="10"/>
  <c r="M76" i="10"/>
  <c r="D76" i="10"/>
  <c r="M11" i="10"/>
  <c r="D11" i="10"/>
  <c r="M73" i="10"/>
  <c r="D73" i="10"/>
  <c r="M67" i="10"/>
  <c r="D67" i="10"/>
  <c r="M2" i="10"/>
  <c r="D2" i="10"/>
  <c r="M66" i="10"/>
  <c r="D66" i="10"/>
  <c r="M96" i="10"/>
  <c r="D96" i="10"/>
  <c r="M31" i="10"/>
  <c r="D31" i="10"/>
  <c r="M77" i="10"/>
  <c r="D77" i="10"/>
  <c r="M92" i="10"/>
  <c r="D92" i="10"/>
  <c r="M46" i="10"/>
  <c r="D46" i="10"/>
  <c r="M49" i="10"/>
  <c r="D49" i="10"/>
  <c r="M69" i="10"/>
  <c r="D69" i="10"/>
  <c r="M4" i="10"/>
  <c r="D4" i="10"/>
  <c r="M84" i="10"/>
  <c r="D84" i="10"/>
  <c r="M19" i="10"/>
  <c r="D19" i="10"/>
  <c r="M75" i="10"/>
  <c r="D75" i="10"/>
  <c r="M10" i="10"/>
  <c r="D10" i="10"/>
  <c r="M74" i="10"/>
  <c r="D74" i="10"/>
  <c r="M9" i="10"/>
  <c r="D9" i="10"/>
  <c r="M14" i="10"/>
  <c r="D14" i="10"/>
  <c r="M40" i="10"/>
  <c r="D40" i="10"/>
  <c r="M30" i="10"/>
  <c r="D30" i="10"/>
  <c r="KM97" i="9"/>
  <c r="KM35" i="9"/>
  <c r="KL63" i="9"/>
  <c r="KH96" i="9"/>
  <c r="KN16" i="9"/>
  <c r="KM73" i="9"/>
  <c r="KK85" i="9"/>
  <c r="KM92" i="9"/>
  <c r="KH78" i="9"/>
  <c r="KJ76" i="9"/>
  <c r="KI101" i="9"/>
  <c r="KH84" i="9"/>
  <c r="KM100" i="9"/>
  <c r="KK59" i="9"/>
  <c r="KK58" i="9"/>
  <c r="KM71" i="9"/>
  <c r="KK73" i="9"/>
  <c r="KI65" i="9"/>
  <c r="KK35" i="9"/>
  <c r="KM52" i="9"/>
  <c r="KK51" i="9"/>
  <c r="KH97" i="9"/>
  <c r="KM80" i="9"/>
  <c r="KJ18" i="9"/>
  <c r="KI10" i="9"/>
  <c r="KN81" i="9"/>
  <c r="KH61" i="9"/>
  <c r="KH76" i="9"/>
  <c r="KH93" i="9"/>
  <c r="KJ84" i="9"/>
  <c r="KI32" i="9"/>
  <c r="KK29" i="9"/>
  <c r="KM13" i="9"/>
  <c r="KL5" i="9"/>
  <c r="KM9" i="9"/>
  <c r="KL8" i="9"/>
  <c r="KK28" i="9"/>
  <c r="KM12" i="9"/>
  <c r="KM27" i="9"/>
  <c r="KI13" i="9"/>
  <c r="KI9" i="9"/>
  <c r="KI12" i="9"/>
  <c r="KJ25" i="9"/>
  <c r="KM96" i="9"/>
  <c r="KI33" i="9"/>
  <c r="KM10" i="9"/>
  <c r="KL16" i="9"/>
  <c r="KI64" i="9"/>
  <c r="KM44" i="9"/>
  <c r="KK34" i="9"/>
  <c r="KL2" i="9"/>
  <c r="KL92" i="9"/>
  <c r="KJ95" i="9"/>
  <c r="KH62" i="9"/>
  <c r="KK24" i="9"/>
  <c r="KK102" i="9"/>
  <c r="KH69" i="9"/>
  <c r="KH7" i="9"/>
  <c r="KJ91" i="9"/>
  <c r="KN21" i="9"/>
  <c r="KI5" i="9"/>
  <c r="KJ9" i="9"/>
  <c r="KI8" i="9"/>
  <c r="KH99" i="9"/>
  <c r="KJ90" i="9"/>
  <c r="KH82" i="9"/>
  <c r="KN20" i="9"/>
  <c r="KI4" i="9"/>
  <c r="KL4" i="9"/>
  <c r="KN25" i="9"/>
  <c r="KJ73" i="9"/>
  <c r="KI19" i="9"/>
  <c r="KL19" i="9"/>
  <c r="KK11" i="9"/>
  <c r="KN3" i="9"/>
  <c r="KI87" i="9"/>
  <c r="KJ26" i="9"/>
  <c r="KM26" i="9"/>
  <c r="KI18" i="9"/>
  <c r="KL18" i="9"/>
  <c r="KK10" i="9"/>
  <c r="KI85" i="9"/>
  <c r="KJ23" i="9"/>
  <c r="KI15" i="9"/>
  <c r="KJ6" i="9"/>
  <c r="KI27" i="9"/>
  <c r="KN68" i="9"/>
  <c r="KI58" i="9"/>
  <c r="KM89" i="9"/>
  <c r="KI35" i="9"/>
  <c r="KK52" i="9"/>
  <c r="KN30" i="9"/>
  <c r="KH32" i="9"/>
  <c r="KI91" i="9"/>
  <c r="KJ13" i="9"/>
  <c r="KH8" i="9"/>
  <c r="KI90" i="9"/>
  <c r="KJ12" i="9"/>
  <c r="KH98" i="9"/>
  <c r="KI73" i="9"/>
  <c r="KJ27" i="9"/>
  <c r="KH72" i="9"/>
  <c r="KK70" i="9"/>
  <c r="KL101" i="9"/>
  <c r="KI59" i="9"/>
  <c r="KK79" i="9"/>
  <c r="KI51" i="9"/>
  <c r="KK92" i="9"/>
  <c r="KJ102" i="9"/>
  <c r="KJ69" i="9"/>
  <c r="KN31" i="9"/>
  <c r="KN22" i="9"/>
  <c r="KH85" i="9"/>
  <c r="KH101" i="9"/>
  <c r="KJ93" i="9"/>
  <c r="KM21" i="9"/>
  <c r="KL13" i="9"/>
  <c r="KK5" i="9"/>
  <c r="KL9" i="9"/>
  <c r="KK8" i="9"/>
  <c r="KK99" i="9"/>
  <c r="KI89" i="9"/>
  <c r="KM36" i="9"/>
  <c r="KJ24" i="9"/>
  <c r="KL94" i="9"/>
  <c r="KN69" i="9"/>
  <c r="KL61" i="9"/>
  <c r="KJ53" i="9"/>
  <c r="KL76" i="9"/>
  <c r="KJ60" i="9"/>
  <c r="KN93" i="9"/>
  <c r="KJ49" i="9"/>
  <c r="KM91" i="9"/>
  <c r="KK83" i="9"/>
  <c r="KI75" i="9"/>
  <c r="KI37" i="9"/>
  <c r="KI21" i="9"/>
  <c r="KI74" i="9"/>
  <c r="KI36" i="9"/>
  <c r="KI20" i="9"/>
  <c r="KI25" i="9"/>
  <c r="KI57" i="9"/>
  <c r="KI3" i="9"/>
  <c r="KI43" i="9"/>
  <c r="KK97" i="9"/>
  <c r="KI56" i="9"/>
  <c r="KK96" i="9"/>
  <c r="KM78" i="9"/>
  <c r="KJ50" i="9"/>
  <c r="KK100" i="9"/>
  <c r="KM37" i="9"/>
  <c r="KI72" i="9"/>
  <c r="KI34" i="9"/>
  <c r="KM95" i="9"/>
  <c r="KI78" i="9"/>
  <c r="KI42" i="9"/>
  <c r="KN102" i="9"/>
  <c r="KN15" i="9"/>
  <c r="KN17" i="9"/>
  <c r="KL84" i="9"/>
  <c r="KJ68" i="9"/>
  <c r="KM32" i="9"/>
  <c r="KK82" i="9"/>
  <c r="KH71" i="9"/>
  <c r="KH25" i="9"/>
  <c r="KK98" i="9"/>
  <c r="KK87" i="9"/>
  <c r="KI88" i="9"/>
  <c r="KH56" i="9"/>
  <c r="KK67" i="9"/>
  <c r="KK66" i="9"/>
  <c r="KK71" i="9"/>
  <c r="KK45" i="9"/>
  <c r="KK80" i="9"/>
  <c r="KK44" i="9"/>
  <c r="KL95" i="9"/>
  <c r="KH86" i="9"/>
  <c r="KH70" i="9"/>
  <c r="KH54" i="9"/>
  <c r="KL24" i="9"/>
  <c r="KM102" i="9"/>
  <c r="KJ85" i="9"/>
  <c r="KL69" i="9"/>
  <c r="KJ61" i="9"/>
  <c r="KH53" i="9"/>
  <c r="KH22" i="9"/>
  <c r="KM93" i="9"/>
  <c r="KI68" i="9"/>
  <c r="KH30" i="9"/>
  <c r="KH49" i="9"/>
  <c r="KL91" i="9"/>
  <c r="KJ83" i="9"/>
  <c r="KL29" i="9"/>
  <c r="KK21" i="9"/>
  <c r="KN13" i="9"/>
  <c r="KM5" i="9"/>
  <c r="KH79" i="9"/>
  <c r="KN9" i="9"/>
  <c r="KM8" i="9"/>
  <c r="KJ82" i="9"/>
  <c r="KH46" i="9"/>
  <c r="KL28" i="9"/>
  <c r="KK20" i="9"/>
  <c r="KN12" i="9"/>
  <c r="KM4" i="9"/>
  <c r="KK25" i="9"/>
  <c r="KJ98" i="9"/>
  <c r="KH89" i="9"/>
  <c r="KN27" i="9"/>
  <c r="KM19" i="9"/>
  <c r="KL11" i="9"/>
  <c r="KK3" i="9"/>
  <c r="KJ87" i="9"/>
  <c r="KN26" i="9"/>
  <c r="KM18" i="9"/>
  <c r="KL10" i="9"/>
  <c r="KK16" i="9"/>
  <c r="BE2" i="9"/>
  <c r="CX2" i="9"/>
  <c r="CF2" i="9"/>
  <c r="CO2" i="9"/>
  <c r="AV2" i="9"/>
  <c r="CX3" i="9"/>
  <c r="AV3" i="9"/>
  <c r="BE3" i="9"/>
  <c r="CF3" i="9"/>
  <c r="CO3" i="9"/>
  <c r="KI24" i="9"/>
  <c r="KH31" i="9"/>
  <c r="KI29" i="9"/>
  <c r="KJ8" i="9"/>
  <c r="KI28" i="9"/>
  <c r="KI11" i="9"/>
  <c r="BE8" i="9"/>
  <c r="CF8" i="9"/>
  <c r="CO8" i="9"/>
  <c r="CX8" i="9"/>
  <c r="AV8" i="9"/>
  <c r="KJ19" i="9"/>
  <c r="AV7" i="9"/>
  <c r="BE7" i="9"/>
  <c r="CO7" i="9"/>
  <c r="CF7" i="9"/>
  <c r="CX7" i="9"/>
  <c r="CF9" i="9"/>
  <c r="CO9" i="9"/>
  <c r="CX9" i="9"/>
  <c r="AV9" i="9"/>
  <c r="BE9" i="9"/>
  <c r="KK78" i="9"/>
  <c r="KI70" i="9"/>
  <c r="KK42" i="9"/>
  <c r="KJ41" i="9"/>
  <c r="KL60" i="9"/>
  <c r="KK75" i="9"/>
  <c r="KI67" i="9"/>
  <c r="KK37" i="9"/>
  <c r="KI79" i="9"/>
  <c r="KM82" i="9"/>
  <c r="KK74" i="9"/>
  <c r="KI66" i="9"/>
  <c r="KK36" i="9"/>
  <c r="KM20" i="9"/>
  <c r="KL12" i="9"/>
  <c r="KK4" i="9"/>
  <c r="KI71" i="9"/>
  <c r="KM25" i="9"/>
  <c r="KM98" i="9"/>
  <c r="KI81" i="9"/>
  <c r="KI45" i="9"/>
  <c r="KL27" i="9"/>
  <c r="KK19" i="9"/>
  <c r="KM3" i="9"/>
  <c r="KH87" i="9"/>
  <c r="KK43" i="9"/>
  <c r="KI52" i="9"/>
  <c r="KH88" i="9"/>
  <c r="KI44" i="9"/>
  <c r="KI26" i="9"/>
  <c r="KL26" i="9"/>
  <c r="KK18" i="9"/>
  <c r="KK56" i="9"/>
  <c r="CF6" i="9"/>
  <c r="CO6" i="9"/>
  <c r="CX6" i="9"/>
  <c r="AV6" i="9"/>
  <c r="BE6" i="9"/>
  <c r="KI95" i="9"/>
  <c r="KH66" i="9"/>
  <c r="KM87" i="9"/>
  <c r="KI80" i="9"/>
  <c r="KH26" i="9"/>
  <c r="CF5" i="9"/>
  <c r="CO5" i="9"/>
  <c r="CX5" i="9"/>
  <c r="AV5" i="9"/>
  <c r="BE5" i="9"/>
  <c r="KJ101" i="9"/>
  <c r="KM29" i="9"/>
  <c r="KL21" i="9"/>
  <c r="KK13" i="9"/>
  <c r="KK9" i="9"/>
  <c r="KM28" i="9"/>
  <c r="KL20" i="9"/>
  <c r="KK12" i="9"/>
  <c r="KL25" i="9"/>
  <c r="KK27" i="9"/>
  <c r="KM11" i="9"/>
  <c r="KL3" i="9"/>
  <c r="KK26" i="9"/>
  <c r="AV4" i="9"/>
  <c r="BE4" i="9"/>
  <c r="CF4" i="9"/>
  <c r="CX4" i="9"/>
  <c r="CO4" i="9"/>
  <c r="KH95" i="9"/>
  <c r="KJ86" i="9"/>
  <c r="KH42" i="9"/>
  <c r="KK94" i="9"/>
  <c r="KM69" i="9"/>
  <c r="KK61" i="9"/>
  <c r="KI53" i="9"/>
  <c r="KL31" i="9"/>
  <c r="KK23" i="9"/>
  <c r="KM7" i="9"/>
  <c r="KK76" i="9"/>
  <c r="KI60" i="9"/>
  <c r="KL22" i="9"/>
  <c r="KK6" i="9"/>
  <c r="KL30" i="9"/>
  <c r="KI49" i="9"/>
  <c r="KL59" i="9"/>
  <c r="KJ29" i="9"/>
  <c r="KL90" i="9"/>
  <c r="KH74" i="9"/>
  <c r="KH36" i="9"/>
  <c r="KJ28" i="9"/>
  <c r="KH73" i="9"/>
  <c r="KJ65" i="9"/>
  <c r="KL35" i="9"/>
  <c r="KJ11" i="9"/>
  <c r="KH3" i="9"/>
  <c r="KL51" i="9"/>
  <c r="KJ10" i="9"/>
  <c r="KM2" i="9"/>
  <c r="KJ96" i="9"/>
  <c r="KH63" i="9"/>
  <c r="KH16" i="9"/>
  <c r="KJ2" i="9"/>
  <c r="KI16" i="9"/>
  <c r="KL78" i="9"/>
  <c r="KJ70" i="9"/>
  <c r="KH77" i="9"/>
  <c r="KM23" i="9"/>
  <c r="KL15" i="9"/>
  <c r="KK7" i="9"/>
  <c r="KI50" i="9"/>
  <c r="KM60" i="9"/>
  <c r="KM6" i="9"/>
  <c r="KI17" i="9"/>
  <c r="KL17" i="9"/>
  <c r="KK101" i="9"/>
  <c r="KK93" i="9"/>
  <c r="KJ14" i="9"/>
  <c r="KM14" i="9"/>
  <c r="KK32" i="9"/>
  <c r="KL75" i="9"/>
  <c r="KJ67" i="9"/>
  <c r="KH59" i="9"/>
  <c r="KL37" i="9"/>
  <c r="KH5" i="9"/>
  <c r="KJ79" i="9"/>
  <c r="KH55" i="9"/>
  <c r="KL99" i="9"/>
  <c r="KN82" i="9"/>
  <c r="KJ66" i="9"/>
  <c r="KH58" i="9"/>
  <c r="KL36" i="9"/>
  <c r="KH4" i="9"/>
  <c r="KJ71" i="9"/>
  <c r="KL89" i="9"/>
  <c r="KJ81" i="9"/>
  <c r="KJ45" i="9"/>
  <c r="KH35" i="9"/>
  <c r="KH19" i="9"/>
  <c r="KN87" i="9"/>
  <c r="KL43" i="9"/>
  <c r="KJ52" i="9"/>
  <c r="KH51" i="9"/>
  <c r="KJ80" i="9"/>
  <c r="KJ44" i="9"/>
  <c r="KH34" i="9"/>
  <c r="KH18" i="9"/>
  <c r="KN96" i="9"/>
  <c r="KJ33" i="9"/>
  <c r="KJ92" i="9"/>
  <c r="KH94" i="9"/>
  <c r="KI69" i="9"/>
  <c r="KH50" i="9"/>
  <c r="KH17" i="9"/>
  <c r="KM68" i="9"/>
  <c r="KJ100" i="9"/>
  <c r="KN29" i="9"/>
  <c r="KN28" i="9"/>
  <c r="KN11" i="9"/>
  <c r="KN10" i="9"/>
  <c r="KI2" i="9"/>
  <c r="KJ16" i="9"/>
  <c r="KM16" i="9"/>
  <c r="KN24" i="9"/>
  <c r="KH15" i="9"/>
  <c r="BE75" i="9"/>
  <c r="JF75" i="9"/>
  <c r="IW75" i="9"/>
  <c r="BE78" i="9"/>
  <c r="JF78" i="9"/>
  <c r="IW78" i="9"/>
  <c r="BE54" i="9"/>
  <c r="JF54" i="9"/>
  <c r="IW54" i="9"/>
  <c r="BE100" i="9"/>
  <c r="JF100" i="9"/>
  <c r="IW100" i="9"/>
  <c r="BE91" i="9"/>
  <c r="JF91" i="9"/>
  <c r="IW91" i="9"/>
  <c r="BE83" i="9"/>
  <c r="JF83" i="9"/>
  <c r="IW83" i="9"/>
  <c r="BE67" i="9"/>
  <c r="JF67" i="9"/>
  <c r="IW67" i="9"/>
  <c r="BE59" i="9"/>
  <c r="JF59" i="9"/>
  <c r="IW59" i="9"/>
  <c r="BE47" i="9"/>
  <c r="JF47" i="9"/>
  <c r="IW47" i="9"/>
  <c r="BE37" i="9"/>
  <c r="JF37" i="9"/>
  <c r="IW37" i="9"/>
  <c r="BE29" i="9"/>
  <c r="IW29" i="9"/>
  <c r="JF29" i="9"/>
  <c r="BE21" i="9"/>
  <c r="IW21" i="9"/>
  <c r="JF21" i="9"/>
  <c r="BE13" i="9"/>
  <c r="IW13" i="9"/>
  <c r="JF13" i="9"/>
  <c r="IW5" i="9"/>
  <c r="JF5" i="9"/>
  <c r="BE87" i="9"/>
  <c r="JF87" i="9"/>
  <c r="IW87" i="9"/>
  <c r="BE17" i="9"/>
  <c r="IW17" i="9"/>
  <c r="JF17" i="9"/>
  <c r="BE24" i="9"/>
  <c r="IW24" i="9"/>
  <c r="JF24" i="9"/>
  <c r="BE99" i="9"/>
  <c r="JF99" i="9"/>
  <c r="IW99" i="9"/>
  <c r="BE90" i="9"/>
  <c r="JF90" i="9"/>
  <c r="IW90" i="9"/>
  <c r="BE82" i="9"/>
  <c r="JF82" i="9"/>
  <c r="IW82" i="9"/>
  <c r="BE74" i="9"/>
  <c r="JF74" i="9"/>
  <c r="IW74" i="9"/>
  <c r="BE66" i="9"/>
  <c r="JF66" i="9"/>
  <c r="IW66" i="9"/>
  <c r="BE58" i="9"/>
  <c r="JF58" i="9"/>
  <c r="IW58" i="9"/>
  <c r="BE46" i="9"/>
  <c r="JF46" i="9"/>
  <c r="IW46" i="9"/>
  <c r="BE36" i="9"/>
  <c r="JF36" i="9"/>
  <c r="IW36" i="9"/>
  <c r="BE28" i="9"/>
  <c r="IW28" i="9"/>
  <c r="JF28" i="9"/>
  <c r="BE20" i="9"/>
  <c r="IW20" i="9"/>
  <c r="JF20" i="9"/>
  <c r="BE12" i="9"/>
  <c r="IW12" i="9"/>
  <c r="JF12" i="9"/>
  <c r="IW4" i="9"/>
  <c r="JF4" i="9"/>
  <c r="JF55" i="9"/>
  <c r="IW55" i="9"/>
  <c r="BE52" i="9"/>
  <c r="JF52" i="9"/>
  <c r="IW52" i="9"/>
  <c r="BE98" i="9"/>
  <c r="JF98" i="9"/>
  <c r="IW98" i="9"/>
  <c r="BE89" i="9"/>
  <c r="JF89" i="9"/>
  <c r="IW89" i="9"/>
  <c r="BE81" i="9"/>
  <c r="JF81" i="9"/>
  <c r="IW81" i="9"/>
  <c r="BE73" i="9"/>
  <c r="JF73" i="9"/>
  <c r="IW73" i="9"/>
  <c r="BE65" i="9"/>
  <c r="JF65" i="9"/>
  <c r="IW65" i="9"/>
  <c r="BE57" i="9"/>
  <c r="JF57" i="9"/>
  <c r="IW57" i="9"/>
  <c r="BE45" i="9"/>
  <c r="JF45" i="9"/>
  <c r="IW45" i="9"/>
  <c r="BE35" i="9"/>
  <c r="JF35" i="9"/>
  <c r="IW35" i="9"/>
  <c r="BE27" i="9"/>
  <c r="IW27" i="9"/>
  <c r="JF27" i="9"/>
  <c r="BE19" i="9"/>
  <c r="IW19" i="9"/>
  <c r="JF19" i="9"/>
  <c r="BE11" i="9"/>
  <c r="IW11" i="9"/>
  <c r="JF11" i="9"/>
  <c r="IW3" i="9"/>
  <c r="JF3" i="9"/>
  <c r="BE96" i="9"/>
  <c r="JF96" i="9"/>
  <c r="IW96" i="9"/>
  <c r="BE43" i="9"/>
  <c r="JF43" i="9"/>
  <c r="IW43" i="9"/>
  <c r="BE92" i="9"/>
  <c r="JF92" i="9"/>
  <c r="IW92" i="9"/>
  <c r="BE62" i="9"/>
  <c r="JF62" i="9"/>
  <c r="IW62" i="9"/>
  <c r="IW8" i="9"/>
  <c r="JF8" i="9"/>
  <c r="BE97" i="9"/>
  <c r="JF97" i="9"/>
  <c r="IW97" i="9"/>
  <c r="BE88" i="9"/>
  <c r="JF88" i="9"/>
  <c r="IW88" i="9"/>
  <c r="BE80" i="9"/>
  <c r="JF80" i="9"/>
  <c r="IW80" i="9"/>
  <c r="BE72" i="9"/>
  <c r="JF72" i="9"/>
  <c r="IW72" i="9"/>
  <c r="BE64" i="9"/>
  <c r="JF64" i="9"/>
  <c r="IW64" i="9"/>
  <c r="BE56" i="9"/>
  <c r="JF56" i="9"/>
  <c r="IW56" i="9"/>
  <c r="BE44" i="9"/>
  <c r="JF44" i="9"/>
  <c r="IW44" i="9"/>
  <c r="BE34" i="9"/>
  <c r="JF34" i="9"/>
  <c r="IW34" i="9"/>
  <c r="BE26" i="9"/>
  <c r="IW26" i="9"/>
  <c r="JF26" i="9"/>
  <c r="BE18" i="9"/>
  <c r="IW18" i="9"/>
  <c r="JF18" i="9"/>
  <c r="BE10" i="9"/>
  <c r="IW10" i="9"/>
  <c r="JF10" i="9"/>
  <c r="JF2" i="9"/>
  <c r="IW2" i="9"/>
  <c r="BE71" i="9"/>
  <c r="JF71" i="9"/>
  <c r="IW71" i="9"/>
  <c r="BE33" i="9"/>
  <c r="JF33" i="9"/>
  <c r="IW33" i="9"/>
  <c r="BE95" i="9"/>
  <c r="JF95" i="9"/>
  <c r="IW95" i="9"/>
  <c r="BE32" i="9"/>
  <c r="IW32" i="9"/>
  <c r="JF32" i="9"/>
  <c r="BE102" i="9"/>
  <c r="JF102" i="9"/>
  <c r="IW102" i="9"/>
  <c r="BE94" i="9"/>
  <c r="JF94" i="9"/>
  <c r="IW94" i="9"/>
  <c r="BE85" i="9"/>
  <c r="JF85" i="9"/>
  <c r="IW85" i="9"/>
  <c r="BE77" i="9"/>
  <c r="JF77" i="9"/>
  <c r="IW77" i="9"/>
  <c r="BE69" i="9"/>
  <c r="JF69" i="9"/>
  <c r="IW69" i="9"/>
  <c r="BE61" i="9"/>
  <c r="JF61" i="9"/>
  <c r="IW61" i="9"/>
  <c r="BE53" i="9"/>
  <c r="JF53" i="9"/>
  <c r="IW53" i="9"/>
  <c r="BE41" i="9"/>
  <c r="JF41" i="9"/>
  <c r="IW41" i="9"/>
  <c r="BE31" i="9"/>
  <c r="IW31" i="9"/>
  <c r="JF31" i="9"/>
  <c r="BE23" i="9"/>
  <c r="IW23" i="9"/>
  <c r="JF23" i="9"/>
  <c r="BE15" i="9"/>
  <c r="IW15" i="9"/>
  <c r="JF15" i="9"/>
  <c r="IW7" i="9"/>
  <c r="JF7" i="9"/>
  <c r="BE50" i="9"/>
  <c r="JF50" i="9"/>
  <c r="IW50" i="9"/>
  <c r="BE63" i="9"/>
  <c r="JF63" i="9"/>
  <c r="IW63" i="9"/>
  <c r="IW9" i="9"/>
  <c r="JF9" i="9"/>
  <c r="BE86" i="9"/>
  <c r="JF86" i="9"/>
  <c r="IW86" i="9"/>
  <c r="BE42" i="9"/>
  <c r="JF42" i="9"/>
  <c r="IW42" i="9"/>
  <c r="BE51" i="9"/>
  <c r="JF51" i="9"/>
  <c r="IW51" i="9"/>
  <c r="BE101" i="9"/>
  <c r="JF101" i="9"/>
  <c r="IW101" i="9"/>
  <c r="BE93" i="9"/>
  <c r="JF93" i="9"/>
  <c r="IW93" i="9"/>
  <c r="BE84" i="9"/>
  <c r="JF84" i="9"/>
  <c r="IW84" i="9"/>
  <c r="BE76" i="9"/>
  <c r="JF76" i="9"/>
  <c r="IW76" i="9"/>
  <c r="BE68" i="9"/>
  <c r="JF68" i="9"/>
  <c r="IW68" i="9"/>
  <c r="BE60" i="9"/>
  <c r="JF60" i="9"/>
  <c r="IW60" i="9"/>
  <c r="BE48" i="9"/>
  <c r="JF48" i="9"/>
  <c r="IW48" i="9"/>
  <c r="BE40" i="9"/>
  <c r="JF40" i="9"/>
  <c r="IW40" i="9"/>
  <c r="BE30" i="9"/>
  <c r="IW30" i="9"/>
  <c r="JF30" i="9"/>
  <c r="BE22" i="9"/>
  <c r="IW22" i="9"/>
  <c r="JF22" i="9"/>
  <c r="BE14" i="9"/>
  <c r="IW14" i="9"/>
  <c r="JF14" i="9"/>
  <c r="IW6" i="9"/>
  <c r="JF6" i="9"/>
  <c r="BE49" i="9"/>
  <c r="JF49" i="9"/>
  <c r="IW49" i="9"/>
  <c r="BE79" i="9"/>
  <c r="JF79" i="9"/>
  <c r="IW79" i="9"/>
  <c r="BE25" i="9"/>
  <c r="IW25" i="9"/>
  <c r="JF25" i="9"/>
  <c r="BE70" i="9"/>
  <c r="JF70" i="9"/>
  <c r="IW70" i="9"/>
  <c r="BE16" i="9"/>
  <c r="IW16" i="9"/>
  <c r="JF16" i="9"/>
  <c r="KH92" i="9"/>
  <c r="KJ78" i="9"/>
  <c r="KJ42" i="9"/>
  <c r="KI102" i="9"/>
  <c r="KM94" i="9"/>
  <c r="KJ77" i="9"/>
  <c r="KM61" i="9"/>
  <c r="KI41" i="9"/>
  <c r="KJ31" i="9"/>
  <c r="KM31" i="9"/>
  <c r="KI23" i="9"/>
  <c r="KL23" i="9"/>
  <c r="KK15" i="9"/>
  <c r="KN7" i="9"/>
  <c r="KM76" i="9"/>
  <c r="KK60" i="9"/>
  <c r="KI40" i="9"/>
  <c r="KJ22" i="9"/>
  <c r="KM22" i="9"/>
  <c r="KI6" i="9"/>
  <c r="KL6" i="9"/>
  <c r="KK17" i="9"/>
  <c r="KI93" i="9"/>
  <c r="KI84" i="9"/>
  <c r="KL68" i="9"/>
  <c r="KI48" i="9"/>
  <c r="KJ30" i="9"/>
  <c r="KM30" i="9"/>
  <c r="KI14" i="9"/>
  <c r="KL14" i="9"/>
  <c r="KH100" i="9"/>
  <c r="KH91" i="9"/>
  <c r="KL83" i="9"/>
  <c r="KJ75" i="9"/>
  <c r="KH67" i="9"/>
  <c r="KJ37" i="9"/>
  <c r="KJ21" i="9"/>
  <c r="KH13" i="9"/>
  <c r="KH9" i="9"/>
  <c r="KJ99" i="9"/>
  <c r="KL82" i="9"/>
  <c r="KJ74" i="9"/>
  <c r="KJ36" i="9"/>
  <c r="KJ20" i="9"/>
  <c r="KH12" i="9"/>
  <c r="KL98" i="9"/>
  <c r="KK89" i="9"/>
  <c r="KH81" i="9"/>
  <c r="KJ57" i="9"/>
  <c r="KH45" i="9"/>
  <c r="KH27" i="9"/>
  <c r="KJ3" i="9"/>
  <c r="KJ43" i="9"/>
  <c r="KH52" i="9"/>
  <c r="KI97" i="9"/>
  <c r="KJ88" i="9"/>
  <c r="KH44" i="9"/>
  <c r="KL96" i="9"/>
  <c r="KH33" i="9"/>
  <c r="KI86" i="9"/>
  <c r="KM24" i="9"/>
  <c r="KH102" i="9"/>
  <c r="KL85" i="9"/>
  <c r="KI77" i="9"/>
  <c r="KH41" i="9"/>
  <c r="KH23" i="9"/>
  <c r="KH40" i="9"/>
  <c r="KH6" i="9"/>
  <c r="KM84" i="9"/>
  <c r="KK68" i="9"/>
  <c r="KH48" i="9"/>
  <c r="KH14" i="9"/>
  <c r="KN5" i="9"/>
  <c r="KN8" i="9"/>
  <c r="KH90" i="9"/>
  <c r="KN4" i="9"/>
  <c r="KN19" i="9"/>
  <c r="KL87" i="9"/>
  <c r="KN18" i="9"/>
  <c r="KH2" i="9"/>
  <c r="KI31" i="9"/>
  <c r="KJ7" i="9"/>
  <c r="KI22" i="9"/>
  <c r="KI30" i="9"/>
  <c r="KK14" i="9"/>
  <c r="KN32" i="9"/>
  <c r="KH83" i="9"/>
  <c r="KH75" i="9"/>
  <c r="KH37" i="9"/>
  <c r="KH21" i="9"/>
  <c r="KH20" i="9"/>
  <c r="KJ89" i="9"/>
  <c r="KH57" i="9"/>
  <c r="KH43" i="9"/>
  <c r="KH80" i="9"/>
  <c r="KH60" i="9"/>
  <c r="KJ32" i="9"/>
  <c r="KI92" i="9"/>
  <c r="KK95" i="9"/>
  <c r="KN78" i="9"/>
  <c r="KL70" i="9"/>
  <c r="KH24" i="9"/>
  <c r="KL102" i="9"/>
  <c r="KJ94" i="9"/>
  <c r="KK69" i="9"/>
  <c r="KI61" i="9"/>
  <c r="KK31" i="9"/>
  <c r="KN23" i="9"/>
  <c r="KJ15" i="9"/>
  <c r="KM15" i="9"/>
  <c r="KI7" i="9"/>
  <c r="KL7" i="9"/>
  <c r="KK50" i="9"/>
  <c r="KI76" i="9"/>
  <c r="KK22" i="9"/>
  <c r="KN6" i="9"/>
  <c r="KJ17" i="9"/>
  <c r="KM17" i="9"/>
  <c r="KM101" i="9"/>
  <c r="KL93" i="9"/>
  <c r="KK84" i="9"/>
  <c r="KH68" i="9"/>
  <c r="KK30" i="9"/>
  <c r="KN14" i="9"/>
  <c r="KL32" i="9"/>
  <c r="KL100" i="9"/>
  <c r="KK91" i="9"/>
  <c r="KI83" i="9"/>
  <c r="KL67" i="9"/>
  <c r="KJ59" i="9"/>
  <c r="KH47" i="9"/>
  <c r="KN37" i="9"/>
  <c r="KH29" i="9"/>
  <c r="KJ5" i="9"/>
  <c r="KL79" i="9"/>
  <c r="KI99" i="9"/>
  <c r="KK90" i="9"/>
  <c r="KI82" i="9"/>
  <c r="KJ58" i="9"/>
  <c r="KH28" i="9"/>
  <c r="KJ4" i="9"/>
  <c r="KL71" i="9"/>
  <c r="KI98" i="9"/>
  <c r="KN89" i="9"/>
  <c r="KH65" i="9"/>
  <c r="KL45" i="9"/>
  <c r="KJ35" i="9"/>
  <c r="KH11" i="9"/>
  <c r="KL52" i="9"/>
  <c r="KJ51" i="9"/>
  <c r="KJ97" i="9"/>
  <c r="KL80" i="9"/>
  <c r="KH64" i="9"/>
  <c r="KL44" i="9"/>
  <c r="KJ34" i="9"/>
  <c r="KH10" i="9"/>
  <c r="KK2" i="9"/>
  <c r="KI96" i="9"/>
  <c r="BE55" i="9"/>
  <c r="KG69" i="9" l="1"/>
  <c r="KG71" i="9"/>
  <c r="KG88" i="9"/>
  <c r="KG54" i="9"/>
  <c r="KG25" i="9"/>
  <c r="KG32" i="9"/>
  <c r="KG3" i="9"/>
  <c r="KG27" i="9"/>
  <c r="KG4" i="9"/>
  <c r="KG9" i="9"/>
  <c r="KG31" i="9"/>
  <c r="KG37" i="9"/>
  <c r="KG78" i="9"/>
  <c r="KG63" i="9"/>
  <c r="KG43" i="9"/>
  <c r="KG81" i="9"/>
  <c r="KG47" i="9"/>
  <c r="KG75" i="9"/>
  <c r="KG65" i="9"/>
  <c r="KG84" i="9"/>
  <c r="KG16" i="9"/>
  <c r="KG23" i="9"/>
  <c r="KG72" i="9"/>
  <c r="KG19" i="9"/>
  <c r="KG45" i="9"/>
  <c r="KG91" i="9"/>
  <c r="KG30" i="9"/>
  <c r="KG18" i="9"/>
  <c r="KG89" i="9"/>
  <c r="KG90" i="9"/>
  <c r="KG5" i="9"/>
  <c r="KG29" i="9"/>
  <c r="KG17" i="9"/>
  <c r="KG13" i="9"/>
  <c r="KG26" i="9"/>
  <c r="KG93" i="9"/>
  <c r="KG61" i="9"/>
  <c r="KG33" i="9"/>
  <c r="KG57" i="9"/>
  <c r="KG58" i="9"/>
  <c r="KG87" i="9"/>
  <c r="KG21" i="9"/>
  <c r="KG77" i="9"/>
  <c r="KG2" i="9"/>
  <c r="KG92" i="9"/>
  <c r="KG10" i="9"/>
  <c r="KG56" i="9"/>
  <c r="KG99" i="9"/>
  <c r="KG76" i="9"/>
  <c r="KG15" i="9"/>
  <c r="KG64" i="9"/>
  <c r="KG8" i="9"/>
  <c r="KG12" i="9"/>
  <c r="KG36" i="9"/>
  <c r="KG83" i="9"/>
  <c r="KG66" i="9"/>
  <c r="KG50" i="9"/>
  <c r="KG96" i="9"/>
  <c r="KG55" i="9"/>
  <c r="KG20" i="9"/>
  <c r="KG22" i="9"/>
  <c r="KG48" i="9"/>
  <c r="KG42" i="9"/>
  <c r="KG7" i="9"/>
  <c r="KG102" i="9"/>
  <c r="KG97" i="9"/>
  <c r="KG24" i="9"/>
  <c r="KG6" i="9"/>
  <c r="KG101" i="9"/>
  <c r="KG85" i="9"/>
  <c r="KG80" i="9"/>
  <c r="KG73" i="9"/>
  <c r="KG46" i="9"/>
  <c r="KG59" i="9"/>
  <c r="KG79" i="9"/>
  <c r="KG60" i="9"/>
  <c r="KG86" i="9"/>
  <c r="KG41" i="9"/>
  <c r="KG34" i="9"/>
  <c r="KG98" i="9"/>
  <c r="KG74" i="9"/>
  <c r="KG70" i="9"/>
  <c r="KG14" i="9"/>
  <c r="KG40" i="9"/>
  <c r="KG51" i="9"/>
  <c r="KG94" i="9"/>
  <c r="KG28" i="9"/>
  <c r="KG67" i="9"/>
  <c r="KG49" i="9"/>
  <c r="KG68" i="9"/>
  <c r="KG53" i="9"/>
  <c r="KG95" i="9"/>
  <c r="KG44" i="9"/>
  <c r="KG62" i="9"/>
  <c r="KG11" i="9"/>
  <c r="KG35" i="9"/>
  <c r="KG52" i="9"/>
  <c r="KG82" i="9"/>
  <c r="KG100" i="9"/>
  <c r="AM102" i="12" l="1" a="1"/>
  <c r="AM102" i="12" s="1"/>
  <c r="AM101" i="12" a="1"/>
  <c r="AM101" i="12" s="1"/>
  <c r="AM100" i="12" a="1"/>
  <c r="AM100" i="12" s="1"/>
  <c r="AM99" i="12" a="1"/>
  <c r="AM99" i="12" s="1"/>
  <c r="AM98" i="12" a="1"/>
  <c r="AM98" i="12" s="1"/>
  <c r="AM97" i="12" a="1"/>
  <c r="AM97" i="12" s="1"/>
  <c r="AM96" i="12" a="1"/>
  <c r="AM96" i="12" s="1"/>
  <c r="AM95" i="12" a="1"/>
  <c r="AM95" i="12" s="1"/>
  <c r="AM94" i="12" a="1"/>
  <c r="AM94" i="12" s="1"/>
  <c r="AM93" i="12" a="1"/>
  <c r="AM93" i="12" s="1"/>
  <c r="AM92" i="12" a="1"/>
  <c r="AM92" i="12" s="1"/>
  <c r="AM91" i="12" a="1"/>
  <c r="AM91" i="12" s="1"/>
  <c r="AM90" i="12" a="1"/>
  <c r="AM90" i="12" s="1"/>
  <c r="AM89" i="12" a="1"/>
  <c r="AM89" i="12" s="1"/>
  <c r="AM88" i="12" a="1"/>
  <c r="AM88" i="12" s="1"/>
  <c r="AM87" i="12" a="1"/>
  <c r="AM87" i="12" s="1"/>
  <c r="AM86" i="12" a="1"/>
  <c r="AM86" i="12" s="1"/>
  <c r="AM85" i="12" a="1"/>
  <c r="AM85" i="12" s="1"/>
  <c r="AM84" i="12" a="1"/>
  <c r="AM84" i="12" s="1"/>
  <c r="AM83" i="12" a="1"/>
  <c r="AM83" i="12" s="1"/>
  <c r="AM82" i="12" a="1"/>
  <c r="AM82" i="12" s="1"/>
  <c r="AM81" i="12" a="1"/>
  <c r="AM81" i="12" s="1"/>
  <c r="AM80" i="12" a="1"/>
  <c r="AM80" i="12" s="1"/>
  <c r="AM79" i="12" a="1"/>
  <c r="AM79" i="12" s="1"/>
  <c r="AM78" i="12" a="1"/>
  <c r="AM78" i="12" s="1"/>
  <c r="AM77" i="12" a="1"/>
  <c r="AM77" i="12" s="1"/>
  <c r="AM76" i="12" a="1"/>
  <c r="AM76" i="12" s="1"/>
  <c r="AM75" i="12" a="1"/>
  <c r="AM75" i="12" s="1"/>
  <c r="AM74" i="12" a="1"/>
  <c r="AM74" i="12" s="1"/>
  <c r="AM73" i="12" a="1"/>
  <c r="AM73" i="12" s="1"/>
  <c r="AM72" i="12" a="1"/>
  <c r="AM72" i="12" s="1"/>
  <c r="AM71" i="12" a="1"/>
  <c r="AM71" i="12" s="1"/>
  <c r="AM70" i="12" a="1"/>
  <c r="AM70" i="12" s="1"/>
  <c r="AM69" i="12" a="1"/>
  <c r="AM69" i="12" s="1"/>
  <c r="AM68" i="12" a="1"/>
  <c r="AM68" i="12" s="1"/>
  <c r="AM67" i="12" a="1"/>
  <c r="AM67" i="12" s="1"/>
  <c r="AM66" i="12" a="1"/>
  <c r="AM66" i="12" s="1"/>
  <c r="AM65" i="12" a="1"/>
  <c r="AM65" i="12" s="1"/>
  <c r="AM64" i="12" a="1"/>
  <c r="AM64" i="12" s="1"/>
  <c r="AM63" i="12" a="1"/>
  <c r="AM63" i="12" s="1"/>
  <c r="AM62" i="12" a="1"/>
  <c r="AM62" i="12" s="1"/>
  <c r="AM61" i="12" a="1"/>
  <c r="AM61" i="12" s="1"/>
  <c r="AM60" i="12" a="1"/>
  <c r="AM60" i="12" s="1"/>
  <c r="AM59" i="12" a="1"/>
  <c r="AM59" i="12" s="1"/>
  <c r="AM58" i="12" a="1"/>
  <c r="AM58" i="12" s="1"/>
  <c r="AM57" i="12" a="1"/>
  <c r="AM57" i="12" s="1"/>
  <c r="AM56" i="12" a="1"/>
  <c r="AM56" i="12" s="1"/>
  <c r="AM55" i="12" a="1"/>
  <c r="AM55" i="12" s="1"/>
  <c r="AM54" i="12" a="1"/>
  <c r="AM54" i="12" s="1"/>
  <c r="AM53" i="12" a="1"/>
  <c r="AM53" i="12" s="1"/>
  <c r="AM52" i="12" a="1"/>
  <c r="AM52" i="12" s="1"/>
  <c r="AM51" i="12" a="1"/>
  <c r="AM51" i="12" s="1"/>
  <c r="AM50" i="12" a="1"/>
  <c r="AM50" i="12" s="1"/>
  <c r="AM49" i="12" a="1"/>
  <c r="AM49" i="12" s="1"/>
  <c r="AM48" i="12" a="1"/>
  <c r="AM48" i="12" s="1"/>
  <c r="AM47" i="12" a="1"/>
  <c r="AM47" i="12" s="1"/>
  <c r="AM46" i="12" a="1"/>
  <c r="AM46" i="12" s="1"/>
  <c r="AM45" i="12" a="1"/>
  <c r="AM45" i="12" s="1"/>
  <c r="AM44" i="12" a="1"/>
  <c r="AM44" i="12" s="1"/>
  <c r="AM43" i="12" a="1"/>
  <c r="AM43" i="12" s="1"/>
  <c r="AM42" i="12" a="1"/>
  <c r="AM42" i="12" s="1"/>
  <c r="AM41" i="12" a="1"/>
  <c r="AM41" i="12" s="1"/>
  <c r="AM40" i="12" a="1"/>
  <c r="AM40" i="12" s="1"/>
  <c r="AM39" i="12" a="1"/>
  <c r="AM39" i="12" s="1"/>
  <c r="AM38" i="12" a="1"/>
  <c r="AM38" i="12" s="1"/>
  <c r="AM37" i="12" a="1"/>
  <c r="AM37" i="12" s="1"/>
  <c r="AM36" i="12" a="1"/>
  <c r="AM36" i="12" s="1"/>
  <c r="AM35" i="12" a="1"/>
  <c r="AM35" i="12" s="1"/>
  <c r="AM34" i="12" a="1"/>
  <c r="AM34" i="12" s="1"/>
  <c r="AM33" i="12" a="1"/>
  <c r="AM33" i="12" s="1"/>
  <c r="AM32" i="12" a="1"/>
  <c r="AM32" i="12" s="1"/>
  <c r="AM31" i="12" a="1"/>
  <c r="AM31" i="12" s="1"/>
  <c r="AM30" i="12" a="1"/>
  <c r="AM30" i="12" s="1"/>
  <c r="AM29" i="12" a="1"/>
  <c r="AM29" i="12" s="1"/>
  <c r="AM28" i="12" a="1"/>
  <c r="AM28" i="12" s="1"/>
  <c r="AM27" i="12" a="1"/>
  <c r="AM27" i="12" s="1"/>
  <c r="AM26" i="12" a="1"/>
  <c r="AM26" i="12" s="1"/>
  <c r="AM25" i="12" a="1"/>
  <c r="AM25" i="12" s="1"/>
  <c r="AM24" i="12" a="1"/>
  <c r="AM24" i="12" s="1"/>
  <c r="AM23" i="12" a="1"/>
  <c r="AM23" i="12" s="1"/>
  <c r="AM22" i="12" a="1"/>
  <c r="AM22" i="12" s="1"/>
  <c r="AM21" i="12" a="1"/>
  <c r="AM21" i="12" s="1"/>
  <c r="AM20" i="12" a="1"/>
  <c r="AM20" i="12" s="1"/>
  <c r="AM19" i="12" a="1"/>
  <c r="AM19" i="12" s="1"/>
  <c r="AM18" i="12" a="1"/>
  <c r="AM18" i="12" s="1"/>
  <c r="AM17" i="12" a="1"/>
  <c r="AM17" i="12" s="1"/>
  <c r="AM16" i="12" a="1"/>
  <c r="AM16" i="12" s="1"/>
  <c r="AM15" i="12" a="1"/>
  <c r="AM15" i="12" s="1"/>
  <c r="AM14" i="12" a="1"/>
  <c r="AM14" i="12" s="1"/>
  <c r="AM13" i="12" a="1"/>
  <c r="AM13" i="12" s="1"/>
  <c r="AM12" i="12" a="1"/>
  <c r="AM12" i="12" s="1"/>
  <c r="AM11" i="12" a="1"/>
  <c r="AM11" i="12" s="1"/>
  <c r="AM10" i="12" a="1"/>
  <c r="AM10" i="12" s="1"/>
  <c r="AM9" i="12" a="1"/>
  <c r="AM9" i="12" s="1"/>
  <c r="AM8" i="12" a="1"/>
  <c r="AM8" i="12" s="1"/>
  <c r="AM7" i="12" a="1"/>
  <c r="AM7" i="12" s="1"/>
  <c r="AM6" i="12" a="1"/>
  <c r="AM6" i="12" s="1"/>
  <c r="AM5" i="12" a="1"/>
  <c r="AM5" i="12" s="1"/>
  <c r="AM4" i="12" a="1"/>
  <c r="AM4" i="12" s="1"/>
  <c r="AM3" i="12" a="1"/>
  <c r="AM3" i="12" s="1"/>
  <c r="AM2" i="12" a="1"/>
  <c r="AM2" i="12" s="1"/>
  <c r="J33" i="7" l="1"/>
  <c r="J34" i="7"/>
  <c r="J35" i="7"/>
  <c r="J36" i="7"/>
  <c r="J37" i="7"/>
  <c r="J38" i="7"/>
  <c r="J39" i="7"/>
  <c r="J42" i="7"/>
  <c r="J43" i="7"/>
  <c r="J44" i="7"/>
  <c r="J45" i="7"/>
  <c r="J46" i="7"/>
  <c r="CV2" i="8" s="1"/>
  <c r="FQ2" i="9" s="1"/>
  <c r="J47" i="7"/>
  <c r="J48" i="7"/>
  <c r="CV3" i="8" s="1"/>
  <c r="FQ3" i="9" s="1"/>
  <c r="J49" i="7"/>
  <c r="CV4" i="8" s="1"/>
  <c r="FQ4" i="9" s="1"/>
  <c r="J50" i="7"/>
  <c r="CV5" i="8" s="1"/>
  <c r="FQ5" i="9" s="1"/>
  <c r="J51" i="7"/>
  <c r="CV6" i="8" s="1"/>
  <c r="FQ6" i="9" s="1"/>
  <c r="J52" i="7"/>
  <c r="CV7" i="8" s="1"/>
  <c r="FQ7" i="9" s="1"/>
  <c r="J53" i="7"/>
  <c r="CV8" i="8" s="1"/>
  <c r="FQ8" i="9" s="1"/>
  <c r="J54" i="7"/>
  <c r="CV9" i="8" s="1"/>
  <c r="FQ9" i="9" s="1"/>
  <c r="J55" i="7"/>
  <c r="CV10" i="8" s="1"/>
  <c r="FQ10" i="9" s="1"/>
  <c r="J56" i="7"/>
  <c r="CV11" i="8" s="1"/>
  <c r="FQ11" i="9" s="1"/>
  <c r="J57" i="7"/>
  <c r="CV12" i="8" s="1"/>
  <c r="FQ12" i="9" s="1"/>
  <c r="J58" i="7"/>
  <c r="CV13" i="8" s="1"/>
  <c r="FQ13" i="9" s="1"/>
  <c r="J59" i="7"/>
  <c r="CV14" i="8" s="1"/>
  <c r="FQ14" i="9" s="1"/>
  <c r="J60" i="7"/>
  <c r="CV15" i="8" s="1"/>
  <c r="FQ15" i="9" s="1"/>
  <c r="J61" i="7"/>
  <c r="CV16" i="8" s="1"/>
  <c r="FQ16" i="9" s="1"/>
  <c r="J62" i="7"/>
  <c r="CV17" i="8" s="1"/>
  <c r="FQ17" i="9" s="1"/>
  <c r="J63" i="7"/>
  <c r="CV18" i="8" s="1"/>
  <c r="FQ18" i="9" s="1"/>
  <c r="J64" i="7"/>
  <c r="CV19" i="8" s="1"/>
  <c r="FQ19" i="9" s="1"/>
  <c r="J65" i="7"/>
  <c r="CV20" i="8" s="1"/>
  <c r="FQ20" i="9" s="1"/>
  <c r="J66" i="7"/>
  <c r="CV21" i="8" s="1"/>
  <c r="FQ21" i="9" s="1"/>
  <c r="J67" i="7"/>
  <c r="CV22" i="8" s="1"/>
  <c r="FQ22" i="9" s="1"/>
  <c r="J68" i="7"/>
  <c r="CV23" i="8" s="1"/>
  <c r="FQ23" i="9" s="1"/>
  <c r="J69" i="7"/>
  <c r="CV24" i="8" s="1"/>
  <c r="FQ24" i="9" s="1"/>
  <c r="J70" i="7"/>
  <c r="CV25" i="8" s="1"/>
  <c r="FQ25" i="9" s="1"/>
  <c r="J71" i="7"/>
  <c r="CV26" i="8" s="1"/>
  <c r="FQ26" i="9" s="1"/>
  <c r="J72" i="7"/>
  <c r="CV27" i="8" s="1"/>
  <c r="FQ27" i="9" s="1"/>
  <c r="J73" i="7"/>
  <c r="CV28" i="8" s="1"/>
  <c r="FQ28" i="9" s="1"/>
  <c r="J74" i="7"/>
  <c r="CV29" i="8" s="1"/>
  <c r="FQ29" i="9" s="1"/>
  <c r="J75" i="7"/>
  <c r="CV30" i="8" s="1"/>
  <c r="FQ30" i="9" s="1"/>
  <c r="J76" i="7"/>
  <c r="CV31" i="8" s="1"/>
  <c r="FQ31" i="9" s="1"/>
  <c r="J77" i="7"/>
  <c r="CV32" i="8" s="1"/>
  <c r="FQ32" i="9" s="1"/>
  <c r="J78" i="7"/>
  <c r="CV33" i="8" s="1"/>
  <c r="FQ33" i="9" s="1"/>
  <c r="J79" i="7"/>
  <c r="CV34" i="8" s="1"/>
  <c r="FQ34" i="9" s="1"/>
  <c r="J80" i="7"/>
  <c r="CV35" i="8" s="1"/>
  <c r="FQ35" i="9" s="1"/>
  <c r="J81" i="7"/>
  <c r="CV36" i="8" s="1"/>
  <c r="FQ36" i="9" s="1"/>
  <c r="J82" i="7"/>
  <c r="CV37" i="8" s="1"/>
  <c r="FQ37" i="9" s="1"/>
  <c r="J83" i="7"/>
  <c r="CV38" i="8" s="1"/>
  <c r="FQ38" i="9" s="1"/>
  <c r="J84" i="7"/>
  <c r="CV39" i="8" s="1"/>
  <c r="FQ39" i="9" s="1"/>
  <c r="J85" i="7"/>
  <c r="CV40" i="8" s="1"/>
  <c r="FQ40" i="9" s="1"/>
  <c r="J86" i="7"/>
  <c r="CV41" i="8" s="1"/>
  <c r="FQ41" i="9" s="1"/>
  <c r="J87" i="7"/>
  <c r="CV42" i="8" s="1"/>
  <c r="FQ42" i="9" s="1"/>
  <c r="J88" i="7"/>
  <c r="CV43" i="8" s="1"/>
  <c r="FQ43" i="9" s="1"/>
  <c r="J89" i="7"/>
  <c r="CV44" i="8" s="1"/>
  <c r="FQ44" i="9" s="1"/>
  <c r="J90" i="7"/>
  <c r="CV45" i="8" s="1"/>
  <c r="FQ45" i="9" s="1"/>
  <c r="J91" i="7"/>
  <c r="CV46" i="8" s="1"/>
  <c r="FQ46" i="9" s="1"/>
  <c r="J92" i="7"/>
  <c r="CV47" i="8" s="1"/>
  <c r="FQ47" i="9" s="1"/>
  <c r="J93" i="7"/>
  <c r="CV48" i="8" s="1"/>
  <c r="FQ48" i="9" s="1"/>
  <c r="J94" i="7"/>
  <c r="CV49" i="8" s="1"/>
  <c r="FQ49" i="9" s="1"/>
  <c r="J95" i="7"/>
  <c r="CV50" i="8" s="1"/>
  <c r="FQ50" i="9" s="1"/>
  <c r="J96" i="7"/>
  <c r="CV51" i="8" s="1"/>
  <c r="FQ51" i="9" s="1"/>
  <c r="J97" i="7"/>
  <c r="CV52" i="8" s="1"/>
  <c r="FQ52" i="9" s="1"/>
  <c r="J98" i="7"/>
  <c r="CV53" i="8" s="1"/>
  <c r="FQ53" i="9" s="1"/>
  <c r="J99" i="7"/>
  <c r="CV54" i="8" s="1"/>
  <c r="FQ54" i="9" s="1"/>
  <c r="J100" i="7"/>
  <c r="CV55" i="8" s="1"/>
  <c r="FQ55" i="9" s="1"/>
  <c r="J101" i="7"/>
  <c r="CV56" i="8" s="1"/>
  <c r="FQ56" i="9" s="1"/>
  <c r="J102" i="7"/>
  <c r="CV57" i="8" s="1"/>
  <c r="FQ57" i="9" s="1"/>
  <c r="J103" i="7"/>
  <c r="CV58" i="8" s="1"/>
  <c r="FQ58" i="9" s="1"/>
  <c r="J104" i="7"/>
  <c r="CV59" i="8" s="1"/>
  <c r="FQ59" i="9" s="1"/>
  <c r="J105" i="7"/>
  <c r="CV60" i="8" s="1"/>
  <c r="FQ60" i="9" s="1"/>
  <c r="J106" i="7"/>
  <c r="CV61" i="8" s="1"/>
  <c r="FQ61" i="9" s="1"/>
  <c r="J107" i="7"/>
  <c r="CV62" i="8" s="1"/>
  <c r="FQ62" i="9" s="1"/>
  <c r="J108" i="7"/>
  <c r="CV63" i="8" s="1"/>
  <c r="FQ63" i="9" s="1"/>
  <c r="J109" i="7"/>
  <c r="CV64" i="8" s="1"/>
  <c r="FQ64" i="9" s="1"/>
  <c r="J110" i="7"/>
  <c r="CV65" i="8" s="1"/>
  <c r="FQ65" i="9" s="1"/>
  <c r="J111" i="7"/>
  <c r="CV66" i="8" s="1"/>
  <c r="FQ66" i="9" s="1"/>
  <c r="J112" i="7"/>
  <c r="CV67" i="8" s="1"/>
  <c r="FQ67" i="9" s="1"/>
  <c r="J113" i="7"/>
  <c r="CV68" i="8" s="1"/>
  <c r="FQ68" i="9" s="1"/>
  <c r="J114" i="7"/>
  <c r="CV69" i="8" s="1"/>
  <c r="FQ69" i="9" s="1"/>
  <c r="J115" i="7"/>
  <c r="CV70" i="8" s="1"/>
  <c r="FQ70" i="9" s="1"/>
  <c r="J116" i="7"/>
  <c r="CV71" i="8" s="1"/>
  <c r="FQ71" i="9" s="1"/>
  <c r="J117" i="7"/>
  <c r="CV72" i="8" s="1"/>
  <c r="FQ72" i="9" s="1"/>
  <c r="J118" i="7"/>
  <c r="CV73" i="8" s="1"/>
  <c r="FQ73" i="9" s="1"/>
  <c r="J119" i="7"/>
  <c r="CV74" i="8" s="1"/>
  <c r="FQ74" i="9" s="1"/>
  <c r="J120" i="7"/>
  <c r="CV75" i="8" s="1"/>
  <c r="FQ75" i="9" s="1"/>
  <c r="J121" i="7"/>
  <c r="CV76" i="8" s="1"/>
  <c r="FQ76" i="9" s="1"/>
  <c r="J122" i="7"/>
  <c r="CV77" i="8" s="1"/>
  <c r="FQ77" i="9" s="1"/>
  <c r="J123" i="7"/>
  <c r="CV78" i="8" s="1"/>
  <c r="FQ78" i="9" s="1"/>
  <c r="J124" i="7"/>
  <c r="CV79" i="8" s="1"/>
  <c r="FQ79" i="9" s="1"/>
  <c r="J125" i="7"/>
  <c r="CV80" i="8" s="1"/>
  <c r="FQ80" i="9" s="1"/>
  <c r="J126" i="7"/>
  <c r="CV81" i="8" s="1"/>
  <c r="FQ81" i="9" s="1"/>
  <c r="J127" i="7"/>
  <c r="CV82" i="8" s="1"/>
  <c r="FQ82" i="9" s="1"/>
  <c r="J128" i="7"/>
  <c r="CV83" i="8" s="1"/>
  <c r="FQ83" i="9" s="1"/>
  <c r="J129" i="7"/>
  <c r="CV84" i="8" s="1"/>
  <c r="FQ84" i="9" s="1"/>
  <c r="J130" i="7"/>
  <c r="CV85" i="8" s="1"/>
  <c r="FQ85" i="9" s="1"/>
  <c r="J131" i="7"/>
  <c r="CV86" i="8" s="1"/>
  <c r="FQ86" i="9" s="1"/>
  <c r="J132" i="7"/>
  <c r="CV87" i="8" s="1"/>
  <c r="FQ87" i="9" s="1"/>
  <c r="J133" i="7"/>
  <c r="CV88" i="8" s="1"/>
  <c r="FQ88" i="9" s="1"/>
  <c r="J134" i="7"/>
  <c r="CV89" i="8" s="1"/>
  <c r="FQ89" i="9" s="1"/>
  <c r="J135" i="7"/>
  <c r="CV90" i="8" s="1"/>
  <c r="FQ90" i="9" s="1"/>
  <c r="J136" i="7"/>
  <c r="CV91" i="8" s="1"/>
  <c r="FQ91" i="9" s="1"/>
  <c r="J137" i="7"/>
  <c r="CV92" i="8" s="1"/>
  <c r="FQ92" i="9" s="1"/>
  <c r="J138" i="7"/>
  <c r="CV93" i="8" s="1"/>
  <c r="FQ93" i="9" s="1"/>
  <c r="J139" i="7"/>
  <c r="CV94" i="8" s="1"/>
  <c r="FQ94" i="9" s="1"/>
  <c r="J140" i="7"/>
  <c r="CV95" i="8" s="1"/>
  <c r="FQ95" i="9" s="1"/>
  <c r="J141" i="7"/>
  <c r="CV96" i="8" s="1"/>
  <c r="FQ96" i="9" s="1"/>
  <c r="J142" i="7"/>
  <c r="CV97" i="8" s="1"/>
  <c r="FQ97" i="9" s="1"/>
  <c r="J143" i="7"/>
  <c r="CV98" i="8" s="1"/>
  <c r="FQ98" i="9" s="1"/>
  <c r="J144" i="7"/>
  <c r="CV99" i="8" s="1"/>
  <c r="FQ99" i="9" s="1"/>
  <c r="J145" i="7"/>
  <c r="CV100" i="8" s="1"/>
  <c r="FQ100" i="9" s="1"/>
  <c r="J146" i="7"/>
  <c r="CV101" i="8" s="1"/>
  <c r="FQ101" i="9" s="1"/>
  <c r="J147" i="7"/>
  <c r="CV102" i="8" s="1"/>
  <c r="FQ102" i="9" s="1"/>
  <c r="J21" i="7"/>
  <c r="J22" i="7"/>
  <c r="J23" i="7"/>
  <c r="J25" i="7"/>
  <c r="J26" i="7"/>
  <c r="J27" i="7"/>
  <c r="J28" i="7"/>
  <c r="J29" i="7"/>
  <c r="J30" i="7"/>
  <c r="J31" i="7"/>
  <c r="J32" i="7"/>
  <c r="J20" i="7"/>
  <c r="J3" i="7"/>
  <c r="J4" i="7"/>
  <c r="J5" i="7"/>
  <c r="J6" i="7"/>
  <c r="J7" i="7"/>
  <c r="J10" i="7"/>
  <c r="J11" i="7"/>
  <c r="J12" i="7"/>
  <c r="J13" i="7"/>
  <c r="J14" i="7"/>
  <c r="J15" i="7"/>
  <c r="J16" i="7"/>
  <c r="J17" i="7"/>
  <c r="J18" i="7"/>
  <c r="J19" i="7"/>
  <c r="J2" i="7"/>
  <c r="AJ4" i="11" l="1"/>
  <c r="B55" i="8" l="1" a="1"/>
  <c r="B55" i="8" s="1"/>
  <c r="J55" i="8" a="1"/>
  <c r="R55" i="8" a="1"/>
  <c r="J55" i="8" l="1"/>
  <c r="R55" i="8"/>
  <c r="BR53" i="8" l="1" a="1"/>
  <c r="BR53" i="8" s="1"/>
  <c r="DV53" i="8" l="1"/>
  <c r="DU53" i="8"/>
  <c r="AR53" i="10"/>
  <c r="AS53" i="10"/>
  <c r="AU53" i="10"/>
  <c r="AO53" i="10"/>
  <c r="AP53" i="10"/>
  <c r="AQ53" i="10"/>
  <c r="AT53" i="10"/>
  <c r="AG53" i="10"/>
  <c r="AH53" i="10"/>
  <c r="AI53" i="10"/>
  <c r="AJ53" i="10"/>
  <c r="AK53" i="10"/>
  <c r="AL53" i="10"/>
  <c r="AF53" i="10"/>
  <c r="AW53" i="9"/>
  <c r="AX53" i="9"/>
  <c r="AY53" i="9"/>
  <c r="AZ53" i="9"/>
  <c r="BA53" i="9"/>
  <c r="BB53" i="9"/>
  <c r="BC53" i="9"/>
  <c r="BR52" i="8" a="1"/>
  <c r="BR52" i="8" s="1"/>
  <c r="DV52" i="8" l="1"/>
  <c r="DU52" i="8"/>
  <c r="AY53" i="10"/>
  <c r="AX53" i="10"/>
  <c r="BB53" i="10"/>
  <c r="AN53" i="10"/>
  <c r="AR52" i="10"/>
  <c r="AS52" i="10"/>
  <c r="AU52" i="10"/>
  <c r="AO52" i="10"/>
  <c r="AP52" i="10"/>
  <c r="AQ52" i="10"/>
  <c r="AT52" i="10"/>
  <c r="BD53" i="10"/>
  <c r="BC53" i="10"/>
  <c r="BI53" i="10"/>
  <c r="BH53" i="10"/>
  <c r="BJ53" i="10"/>
  <c r="BG53" i="10"/>
  <c r="AG52" i="10"/>
  <c r="AH52" i="10"/>
  <c r="AI52" i="10"/>
  <c r="AJ52" i="10"/>
  <c r="AK52" i="10"/>
  <c r="AL52" i="10"/>
  <c r="AF52" i="10"/>
  <c r="BM53" i="10"/>
  <c r="BL53" i="10"/>
  <c r="BA53" i="10"/>
  <c r="BK53" i="10"/>
  <c r="AZ53" i="10"/>
  <c r="AE53" i="10"/>
  <c r="AW52" i="9"/>
  <c r="AX52" i="9"/>
  <c r="AY52" i="9"/>
  <c r="AZ52" i="9"/>
  <c r="BA52" i="9"/>
  <c r="BB52" i="9"/>
  <c r="BC52" i="9"/>
  <c r="AV53" i="9"/>
  <c r="BR102" i="8" a="1"/>
  <c r="BR102" i="8" s="1"/>
  <c r="DV102" i="8" l="1"/>
  <c r="DU102" i="8"/>
  <c r="BL52" i="10"/>
  <c r="AW53" i="10"/>
  <c r="BA52" i="10"/>
  <c r="AY52" i="10"/>
  <c r="AP102" i="10"/>
  <c r="AQ102" i="10"/>
  <c r="AR102" i="10"/>
  <c r="AS102" i="10"/>
  <c r="AT102" i="10"/>
  <c r="AU102" i="10"/>
  <c r="AO102" i="10"/>
  <c r="AN52" i="10"/>
  <c r="AX52" i="10"/>
  <c r="BD52" i="10"/>
  <c r="BB52" i="10"/>
  <c r="AZ52" i="10"/>
  <c r="BK52" i="10"/>
  <c r="AE52" i="10"/>
  <c r="AI102" i="10"/>
  <c r="AJ102" i="10"/>
  <c r="AK102" i="10"/>
  <c r="AL102" i="10"/>
  <c r="AF102" i="10"/>
  <c r="AG102" i="10"/>
  <c r="AH102" i="10"/>
  <c r="BI52" i="10"/>
  <c r="BH52" i="10"/>
  <c r="BC52" i="10"/>
  <c r="BG52" i="10"/>
  <c r="BF53" i="10"/>
  <c r="BJ52" i="10"/>
  <c r="BM52" i="10"/>
  <c r="AW102" i="9"/>
  <c r="AX102" i="9"/>
  <c r="AY102" i="9"/>
  <c r="AZ102" i="9"/>
  <c r="BA102" i="9"/>
  <c r="BB102" i="9"/>
  <c r="BC102" i="9"/>
  <c r="AV52" i="9"/>
  <c r="BR101" i="8" a="1"/>
  <c r="BR101" i="8" s="1"/>
  <c r="DV101" i="8" l="1"/>
  <c r="DU101" i="8"/>
  <c r="BL102" i="10"/>
  <c r="AY102" i="10"/>
  <c r="BH102" i="10"/>
  <c r="BB102" i="10"/>
  <c r="AX102" i="10"/>
  <c r="AP101" i="10"/>
  <c r="AQ101" i="10"/>
  <c r="AR101" i="10"/>
  <c r="AS101" i="10"/>
  <c r="AT101" i="10"/>
  <c r="AU101" i="10"/>
  <c r="AO101" i="10"/>
  <c r="AN102" i="10"/>
  <c r="AW52" i="10"/>
  <c r="BD102" i="10"/>
  <c r="BK102" i="10"/>
  <c r="BJ102" i="10"/>
  <c r="AE102" i="10"/>
  <c r="BI102" i="10"/>
  <c r="BA102" i="10"/>
  <c r="BF52" i="10"/>
  <c r="AI101" i="10"/>
  <c r="AJ101" i="10"/>
  <c r="AK101" i="10"/>
  <c r="AL101" i="10"/>
  <c r="AF101" i="10"/>
  <c r="AG101" i="10"/>
  <c r="AH101" i="10"/>
  <c r="AZ102" i="10"/>
  <c r="BG102" i="10"/>
  <c r="BC102" i="10"/>
  <c r="BM102" i="10"/>
  <c r="AW101" i="9"/>
  <c r="AX101" i="9"/>
  <c r="AY101" i="9"/>
  <c r="AZ101" i="9"/>
  <c r="BA101" i="9"/>
  <c r="BB101" i="9"/>
  <c r="BC101" i="9"/>
  <c r="AV102" i="9"/>
  <c r="BR100" i="8" a="1"/>
  <c r="BR100" i="8" s="1"/>
  <c r="DV100" i="8" l="1"/>
  <c r="DU100" i="8"/>
  <c r="BJ101" i="10"/>
  <c r="AX101" i="10"/>
  <c r="BH101" i="10"/>
  <c r="BF102" i="10"/>
  <c r="AY101" i="10"/>
  <c r="BB101" i="10"/>
  <c r="AP100" i="10"/>
  <c r="AQ100" i="10"/>
  <c r="AR100" i="10"/>
  <c r="AS100" i="10"/>
  <c r="AT100" i="10"/>
  <c r="AU100" i="10"/>
  <c r="AO100" i="10"/>
  <c r="BD101" i="10"/>
  <c r="AN101" i="10"/>
  <c r="AZ101" i="10"/>
  <c r="BC101" i="10"/>
  <c r="BA101" i="10"/>
  <c r="AI100" i="10"/>
  <c r="AJ100" i="10"/>
  <c r="AK100" i="10"/>
  <c r="AL100" i="10"/>
  <c r="AF100" i="10"/>
  <c r="AG100" i="10"/>
  <c r="AH100" i="10"/>
  <c r="AE101" i="10"/>
  <c r="BI101" i="10"/>
  <c r="BG101" i="10"/>
  <c r="BM101" i="10"/>
  <c r="BL101" i="10"/>
  <c r="BK101" i="10"/>
  <c r="AW102" i="10"/>
  <c r="AW100" i="9"/>
  <c r="AX100" i="9"/>
  <c r="AY100" i="9"/>
  <c r="AZ100" i="9"/>
  <c r="BA100" i="9"/>
  <c r="BB100" i="9"/>
  <c r="BC100" i="9"/>
  <c r="AV101" i="9"/>
  <c r="BR95" i="8" a="1"/>
  <c r="BR95" i="8" s="1"/>
  <c r="DV95" i="8" l="1"/>
  <c r="DU95" i="8"/>
  <c r="AX100" i="10"/>
  <c r="AY100" i="10"/>
  <c r="BH100" i="10"/>
  <c r="AW101" i="10"/>
  <c r="BC100" i="10"/>
  <c r="BM100" i="10"/>
  <c r="AN100" i="10"/>
  <c r="AP95" i="10"/>
  <c r="AQ95" i="10"/>
  <c r="AR95" i="10"/>
  <c r="AS95" i="10"/>
  <c r="AT95" i="10"/>
  <c r="AU95" i="10"/>
  <c r="AO95" i="10"/>
  <c r="BB100" i="10"/>
  <c r="BI100" i="10"/>
  <c r="BL100" i="10"/>
  <c r="BK100" i="10"/>
  <c r="BJ100" i="10"/>
  <c r="AE100" i="10"/>
  <c r="BF101" i="10"/>
  <c r="BA100" i="10"/>
  <c r="AI95" i="10"/>
  <c r="AJ95" i="10"/>
  <c r="AK95" i="10"/>
  <c r="AL95" i="10"/>
  <c r="AF95" i="10"/>
  <c r="AG95" i="10"/>
  <c r="AH95" i="10"/>
  <c r="BD100" i="10"/>
  <c r="AZ100" i="10"/>
  <c r="BG100" i="10"/>
  <c r="AW95" i="9"/>
  <c r="AX95" i="9"/>
  <c r="AY95" i="9"/>
  <c r="AZ95" i="9"/>
  <c r="BA95" i="9"/>
  <c r="BB95" i="9"/>
  <c r="BC95" i="9"/>
  <c r="AV100" i="9"/>
  <c r="BR89" i="8" a="1"/>
  <c r="BR89" i="8" s="1"/>
  <c r="DV89" i="8" l="1"/>
  <c r="DU89" i="8"/>
  <c r="AY95" i="10"/>
  <c r="BC95" i="10"/>
  <c r="AX95" i="10"/>
  <c r="AZ95" i="10"/>
  <c r="AP89" i="10"/>
  <c r="AQ89" i="10"/>
  <c r="AR89" i="10"/>
  <c r="AS89" i="10"/>
  <c r="AT89" i="10"/>
  <c r="AU89" i="10"/>
  <c r="AO89" i="10"/>
  <c r="BA95" i="10"/>
  <c r="AN95" i="10"/>
  <c r="BI95" i="10"/>
  <c r="BD95" i="10"/>
  <c r="BG95" i="10"/>
  <c r="BM95" i="10"/>
  <c r="AI89" i="10"/>
  <c r="AJ89" i="10"/>
  <c r="AK89" i="10"/>
  <c r="AL89" i="10"/>
  <c r="AF89" i="10"/>
  <c r="AG89" i="10"/>
  <c r="AH89" i="10"/>
  <c r="BH95" i="10"/>
  <c r="BL95" i="10"/>
  <c r="AW100" i="10"/>
  <c r="BK95" i="10"/>
  <c r="BF100" i="10"/>
  <c r="BB95" i="10"/>
  <c r="BJ95" i="10"/>
  <c r="AE95" i="10"/>
  <c r="AW89" i="9"/>
  <c r="AX89" i="9"/>
  <c r="AY89" i="9"/>
  <c r="AZ89" i="9"/>
  <c r="BA89" i="9"/>
  <c r="BB89" i="9"/>
  <c r="BC89" i="9"/>
  <c r="AV95" i="9"/>
  <c r="BR86" i="8" a="1"/>
  <c r="BR86" i="8" s="1"/>
  <c r="DV86" i="8" l="1"/>
  <c r="DU86" i="8"/>
  <c r="AW95" i="10"/>
  <c r="AZ89" i="10"/>
  <c r="BA89" i="10"/>
  <c r="AX89" i="10"/>
  <c r="BC89" i="10"/>
  <c r="AN89" i="10"/>
  <c r="BD89" i="10"/>
  <c r="AP86" i="10"/>
  <c r="AQ86" i="10"/>
  <c r="AR86" i="10"/>
  <c r="AS86" i="10"/>
  <c r="AT86" i="10"/>
  <c r="AU86" i="10"/>
  <c r="AO86" i="10"/>
  <c r="AY89" i="10"/>
  <c r="BB89" i="10"/>
  <c r="BH89" i="10"/>
  <c r="BI89" i="10"/>
  <c r="BG89" i="10"/>
  <c r="BM89" i="10"/>
  <c r="BL89" i="10"/>
  <c r="BK89" i="10"/>
  <c r="AI86" i="10"/>
  <c r="AJ86" i="10"/>
  <c r="AK86" i="10"/>
  <c r="AL86" i="10"/>
  <c r="AF86" i="10"/>
  <c r="AG86" i="10"/>
  <c r="AH86" i="10"/>
  <c r="BJ89" i="10"/>
  <c r="AE89" i="10"/>
  <c r="BF95" i="10"/>
  <c r="AW86" i="9"/>
  <c r="AX86" i="9"/>
  <c r="AY86" i="9"/>
  <c r="AZ86" i="9"/>
  <c r="BA86" i="9"/>
  <c r="BB86" i="9"/>
  <c r="BC86" i="9"/>
  <c r="AV89" i="9"/>
  <c r="BR85" i="8" a="1"/>
  <c r="BR85" i="8" s="1"/>
  <c r="DV85" i="8" l="1"/>
  <c r="DU85" i="8"/>
  <c r="BM86" i="10"/>
  <c r="AZ86" i="10"/>
  <c r="AW89" i="10"/>
  <c r="AY86" i="10"/>
  <c r="BB86" i="10"/>
  <c r="AP85" i="10"/>
  <c r="AQ85" i="10"/>
  <c r="AR85" i="10"/>
  <c r="AS85" i="10"/>
  <c r="AT85" i="10"/>
  <c r="AU85" i="10"/>
  <c r="AO85" i="10"/>
  <c r="AX86" i="10"/>
  <c r="AN86" i="10"/>
  <c r="BL86" i="10"/>
  <c r="BK86" i="10"/>
  <c r="AE86" i="10"/>
  <c r="BF89" i="10"/>
  <c r="BA86" i="10"/>
  <c r="BJ86" i="10"/>
  <c r="AI85" i="10"/>
  <c r="AJ85" i="10"/>
  <c r="AK85" i="10"/>
  <c r="AL85" i="10"/>
  <c r="AF85" i="10"/>
  <c r="AG85" i="10"/>
  <c r="AH85" i="10"/>
  <c r="BD86" i="10"/>
  <c r="BG86" i="10"/>
  <c r="BI86" i="10"/>
  <c r="BC86" i="10"/>
  <c r="BH86" i="10"/>
  <c r="AW85" i="9"/>
  <c r="AX85" i="9"/>
  <c r="AY85" i="9"/>
  <c r="AZ85" i="9"/>
  <c r="BA85" i="9"/>
  <c r="BB85" i="9"/>
  <c r="BC85" i="9"/>
  <c r="AV86" i="9"/>
  <c r="BR84" i="8" a="1"/>
  <c r="BR84" i="8" s="1"/>
  <c r="DV84" i="8" l="1"/>
  <c r="DU84" i="8"/>
  <c r="AZ85" i="10"/>
  <c r="BK85" i="10"/>
  <c r="BD85" i="10"/>
  <c r="AW86" i="10"/>
  <c r="AP84" i="10"/>
  <c r="AQ84" i="10"/>
  <c r="AR84" i="10"/>
  <c r="AS84" i="10"/>
  <c r="AT84" i="10"/>
  <c r="AU84" i="10"/>
  <c r="AO84" i="10"/>
  <c r="AY85" i="10"/>
  <c r="AN85" i="10"/>
  <c r="AX85" i="10"/>
  <c r="AE85" i="10"/>
  <c r="BF86" i="10"/>
  <c r="BJ85" i="10"/>
  <c r="BA85" i="10"/>
  <c r="BG85" i="10"/>
  <c r="AI84" i="10"/>
  <c r="AJ84" i="10"/>
  <c r="AK84" i="10"/>
  <c r="AL84" i="10"/>
  <c r="AF84" i="10"/>
  <c r="AG84" i="10"/>
  <c r="AH84" i="10"/>
  <c r="BI85" i="10"/>
  <c r="BH85" i="10"/>
  <c r="BB85" i="10"/>
  <c r="BC85" i="10"/>
  <c r="BM85" i="10"/>
  <c r="BL85" i="10"/>
  <c r="AW84" i="9"/>
  <c r="AX84" i="9"/>
  <c r="AY84" i="9"/>
  <c r="AZ84" i="9"/>
  <c r="BA84" i="9"/>
  <c r="BB84" i="9"/>
  <c r="BC84" i="9"/>
  <c r="AV85" i="9"/>
  <c r="BR67" i="8" a="1"/>
  <c r="BR67" i="8" s="1"/>
  <c r="DV67" i="8" l="1"/>
  <c r="DU67" i="8"/>
  <c r="AZ84" i="10"/>
  <c r="AY84" i="10"/>
  <c r="BG84" i="10"/>
  <c r="BB84" i="10"/>
  <c r="BA84" i="10"/>
  <c r="BD84" i="10"/>
  <c r="AN84" i="10"/>
  <c r="AW85" i="10"/>
  <c r="AR67" i="10"/>
  <c r="AS67" i="10"/>
  <c r="AU67" i="10"/>
  <c r="AO67" i="10"/>
  <c r="AP67" i="10"/>
  <c r="AQ67" i="10"/>
  <c r="AT67" i="10"/>
  <c r="AI67" i="10"/>
  <c r="AJ67" i="10"/>
  <c r="AK67" i="10"/>
  <c r="AL67" i="10"/>
  <c r="AF67" i="10"/>
  <c r="AG67" i="10"/>
  <c r="AH67" i="10"/>
  <c r="BI84" i="10"/>
  <c r="BC84" i="10"/>
  <c r="BH84" i="10"/>
  <c r="BM84" i="10"/>
  <c r="BL84" i="10"/>
  <c r="BK84" i="10"/>
  <c r="BF85" i="10"/>
  <c r="AX84" i="10"/>
  <c r="AE84" i="10"/>
  <c r="BJ84" i="10"/>
  <c r="AW67" i="9"/>
  <c r="AX67" i="9"/>
  <c r="AY67" i="9"/>
  <c r="AZ67" i="9"/>
  <c r="BA67" i="9"/>
  <c r="BB67" i="9"/>
  <c r="BC67" i="9"/>
  <c r="AV84" i="9"/>
  <c r="BR59" i="8" a="1"/>
  <c r="BR59" i="8" s="1"/>
  <c r="DV59" i="8" l="1"/>
  <c r="DU59" i="8"/>
  <c r="BJ67" i="10"/>
  <c r="AW84" i="10"/>
  <c r="BD67" i="10"/>
  <c r="AN67" i="10"/>
  <c r="AZ67" i="10"/>
  <c r="AR59" i="10"/>
  <c r="AS59" i="10"/>
  <c r="AU59" i="10"/>
  <c r="AO59" i="10"/>
  <c r="AP59" i="10"/>
  <c r="AQ59" i="10"/>
  <c r="AT59" i="10"/>
  <c r="BB67" i="10"/>
  <c r="BC67" i="10"/>
  <c r="BF84" i="10"/>
  <c r="BI67" i="10"/>
  <c r="BH67" i="10"/>
  <c r="BG67" i="10"/>
  <c r="AG59" i="10"/>
  <c r="AH59" i="10"/>
  <c r="AI59" i="10"/>
  <c r="AJ59" i="10"/>
  <c r="AK59" i="10"/>
  <c r="AL59" i="10"/>
  <c r="AF59" i="10"/>
  <c r="BM67" i="10"/>
  <c r="AY67" i="10"/>
  <c r="BL67" i="10"/>
  <c r="BK67" i="10"/>
  <c r="AX67" i="10"/>
  <c r="BA67" i="10"/>
  <c r="AE67" i="10"/>
  <c r="AW59" i="9"/>
  <c r="AX59" i="9"/>
  <c r="AY59" i="9"/>
  <c r="AZ59" i="9"/>
  <c r="BA59" i="9"/>
  <c r="BB59" i="9"/>
  <c r="BC59" i="9"/>
  <c r="AV67" i="9"/>
  <c r="AL53" i="12"/>
  <c r="AL59" i="12"/>
  <c r="AL67" i="12"/>
  <c r="AL84" i="12"/>
  <c r="AL85" i="12"/>
  <c r="AL86" i="12"/>
  <c r="AL89" i="12"/>
  <c r="AL95" i="12"/>
  <c r="AL100" i="12"/>
  <c r="AL101" i="12"/>
  <c r="AL102" i="12"/>
  <c r="BR58" i="8" a="1"/>
  <c r="BR58" i="8" s="1"/>
  <c r="DU58" i="8" s="1"/>
  <c r="AL58" i="12" l="1"/>
  <c r="AU58" i="12" s="1"/>
  <c r="DV58" i="8"/>
  <c r="BC59" i="10"/>
  <c r="BB59" i="10"/>
  <c r="AY59" i="10"/>
  <c r="BD59" i="10"/>
  <c r="AZ59" i="10"/>
  <c r="AX59" i="10"/>
  <c r="AR58" i="10"/>
  <c r="AS58" i="10"/>
  <c r="AU58" i="10"/>
  <c r="AO58" i="10"/>
  <c r="AP58" i="10"/>
  <c r="AT58" i="10"/>
  <c r="AQ58" i="10"/>
  <c r="AN59" i="10"/>
  <c r="AE59" i="10"/>
  <c r="BI59" i="10"/>
  <c r="BH59" i="10"/>
  <c r="BG59" i="10"/>
  <c r="AW67" i="10"/>
  <c r="BM59" i="10"/>
  <c r="BF67" i="10"/>
  <c r="BJ59" i="10"/>
  <c r="BL59" i="10"/>
  <c r="AG58" i="10"/>
  <c r="AH58" i="10"/>
  <c r="AI58" i="10"/>
  <c r="AJ58" i="10"/>
  <c r="AK58" i="10"/>
  <c r="AF58" i="10"/>
  <c r="AL58" i="10"/>
  <c r="BA59" i="10"/>
  <c r="BK59" i="10"/>
  <c r="AV59" i="9"/>
  <c r="AW58" i="9"/>
  <c r="AX58" i="9"/>
  <c r="AY58" i="9"/>
  <c r="AZ58" i="9"/>
  <c r="BA58" i="9"/>
  <c r="BB58" i="9"/>
  <c r="BC58" i="9"/>
  <c r="AU89" i="12"/>
  <c r="AU84" i="12"/>
  <c r="AU101" i="12"/>
  <c r="AU59" i="12"/>
  <c r="AU86" i="12"/>
  <c r="AU85" i="12"/>
  <c r="AU102" i="12"/>
  <c r="AU100" i="12"/>
  <c r="AU53" i="12"/>
  <c r="AU67" i="12"/>
  <c r="AU95" i="12"/>
  <c r="BR57" i="8" a="1"/>
  <c r="BR57" i="8" s="1"/>
  <c r="DU57" i="8" s="1"/>
  <c r="AL57" i="12" l="1"/>
  <c r="AU57" i="12" s="1"/>
  <c r="DV57" i="8"/>
  <c r="BC58" i="10"/>
  <c r="AX58" i="10"/>
  <c r="AZ58" i="10"/>
  <c r="BH58" i="10"/>
  <c r="BD58" i="10"/>
  <c r="AN58" i="10"/>
  <c r="AR57" i="10"/>
  <c r="AS57" i="10"/>
  <c r="AU57" i="10"/>
  <c r="AO57" i="10"/>
  <c r="AP57" i="10"/>
  <c r="AQ57" i="10"/>
  <c r="AT57" i="10"/>
  <c r="AW59" i="10"/>
  <c r="BB58" i="10"/>
  <c r="BG58" i="10"/>
  <c r="BM58" i="10"/>
  <c r="BA58" i="10"/>
  <c r="BL58" i="10"/>
  <c r="BJ58" i="10"/>
  <c r="BK58" i="10"/>
  <c r="AE58" i="10"/>
  <c r="AY58" i="10"/>
  <c r="AG57" i="10"/>
  <c r="AH57" i="10"/>
  <c r="AI57" i="10"/>
  <c r="AJ57" i="10"/>
  <c r="AK57" i="10"/>
  <c r="AL57" i="10"/>
  <c r="AF57" i="10"/>
  <c r="BI58" i="10"/>
  <c r="BF59" i="10"/>
  <c r="AV58" i="9"/>
  <c r="AW57" i="9"/>
  <c r="AX57" i="9"/>
  <c r="AY57" i="9"/>
  <c r="AZ57" i="9"/>
  <c r="BA57" i="9"/>
  <c r="BB57" i="9"/>
  <c r="BC57" i="9"/>
  <c r="BR55" i="8" a="1"/>
  <c r="BR55" i="8" s="1"/>
  <c r="DU55" i="8" s="1"/>
  <c r="AL55" i="12" l="1"/>
  <c r="AU55" i="12" s="1"/>
  <c r="DV55" i="8"/>
  <c r="BC57" i="10"/>
  <c r="BG57" i="10"/>
  <c r="BB57" i="10"/>
  <c r="BM57" i="10"/>
  <c r="BA57" i="10"/>
  <c r="AZ57" i="10"/>
  <c r="AY57" i="10"/>
  <c r="AN57" i="10"/>
  <c r="AR55" i="10"/>
  <c r="AS55" i="10"/>
  <c r="AU55" i="10"/>
  <c r="AO55" i="10"/>
  <c r="AP55" i="10"/>
  <c r="AQ55" i="10"/>
  <c r="AT55" i="10"/>
  <c r="AW58" i="10"/>
  <c r="AX57" i="10"/>
  <c r="BL57" i="10"/>
  <c r="BF58" i="10"/>
  <c r="BK57" i="10"/>
  <c r="AG55" i="10"/>
  <c r="AH55" i="10"/>
  <c r="AI55" i="10"/>
  <c r="AJ55" i="10"/>
  <c r="AK55" i="10"/>
  <c r="AL55" i="10"/>
  <c r="AF55" i="10"/>
  <c r="BJ57" i="10"/>
  <c r="AE57" i="10"/>
  <c r="BI57" i="10"/>
  <c r="BD57" i="10"/>
  <c r="BH57" i="10"/>
  <c r="AW55" i="9"/>
  <c r="AX55" i="9"/>
  <c r="AY55" i="9"/>
  <c r="AZ55" i="9"/>
  <c r="BA55" i="9"/>
  <c r="BB55" i="9"/>
  <c r="BC55" i="9"/>
  <c r="AV57" i="9"/>
  <c r="BR48" i="8" a="1"/>
  <c r="BR48" i="8" s="1"/>
  <c r="DU48" i="8" s="1"/>
  <c r="AL48" i="12" l="1"/>
  <c r="AU48" i="12" s="1"/>
  <c r="DV48" i="8"/>
  <c r="BF57" i="10"/>
  <c r="BD55" i="10"/>
  <c r="AN55" i="10"/>
  <c r="BC55" i="10"/>
  <c r="BB55" i="10"/>
  <c r="AR48" i="10"/>
  <c r="AS48" i="10"/>
  <c r="AU48" i="10"/>
  <c r="AO48" i="10"/>
  <c r="AP48" i="10"/>
  <c r="AQ48" i="10"/>
  <c r="AT48" i="10"/>
  <c r="AZ55" i="10"/>
  <c r="AX55" i="10"/>
  <c r="AY55" i="10"/>
  <c r="BJ55" i="10"/>
  <c r="BI55" i="10"/>
  <c r="BH55" i="10"/>
  <c r="AG48" i="10"/>
  <c r="AH48" i="10"/>
  <c r="AI48" i="10"/>
  <c r="AJ48" i="10"/>
  <c r="AK48" i="10"/>
  <c r="AL48" i="10"/>
  <c r="AF48" i="10"/>
  <c r="BG55" i="10"/>
  <c r="BM55" i="10"/>
  <c r="AE55" i="10"/>
  <c r="BL55" i="10"/>
  <c r="AW57" i="10"/>
  <c r="BA55" i="10"/>
  <c r="BK55" i="10"/>
  <c r="AW48" i="9"/>
  <c r="AX48" i="9"/>
  <c r="AY48" i="9"/>
  <c r="AZ48" i="9"/>
  <c r="BA48" i="9"/>
  <c r="BB48" i="9"/>
  <c r="BC48" i="9"/>
  <c r="AV55" i="9"/>
  <c r="BR47" i="8" a="1"/>
  <c r="BR47" i="8" s="1"/>
  <c r="DU47" i="8" s="1"/>
  <c r="AL47" i="12" l="1"/>
  <c r="AU47" i="12" s="1"/>
  <c r="DV47" i="8"/>
  <c r="BI48" i="10"/>
  <c r="BA48" i="10"/>
  <c r="AX48" i="10"/>
  <c r="BD48" i="10"/>
  <c r="BC48" i="10"/>
  <c r="BB48" i="10"/>
  <c r="AR47" i="10"/>
  <c r="AS47" i="10"/>
  <c r="AU47" i="10"/>
  <c r="AO47" i="10"/>
  <c r="AP47" i="10"/>
  <c r="AQ47" i="10"/>
  <c r="AT47" i="10"/>
  <c r="AN48" i="10"/>
  <c r="AW55" i="10"/>
  <c r="BH48" i="10"/>
  <c r="BG48" i="10"/>
  <c r="BM48" i="10"/>
  <c r="AG47" i="10"/>
  <c r="AH47" i="10"/>
  <c r="AI47" i="10"/>
  <c r="AJ47" i="10"/>
  <c r="AK47" i="10"/>
  <c r="AL47" i="10"/>
  <c r="AF47" i="10"/>
  <c r="BL48" i="10"/>
  <c r="BF55" i="10"/>
  <c r="AZ48" i="10"/>
  <c r="BK48" i="10"/>
  <c r="AY48" i="10"/>
  <c r="AE48" i="10"/>
  <c r="BJ48" i="10"/>
  <c r="AW47" i="9"/>
  <c r="AX47" i="9"/>
  <c r="AY47" i="9"/>
  <c r="AZ47" i="9"/>
  <c r="BA47" i="9"/>
  <c r="BB47" i="9"/>
  <c r="BC47" i="9"/>
  <c r="AV48" i="9"/>
  <c r="BR41" i="8" a="1"/>
  <c r="BR41" i="8" s="1"/>
  <c r="DU41" i="8" s="1"/>
  <c r="AL41" i="12" l="1"/>
  <c r="AU41" i="12" s="1"/>
  <c r="DV41" i="8"/>
  <c r="AX47" i="10"/>
  <c r="BD47" i="10"/>
  <c r="AW48" i="10"/>
  <c r="BB47" i="10"/>
  <c r="AY47" i="10"/>
  <c r="AN47" i="10"/>
  <c r="BC47" i="10"/>
  <c r="AZ47" i="10"/>
  <c r="AR41" i="10"/>
  <c r="AS41" i="10"/>
  <c r="AU41" i="10"/>
  <c r="AO41" i="10"/>
  <c r="AP41" i="10"/>
  <c r="AQ41" i="10"/>
  <c r="AT41" i="10"/>
  <c r="BI47" i="10"/>
  <c r="AG41" i="10"/>
  <c r="AH41" i="10"/>
  <c r="AI41" i="10"/>
  <c r="AJ41" i="10"/>
  <c r="AK41" i="10"/>
  <c r="AL41" i="10"/>
  <c r="AF41" i="10"/>
  <c r="BF48" i="10"/>
  <c r="BJ47" i="10"/>
  <c r="BH47" i="10"/>
  <c r="BG47" i="10"/>
  <c r="AE47" i="10"/>
  <c r="BM47" i="10"/>
  <c r="BL47" i="10"/>
  <c r="BA47" i="10"/>
  <c r="BK47" i="10"/>
  <c r="AV47" i="9"/>
  <c r="AW41" i="9"/>
  <c r="AX41" i="9"/>
  <c r="AY41" i="9"/>
  <c r="AZ41" i="9"/>
  <c r="BA41" i="9"/>
  <c r="BB41" i="9"/>
  <c r="BC41" i="9"/>
  <c r="AL39" i="12"/>
  <c r="BF47" i="10" l="1"/>
  <c r="AZ41" i="10"/>
  <c r="BB41" i="10"/>
  <c r="AX41" i="10"/>
  <c r="BA41" i="10"/>
  <c r="BM41" i="10"/>
  <c r="AY41" i="10"/>
  <c r="AN41" i="10"/>
  <c r="AR39" i="10"/>
  <c r="AS39" i="10"/>
  <c r="AU39" i="10"/>
  <c r="AO39" i="10"/>
  <c r="AP39" i="10"/>
  <c r="AQ39" i="10"/>
  <c r="AT39" i="10"/>
  <c r="BL41" i="10"/>
  <c r="BK41" i="10"/>
  <c r="AG39" i="10"/>
  <c r="AH39" i="10"/>
  <c r="AI39" i="10"/>
  <c r="AJ39" i="10"/>
  <c r="AK39" i="10"/>
  <c r="AL39" i="10"/>
  <c r="AF39" i="10"/>
  <c r="BJ41" i="10"/>
  <c r="AE41" i="10"/>
  <c r="AW47" i="10"/>
  <c r="BI41" i="10"/>
  <c r="BD41" i="10"/>
  <c r="BH41" i="10"/>
  <c r="BC41" i="10"/>
  <c r="BG41" i="10"/>
  <c r="AV41" i="9"/>
  <c r="AW39" i="9"/>
  <c r="AX39" i="9"/>
  <c r="AY39" i="9"/>
  <c r="AZ39" i="9"/>
  <c r="BA39" i="9"/>
  <c r="BB39" i="9"/>
  <c r="BC39" i="9"/>
  <c r="AU39" i="12"/>
  <c r="BR38" i="8" a="1"/>
  <c r="BR38" i="8" s="1"/>
  <c r="DU38" i="8" s="1"/>
  <c r="AL38" i="12" l="1"/>
  <c r="AU38" i="12" s="1"/>
  <c r="DV38" i="8"/>
  <c r="AZ39" i="10"/>
  <c r="AX39" i="10"/>
  <c r="BJ39" i="10"/>
  <c r="BB39" i="10"/>
  <c r="BA39" i="10"/>
  <c r="AW41" i="10"/>
  <c r="BL39" i="10"/>
  <c r="AR38" i="10"/>
  <c r="AS38" i="10"/>
  <c r="AU38" i="10"/>
  <c r="AO38" i="10"/>
  <c r="AP38" i="10"/>
  <c r="AT38" i="10"/>
  <c r="AQ38" i="10"/>
  <c r="AN39" i="10"/>
  <c r="BD39" i="10"/>
  <c r="BF41" i="10"/>
  <c r="BK39" i="10"/>
  <c r="AE39" i="10"/>
  <c r="AY39" i="10"/>
  <c r="AG38" i="10"/>
  <c r="AH38" i="10"/>
  <c r="AI38" i="10"/>
  <c r="AJ38" i="10"/>
  <c r="AK38" i="10"/>
  <c r="AL38" i="10"/>
  <c r="AF38" i="10"/>
  <c r="BI39" i="10"/>
  <c r="BH39" i="10"/>
  <c r="BG39" i="10"/>
  <c r="BC39" i="10"/>
  <c r="BM39" i="10"/>
  <c r="AW38" i="9"/>
  <c r="AX38" i="9"/>
  <c r="AY38" i="9"/>
  <c r="AZ38" i="9"/>
  <c r="BA38" i="9"/>
  <c r="BB38" i="9"/>
  <c r="BC38" i="9"/>
  <c r="AV39" i="9"/>
  <c r="BR37" i="8" a="1"/>
  <c r="BR37" i="8" s="1"/>
  <c r="DU37" i="8" s="1"/>
  <c r="AL37" i="12" l="1"/>
  <c r="AU37" i="12" s="1"/>
  <c r="DV37" i="8"/>
  <c r="BD38" i="10"/>
  <c r="AY38" i="10"/>
  <c r="BB38" i="10"/>
  <c r="AX38" i="10"/>
  <c r="AN38" i="10"/>
  <c r="AR37" i="10"/>
  <c r="AS37" i="10"/>
  <c r="AU37" i="10"/>
  <c r="AO37" i="10"/>
  <c r="AP37" i="10"/>
  <c r="AQ37" i="10"/>
  <c r="AT37" i="10"/>
  <c r="BC38" i="10"/>
  <c r="AW39" i="10"/>
  <c r="BI38" i="10"/>
  <c r="BJ38" i="10"/>
  <c r="BH38" i="10"/>
  <c r="AG37" i="10"/>
  <c r="AH37" i="10"/>
  <c r="AI37" i="10"/>
  <c r="AJ37" i="10"/>
  <c r="AK37" i="10"/>
  <c r="AL37" i="10"/>
  <c r="AF37" i="10"/>
  <c r="BG38" i="10"/>
  <c r="BF39" i="10"/>
  <c r="BM38" i="10"/>
  <c r="BL38" i="10"/>
  <c r="BA38" i="10"/>
  <c r="BK38" i="10"/>
  <c r="AZ38" i="10"/>
  <c r="AE38" i="10"/>
  <c r="AW37" i="9"/>
  <c r="AX37" i="9"/>
  <c r="AY37" i="9"/>
  <c r="AZ37" i="9"/>
  <c r="BA37" i="9"/>
  <c r="BB37" i="9"/>
  <c r="BC37" i="9"/>
  <c r="AV38" i="9"/>
  <c r="BR36" i="8" a="1"/>
  <c r="BR36" i="8" s="1"/>
  <c r="DU36" i="8" s="1"/>
  <c r="AL36" i="12" l="1"/>
  <c r="AU36" i="12" s="1"/>
  <c r="DV36" i="8"/>
  <c r="BC37" i="10"/>
  <c r="BM37" i="10"/>
  <c r="AX37" i="10"/>
  <c r="AZ37" i="10"/>
  <c r="AN37" i="10"/>
  <c r="BB37" i="10"/>
  <c r="BA37" i="10"/>
  <c r="AR36" i="10"/>
  <c r="AS36" i="10"/>
  <c r="AU36" i="10"/>
  <c r="AO36" i="10"/>
  <c r="AP36" i="10"/>
  <c r="AQ36" i="10"/>
  <c r="AT36" i="10"/>
  <c r="AY37" i="10"/>
  <c r="AW38" i="10"/>
  <c r="BL37" i="10"/>
  <c r="BF38" i="10"/>
  <c r="BK37" i="10"/>
  <c r="AE37" i="10"/>
  <c r="AG36" i="10"/>
  <c r="AH36" i="10"/>
  <c r="AI36" i="10"/>
  <c r="AJ36" i="10"/>
  <c r="AK36" i="10"/>
  <c r="AL36" i="10"/>
  <c r="AF36" i="10"/>
  <c r="BI37" i="10"/>
  <c r="BD37" i="10"/>
  <c r="BH37" i="10"/>
  <c r="BJ37" i="10"/>
  <c r="BG37" i="10"/>
  <c r="AV37" i="9"/>
  <c r="AW36" i="9"/>
  <c r="AX36" i="9"/>
  <c r="AY36" i="9"/>
  <c r="AZ36" i="9"/>
  <c r="BA36" i="9"/>
  <c r="BB36" i="9"/>
  <c r="BC36" i="9"/>
  <c r="BR35" i="8" a="1"/>
  <c r="BR35" i="8" s="1"/>
  <c r="DU35" i="8" s="1"/>
  <c r="AL35" i="12" l="1"/>
  <c r="AU35" i="12" s="1"/>
  <c r="DV35" i="8"/>
  <c r="BI36" i="10"/>
  <c r="BD36" i="10"/>
  <c r="AX36" i="10"/>
  <c r="AW37" i="10"/>
  <c r="BC36" i="10"/>
  <c r="AR35" i="10"/>
  <c r="AS35" i="10"/>
  <c r="AU35" i="10"/>
  <c r="AO35" i="10"/>
  <c r="AP35" i="10"/>
  <c r="AQ35" i="10"/>
  <c r="AT35" i="10"/>
  <c r="BB36" i="10"/>
  <c r="AN36" i="10"/>
  <c r="AG35" i="10"/>
  <c r="AH35" i="10"/>
  <c r="AI35" i="10"/>
  <c r="AJ35" i="10"/>
  <c r="AK35" i="10"/>
  <c r="AL35" i="10"/>
  <c r="AF35" i="10"/>
  <c r="BH36" i="10"/>
  <c r="BF37" i="10"/>
  <c r="BG36" i="10"/>
  <c r="BJ36" i="10"/>
  <c r="BM36" i="10"/>
  <c r="BL36" i="10"/>
  <c r="BA36" i="10"/>
  <c r="BK36" i="10"/>
  <c r="AZ36" i="10"/>
  <c r="AE36" i="10"/>
  <c r="AY36" i="10"/>
  <c r="AW35" i="9"/>
  <c r="AX35" i="9"/>
  <c r="AY35" i="9"/>
  <c r="AZ35" i="9"/>
  <c r="BA35" i="9"/>
  <c r="BB35" i="9"/>
  <c r="BC35" i="9"/>
  <c r="AV36" i="9"/>
  <c r="BR34" i="8" a="1"/>
  <c r="BR34" i="8" s="1"/>
  <c r="DU34" i="8" s="1"/>
  <c r="AL34" i="12" l="1"/>
  <c r="AU34" i="12" s="1"/>
  <c r="DV34" i="8"/>
  <c r="BC35" i="10"/>
  <c r="BD35" i="10"/>
  <c r="AX35" i="10"/>
  <c r="BB35" i="10"/>
  <c r="AY35" i="10"/>
  <c r="BF36" i="10"/>
  <c r="AR34" i="10"/>
  <c r="AS34" i="10"/>
  <c r="AU34" i="10"/>
  <c r="AO34" i="10"/>
  <c r="AP34" i="10"/>
  <c r="AQ34" i="10"/>
  <c r="AT34" i="10"/>
  <c r="AN35" i="10"/>
  <c r="AG34" i="10"/>
  <c r="AH34" i="10"/>
  <c r="AI34" i="10"/>
  <c r="AJ34" i="10"/>
  <c r="AK34" i="10"/>
  <c r="AL34" i="10"/>
  <c r="AF34" i="10"/>
  <c r="BI35" i="10"/>
  <c r="BH35" i="10"/>
  <c r="BG35" i="10"/>
  <c r="BM35" i="10"/>
  <c r="BJ35" i="10"/>
  <c r="BL35" i="10"/>
  <c r="BA35" i="10"/>
  <c r="BK35" i="10"/>
  <c r="AW36" i="10"/>
  <c r="AZ35" i="10"/>
  <c r="AE35" i="10"/>
  <c r="AV35" i="9"/>
  <c r="AW34" i="9"/>
  <c r="AX34" i="9"/>
  <c r="AY34" i="9"/>
  <c r="AZ34" i="9"/>
  <c r="BA34" i="9"/>
  <c r="BB34" i="9"/>
  <c r="BC34" i="9"/>
  <c r="BR32" i="8" a="1"/>
  <c r="BR32" i="8" s="1"/>
  <c r="DU32" i="8" s="1"/>
  <c r="AL32" i="12" l="1"/>
  <c r="AU32" i="12" s="1"/>
  <c r="DV32" i="8"/>
  <c r="BD34" i="10"/>
  <c r="BB34" i="10"/>
  <c r="BI34" i="10"/>
  <c r="AR32" i="10"/>
  <c r="AS32" i="10"/>
  <c r="AU32" i="10"/>
  <c r="AO32" i="10"/>
  <c r="AP32" i="10"/>
  <c r="AQ32" i="10"/>
  <c r="AT32" i="10"/>
  <c r="BC34" i="10"/>
  <c r="AX34" i="10"/>
  <c r="BA34" i="10"/>
  <c r="AN34" i="10"/>
  <c r="AW35" i="10"/>
  <c r="AG32" i="10"/>
  <c r="AH32" i="10"/>
  <c r="AI32" i="10"/>
  <c r="AJ32" i="10"/>
  <c r="AK32" i="10"/>
  <c r="AL32" i="10"/>
  <c r="AF32" i="10"/>
  <c r="BH34" i="10"/>
  <c r="BG34" i="10"/>
  <c r="BM34" i="10"/>
  <c r="BL34" i="10"/>
  <c r="BJ34" i="10"/>
  <c r="BK34" i="10"/>
  <c r="BF35" i="10"/>
  <c r="AZ34" i="10"/>
  <c r="AE34" i="10"/>
  <c r="AY34" i="10"/>
  <c r="AW32" i="9"/>
  <c r="AX32" i="9"/>
  <c r="AY32" i="9"/>
  <c r="AZ32" i="9"/>
  <c r="BA32" i="9"/>
  <c r="BB32" i="9"/>
  <c r="BC32" i="9"/>
  <c r="AV34" i="9"/>
  <c r="BR30" i="8" a="1"/>
  <c r="BR30" i="8" s="1"/>
  <c r="DU30" i="8" s="1"/>
  <c r="AL30" i="12" l="1"/>
  <c r="AU30" i="12" s="1"/>
  <c r="DV30" i="8"/>
  <c r="AX32" i="10"/>
  <c r="AZ32" i="10"/>
  <c r="BJ32" i="10"/>
  <c r="BB32" i="10"/>
  <c r="AN32" i="10"/>
  <c r="BD32" i="10"/>
  <c r="BC32" i="10"/>
  <c r="AW34" i="10"/>
  <c r="BI32" i="10"/>
  <c r="BF34" i="10"/>
  <c r="BH32" i="10"/>
  <c r="BG32" i="10"/>
  <c r="BM32" i="10"/>
  <c r="BA32" i="10"/>
  <c r="BL32" i="10"/>
  <c r="BK32" i="10"/>
  <c r="AY32" i="10"/>
  <c r="AE32" i="10"/>
  <c r="AV32" i="9"/>
  <c r="BR27" i="8" a="1"/>
  <c r="BR27" i="8" s="1"/>
  <c r="DU27" i="8" s="1"/>
  <c r="AL27" i="12" l="1"/>
  <c r="AU27" i="12" s="1"/>
  <c r="DV27" i="8"/>
  <c r="AR27" i="10"/>
  <c r="AS27" i="10"/>
  <c r="AU27" i="10"/>
  <c r="AO27" i="10"/>
  <c r="AP27" i="10"/>
  <c r="AQ27" i="10"/>
  <c r="AT27" i="10"/>
  <c r="AW32" i="10"/>
  <c r="BF32" i="10"/>
  <c r="AG27" i="10"/>
  <c r="AH27" i="10"/>
  <c r="AI27" i="10"/>
  <c r="AJ27" i="10"/>
  <c r="AK27" i="10"/>
  <c r="AL27" i="10"/>
  <c r="AF27" i="10"/>
  <c r="AW27" i="9"/>
  <c r="AX27" i="9"/>
  <c r="AY27" i="9"/>
  <c r="AZ27" i="9"/>
  <c r="BA27" i="9"/>
  <c r="BB27" i="9"/>
  <c r="BC27" i="9"/>
  <c r="BR25" i="8" a="1"/>
  <c r="BR25" i="8" s="1"/>
  <c r="DU25" i="8" s="1"/>
  <c r="AL25" i="12" l="1"/>
  <c r="DV25" i="8"/>
  <c r="AX27" i="10"/>
  <c r="BB27" i="10"/>
  <c r="AY27" i="10"/>
  <c r="BC27" i="10"/>
  <c r="AN27" i="10"/>
  <c r="AZ27" i="10"/>
  <c r="AR25" i="10"/>
  <c r="AS25" i="10"/>
  <c r="AU25" i="10"/>
  <c r="AO25" i="10"/>
  <c r="AP25" i="10"/>
  <c r="AQ25" i="10"/>
  <c r="AT25" i="10"/>
  <c r="BD27" i="10"/>
  <c r="AE27" i="10"/>
  <c r="BI27" i="10"/>
  <c r="AG25" i="10"/>
  <c r="AH25" i="10"/>
  <c r="AI25" i="10"/>
  <c r="AJ25" i="10"/>
  <c r="AK25" i="10"/>
  <c r="AL25" i="10"/>
  <c r="AF25" i="10"/>
  <c r="BH27" i="10"/>
  <c r="BG27" i="10"/>
  <c r="BM27" i="10"/>
  <c r="BJ27" i="10"/>
  <c r="BL27" i="10"/>
  <c r="BA27" i="10"/>
  <c r="BK27" i="10"/>
  <c r="AW25" i="9"/>
  <c r="AX25" i="9"/>
  <c r="AY25" i="9"/>
  <c r="AZ25" i="9"/>
  <c r="BA25" i="9"/>
  <c r="BB25" i="9"/>
  <c r="BC25" i="9"/>
  <c r="AV27" i="9"/>
  <c r="AU25" i="12"/>
  <c r="BR23" i="8" a="1"/>
  <c r="BR23" i="8" s="1"/>
  <c r="DU23" i="8" s="1"/>
  <c r="AL23" i="12" l="1"/>
  <c r="AU23" i="12" s="1"/>
  <c r="DV23" i="8"/>
  <c r="BD25" i="10"/>
  <c r="BL25" i="10"/>
  <c r="AN25" i="10"/>
  <c r="BB25" i="10"/>
  <c r="AW27" i="10"/>
  <c r="AX25" i="10"/>
  <c r="BA25" i="10"/>
  <c r="AR23" i="10"/>
  <c r="AS23" i="10"/>
  <c r="AU23" i="10"/>
  <c r="AO23" i="10"/>
  <c r="AP23" i="10"/>
  <c r="AQ23" i="10"/>
  <c r="AT23" i="10"/>
  <c r="AZ25" i="10"/>
  <c r="BK25" i="10"/>
  <c r="BJ25" i="10"/>
  <c r="AE25" i="10"/>
  <c r="AY25" i="10"/>
  <c r="BI25" i="10"/>
  <c r="BH25" i="10"/>
  <c r="BC25" i="10"/>
  <c r="BG25" i="10"/>
  <c r="AG23" i="10"/>
  <c r="AH23" i="10"/>
  <c r="AI23" i="10"/>
  <c r="AJ23" i="10"/>
  <c r="AK23" i="10"/>
  <c r="AL23" i="10"/>
  <c r="AF23" i="10"/>
  <c r="BM25" i="10"/>
  <c r="BF27" i="10"/>
  <c r="AV25" i="9"/>
  <c r="AW23" i="9"/>
  <c r="AX23" i="9"/>
  <c r="AY23" i="9"/>
  <c r="AZ23" i="9"/>
  <c r="BA23" i="9"/>
  <c r="BB23" i="9"/>
  <c r="BC23" i="9"/>
  <c r="BR22" i="8" a="1"/>
  <c r="BR22" i="8" s="1"/>
  <c r="DU22" i="8" s="1"/>
  <c r="AL22" i="12" l="1"/>
  <c r="DV22" i="8"/>
  <c r="AZ23" i="10"/>
  <c r="AN23" i="10"/>
  <c r="AR22" i="10"/>
  <c r="AS22" i="10"/>
  <c r="AU22" i="10"/>
  <c r="AO22" i="10"/>
  <c r="AP22" i="10"/>
  <c r="AQ22" i="10"/>
  <c r="AT22" i="10"/>
  <c r="BH23" i="10"/>
  <c r="BC23" i="10"/>
  <c r="BB23" i="10"/>
  <c r="BD23" i="10"/>
  <c r="BG23" i="10"/>
  <c r="AW25" i="10"/>
  <c r="BM23" i="10"/>
  <c r="BF25" i="10"/>
  <c r="BJ23" i="10"/>
  <c r="BL23" i="10"/>
  <c r="BA23" i="10"/>
  <c r="BK23" i="10"/>
  <c r="AG22" i="10"/>
  <c r="AH22" i="10"/>
  <c r="AI22" i="10"/>
  <c r="AJ22" i="10"/>
  <c r="AK22" i="10"/>
  <c r="AL22" i="10"/>
  <c r="AF22" i="10"/>
  <c r="AE23" i="10"/>
  <c r="AX23" i="10"/>
  <c r="AY23" i="10"/>
  <c r="BI23" i="10"/>
  <c r="AW22" i="9"/>
  <c r="AX22" i="9"/>
  <c r="AY22" i="9"/>
  <c r="AZ22" i="9"/>
  <c r="BA22" i="9"/>
  <c r="BB22" i="9"/>
  <c r="BC22" i="9"/>
  <c r="AV23" i="9"/>
  <c r="BR21" i="8" a="1"/>
  <c r="BR21" i="8" s="1"/>
  <c r="DU21" i="8" s="1"/>
  <c r="AL21" i="12" l="1"/>
  <c r="AU21" i="12" s="1"/>
  <c r="DV21" i="8"/>
  <c r="AY22" i="10"/>
  <c r="BD22" i="10"/>
  <c r="AZ22" i="10"/>
  <c r="BL22" i="10"/>
  <c r="BA22" i="10"/>
  <c r="AX22" i="10"/>
  <c r="AN22" i="10"/>
  <c r="AR21" i="10"/>
  <c r="AS21" i="10"/>
  <c r="AU21" i="10"/>
  <c r="AO21" i="10"/>
  <c r="AP21" i="10"/>
  <c r="AQ21" i="10"/>
  <c r="AT21" i="10"/>
  <c r="BB22" i="10"/>
  <c r="AW23" i="10"/>
  <c r="BK22" i="10"/>
  <c r="AE22" i="10"/>
  <c r="BF23" i="10"/>
  <c r="BI22" i="10"/>
  <c r="AG21" i="10"/>
  <c r="AH21" i="10"/>
  <c r="AI21" i="10"/>
  <c r="AJ21" i="10"/>
  <c r="AK21" i="10"/>
  <c r="AL21" i="10"/>
  <c r="AF21" i="10"/>
  <c r="BJ22" i="10"/>
  <c r="BH22" i="10"/>
  <c r="BG22" i="10"/>
  <c r="BC22" i="10"/>
  <c r="BM22" i="10"/>
  <c r="AV22" i="9"/>
  <c r="AW21" i="9"/>
  <c r="AX21" i="9"/>
  <c r="AY21" i="9"/>
  <c r="AZ21" i="9"/>
  <c r="BA21" i="9"/>
  <c r="BB21" i="9"/>
  <c r="BC21" i="9"/>
  <c r="BR20" i="8" a="1"/>
  <c r="BR20" i="8" s="1"/>
  <c r="DU20" i="8" s="1"/>
  <c r="AL20" i="12" l="1"/>
  <c r="AU20" i="12" s="1"/>
  <c r="DV20" i="8"/>
  <c r="AX21" i="10"/>
  <c r="BA21" i="10"/>
  <c r="BD21" i="10"/>
  <c r="BB21" i="10"/>
  <c r="AY21" i="10"/>
  <c r="BL21" i="10"/>
  <c r="AR20" i="10"/>
  <c r="AS20" i="10"/>
  <c r="AU20" i="10"/>
  <c r="AO20" i="10"/>
  <c r="AP20" i="10"/>
  <c r="AQ20" i="10"/>
  <c r="AT20" i="10"/>
  <c r="AZ21" i="10"/>
  <c r="AN21" i="10"/>
  <c r="BK21" i="10"/>
  <c r="AE21" i="10"/>
  <c r="AG20" i="10"/>
  <c r="AH20" i="10"/>
  <c r="AI20" i="10"/>
  <c r="AJ20" i="10"/>
  <c r="AK20" i="10"/>
  <c r="AL20" i="10"/>
  <c r="AF20" i="10"/>
  <c r="BI21" i="10"/>
  <c r="AW22" i="10"/>
  <c r="BH21" i="10"/>
  <c r="BF22" i="10"/>
  <c r="BJ21" i="10"/>
  <c r="BG21" i="10"/>
  <c r="BC21" i="10"/>
  <c r="BM21" i="10"/>
  <c r="AV21" i="9"/>
  <c r="AW20" i="9"/>
  <c r="AX20" i="9"/>
  <c r="AY20" i="9"/>
  <c r="AZ20" i="9"/>
  <c r="BA20" i="9"/>
  <c r="BB20" i="9"/>
  <c r="BC20" i="9"/>
  <c r="BR19" i="8" a="1"/>
  <c r="BR19" i="8" s="1"/>
  <c r="DU19" i="8" s="1"/>
  <c r="AL19" i="12" l="1"/>
  <c r="AU19" i="12" s="1"/>
  <c r="DV19" i="8"/>
  <c r="BC20" i="10"/>
  <c r="BD20" i="10"/>
  <c r="AX20" i="10"/>
  <c r="BB20" i="10"/>
  <c r="AZ20" i="10"/>
  <c r="AR19" i="10"/>
  <c r="AS19" i="10"/>
  <c r="AU19" i="10"/>
  <c r="AO19" i="10"/>
  <c r="AP19" i="10"/>
  <c r="AQ19" i="10"/>
  <c r="AT19" i="10"/>
  <c r="AY20" i="10"/>
  <c r="AN20" i="10"/>
  <c r="BI20" i="10"/>
  <c r="AW21" i="10"/>
  <c r="BH20" i="10"/>
  <c r="BF21" i="10"/>
  <c r="AE20" i="10"/>
  <c r="BG20" i="10"/>
  <c r="BJ20" i="10"/>
  <c r="BM20" i="10"/>
  <c r="AG19" i="10"/>
  <c r="AH19" i="10"/>
  <c r="AI19" i="10"/>
  <c r="AJ19" i="10"/>
  <c r="AK19" i="10"/>
  <c r="AL19" i="10"/>
  <c r="AF19" i="10"/>
  <c r="BL20" i="10"/>
  <c r="BA20" i="10"/>
  <c r="BK20" i="10"/>
  <c r="AW19" i="9"/>
  <c r="AX19" i="9"/>
  <c r="AY19" i="9"/>
  <c r="AZ19" i="9"/>
  <c r="BA19" i="9"/>
  <c r="BB19" i="9"/>
  <c r="BC19" i="9"/>
  <c r="AV20" i="9"/>
  <c r="BR18" i="8" a="1"/>
  <c r="BR18" i="8" s="1"/>
  <c r="DU18" i="8" s="1"/>
  <c r="AL18" i="12" l="1"/>
  <c r="AU18" i="12" s="1"/>
  <c r="DV18" i="8"/>
  <c r="BF20" i="10"/>
  <c r="AY19" i="10"/>
  <c r="BC19" i="10"/>
  <c r="BB19" i="10"/>
  <c r="AZ19" i="10"/>
  <c r="AN19" i="10"/>
  <c r="BD19" i="10"/>
  <c r="AR18" i="10"/>
  <c r="AS18" i="10"/>
  <c r="AU18" i="10"/>
  <c r="AO18" i="10"/>
  <c r="AP18" i="10"/>
  <c r="AQ18" i="10"/>
  <c r="AT18" i="10"/>
  <c r="AX19" i="10"/>
  <c r="BI19" i="10"/>
  <c r="AG18" i="10"/>
  <c r="AH18" i="10"/>
  <c r="AI18" i="10"/>
  <c r="AJ18" i="10"/>
  <c r="AK18" i="10"/>
  <c r="AL18" i="10"/>
  <c r="AF18" i="10"/>
  <c r="BH19" i="10"/>
  <c r="AE19" i="10"/>
  <c r="BG19" i="10"/>
  <c r="BM19" i="10"/>
  <c r="BJ19" i="10"/>
  <c r="BL19" i="10"/>
  <c r="BA19" i="10"/>
  <c r="BK19" i="10"/>
  <c r="AW20" i="10"/>
  <c r="AV19" i="9"/>
  <c r="AW18" i="9"/>
  <c r="AX18" i="9"/>
  <c r="AY18" i="9"/>
  <c r="AZ18" i="9"/>
  <c r="BA18" i="9"/>
  <c r="BB18" i="9"/>
  <c r="BC18" i="9"/>
  <c r="BR17" i="8" a="1"/>
  <c r="BR17" i="8" s="1"/>
  <c r="DU17" i="8" s="1"/>
  <c r="AL17" i="12" l="1"/>
  <c r="AU17" i="12" s="1"/>
  <c r="DV17" i="8"/>
  <c r="AW19" i="10"/>
  <c r="BK18" i="10"/>
  <c r="BJ18" i="10"/>
  <c r="BC18" i="10"/>
  <c r="AZ18" i="10"/>
  <c r="BD18" i="10"/>
  <c r="AN18" i="10"/>
  <c r="AY18" i="10"/>
  <c r="AR17" i="10"/>
  <c r="AS17" i="10"/>
  <c r="AU17" i="10"/>
  <c r="AO17" i="10"/>
  <c r="AP17" i="10"/>
  <c r="AQ17" i="10"/>
  <c r="AT17" i="10"/>
  <c r="AX18" i="10"/>
  <c r="AG17" i="10"/>
  <c r="AH17" i="10"/>
  <c r="AI17" i="10"/>
  <c r="AJ17" i="10"/>
  <c r="AK17" i="10"/>
  <c r="AL17" i="10"/>
  <c r="AF17" i="10"/>
  <c r="BF19" i="10"/>
  <c r="AE18" i="10"/>
  <c r="BI18" i="10"/>
  <c r="BH18" i="10"/>
  <c r="BG18" i="10"/>
  <c r="BB18" i="10"/>
  <c r="BM18" i="10"/>
  <c r="BA18" i="10"/>
  <c r="BL18" i="10"/>
  <c r="AV18" i="9"/>
  <c r="AW17" i="9"/>
  <c r="AX17" i="9"/>
  <c r="AY17" i="9"/>
  <c r="AZ17" i="9"/>
  <c r="BA17" i="9"/>
  <c r="BB17" i="9"/>
  <c r="BC17" i="9"/>
  <c r="BR16" i="8" a="1"/>
  <c r="BR16" i="8" s="1"/>
  <c r="DU16" i="8" s="1"/>
  <c r="AL16" i="12" l="1"/>
  <c r="AU16" i="12" s="1"/>
  <c r="DV16" i="8"/>
  <c r="BD17" i="10"/>
  <c r="AX17" i="10"/>
  <c r="BA17" i="10"/>
  <c r="AW18" i="10"/>
  <c r="BI17" i="10"/>
  <c r="AR16" i="10"/>
  <c r="AS16" i="10"/>
  <c r="AU16" i="10"/>
  <c r="AO16" i="10"/>
  <c r="AP16" i="10"/>
  <c r="AQ16" i="10"/>
  <c r="AT16" i="10"/>
  <c r="AN17" i="10"/>
  <c r="BC17" i="10"/>
  <c r="BB17" i="10"/>
  <c r="BH17" i="10"/>
  <c r="BG17" i="10"/>
  <c r="BM17" i="10"/>
  <c r="BL17" i="10"/>
  <c r="AZ17" i="10"/>
  <c r="BK17" i="10"/>
  <c r="BJ17" i="10"/>
  <c r="AE17" i="10"/>
  <c r="AG16" i="10"/>
  <c r="AH16" i="10"/>
  <c r="AI16" i="10"/>
  <c r="AJ16" i="10"/>
  <c r="AK16" i="10"/>
  <c r="AL16" i="10"/>
  <c r="AF16" i="10"/>
  <c r="BF18" i="10"/>
  <c r="AY17" i="10"/>
  <c r="AW16" i="9"/>
  <c r="AX16" i="9"/>
  <c r="AY16" i="9"/>
  <c r="AZ16" i="9"/>
  <c r="BA16" i="9"/>
  <c r="BB16" i="9"/>
  <c r="BC16" i="9"/>
  <c r="AV17" i="9"/>
  <c r="BR14" i="8" a="1"/>
  <c r="BR14" i="8" s="1"/>
  <c r="DU14" i="8" s="1"/>
  <c r="AL14" i="12" l="1"/>
  <c r="AU14" i="12" s="1"/>
  <c r="DV14" i="8"/>
  <c r="BI16" i="10"/>
  <c r="BB16" i="10"/>
  <c r="BA16" i="10"/>
  <c r="AR14" i="10"/>
  <c r="AS14" i="10"/>
  <c r="AU14" i="10"/>
  <c r="AO14" i="10"/>
  <c r="AP14" i="10"/>
  <c r="AQ14" i="10"/>
  <c r="AT14" i="10"/>
  <c r="AN16" i="10"/>
  <c r="BD16" i="10"/>
  <c r="BC16" i="10"/>
  <c r="AW17" i="10"/>
  <c r="BH16" i="10"/>
  <c r="BF17" i="10"/>
  <c r="BG16" i="10"/>
  <c r="BM16" i="10"/>
  <c r="BL16" i="10"/>
  <c r="AX16" i="10"/>
  <c r="AZ16" i="10"/>
  <c r="BK16" i="10"/>
  <c r="AG14" i="10"/>
  <c r="AH14" i="10"/>
  <c r="AI14" i="10"/>
  <c r="AJ14" i="10"/>
  <c r="AK14" i="10"/>
  <c r="AL14" i="10"/>
  <c r="AF14" i="10"/>
  <c r="AY16" i="10"/>
  <c r="AE16" i="10"/>
  <c r="BJ16" i="10"/>
  <c r="AV16" i="9"/>
  <c r="AW14" i="9"/>
  <c r="AX14" i="9"/>
  <c r="AY14" i="9"/>
  <c r="AZ14" i="9"/>
  <c r="BA14" i="9"/>
  <c r="BB14" i="9"/>
  <c r="BC14" i="9"/>
  <c r="BR12" i="8" a="1"/>
  <c r="BR12" i="8" s="1"/>
  <c r="DU12" i="8" s="1"/>
  <c r="AL12" i="12" l="1"/>
  <c r="AU12" i="12" s="1"/>
  <c r="DV12" i="8"/>
  <c r="AW16" i="10"/>
  <c r="BK14" i="10"/>
  <c r="AN14" i="10"/>
  <c r="AR12" i="10"/>
  <c r="AS12" i="10"/>
  <c r="AU12" i="10"/>
  <c r="AO12" i="10"/>
  <c r="AP12" i="10"/>
  <c r="AQ12" i="10"/>
  <c r="AT12" i="10"/>
  <c r="AE14" i="10"/>
  <c r="AG12" i="10"/>
  <c r="AH12" i="10"/>
  <c r="AI12" i="10"/>
  <c r="AJ12" i="10"/>
  <c r="AK12" i="10"/>
  <c r="AL12" i="10"/>
  <c r="AF12" i="10"/>
  <c r="BF16" i="10"/>
  <c r="BI14" i="10"/>
  <c r="BJ14" i="10"/>
  <c r="BH14" i="10"/>
  <c r="BG14" i="10"/>
  <c r="BM14" i="10"/>
  <c r="BL14" i="10"/>
  <c r="AV14" i="9"/>
  <c r="AW12" i="9"/>
  <c r="AX12" i="9"/>
  <c r="AY12" i="9"/>
  <c r="AZ12" i="9"/>
  <c r="BA12" i="9"/>
  <c r="BB12" i="9"/>
  <c r="BC12" i="9"/>
  <c r="BR11" i="8" a="1"/>
  <c r="BR11" i="8" s="1"/>
  <c r="DU11" i="8" s="1"/>
  <c r="BR10" i="8" a="1"/>
  <c r="BR10" i="8" s="1"/>
  <c r="DU10" i="8" s="1"/>
  <c r="AL10" i="12" l="1"/>
  <c r="AU10" i="12" s="1"/>
  <c r="DV10" i="8"/>
  <c r="AL11" i="12"/>
  <c r="DV11" i="8"/>
  <c r="BL12" i="10"/>
  <c r="AR10" i="10"/>
  <c r="AS10" i="10"/>
  <c r="AU10" i="10"/>
  <c r="AO10" i="10"/>
  <c r="AP10" i="10"/>
  <c r="AQ10" i="10"/>
  <c r="AT10" i="10"/>
  <c r="AR11" i="10"/>
  <c r="AS11" i="10"/>
  <c r="AU11" i="10"/>
  <c r="AO11" i="10"/>
  <c r="AP11" i="10"/>
  <c r="AQ11" i="10"/>
  <c r="AT11" i="10"/>
  <c r="AN12" i="10"/>
  <c r="BK12" i="10"/>
  <c r="AG10" i="10"/>
  <c r="AH10" i="10"/>
  <c r="AI10" i="10"/>
  <c r="AJ10" i="10"/>
  <c r="AK10" i="10"/>
  <c r="AL10" i="10"/>
  <c r="AF10" i="10"/>
  <c r="AE12" i="10"/>
  <c r="BI12" i="10"/>
  <c r="AG11" i="10"/>
  <c r="AH11" i="10"/>
  <c r="AI11" i="10"/>
  <c r="AJ11" i="10"/>
  <c r="AK11" i="10"/>
  <c r="AL11" i="10"/>
  <c r="AF11" i="10"/>
  <c r="BH12" i="10"/>
  <c r="BG12" i="10"/>
  <c r="BF14" i="10"/>
  <c r="BJ12" i="10"/>
  <c r="BM12" i="10"/>
  <c r="AV12" i="9"/>
  <c r="AW11" i="9"/>
  <c r="AX11" i="9"/>
  <c r="AY11" i="9"/>
  <c r="AZ11" i="9"/>
  <c r="BA11" i="9"/>
  <c r="BB11" i="9"/>
  <c r="BC11" i="9"/>
  <c r="AW10" i="9"/>
  <c r="AX10" i="9"/>
  <c r="AY10" i="9"/>
  <c r="AZ10" i="9"/>
  <c r="BA10" i="9"/>
  <c r="BB10" i="9"/>
  <c r="BC10" i="9"/>
  <c r="AU11" i="12"/>
  <c r="BR9" i="8" a="1"/>
  <c r="BR9" i="8" s="1"/>
  <c r="DU9" i="8" s="1"/>
  <c r="AL9" i="12" l="1"/>
  <c r="AU9" i="12" s="1"/>
  <c r="DV9" i="8"/>
  <c r="AX11" i="10"/>
  <c r="AY11" i="10"/>
  <c r="BD11" i="10"/>
  <c r="BL11" i="10"/>
  <c r="BK11" i="10"/>
  <c r="BJ11" i="10"/>
  <c r="BL10" i="10"/>
  <c r="AN10" i="10"/>
  <c r="AZ11" i="10"/>
  <c r="AR9" i="10"/>
  <c r="AS9" i="10"/>
  <c r="AU9" i="10"/>
  <c r="AO9" i="10"/>
  <c r="AP9" i="10"/>
  <c r="AQ9" i="10"/>
  <c r="AT9" i="10"/>
  <c r="AN11" i="10"/>
  <c r="BA11" i="10"/>
  <c r="BJ10" i="10"/>
  <c r="BK10" i="10"/>
  <c r="AE11" i="10"/>
  <c r="AE10" i="10"/>
  <c r="BF12" i="10"/>
  <c r="BI11" i="10"/>
  <c r="BI10" i="10"/>
  <c r="BH11" i="10"/>
  <c r="BH10" i="10"/>
  <c r="BC11" i="10"/>
  <c r="BG11" i="10"/>
  <c r="BG10" i="10"/>
  <c r="AG9" i="10"/>
  <c r="AH9" i="10"/>
  <c r="AI9" i="10"/>
  <c r="AJ9" i="10"/>
  <c r="AK9" i="10"/>
  <c r="AL9" i="10"/>
  <c r="AF9" i="10"/>
  <c r="BB11" i="10"/>
  <c r="BM11" i="10"/>
  <c r="BM10" i="10"/>
  <c r="AV10" i="9"/>
  <c r="AV11" i="9"/>
  <c r="BR8" i="8" a="1"/>
  <c r="BR8" i="8" s="1"/>
  <c r="DU8" i="8" s="1"/>
  <c r="AL8" i="12" l="1"/>
  <c r="AU8" i="12" s="1"/>
  <c r="DV8" i="8"/>
  <c r="BM9" i="10"/>
  <c r="BF11" i="10"/>
  <c r="AN9" i="10"/>
  <c r="AR8" i="10"/>
  <c r="AS8" i="10"/>
  <c r="AU8" i="10"/>
  <c r="AO8" i="10"/>
  <c r="AP8" i="10"/>
  <c r="AQ8" i="10"/>
  <c r="AT8" i="10"/>
  <c r="BL9" i="10"/>
  <c r="BK9" i="10"/>
  <c r="BF10" i="10"/>
  <c r="BJ9" i="10"/>
  <c r="AE9" i="10"/>
  <c r="AG8" i="10"/>
  <c r="AH8" i="10"/>
  <c r="AI8" i="10"/>
  <c r="AJ8" i="10"/>
  <c r="AK8" i="10"/>
  <c r="AL8" i="10"/>
  <c r="AF8" i="10"/>
  <c r="BI9" i="10"/>
  <c r="BH9" i="10"/>
  <c r="AW11" i="10"/>
  <c r="BG9" i="10"/>
  <c r="BR7" i="8" a="1"/>
  <c r="BR7" i="8" s="1"/>
  <c r="DU7" i="8" s="1"/>
  <c r="AL7" i="12" l="1"/>
  <c r="AU7" i="12" s="1"/>
  <c r="DV7" i="8"/>
  <c r="BL8" i="10"/>
  <c r="AN8" i="10"/>
  <c r="AR7" i="10"/>
  <c r="AS7" i="10"/>
  <c r="AU7" i="10"/>
  <c r="AO7" i="10"/>
  <c r="AP7" i="10"/>
  <c r="AQ7" i="10"/>
  <c r="AT7" i="10"/>
  <c r="BK8" i="10"/>
  <c r="AE8" i="10"/>
  <c r="BJ8" i="10"/>
  <c r="BF9" i="10"/>
  <c r="BI8" i="10"/>
  <c r="BH8" i="10"/>
  <c r="BG8" i="10"/>
  <c r="AG7" i="10"/>
  <c r="AH7" i="10"/>
  <c r="AI7" i="10"/>
  <c r="AJ7" i="10"/>
  <c r="AK7" i="10"/>
  <c r="AL7" i="10"/>
  <c r="AF7" i="10"/>
  <c r="BM8" i="10"/>
  <c r="BR5" i="8" a="1"/>
  <c r="BR5" i="8" s="1"/>
  <c r="DU5" i="8" s="1"/>
  <c r="AL5" i="12" l="1"/>
  <c r="AU5" i="12" s="1"/>
  <c r="DV5" i="8"/>
  <c r="AR5" i="10"/>
  <c r="AS5" i="10"/>
  <c r="AU5" i="10"/>
  <c r="AO5" i="10"/>
  <c r="AP5" i="10"/>
  <c r="AQ5" i="10"/>
  <c r="AT5" i="10"/>
  <c r="AN7" i="10"/>
  <c r="AE7" i="10"/>
  <c r="BI7" i="10"/>
  <c r="BH7" i="10"/>
  <c r="BF8" i="10"/>
  <c r="BG7" i="10"/>
  <c r="BM7" i="10"/>
  <c r="AG5" i="10"/>
  <c r="AH5" i="10"/>
  <c r="AI5" i="10"/>
  <c r="AJ5" i="10"/>
  <c r="AK5" i="10"/>
  <c r="AL5" i="10"/>
  <c r="AF5" i="10"/>
  <c r="BL7" i="10"/>
  <c r="BJ7" i="10"/>
  <c r="BK7" i="10"/>
  <c r="BR4" i="8" a="1"/>
  <c r="BR4" i="8" s="1"/>
  <c r="DU4" i="8" s="1"/>
  <c r="AL4" i="12" l="1"/>
  <c r="AU4" i="12" s="1"/>
  <c r="DV4" i="8"/>
  <c r="BJ5" i="10"/>
  <c r="AY5" i="10"/>
  <c r="BB5" i="10"/>
  <c r="BG5" i="10"/>
  <c r="AZ5" i="10"/>
  <c r="AR4" i="10"/>
  <c r="AS4" i="10"/>
  <c r="AU4" i="10"/>
  <c r="AO4" i="10"/>
  <c r="AP4" i="10"/>
  <c r="AQ4" i="10"/>
  <c r="AT4" i="10"/>
  <c r="BC5" i="10"/>
  <c r="AN5" i="10"/>
  <c r="BM5" i="10"/>
  <c r="BL5" i="10"/>
  <c r="BA5" i="10"/>
  <c r="BK5" i="10"/>
  <c r="AE5" i="10"/>
  <c r="AG4" i="10"/>
  <c r="AH4" i="10"/>
  <c r="AI4" i="10"/>
  <c r="AJ4" i="10"/>
  <c r="AK4" i="10"/>
  <c r="AL4" i="10"/>
  <c r="AF4" i="10"/>
  <c r="AX5" i="10"/>
  <c r="BI5" i="10"/>
  <c r="BD5" i="10"/>
  <c r="BH5" i="10"/>
  <c r="BF7" i="10"/>
  <c r="BR3" i="8" a="1"/>
  <c r="BR3" i="8" s="1"/>
  <c r="DU3" i="8" s="1"/>
  <c r="AL3" i="12" l="1"/>
  <c r="AU3" i="12" s="1"/>
  <c r="DV3" i="8"/>
  <c r="BG4" i="10"/>
  <c r="BF5" i="10"/>
  <c r="AN4" i="10"/>
  <c r="BJ4" i="10"/>
  <c r="BM4" i="10"/>
  <c r="BL4" i="10"/>
  <c r="BK4" i="10"/>
  <c r="AE4" i="10"/>
  <c r="BI4" i="10"/>
  <c r="BH4" i="10"/>
  <c r="AW5" i="10"/>
  <c r="BR2" i="8" a="1"/>
  <c r="BR2" i="8" s="1"/>
  <c r="DV2" i="8" l="1"/>
  <c r="DU2" i="8"/>
  <c r="AQ2" i="10"/>
  <c r="AR2" i="10"/>
  <c r="AS2" i="10"/>
  <c r="AT2" i="10"/>
  <c r="AU2" i="10"/>
  <c r="AP2" i="10"/>
  <c r="AO2" i="10"/>
  <c r="BF4" i="10"/>
  <c r="AJ2" i="10"/>
  <c r="AK2" i="10"/>
  <c r="AL2" i="10"/>
  <c r="AF2" i="10"/>
  <c r="AG2" i="10"/>
  <c r="AH2" i="10"/>
  <c r="AI2" i="10"/>
  <c r="AA3" i="11"/>
  <c r="AA2" i="11"/>
  <c r="AL2" i="12"/>
  <c r="AD3" i="11"/>
  <c r="LS2" i="9"/>
  <c r="G3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O2" i="2"/>
  <c r="L5" i="2"/>
  <c r="KA4" i="9"/>
  <c r="KC4" i="9"/>
  <c r="KA5" i="9"/>
  <c r="KC5" i="9"/>
  <c r="KA7" i="9"/>
  <c r="KC7" i="9"/>
  <c r="KA8" i="9"/>
  <c r="KC8" i="9"/>
  <c r="KA9" i="9"/>
  <c r="KC9" i="9"/>
  <c r="KA10" i="9"/>
  <c r="KC10" i="9"/>
  <c r="KA11" i="9"/>
  <c r="KC11" i="9"/>
  <c r="KA12" i="9"/>
  <c r="KC12" i="9"/>
  <c r="KA14" i="9"/>
  <c r="KC14" i="9"/>
  <c r="KA16" i="9"/>
  <c r="KC16" i="9"/>
  <c r="KA17" i="9"/>
  <c r="KC17" i="9"/>
  <c r="KA18" i="9"/>
  <c r="KC18" i="9"/>
  <c r="KA19" i="9"/>
  <c r="KC19" i="9"/>
  <c r="KA20" i="9"/>
  <c r="KC20" i="9"/>
  <c r="KA21" i="9"/>
  <c r="KC21" i="9"/>
  <c r="KA22" i="9"/>
  <c r="KC22" i="9"/>
  <c r="KA23" i="9"/>
  <c r="KC23" i="9"/>
  <c r="KA25" i="9"/>
  <c r="KC25" i="9"/>
  <c r="KA27" i="9"/>
  <c r="KC27" i="9"/>
  <c r="KA32" i="9"/>
  <c r="KC32" i="9"/>
  <c r="KA34" i="9"/>
  <c r="KC34" i="9"/>
  <c r="KA35" i="9"/>
  <c r="KC35" i="9"/>
  <c r="KA36" i="9"/>
  <c r="KC36" i="9"/>
  <c r="KA37" i="9"/>
  <c r="KC37" i="9"/>
  <c r="KA38" i="9"/>
  <c r="KC38" i="9"/>
  <c r="KA39" i="9"/>
  <c r="KC39" i="9"/>
  <c r="KA41" i="9"/>
  <c r="KC41" i="9"/>
  <c r="KA47" i="9"/>
  <c r="KC47" i="9"/>
  <c r="KA48" i="9"/>
  <c r="KC48" i="9"/>
  <c r="KA57" i="9"/>
  <c r="KC57" i="9"/>
  <c r="KA58" i="9"/>
  <c r="KC58" i="9"/>
  <c r="KA59" i="9"/>
  <c r="KC59" i="9"/>
  <c r="KA67" i="9"/>
  <c r="KC67" i="9"/>
  <c r="KA84" i="9"/>
  <c r="KC84" i="9"/>
  <c r="KA85" i="9"/>
  <c r="KC85" i="9"/>
  <c r="KA86" i="9"/>
  <c r="KC86" i="9"/>
  <c r="KA89" i="9"/>
  <c r="KC89" i="9"/>
  <c r="KA95" i="9"/>
  <c r="KC95" i="9"/>
  <c r="KA100" i="9"/>
  <c r="KC100" i="9"/>
  <c r="KA101" i="9"/>
  <c r="KC101" i="9"/>
  <c r="KA102" i="9"/>
  <c r="KC102" i="9"/>
  <c r="KB102" i="9" l="1"/>
  <c r="KB101" i="9"/>
  <c r="KB100" i="9"/>
  <c r="KB95" i="9"/>
  <c r="KB89" i="9"/>
  <c r="KB86" i="9"/>
  <c r="KB85" i="9"/>
  <c r="KB84" i="9"/>
  <c r="KB67" i="9"/>
  <c r="KB59" i="9"/>
  <c r="KB58" i="9"/>
  <c r="KB57" i="9"/>
  <c r="KB48" i="9"/>
  <c r="KB47" i="9"/>
  <c r="KB41" i="9"/>
  <c r="KB39" i="9"/>
  <c r="KB38" i="9"/>
  <c r="KB37" i="9"/>
  <c r="KB36" i="9"/>
  <c r="KB35" i="9"/>
  <c r="KB34" i="9"/>
  <c r="KB32" i="9"/>
  <c r="KB27" i="9"/>
  <c r="KB25" i="9"/>
  <c r="KB23" i="9"/>
  <c r="KB22" i="9"/>
  <c r="KB21" i="9"/>
  <c r="KB20" i="9"/>
  <c r="KB19" i="9"/>
  <c r="KB18" i="9"/>
  <c r="KB17" i="9"/>
  <c r="KB16" i="9"/>
  <c r="KB14" i="9"/>
  <c r="KB12" i="9"/>
  <c r="KB11" i="9"/>
  <c r="KB10" i="9"/>
  <c r="KB9" i="9"/>
  <c r="KB8" i="9"/>
  <c r="KB7" i="9"/>
  <c r="KB5" i="9"/>
  <c r="KB4" i="9"/>
  <c r="JZ102" i="9"/>
  <c r="JZ101" i="9"/>
  <c r="JZ100" i="9"/>
  <c r="JZ95" i="9"/>
  <c r="JZ89" i="9"/>
  <c r="JZ86" i="9"/>
  <c r="JZ85" i="9"/>
  <c r="JZ84" i="9"/>
  <c r="JZ67" i="9"/>
  <c r="JZ59" i="9"/>
  <c r="JZ58" i="9"/>
  <c r="JZ57" i="9"/>
  <c r="JZ48" i="9"/>
  <c r="JZ47" i="9"/>
  <c r="JZ41" i="9"/>
  <c r="JZ39" i="9"/>
  <c r="JZ38" i="9"/>
  <c r="JZ37" i="9"/>
  <c r="JZ36" i="9"/>
  <c r="JZ35" i="9"/>
  <c r="JZ34" i="9"/>
  <c r="JZ32" i="9"/>
  <c r="JZ27" i="9"/>
  <c r="JZ25" i="9"/>
  <c r="JZ23" i="9"/>
  <c r="JZ22" i="9"/>
  <c r="JZ21" i="9"/>
  <c r="JZ20" i="9"/>
  <c r="JZ19" i="9"/>
  <c r="JZ18" i="9"/>
  <c r="JZ17" i="9"/>
  <c r="JZ16" i="9"/>
  <c r="JZ14" i="9"/>
  <c r="JZ12" i="9"/>
  <c r="JZ11" i="9"/>
  <c r="JZ10" i="9"/>
  <c r="JZ9" i="9"/>
  <c r="JZ8" i="9"/>
  <c r="JZ7" i="9"/>
  <c r="JZ5" i="9"/>
  <c r="JZ4" i="9"/>
  <c r="JY102" i="9"/>
  <c r="JY101" i="9"/>
  <c r="JY100" i="9"/>
  <c r="JY95" i="9"/>
  <c r="JY89" i="9"/>
  <c r="JY86" i="9"/>
  <c r="JY85" i="9"/>
  <c r="JY84" i="9"/>
  <c r="JY67" i="9"/>
  <c r="JY59" i="9"/>
  <c r="JY58" i="9"/>
  <c r="JY57" i="9"/>
  <c r="JY48" i="9"/>
  <c r="JY47" i="9"/>
  <c r="JY41" i="9"/>
  <c r="JY39" i="9"/>
  <c r="JY38" i="9"/>
  <c r="JY37" i="9"/>
  <c r="JY36" i="9"/>
  <c r="JY35" i="9"/>
  <c r="JY34" i="9"/>
  <c r="JY32" i="9"/>
  <c r="JY27" i="9"/>
  <c r="JY25" i="9"/>
  <c r="JY23" i="9"/>
  <c r="JY22" i="9"/>
  <c r="JY21" i="9"/>
  <c r="JY20" i="9"/>
  <c r="JY19" i="9"/>
  <c r="JY18" i="9"/>
  <c r="JY17" i="9"/>
  <c r="JY16" i="9"/>
  <c r="JY14" i="9"/>
  <c r="JY12" i="9"/>
  <c r="JY11" i="9"/>
  <c r="JY10" i="9"/>
  <c r="JY9" i="9"/>
  <c r="JY8" i="9"/>
  <c r="JY7" i="9"/>
  <c r="JY5" i="9"/>
  <c r="JY4" i="9"/>
  <c r="JX102" i="9"/>
  <c r="JX101" i="9"/>
  <c r="JX100" i="9"/>
  <c r="JX95" i="9"/>
  <c r="JX89" i="9"/>
  <c r="JX86" i="9"/>
  <c r="JX85" i="9"/>
  <c r="JX84" i="9"/>
  <c r="JX67" i="9"/>
  <c r="JX59" i="9"/>
  <c r="JX58" i="9"/>
  <c r="JX57" i="9"/>
  <c r="JX48" i="9"/>
  <c r="JX47" i="9"/>
  <c r="JX41" i="9"/>
  <c r="JX39" i="9"/>
  <c r="JX38" i="9"/>
  <c r="JX37" i="9"/>
  <c r="JX36" i="9"/>
  <c r="JX35" i="9"/>
  <c r="JX34" i="9"/>
  <c r="JX32" i="9"/>
  <c r="JX27" i="9"/>
  <c r="JX25" i="9"/>
  <c r="JX23" i="9"/>
  <c r="JX22" i="9"/>
  <c r="JX21" i="9"/>
  <c r="JX20" i="9"/>
  <c r="JX19" i="9"/>
  <c r="JX18" i="9"/>
  <c r="JX17" i="9"/>
  <c r="JX16" i="9"/>
  <c r="JX14" i="9"/>
  <c r="JX12" i="9"/>
  <c r="JX11" i="9"/>
  <c r="JX10" i="9"/>
  <c r="JX9" i="9"/>
  <c r="JX8" i="9"/>
  <c r="JX7" i="9"/>
  <c r="JX5" i="9"/>
  <c r="JX4" i="9"/>
  <c r="KE86" i="9"/>
  <c r="KE85" i="9"/>
  <c r="KE84" i="9"/>
  <c r="KE67" i="9"/>
  <c r="KE59" i="9"/>
  <c r="KE58" i="9"/>
  <c r="KE57" i="9"/>
  <c r="KE48" i="9"/>
  <c r="KE47" i="9"/>
  <c r="KE41" i="9"/>
  <c r="KE39" i="9"/>
  <c r="KE38" i="9"/>
  <c r="KE37" i="9"/>
  <c r="KE36" i="9"/>
  <c r="KE35" i="9"/>
  <c r="KE34" i="9"/>
  <c r="KE32" i="9"/>
  <c r="KE27" i="9"/>
  <c r="KE25" i="9"/>
  <c r="KE23" i="9"/>
  <c r="KE22" i="9"/>
  <c r="KE21" i="9"/>
  <c r="KE20" i="9"/>
  <c r="KE19" i="9"/>
  <c r="KE18" i="9"/>
  <c r="KE17" i="9"/>
  <c r="KE16" i="9"/>
  <c r="KE14" i="9"/>
  <c r="KE12" i="9"/>
  <c r="KE11" i="9"/>
  <c r="KE10" i="9"/>
  <c r="KE9" i="9"/>
  <c r="KE8" i="9"/>
  <c r="KE7" i="9"/>
  <c r="KE5" i="9"/>
  <c r="KE4" i="9"/>
  <c r="KE102" i="9"/>
  <c r="KE101" i="9"/>
  <c r="KE100" i="9"/>
  <c r="KE95" i="9"/>
  <c r="KE89" i="9"/>
  <c r="KD102" i="9"/>
  <c r="KD101" i="9"/>
  <c r="KD100" i="9"/>
  <c r="KD95" i="9"/>
  <c r="KD89" i="9"/>
  <c r="KD86" i="9"/>
  <c r="KD85" i="9"/>
  <c r="KD84" i="9"/>
  <c r="KD67" i="9"/>
  <c r="KD59" i="9"/>
  <c r="KD58" i="9"/>
  <c r="KD57" i="9"/>
  <c r="KD48" i="9"/>
  <c r="KD47" i="9"/>
  <c r="KD41" i="9"/>
  <c r="KD39" i="9"/>
  <c r="KD38" i="9"/>
  <c r="KD37" i="9"/>
  <c r="KD36" i="9"/>
  <c r="KD35" i="9"/>
  <c r="KD34" i="9"/>
  <c r="KD32" i="9"/>
  <c r="KD27" i="9"/>
  <c r="KD25" i="9"/>
  <c r="KD23" i="9"/>
  <c r="KD22" i="9"/>
  <c r="KD21" i="9"/>
  <c r="KD20" i="9"/>
  <c r="KD19" i="9"/>
  <c r="KD18" i="9"/>
  <c r="KD17" i="9"/>
  <c r="KD16" i="9"/>
  <c r="KD14" i="9"/>
  <c r="KD12" i="9"/>
  <c r="KD11" i="9"/>
  <c r="KD10" i="9"/>
  <c r="KD9" i="9"/>
  <c r="KD8" i="9"/>
  <c r="KD7" i="9"/>
  <c r="KD5" i="9"/>
  <c r="KD4" i="9"/>
  <c r="BA2" i="10"/>
  <c r="BD2" i="10"/>
  <c r="BG2" i="10"/>
  <c r="AZ2" i="10"/>
  <c r="BH2" i="10"/>
  <c r="AY2" i="10"/>
  <c r="AN2" i="10"/>
  <c r="B10" i="12"/>
  <c r="B2" i="12"/>
  <c r="BM2" i="10"/>
  <c r="BL2" i="10"/>
  <c r="BC2" i="10"/>
  <c r="BK2" i="10"/>
  <c r="AE2" i="10"/>
  <c r="BJ2" i="10"/>
  <c r="BB2" i="10"/>
  <c r="BI2" i="10"/>
  <c r="AX2" i="10"/>
  <c r="B99" i="12"/>
  <c r="B76" i="12"/>
  <c r="B54" i="12"/>
  <c r="B35" i="12"/>
  <c r="B12" i="12"/>
  <c r="B94" i="12"/>
  <c r="B75" i="12"/>
  <c r="B52" i="12"/>
  <c r="B30" i="12"/>
  <c r="B11" i="12"/>
  <c r="B92" i="12"/>
  <c r="B70" i="12"/>
  <c r="B51" i="12"/>
  <c r="B28" i="12"/>
  <c r="B6" i="12"/>
  <c r="B91" i="12"/>
  <c r="B68" i="12"/>
  <c r="B46" i="12"/>
  <c r="B27" i="12"/>
  <c r="B4" i="12"/>
  <c r="B86" i="12"/>
  <c r="B67" i="12"/>
  <c r="B44" i="12"/>
  <c r="B3" i="12"/>
  <c r="B84" i="12"/>
  <c r="B62" i="12"/>
  <c r="B43" i="12"/>
  <c r="B20" i="12"/>
  <c r="B102" i="12"/>
  <c r="B83" i="12"/>
  <c r="B60" i="12"/>
  <c r="B38" i="12"/>
  <c r="B19" i="12"/>
  <c r="B100" i="12"/>
  <c r="B78" i="12"/>
  <c r="B59" i="12"/>
  <c r="B36" i="12"/>
  <c r="B14" i="12"/>
  <c r="B101" i="12"/>
  <c r="B93" i="12"/>
  <c r="B85" i="12"/>
  <c r="B77" i="12"/>
  <c r="B69" i="12"/>
  <c r="B61" i="12"/>
  <c r="B53" i="12"/>
  <c r="B45" i="12"/>
  <c r="B37" i="12"/>
  <c r="B29" i="12"/>
  <c r="B21" i="12"/>
  <c r="B13" i="12"/>
  <c r="B5" i="12"/>
  <c r="JZ2" i="9"/>
  <c r="B98" i="12"/>
  <c r="B90" i="12"/>
  <c r="B82" i="12"/>
  <c r="B74" i="12"/>
  <c r="B66" i="12"/>
  <c r="B58" i="12"/>
  <c r="B50" i="12"/>
  <c r="B42" i="12"/>
  <c r="B34" i="12"/>
  <c r="B26" i="12"/>
  <c r="B18" i="12"/>
  <c r="B97" i="12"/>
  <c r="B89" i="12"/>
  <c r="B81" i="12"/>
  <c r="B73" i="12"/>
  <c r="B65" i="12"/>
  <c r="B57" i="12"/>
  <c r="B49" i="12"/>
  <c r="B41" i="12"/>
  <c r="B33" i="12"/>
  <c r="B25" i="12"/>
  <c r="B17" i="12"/>
  <c r="B9" i="12"/>
  <c r="B96" i="12"/>
  <c r="B88" i="12"/>
  <c r="B80" i="12"/>
  <c r="B72" i="12"/>
  <c r="B64" i="12"/>
  <c r="B56" i="12"/>
  <c r="B48" i="12"/>
  <c r="B40" i="12"/>
  <c r="B32" i="12"/>
  <c r="B24" i="12"/>
  <c r="B16" i="12"/>
  <c r="B8" i="12"/>
  <c r="B95" i="12"/>
  <c r="B87" i="12"/>
  <c r="B79" i="12"/>
  <c r="B71" i="12"/>
  <c r="B63" i="12"/>
  <c r="B55" i="12"/>
  <c r="B47" i="12"/>
  <c r="B39" i="12"/>
  <c r="B31" i="12"/>
  <c r="B23" i="12"/>
  <c r="B15" i="12"/>
  <c r="B7" i="12"/>
  <c r="G2" i="11"/>
  <c r="AU2" i="12"/>
  <c r="JX2" i="9"/>
  <c r="KE2" i="9"/>
  <c r="KD2" i="9"/>
  <c r="KB2" i="9"/>
  <c r="JY2" i="9"/>
  <c r="CX10" i="9"/>
  <c r="CX11" i="9"/>
  <c r="CX12" i="9"/>
  <c r="CX14" i="9"/>
  <c r="CX16" i="9"/>
  <c r="CX17" i="9"/>
  <c r="CX18" i="9"/>
  <c r="CX19" i="9"/>
  <c r="CX20" i="9"/>
  <c r="CX21" i="9"/>
  <c r="CX22" i="9"/>
  <c r="CX23" i="9"/>
  <c r="CX25" i="9"/>
  <c r="CX27" i="9"/>
  <c r="CX32" i="9"/>
  <c r="CX34" i="9"/>
  <c r="CX35" i="9"/>
  <c r="CX36" i="9"/>
  <c r="CX37" i="9"/>
  <c r="CX38" i="9"/>
  <c r="CX39" i="9"/>
  <c r="CX41" i="9"/>
  <c r="CX47" i="9"/>
  <c r="CX48" i="9"/>
  <c r="CX57" i="9"/>
  <c r="CX58" i="9"/>
  <c r="CX59" i="9"/>
  <c r="CX67" i="9"/>
  <c r="CX84" i="9"/>
  <c r="CX85" i="9"/>
  <c r="CX86" i="9"/>
  <c r="CX89" i="9"/>
  <c r="CX95" i="9"/>
  <c r="CX100" i="9"/>
  <c r="CX101" i="9"/>
  <c r="CX102" i="9"/>
  <c r="CY10" i="9"/>
  <c r="CZ10" i="9"/>
  <c r="DA10" i="9"/>
  <c r="DB10" i="9"/>
  <c r="DC10" i="9"/>
  <c r="DD10" i="9"/>
  <c r="DE10" i="9"/>
  <c r="CY11" i="9"/>
  <c r="CZ11" i="9"/>
  <c r="DA11" i="9"/>
  <c r="DB11" i="9"/>
  <c r="DC11" i="9"/>
  <c r="DD11" i="9"/>
  <c r="DE11" i="9"/>
  <c r="CY12" i="9"/>
  <c r="CZ12" i="9"/>
  <c r="DA12" i="9"/>
  <c r="DB12" i="9"/>
  <c r="DC12" i="9"/>
  <c r="DD12" i="9"/>
  <c r="DE12" i="9"/>
  <c r="CY14" i="9"/>
  <c r="CZ14" i="9"/>
  <c r="DA14" i="9"/>
  <c r="DB14" i="9"/>
  <c r="DC14" i="9"/>
  <c r="DD14" i="9"/>
  <c r="DE14" i="9"/>
  <c r="CY16" i="9"/>
  <c r="CZ16" i="9"/>
  <c r="DA16" i="9"/>
  <c r="DB16" i="9"/>
  <c r="DC16" i="9"/>
  <c r="DD16" i="9"/>
  <c r="DE16" i="9"/>
  <c r="CY17" i="9"/>
  <c r="CZ17" i="9"/>
  <c r="DA17" i="9"/>
  <c r="DB17" i="9"/>
  <c r="DC17" i="9"/>
  <c r="DD17" i="9"/>
  <c r="DE17" i="9"/>
  <c r="CY18" i="9"/>
  <c r="CZ18" i="9"/>
  <c r="DA18" i="9"/>
  <c r="DB18" i="9"/>
  <c r="DC18" i="9"/>
  <c r="DD18" i="9"/>
  <c r="DE18" i="9"/>
  <c r="CY19" i="9"/>
  <c r="CZ19" i="9"/>
  <c r="DA19" i="9"/>
  <c r="DB19" i="9"/>
  <c r="DC19" i="9"/>
  <c r="DD19" i="9"/>
  <c r="DE19" i="9"/>
  <c r="CY20" i="9"/>
  <c r="CZ20" i="9"/>
  <c r="DA20" i="9"/>
  <c r="DB20" i="9"/>
  <c r="DC20" i="9"/>
  <c r="DD20" i="9"/>
  <c r="DE20" i="9"/>
  <c r="CY21" i="9"/>
  <c r="CZ21" i="9"/>
  <c r="DA21" i="9"/>
  <c r="DB21" i="9"/>
  <c r="DC21" i="9"/>
  <c r="DD21" i="9"/>
  <c r="DE21" i="9"/>
  <c r="CY22" i="9"/>
  <c r="CZ22" i="9"/>
  <c r="DA22" i="9"/>
  <c r="DB22" i="9"/>
  <c r="DC22" i="9"/>
  <c r="DD22" i="9"/>
  <c r="DE22" i="9"/>
  <c r="CY23" i="9"/>
  <c r="CZ23" i="9"/>
  <c r="DA23" i="9"/>
  <c r="DB23" i="9"/>
  <c r="DC23" i="9"/>
  <c r="DD23" i="9"/>
  <c r="DE23" i="9"/>
  <c r="CY25" i="9"/>
  <c r="CZ25" i="9"/>
  <c r="DA25" i="9"/>
  <c r="DB25" i="9"/>
  <c r="DC25" i="9"/>
  <c r="DD25" i="9"/>
  <c r="DE25" i="9"/>
  <c r="CY27" i="9"/>
  <c r="CZ27" i="9"/>
  <c r="DA27" i="9"/>
  <c r="DB27" i="9"/>
  <c r="DC27" i="9"/>
  <c r="DD27" i="9"/>
  <c r="DE27" i="9"/>
  <c r="CY32" i="9"/>
  <c r="CZ32" i="9"/>
  <c r="DA32" i="9"/>
  <c r="DB32" i="9"/>
  <c r="DC32" i="9"/>
  <c r="DD32" i="9"/>
  <c r="DE32" i="9"/>
  <c r="CY34" i="9"/>
  <c r="CZ34" i="9"/>
  <c r="DA34" i="9"/>
  <c r="DB34" i="9"/>
  <c r="DC34" i="9"/>
  <c r="DD34" i="9"/>
  <c r="DE34" i="9"/>
  <c r="CY35" i="9"/>
  <c r="CZ35" i="9"/>
  <c r="DA35" i="9"/>
  <c r="DB35" i="9"/>
  <c r="DC35" i="9"/>
  <c r="DD35" i="9"/>
  <c r="DE35" i="9"/>
  <c r="CY36" i="9"/>
  <c r="CZ36" i="9"/>
  <c r="DA36" i="9"/>
  <c r="DB36" i="9"/>
  <c r="DC36" i="9"/>
  <c r="DD36" i="9"/>
  <c r="DE36" i="9"/>
  <c r="CY37" i="9"/>
  <c r="CZ37" i="9"/>
  <c r="DA37" i="9"/>
  <c r="DB37" i="9"/>
  <c r="DC37" i="9"/>
  <c r="DD37" i="9"/>
  <c r="DE37" i="9"/>
  <c r="CY38" i="9"/>
  <c r="CZ38" i="9"/>
  <c r="DA38" i="9"/>
  <c r="DB38" i="9"/>
  <c r="DC38" i="9"/>
  <c r="DD38" i="9"/>
  <c r="DE38" i="9"/>
  <c r="CY39" i="9"/>
  <c r="CZ39" i="9"/>
  <c r="DA39" i="9"/>
  <c r="DB39" i="9"/>
  <c r="DC39" i="9"/>
  <c r="DD39" i="9"/>
  <c r="DE39" i="9"/>
  <c r="CY41" i="9"/>
  <c r="CZ41" i="9"/>
  <c r="DA41" i="9"/>
  <c r="DB41" i="9"/>
  <c r="DC41" i="9"/>
  <c r="DD41" i="9"/>
  <c r="DE41" i="9"/>
  <c r="CY47" i="9"/>
  <c r="CZ47" i="9"/>
  <c r="DA47" i="9"/>
  <c r="DB47" i="9"/>
  <c r="DC47" i="9"/>
  <c r="DD47" i="9"/>
  <c r="DE47" i="9"/>
  <c r="CY48" i="9"/>
  <c r="CZ48" i="9"/>
  <c r="DA48" i="9"/>
  <c r="DB48" i="9"/>
  <c r="DC48" i="9"/>
  <c r="DD48" i="9"/>
  <c r="DE48" i="9"/>
  <c r="CY57" i="9"/>
  <c r="CZ57" i="9"/>
  <c r="DA57" i="9"/>
  <c r="DB57" i="9"/>
  <c r="DC57" i="9"/>
  <c r="DD57" i="9"/>
  <c r="DE57" i="9"/>
  <c r="CY58" i="9"/>
  <c r="CZ58" i="9"/>
  <c r="DA58" i="9"/>
  <c r="DB58" i="9"/>
  <c r="DC58" i="9"/>
  <c r="DD58" i="9"/>
  <c r="DE58" i="9"/>
  <c r="CY59" i="9"/>
  <c r="CZ59" i="9"/>
  <c r="DA59" i="9"/>
  <c r="DB59" i="9"/>
  <c r="DC59" i="9"/>
  <c r="DD59" i="9"/>
  <c r="DE59" i="9"/>
  <c r="CY67" i="9"/>
  <c r="CZ67" i="9"/>
  <c r="DA67" i="9"/>
  <c r="DB67" i="9"/>
  <c r="DC67" i="9"/>
  <c r="DD67" i="9"/>
  <c r="DE67" i="9"/>
  <c r="CY84" i="9"/>
  <c r="CZ84" i="9"/>
  <c r="DA84" i="9"/>
  <c r="DB84" i="9"/>
  <c r="DC84" i="9"/>
  <c r="DD84" i="9"/>
  <c r="DE84" i="9"/>
  <c r="CY85" i="9"/>
  <c r="CZ85" i="9"/>
  <c r="DA85" i="9"/>
  <c r="DB85" i="9"/>
  <c r="DC85" i="9"/>
  <c r="DD85" i="9"/>
  <c r="DE85" i="9"/>
  <c r="CY86" i="9"/>
  <c r="CZ86" i="9"/>
  <c r="DA86" i="9"/>
  <c r="DB86" i="9"/>
  <c r="DC86" i="9"/>
  <c r="DD86" i="9"/>
  <c r="DE86" i="9"/>
  <c r="CY89" i="9"/>
  <c r="CZ89" i="9"/>
  <c r="DA89" i="9"/>
  <c r="DB89" i="9"/>
  <c r="DC89" i="9"/>
  <c r="DD89" i="9"/>
  <c r="DE89" i="9"/>
  <c r="CY95" i="9"/>
  <c r="CZ95" i="9"/>
  <c r="DA95" i="9"/>
  <c r="DB95" i="9"/>
  <c r="DC95" i="9"/>
  <c r="DD95" i="9"/>
  <c r="DE95" i="9"/>
  <c r="CY100" i="9"/>
  <c r="CZ100" i="9"/>
  <c r="DA100" i="9"/>
  <c r="DB100" i="9"/>
  <c r="DC100" i="9"/>
  <c r="DD100" i="9"/>
  <c r="DE100" i="9"/>
  <c r="CY101" i="9"/>
  <c r="CZ101" i="9"/>
  <c r="DA101" i="9"/>
  <c r="DB101" i="9"/>
  <c r="DC101" i="9"/>
  <c r="DD101" i="9"/>
  <c r="DE101" i="9"/>
  <c r="CY102" i="9"/>
  <c r="CZ102" i="9"/>
  <c r="DA102" i="9"/>
  <c r="DB102" i="9"/>
  <c r="DC102" i="9"/>
  <c r="DD102" i="9"/>
  <c r="DE102" i="9"/>
  <c r="BF2" i="10" l="1"/>
  <c r="AW2" i="10"/>
  <c r="AR3" i="11" l="1"/>
  <c r="AL3" i="11"/>
  <c r="AM3" i="11"/>
  <c r="AP3" i="11"/>
  <c r="AO3" i="11"/>
  <c r="L3" i="11"/>
  <c r="AN3" i="11"/>
  <c r="AQ3" i="11" l="1"/>
  <c r="AS3" i="11"/>
  <c r="HT4" i="9"/>
  <c r="HT5" i="9"/>
  <c r="HT7" i="9"/>
  <c r="HT8" i="9"/>
  <c r="HT9" i="9"/>
  <c r="CM10" i="9"/>
  <c r="HT10" i="9" s="1"/>
  <c r="CM11" i="9"/>
  <c r="HT11" i="9" s="1"/>
  <c r="CM12" i="9"/>
  <c r="HT12" i="9" s="1"/>
  <c r="CM14" i="9"/>
  <c r="HT14" i="9" s="1"/>
  <c r="CM16" i="9"/>
  <c r="HT16" i="9" s="1"/>
  <c r="CM17" i="9"/>
  <c r="HT17" i="9" s="1"/>
  <c r="CM18" i="9"/>
  <c r="HT18" i="9" s="1"/>
  <c r="CM19" i="9"/>
  <c r="HT19" i="9" s="1"/>
  <c r="CM20" i="9"/>
  <c r="HT20" i="9" s="1"/>
  <c r="CM21" i="9"/>
  <c r="HT21" i="9" s="1"/>
  <c r="CM22" i="9"/>
  <c r="HT22" i="9" s="1"/>
  <c r="CM23" i="9"/>
  <c r="HT23" i="9" s="1"/>
  <c r="CM25" i="9"/>
  <c r="HT25" i="9" s="1"/>
  <c r="CM27" i="9"/>
  <c r="HT27" i="9" s="1"/>
  <c r="CM32" i="9"/>
  <c r="HT32" i="9" s="1"/>
  <c r="CM34" i="9"/>
  <c r="HT34" i="9" s="1"/>
  <c r="CM35" i="9"/>
  <c r="HT35" i="9" s="1"/>
  <c r="CM36" i="9"/>
  <c r="HT36" i="9" s="1"/>
  <c r="CM37" i="9"/>
  <c r="HT37" i="9" s="1"/>
  <c r="CM38" i="9"/>
  <c r="HT38" i="9" s="1"/>
  <c r="CM39" i="9"/>
  <c r="HT39" i="9" s="1"/>
  <c r="CM41" i="9"/>
  <c r="HT41" i="9" s="1"/>
  <c r="CM47" i="9"/>
  <c r="HT47" i="9" s="1"/>
  <c r="CM48" i="9"/>
  <c r="HT48" i="9" s="1"/>
  <c r="CM57" i="9"/>
  <c r="HT57" i="9" s="1"/>
  <c r="CM58" i="9"/>
  <c r="HT58" i="9" s="1"/>
  <c r="CM59" i="9"/>
  <c r="HT59" i="9" s="1"/>
  <c r="CM67" i="9"/>
  <c r="HT67" i="9" s="1"/>
  <c r="CM84" i="9"/>
  <c r="HT84" i="9" s="1"/>
  <c r="CM85" i="9"/>
  <c r="HT85" i="9" s="1"/>
  <c r="CM86" i="9"/>
  <c r="HT86" i="9" s="1"/>
  <c r="CM89" i="9"/>
  <c r="HT89" i="9" s="1"/>
  <c r="CM95" i="9"/>
  <c r="HT95" i="9" s="1"/>
  <c r="CM100" i="9"/>
  <c r="HT100" i="9" s="1"/>
  <c r="CM101" i="9"/>
  <c r="HT101" i="9" s="1"/>
  <c r="CM102" i="9"/>
  <c r="HT102" i="9" s="1"/>
  <c r="HT2" i="9"/>
  <c r="CV10" i="9"/>
  <c r="CV11" i="9"/>
  <c r="CV12" i="9"/>
  <c r="CV14" i="9"/>
  <c r="CV16" i="9"/>
  <c r="CV17" i="9"/>
  <c r="CV18" i="9"/>
  <c r="CV19" i="9"/>
  <c r="CV20" i="9"/>
  <c r="CV21" i="9"/>
  <c r="CV22" i="9"/>
  <c r="CV23" i="9"/>
  <c r="CV25" i="9"/>
  <c r="CV27" i="9"/>
  <c r="CV32" i="9"/>
  <c r="CV34" i="9"/>
  <c r="CV35" i="9"/>
  <c r="CV36" i="9"/>
  <c r="CV37" i="9"/>
  <c r="CV38" i="9"/>
  <c r="CV39" i="9"/>
  <c r="CV41" i="9"/>
  <c r="CV47" i="9"/>
  <c r="CV48" i="9"/>
  <c r="CV57" i="9"/>
  <c r="CV58" i="9"/>
  <c r="CV59" i="9"/>
  <c r="CV67" i="9"/>
  <c r="CV84" i="9"/>
  <c r="CV85" i="9"/>
  <c r="CV86" i="9"/>
  <c r="CV89" i="9"/>
  <c r="CV95" i="9"/>
  <c r="CV100" i="9"/>
  <c r="CV101" i="9"/>
  <c r="CV102" i="9"/>
  <c r="HM4" i="9"/>
  <c r="HN4" i="9"/>
  <c r="HO4" i="9"/>
  <c r="HP4" i="9"/>
  <c r="HQ4" i="9"/>
  <c r="HR4" i="9"/>
  <c r="HS4" i="9"/>
  <c r="HM5" i="9"/>
  <c r="HN5" i="9"/>
  <c r="HO5" i="9"/>
  <c r="HP5" i="9"/>
  <c r="HQ5" i="9"/>
  <c r="HR5" i="9"/>
  <c r="HS5" i="9"/>
  <c r="HM7" i="9"/>
  <c r="HN7" i="9"/>
  <c r="HO7" i="9"/>
  <c r="HP7" i="9"/>
  <c r="HQ7" i="9"/>
  <c r="HR7" i="9"/>
  <c r="HS7" i="9"/>
  <c r="HM8" i="9"/>
  <c r="HN8" i="9"/>
  <c r="HO8" i="9"/>
  <c r="HP8" i="9"/>
  <c r="HQ8" i="9"/>
  <c r="HR8" i="9"/>
  <c r="HS8" i="9"/>
  <c r="HM9" i="9"/>
  <c r="HN9" i="9"/>
  <c r="HO9" i="9"/>
  <c r="HP9" i="9"/>
  <c r="HQ9" i="9"/>
  <c r="HR9" i="9"/>
  <c r="HS9" i="9"/>
  <c r="CF10" i="9"/>
  <c r="HM10" i="9" s="1"/>
  <c r="CG10" i="9"/>
  <c r="HN10" i="9" s="1"/>
  <c r="CH10" i="9"/>
  <c r="HO10" i="9" s="1"/>
  <c r="HP10" i="9"/>
  <c r="CJ10" i="9"/>
  <c r="HQ10" i="9" s="1"/>
  <c r="CK10" i="9"/>
  <c r="HR10" i="9" s="1"/>
  <c r="CL10" i="9"/>
  <c r="HS10" i="9" s="1"/>
  <c r="CF11" i="9"/>
  <c r="HM11" i="9" s="1"/>
  <c r="CG11" i="9"/>
  <c r="HN11" i="9" s="1"/>
  <c r="CH11" i="9"/>
  <c r="HO11" i="9" s="1"/>
  <c r="HP11" i="9"/>
  <c r="CJ11" i="9"/>
  <c r="HQ11" i="9" s="1"/>
  <c r="CK11" i="9"/>
  <c r="HR11" i="9" s="1"/>
  <c r="CL11" i="9"/>
  <c r="HS11" i="9" s="1"/>
  <c r="CF12" i="9"/>
  <c r="HM12" i="9" s="1"/>
  <c r="CG12" i="9"/>
  <c r="HN12" i="9" s="1"/>
  <c r="CH12" i="9"/>
  <c r="HO12" i="9" s="1"/>
  <c r="HP12" i="9"/>
  <c r="CJ12" i="9"/>
  <c r="HQ12" i="9" s="1"/>
  <c r="CK12" i="9"/>
  <c r="HR12" i="9" s="1"/>
  <c r="CL12" i="9"/>
  <c r="HS12" i="9" s="1"/>
  <c r="CF14" i="9"/>
  <c r="HM14" i="9" s="1"/>
  <c r="CG14" i="9"/>
  <c r="HN14" i="9" s="1"/>
  <c r="CH14" i="9"/>
  <c r="HO14" i="9" s="1"/>
  <c r="HP14" i="9"/>
  <c r="CJ14" i="9"/>
  <c r="HQ14" i="9" s="1"/>
  <c r="CK14" i="9"/>
  <c r="HR14" i="9" s="1"/>
  <c r="CL14" i="9"/>
  <c r="HS14" i="9" s="1"/>
  <c r="CF16" i="9"/>
  <c r="HM16" i="9" s="1"/>
  <c r="CG16" i="9"/>
  <c r="HN16" i="9" s="1"/>
  <c r="CH16" i="9"/>
  <c r="HO16" i="9" s="1"/>
  <c r="CI16" i="9"/>
  <c r="HP16" i="9" s="1"/>
  <c r="CJ16" i="9"/>
  <c r="HQ16" i="9" s="1"/>
  <c r="CK16" i="9"/>
  <c r="HR16" i="9" s="1"/>
  <c r="CL16" i="9"/>
  <c r="HS16" i="9" s="1"/>
  <c r="CF17" i="9"/>
  <c r="HM17" i="9" s="1"/>
  <c r="CG17" i="9"/>
  <c r="HN17" i="9" s="1"/>
  <c r="CH17" i="9"/>
  <c r="HO17" i="9" s="1"/>
  <c r="CI17" i="9"/>
  <c r="HP17" i="9" s="1"/>
  <c r="CJ17" i="9"/>
  <c r="HQ17" i="9" s="1"/>
  <c r="CK17" i="9"/>
  <c r="HR17" i="9" s="1"/>
  <c r="CL17" i="9"/>
  <c r="HS17" i="9" s="1"/>
  <c r="CF18" i="9"/>
  <c r="HM18" i="9" s="1"/>
  <c r="CG18" i="9"/>
  <c r="HN18" i="9" s="1"/>
  <c r="CH18" i="9"/>
  <c r="HO18" i="9" s="1"/>
  <c r="CI18" i="9"/>
  <c r="HP18" i="9" s="1"/>
  <c r="CJ18" i="9"/>
  <c r="HQ18" i="9" s="1"/>
  <c r="CK18" i="9"/>
  <c r="HR18" i="9" s="1"/>
  <c r="CL18" i="9"/>
  <c r="HS18" i="9" s="1"/>
  <c r="CF19" i="9"/>
  <c r="HM19" i="9" s="1"/>
  <c r="CG19" i="9"/>
  <c r="HN19" i="9" s="1"/>
  <c r="CH19" i="9"/>
  <c r="HO19" i="9" s="1"/>
  <c r="CI19" i="9"/>
  <c r="HP19" i="9" s="1"/>
  <c r="CJ19" i="9"/>
  <c r="HQ19" i="9" s="1"/>
  <c r="CK19" i="9"/>
  <c r="HR19" i="9" s="1"/>
  <c r="CL19" i="9"/>
  <c r="HS19" i="9" s="1"/>
  <c r="CF20" i="9"/>
  <c r="HM20" i="9" s="1"/>
  <c r="CG20" i="9"/>
  <c r="HN20" i="9" s="1"/>
  <c r="CH20" i="9"/>
  <c r="HO20" i="9" s="1"/>
  <c r="CI20" i="9"/>
  <c r="HP20" i="9" s="1"/>
  <c r="CJ20" i="9"/>
  <c r="HQ20" i="9" s="1"/>
  <c r="CK20" i="9"/>
  <c r="HR20" i="9" s="1"/>
  <c r="CL20" i="9"/>
  <c r="HS20" i="9" s="1"/>
  <c r="CF21" i="9"/>
  <c r="HM21" i="9" s="1"/>
  <c r="CG21" i="9"/>
  <c r="HN21" i="9" s="1"/>
  <c r="CH21" i="9"/>
  <c r="HO21" i="9" s="1"/>
  <c r="CI21" i="9"/>
  <c r="HP21" i="9" s="1"/>
  <c r="CJ21" i="9"/>
  <c r="HQ21" i="9" s="1"/>
  <c r="CK21" i="9"/>
  <c r="HR21" i="9" s="1"/>
  <c r="CL21" i="9"/>
  <c r="HS21" i="9" s="1"/>
  <c r="CF22" i="9"/>
  <c r="HM22" i="9" s="1"/>
  <c r="CG22" i="9"/>
  <c r="HN22" i="9" s="1"/>
  <c r="CH22" i="9"/>
  <c r="HO22" i="9" s="1"/>
  <c r="CI22" i="9"/>
  <c r="HP22" i="9" s="1"/>
  <c r="CJ22" i="9"/>
  <c r="HQ22" i="9" s="1"/>
  <c r="CK22" i="9"/>
  <c r="HR22" i="9" s="1"/>
  <c r="CL22" i="9"/>
  <c r="HS22" i="9" s="1"/>
  <c r="CF23" i="9"/>
  <c r="HM23" i="9" s="1"/>
  <c r="CG23" i="9"/>
  <c r="HN23" i="9" s="1"/>
  <c r="CH23" i="9"/>
  <c r="HO23" i="9" s="1"/>
  <c r="CI23" i="9"/>
  <c r="HP23" i="9" s="1"/>
  <c r="CJ23" i="9"/>
  <c r="HQ23" i="9" s="1"/>
  <c r="CK23" i="9"/>
  <c r="HR23" i="9" s="1"/>
  <c r="CL23" i="9"/>
  <c r="HS23" i="9" s="1"/>
  <c r="CF25" i="9"/>
  <c r="HM25" i="9" s="1"/>
  <c r="CG25" i="9"/>
  <c r="HN25" i="9" s="1"/>
  <c r="CH25" i="9"/>
  <c r="HO25" i="9" s="1"/>
  <c r="CI25" i="9"/>
  <c r="HP25" i="9" s="1"/>
  <c r="CJ25" i="9"/>
  <c r="HQ25" i="9" s="1"/>
  <c r="CK25" i="9"/>
  <c r="HR25" i="9" s="1"/>
  <c r="CL25" i="9"/>
  <c r="HS25" i="9" s="1"/>
  <c r="CF27" i="9"/>
  <c r="HM27" i="9" s="1"/>
  <c r="CG27" i="9"/>
  <c r="HN27" i="9" s="1"/>
  <c r="CH27" i="9"/>
  <c r="HO27" i="9" s="1"/>
  <c r="CI27" i="9"/>
  <c r="HP27" i="9" s="1"/>
  <c r="CJ27" i="9"/>
  <c r="HQ27" i="9" s="1"/>
  <c r="CK27" i="9"/>
  <c r="HR27" i="9" s="1"/>
  <c r="CL27" i="9"/>
  <c r="HS27" i="9" s="1"/>
  <c r="CF32" i="9"/>
  <c r="HM32" i="9" s="1"/>
  <c r="CG32" i="9"/>
  <c r="HN32" i="9" s="1"/>
  <c r="CH32" i="9"/>
  <c r="HO32" i="9" s="1"/>
  <c r="CI32" i="9"/>
  <c r="HP32" i="9" s="1"/>
  <c r="CJ32" i="9"/>
  <c r="HQ32" i="9" s="1"/>
  <c r="CK32" i="9"/>
  <c r="HR32" i="9" s="1"/>
  <c r="CL32" i="9"/>
  <c r="HS32" i="9" s="1"/>
  <c r="CF34" i="9"/>
  <c r="HM34" i="9" s="1"/>
  <c r="CG34" i="9"/>
  <c r="HN34" i="9" s="1"/>
  <c r="CH34" i="9"/>
  <c r="HO34" i="9" s="1"/>
  <c r="CI34" i="9"/>
  <c r="HP34" i="9" s="1"/>
  <c r="CJ34" i="9"/>
  <c r="HQ34" i="9" s="1"/>
  <c r="CK34" i="9"/>
  <c r="HR34" i="9" s="1"/>
  <c r="CL34" i="9"/>
  <c r="HS34" i="9" s="1"/>
  <c r="CF35" i="9"/>
  <c r="HM35" i="9" s="1"/>
  <c r="CG35" i="9"/>
  <c r="HN35" i="9" s="1"/>
  <c r="CH35" i="9"/>
  <c r="HO35" i="9" s="1"/>
  <c r="CI35" i="9"/>
  <c r="HP35" i="9" s="1"/>
  <c r="CJ35" i="9"/>
  <c r="HQ35" i="9" s="1"/>
  <c r="CK35" i="9"/>
  <c r="HR35" i="9" s="1"/>
  <c r="CL35" i="9"/>
  <c r="HS35" i="9" s="1"/>
  <c r="CF36" i="9"/>
  <c r="HM36" i="9" s="1"/>
  <c r="CG36" i="9"/>
  <c r="HN36" i="9" s="1"/>
  <c r="CH36" i="9"/>
  <c r="HO36" i="9" s="1"/>
  <c r="CI36" i="9"/>
  <c r="HP36" i="9" s="1"/>
  <c r="CJ36" i="9"/>
  <c r="HQ36" i="9" s="1"/>
  <c r="CK36" i="9"/>
  <c r="HR36" i="9" s="1"/>
  <c r="CL36" i="9"/>
  <c r="HS36" i="9" s="1"/>
  <c r="CF37" i="9"/>
  <c r="HM37" i="9" s="1"/>
  <c r="CG37" i="9"/>
  <c r="HN37" i="9" s="1"/>
  <c r="CH37" i="9"/>
  <c r="HO37" i="9" s="1"/>
  <c r="CI37" i="9"/>
  <c r="HP37" i="9" s="1"/>
  <c r="CJ37" i="9"/>
  <c r="HQ37" i="9" s="1"/>
  <c r="CK37" i="9"/>
  <c r="HR37" i="9" s="1"/>
  <c r="CL37" i="9"/>
  <c r="HS37" i="9" s="1"/>
  <c r="CF38" i="9"/>
  <c r="HM38" i="9" s="1"/>
  <c r="CG38" i="9"/>
  <c r="HN38" i="9" s="1"/>
  <c r="CH38" i="9"/>
  <c r="HO38" i="9" s="1"/>
  <c r="CI38" i="9"/>
  <c r="HP38" i="9" s="1"/>
  <c r="CJ38" i="9"/>
  <c r="HQ38" i="9" s="1"/>
  <c r="CK38" i="9"/>
  <c r="HR38" i="9" s="1"/>
  <c r="CL38" i="9"/>
  <c r="HS38" i="9" s="1"/>
  <c r="CF39" i="9"/>
  <c r="HM39" i="9" s="1"/>
  <c r="CG39" i="9"/>
  <c r="HN39" i="9" s="1"/>
  <c r="CH39" i="9"/>
  <c r="HO39" i="9" s="1"/>
  <c r="CI39" i="9"/>
  <c r="HP39" i="9" s="1"/>
  <c r="CJ39" i="9"/>
  <c r="HQ39" i="9" s="1"/>
  <c r="CK39" i="9"/>
  <c r="HR39" i="9" s="1"/>
  <c r="CL39" i="9"/>
  <c r="HS39" i="9" s="1"/>
  <c r="CF41" i="9"/>
  <c r="HM41" i="9" s="1"/>
  <c r="CG41" i="9"/>
  <c r="HN41" i="9" s="1"/>
  <c r="CH41" i="9"/>
  <c r="HO41" i="9" s="1"/>
  <c r="CI41" i="9"/>
  <c r="HP41" i="9" s="1"/>
  <c r="CJ41" i="9"/>
  <c r="HQ41" i="9" s="1"/>
  <c r="CK41" i="9"/>
  <c r="HR41" i="9" s="1"/>
  <c r="CL41" i="9"/>
  <c r="HS41" i="9" s="1"/>
  <c r="CF47" i="9"/>
  <c r="HM47" i="9" s="1"/>
  <c r="CG47" i="9"/>
  <c r="HN47" i="9" s="1"/>
  <c r="CH47" i="9"/>
  <c r="HO47" i="9" s="1"/>
  <c r="CI47" i="9"/>
  <c r="HP47" i="9" s="1"/>
  <c r="CJ47" i="9"/>
  <c r="HQ47" i="9" s="1"/>
  <c r="CK47" i="9"/>
  <c r="HR47" i="9" s="1"/>
  <c r="CL47" i="9"/>
  <c r="HS47" i="9" s="1"/>
  <c r="CF48" i="9"/>
  <c r="HM48" i="9" s="1"/>
  <c r="CG48" i="9"/>
  <c r="HN48" i="9" s="1"/>
  <c r="CH48" i="9"/>
  <c r="HO48" i="9" s="1"/>
  <c r="CI48" i="9"/>
  <c r="HP48" i="9" s="1"/>
  <c r="CJ48" i="9"/>
  <c r="HQ48" i="9" s="1"/>
  <c r="CK48" i="9"/>
  <c r="HR48" i="9" s="1"/>
  <c r="CL48" i="9"/>
  <c r="HS48" i="9" s="1"/>
  <c r="CF57" i="9"/>
  <c r="HM57" i="9" s="1"/>
  <c r="CG57" i="9"/>
  <c r="HN57" i="9" s="1"/>
  <c r="CH57" i="9"/>
  <c r="HO57" i="9" s="1"/>
  <c r="CI57" i="9"/>
  <c r="HP57" i="9" s="1"/>
  <c r="CJ57" i="9"/>
  <c r="HQ57" i="9" s="1"/>
  <c r="CK57" i="9"/>
  <c r="HR57" i="9" s="1"/>
  <c r="CL57" i="9"/>
  <c r="HS57" i="9" s="1"/>
  <c r="CF58" i="9"/>
  <c r="HM58" i="9" s="1"/>
  <c r="CG58" i="9"/>
  <c r="HN58" i="9" s="1"/>
  <c r="CH58" i="9"/>
  <c r="HO58" i="9" s="1"/>
  <c r="CI58" i="9"/>
  <c r="HP58" i="9" s="1"/>
  <c r="CJ58" i="9"/>
  <c r="HQ58" i="9" s="1"/>
  <c r="CK58" i="9"/>
  <c r="HR58" i="9" s="1"/>
  <c r="CL58" i="9"/>
  <c r="HS58" i="9" s="1"/>
  <c r="CF59" i="9"/>
  <c r="HM59" i="9" s="1"/>
  <c r="CG59" i="9"/>
  <c r="HN59" i="9" s="1"/>
  <c r="CH59" i="9"/>
  <c r="HO59" i="9" s="1"/>
  <c r="CI59" i="9"/>
  <c r="HP59" i="9" s="1"/>
  <c r="CJ59" i="9"/>
  <c r="HQ59" i="9" s="1"/>
  <c r="CK59" i="9"/>
  <c r="HR59" i="9" s="1"/>
  <c r="CL59" i="9"/>
  <c r="HS59" i="9" s="1"/>
  <c r="CF67" i="9"/>
  <c r="HM67" i="9" s="1"/>
  <c r="CG67" i="9"/>
  <c r="HN67" i="9" s="1"/>
  <c r="CH67" i="9"/>
  <c r="HO67" i="9" s="1"/>
  <c r="CI67" i="9"/>
  <c r="HP67" i="9" s="1"/>
  <c r="CJ67" i="9"/>
  <c r="HQ67" i="9" s="1"/>
  <c r="CK67" i="9"/>
  <c r="HR67" i="9" s="1"/>
  <c r="CL67" i="9"/>
  <c r="HS67" i="9" s="1"/>
  <c r="CF84" i="9"/>
  <c r="HM84" i="9" s="1"/>
  <c r="CG84" i="9"/>
  <c r="HN84" i="9" s="1"/>
  <c r="CH84" i="9"/>
  <c r="HO84" i="9" s="1"/>
  <c r="CI84" i="9"/>
  <c r="HP84" i="9" s="1"/>
  <c r="CJ84" i="9"/>
  <c r="HQ84" i="9" s="1"/>
  <c r="CK84" i="9"/>
  <c r="HR84" i="9" s="1"/>
  <c r="CL84" i="9"/>
  <c r="HS84" i="9" s="1"/>
  <c r="CF85" i="9"/>
  <c r="HM85" i="9" s="1"/>
  <c r="CG85" i="9"/>
  <c r="HN85" i="9" s="1"/>
  <c r="CH85" i="9"/>
  <c r="HO85" i="9" s="1"/>
  <c r="CI85" i="9"/>
  <c r="HP85" i="9" s="1"/>
  <c r="CJ85" i="9"/>
  <c r="HQ85" i="9" s="1"/>
  <c r="CK85" i="9"/>
  <c r="HR85" i="9" s="1"/>
  <c r="CL85" i="9"/>
  <c r="HS85" i="9" s="1"/>
  <c r="CF86" i="9"/>
  <c r="HM86" i="9" s="1"/>
  <c r="CG86" i="9"/>
  <c r="HN86" i="9" s="1"/>
  <c r="CH86" i="9"/>
  <c r="HO86" i="9" s="1"/>
  <c r="CI86" i="9"/>
  <c r="HP86" i="9" s="1"/>
  <c r="CJ86" i="9"/>
  <c r="HQ86" i="9" s="1"/>
  <c r="CK86" i="9"/>
  <c r="HR86" i="9" s="1"/>
  <c r="CL86" i="9"/>
  <c r="HS86" i="9" s="1"/>
  <c r="CF89" i="9"/>
  <c r="HM89" i="9" s="1"/>
  <c r="CG89" i="9"/>
  <c r="HN89" i="9" s="1"/>
  <c r="CH89" i="9"/>
  <c r="HO89" i="9" s="1"/>
  <c r="CI89" i="9"/>
  <c r="HP89" i="9" s="1"/>
  <c r="CJ89" i="9"/>
  <c r="HQ89" i="9" s="1"/>
  <c r="CK89" i="9"/>
  <c r="HR89" i="9" s="1"/>
  <c r="CL89" i="9"/>
  <c r="HS89" i="9" s="1"/>
  <c r="CF95" i="9"/>
  <c r="HM95" i="9" s="1"/>
  <c r="CG95" i="9"/>
  <c r="HN95" i="9" s="1"/>
  <c r="CH95" i="9"/>
  <c r="HO95" i="9" s="1"/>
  <c r="CI95" i="9"/>
  <c r="HP95" i="9" s="1"/>
  <c r="CJ95" i="9"/>
  <c r="HQ95" i="9" s="1"/>
  <c r="CK95" i="9"/>
  <c r="HR95" i="9" s="1"/>
  <c r="CL95" i="9"/>
  <c r="HS95" i="9" s="1"/>
  <c r="CF100" i="9"/>
  <c r="HM100" i="9" s="1"/>
  <c r="CG100" i="9"/>
  <c r="HN100" i="9" s="1"/>
  <c r="CH100" i="9"/>
  <c r="HO100" i="9" s="1"/>
  <c r="CI100" i="9"/>
  <c r="HP100" i="9" s="1"/>
  <c r="CJ100" i="9"/>
  <c r="HQ100" i="9" s="1"/>
  <c r="CK100" i="9"/>
  <c r="HR100" i="9" s="1"/>
  <c r="CL100" i="9"/>
  <c r="HS100" i="9" s="1"/>
  <c r="CF101" i="9"/>
  <c r="HM101" i="9" s="1"/>
  <c r="CG101" i="9"/>
  <c r="HN101" i="9" s="1"/>
  <c r="CH101" i="9"/>
  <c r="HO101" i="9" s="1"/>
  <c r="CI101" i="9"/>
  <c r="HP101" i="9" s="1"/>
  <c r="CJ101" i="9"/>
  <c r="HQ101" i="9" s="1"/>
  <c r="CK101" i="9"/>
  <c r="HR101" i="9" s="1"/>
  <c r="CL101" i="9"/>
  <c r="HS101" i="9" s="1"/>
  <c r="CF102" i="9"/>
  <c r="HM102" i="9" s="1"/>
  <c r="CG102" i="9"/>
  <c r="HN102" i="9" s="1"/>
  <c r="CH102" i="9"/>
  <c r="HO102" i="9" s="1"/>
  <c r="CI102" i="9"/>
  <c r="HP102" i="9" s="1"/>
  <c r="CJ102" i="9"/>
  <c r="HQ102" i="9" s="1"/>
  <c r="CK102" i="9"/>
  <c r="HR102" i="9" s="1"/>
  <c r="CL102" i="9"/>
  <c r="HS102" i="9" s="1"/>
  <c r="HN2" i="9"/>
  <c r="HO2" i="9"/>
  <c r="HP2" i="9"/>
  <c r="HQ2" i="9"/>
  <c r="HR2" i="9"/>
  <c r="HS2" i="9"/>
  <c r="HM2" i="9"/>
  <c r="CO10" i="9"/>
  <c r="CP10" i="9"/>
  <c r="CQ10" i="9"/>
  <c r="CR10" i="9"/>
  <c r="CS10" i="9"/>
  <c r="CT10" i="9"/>
  <c r="CU10" i="9"/>
  <c r="CO11" i="9"/>
  <c r="CP11" i="9"/>
  <c r="CQ11" i="9"/>
  <c r="CR11" i="9"/>
  <c r="CS11" i="9"/>
  <c r="CT11" i="9"/>
  <c r="CU11" i="9"/>
  <c r="CO12" i="9"/>
  <c r="CP12" i="9"/>
  <c r="CQ12" i="9"/>
  <c r="CR12" i="9"/>
  <c r="CS12" i="9"/>
  <c r="CT12" i="9"/>
  <c r="CU12" i="9"/>
  <c r="CO14" i="9"/>
  <c r="CP14" i="9"/>
  <c r="CQ14" i="9"/>
  <c r="CR14" i="9"/>
  <c r="CS14" i="9"/>
  <c r="CT14" i="9"/>
  <c r="CU14" i="9"/>
  <c r="CO16" i="9"/>
  <c r="CP16" i="9"/>
  <c r="CQ16" i="9"/>
  <c r="CR16" i="9"/>
  <c r="CS16" i="9"/>
  <c r="CT16" i="9"/>
  <c r="CU16" i="9"/>
  <c r="CO17" i="9"/>
  <c r="CP17" i="9"/>
  <c r="CQ17" i="9"/>
  <c r="CR17" i="9"/>
  <c r="CS17" i="9"/>
  <c r="CT17" i="9"/>
  <c r="CU17" i="9"/>
  <c r="CO18" i="9"/>
  <c r="CP18" i="9"/>
  <c r="CQ18" i="9"/>
  <c r="CR18" i="9"/>
  <c r="CS18" i="9"/>
  <c r="CT18" i="9"/>
  <c r="CU18" i="9"/>
  <c r="CO19" i="9"/>
  <c r="CP19" i="9"/>
  <c r="CQ19" i="9"/>
  <c r="CR19" i="9"/>
  <c r="CS19" i="9"/>
  <c r="CT19" i="9"/>
  <c r="CU19" i="9"/>
  <c r="CO20" i="9"/>
  <c r="CP20" i="9"/>
  <c r="CQ20" i="9"/>
  <c r="CR20" i="9"/>
  <c r="CS20" i="9"/>
  <c r="CT20" i="9"/>
  <c r="CU20" i="9"/>
  <c r="CO21" i="9"/>
  <c r="CP21" i="9"/>
  <c r="CQ21" i="9"/>
  <c r="CR21" i="9"/>
  <c r="CS21" i="9"/>
  <c r="CT21" i="9"/>
  <c r="CU21" i="9"/>
  <c r="CO22" i="9"/>
  <c r="CP22" i="9"/>
  <c r="CQ22" i="9"/>
  <c r="CR22" i="9"/>
  <c r="CS22" i="9"/>
  <c r="CT22" i="9"/>
  <c r="CU22" i="9"/>
  <c r="CO23" i="9"/>
  <c r="CP23" i="9"/>
  <c r="CQ23" i="9"/>
  <c r="CR23" i="9"/>
  <c r="CS23" i="9"/>
  <c r="CT23" i="9"/>
  <c r="CU23" i="9"/>
  <c r="CO25" i="9"/>
  <c r="CP25" i="9"/>
  <c r="CQ25" i="9"/>
  <c r="CR25" i="9"/>
  <c r="CS25" i="9"/>
  <c r="CT25" i="9"/>
  <c r="CU25" i="9"/>
  <c r="CO27" i="9"/>
  <c r="CP27" i="9"/>
  <c r="CQ27" i="9"/>
  <c r="CR27" i="9"/>
  <c r="CS27" i="9"/>
  <c r="CT27" i="9"/>
  <c r="CU27" i="9"/>
  <c r="CO32" i="9"/>
  <c r="CP32" i="9"/>
  <c r="CQ32" i="9"/>
  <c r="CR32" i="9"/>
  <c r="CS32" i="9"/>
  <c r="CT32" i="9"/>
  <c r="CU32" i="9"/>
  <c r="CO34" i="9"/>
  <c r="CP34" i="9"/>
  <c r="CQ34" i="9"/>
  <c r="CR34" i="9"/>
  <c r="CS34" i="9"/>
  <c r="CT34" i="9"/>
  <c r="CU34" i="9"/>
  <c r="CO35" i="9"/>
  <c r="CP35" i="9"/>
  <c r="CQ35" i="9"/>
  <c r="CR35" i="9"/>
  <c r="CS35" i="9"/>
  <c r="CT35" i="9"/>
  <c r="CU35" i="9"/>
  <c r="CO36" i="9"/>
  <c r="CP36" i="9"/>
  <c r="CQ36" i="9"/>
  <c r="CR36" i="9"/>
  <c r="CS36" i="9"/>
  <c r="CT36" i="9"/>
  <c r="CU36" i="9"/>
  <c r="CO37" i="9"/>
  <c r="CP37" i="9"/>
  <c r="CQ37" i="9"/>
  <c r="CR37" i="9"/>
  <c r="CS37" i="9"/>
  <c r="CT37" i="9"/>
  <c r="CU37" i="9"/>
  <c r="CO38" i="9"/>
  <c r="CP38" i="9"/>
  <c r="CQ38" i="9"/>
  <c r="CR38" i="9"/>
  <c r="CS38" i="9"/>
  <c r="CT38" i="9"/>
  <c r="CU38" i="9"/>
  <c r="CO39" i="9"/>
  <c r="CP39" i="9"/>
  <c r="CQ39" i="9"/>
  <c r="CR39" i="9"/>
  <c r="CS39" i="9"/>
  <c r="CT39" i="9"/>
  <c r="CU39" i="9"/>
  <c r="CO41" i="9"/>
  <c r="CP41" i="9"/>
  <c r="CQ41" i="9"/>
  <c r="CR41" i="9"/>
  <c r="CS41" i="9"/>
  <c r="CT41" i="9"/>
  <c r="CU41" i="9"/>
  <c r="CO47" i="9"/>
  <c r="CP47" i="9"/>
  <c r="CQ47" i="9"/>
  <c r="CR47" i="9"/>
  <c r="CS47" i="9"/>
  <c r="CT47" i="9"/>
  <c r="CU47" i="9"/>
  <c r="CO48" i="9"/>
  <c r="CP48" i="9"/>
  <c r="CQ48" i="9"/>
  <c r="CR48" i="9"/>
  <c r="CS48" i="9"/>
  <c r="CT48" i="9"/>
  <c r="CU48" i="9"/>
  <c r="CO57" i="9"/>
  <c r="CP57" i="9"/>
  <c r="CQ57" i="9"/>
  <c r="CR57" i="9"/>
  <c r="CS57" i="9"/>
  <c r="CT57" i="9"/>
  <c r="CU57" i="9"/>
  <c r="CO58" i="9"/>
  <c r="CP58" i="9"/>
  <c r="CQ58" i="9"/>
  <c r="CR58" i="9"/>
  <c r="CS58" i="9"/>
  <c r="CT58" i="9"/>
  <c r="CU58" i="9"/>
  <c r="CO59" i="9"/>
  <c r="CP59" i="9"/>
  <c r="CQ59" i="9"/>
  <c r="CR59" i="9"/>
  <c r="CS59" i="9"/>
  <c r="CT59" i="9"/>
  <c r="CU59" i="9"/>
  <c r="CO67" i="9"/>
  <c r="CP67" i="9"/>
  <c r="CQ67" i="9"/>
  <c r="CR67" i="9"/>
  <c r="CS67" i="9"/>
  <c r="CT67" i="9"/>
  <c r="CU67" i="9"/>
  <c r="CO84" i="9"/>
  <c r="CP84" i="9"/>
  <c r="CQ84" i="9"/>
  <c r="CR84" i="9"/>
  <c r="CS84" i="9"/>
  <c r="CT84" i="9"/>
  <c r="CU84" i="9"/>
  <c r="CO85" i="9"/>
  <c r="CP85" i="9"/>
  <c r="CQ85" i="9"/>
  <c r="CR85" i="9"/>
  <c r="CS85" i="9"/>
  <c r="CT85" i="9"/>
  <c r="CU85" i="9"/>
  <c r="CO86" i="9"/>
  <c r="CP86" i="9"/>
  <c r="CQ86" i="9"/>
  <c r="CR86" i="9"/>
  <c r="CS86" i="9"/>
  <c r="CT86" i="9"/>
  <c r="CU86" i="9"/>
  <c r="CO89" i="9"/>
  <c r="CP89" i="9"/>
  <c r="CQ89" i="9"/>
  <c r="CR89" i="9"/>
  <c r="CS89" i="9"/>
  <c r="CT89" i="9"/>
  <c r="CU89" i="9"/>
  <c r="CO95" i="9"/>
  <c r="CP95" i="9"/>
  <c r="CQ95" i="9"/>
  <c r="CR95" i="9"/>
  <c r="CS95" i="9"/>
  <c r="CT95" i="9"/>
  <c r="CU95" i="9"/>
  <c r="CO100" i="9"/>
  <c r="CP100" i="9"/>
  <c r="CQ100" i="9"/>
  <c r="CR100" i="9"/>
  <c r="CS100" i="9"/>
  <c r="CT100" i="9"/>
  <c r="CU100" i="9"/>
  <c r="CO101" i="9"/>
  <c r="CP101" i="9"/>
  <c r="CQ101" i="9"/>
  <c r="CR101" i="9"/>
  <c r="CS101" i="9"/>
  <c r="CT101" i="9"/>
  <c r="CU101" i="9"/>
  <c r="CO102" i="9"/>
  <c r="CP102" i="9"/>
  <c r="CQ102" i="9"/>
  <c r="CR102" i="9"/>
  <c r="CS102" i="9"/>
  <c r="CT102" i="9"/>
  <c r="CU102" i="9"/>
  <c r="AK3" i="11" l="1"/>
  <c r="B3" i="11"/>
  <c r="Q3" i="11" l="1"/>
  <c r="BR77" i="8" a="1"/>
  <c r="AP77" i="10" l="1"/>
  <c r="AQ77" i="10"/>
  <c r="AR77" i="10"/>
  <c r="AS77" i="10"/>
  <c r="AT77" i="10"/>
  <c r="AU77" i="10"/>
  <c r="AO77" i="10"/>
  <c r="AI77" i="10"/>
  <c r="AJ77" i="10"/>
  <c r="AK77" i="10"/>
  <c r="AL77" i="10"/>
  <c r="AF77" i="10"/>
  <c r="AG77" i="10"/>
  <c r="AH77" i="10"/>
  <c r="AW77" i="9"/>
  <c r="AX77" i="9"/>
  <c r="AY77" i="9"/>
  <c r="AZ77" i="9"/>
  <c r="BA77" i="9"/>
  <c r="BB77" i="9"/>
  <c r="BC77" i="9"/>
  <c r="KC77" i="9"/>
  <c r="KA77" i="9"/>
  <c r="DB77" i="9"/>
  <c r="DE77" i="9"/>
  <c r="CY77" i="9"/>
  <c r="CZ77" i="9"/>
  <c r="DA77" i="9"/>
  <c r="DC77" i="9"/>
  <c r="DD77" i="9"/>
  <c r="BR77" i="8"/>
  <c r="DU77" i="8" s="1"/>
  <c r="CV77" i="9"/>
  <c r="CM77" i="9"/>
  <c r="HT77" i="9" s="1"/>
  <c r="CK77" i="9"/>
  <c r="HR77" i="9" s="1"/>
  <c r="CL77" i="9"/>
  <c r="HS77" i="9" s="1"/>
  <c r="CG77" i="9"/>
  <c r="HN77" i="9" s="1"/>
  <c r="CH77" i="9"/>
  <c r="HO77" i="9" s="1"/>
  <c r="CI77" i="9"/>
  <c r="HP77" i="9" s="1"/>
  <c r="CJ77" i="9"/>
  <c r="HQ77" i="9" s="1"/>
  <c r="CP77" i="9"/>
  <c r="CQ77" i="9"/>
  <c r="CR77" i="9"/>
  <c r="CS77" i="9"/>
  <c r="CT77" i="9"/>
  <c r="CU77" i="9"/>
  <c r="BR76" i="8" a="1"/>
  <c r="AL77" i="12" l="1"/>
  <c r="AU77" i="12" s="1"/>
  <c r="DV77" i="8"/>
  <c r="KE77" i="9"/>
  <c r="JY77" i="9"/>
  <c r="KB77" i="9"/>
  <c r="JZ77" i="9"/>
  <c r="KD77" i="9"/>
  <c r="BB77" i="10"/>
  <c r="BC77" i="10"/>
  <c r="BJ77" i="10"/>
  <c r="BD77" i="10"/>
  <c r="BI77" i="10"/>
  <c r="AN77" i="10"/>
  <c r="AP76" i="10"/>
  <c r="AQ76" i="10"/>
  <c r="AR76" i="10"/>
  <c r="AS76" i="10"/>
  <c r="AT76" i="10"/>
  <c r="AU76" i="10"/>
  <c r="AO76" i="10"/>
  <c r="AY77" i="10"/>
  <c r="AZ77" i="10"/>
  <c r="BH77" i="10"/>
  <c r="BG77" i="10"/>
  <c r="BM77" i="10"/>
  <c r="BL77" i="10"/>
  <c r="BK77" i="10"/>
  <c r="AI76" i="10"/>
  <c r="AJ76" i="10"/>
  <c r="AK76" i="10"/>
  <c r="AL76" i="10"/>
  <c r="AF76" i="10"/>
  <c r="AG76" i="10"/>
  <c r="AH76" i="10"/>
  <c r="AX77" i="10"/>
  <c r="BA77" i="10"/>
  <c r="AE77" i="10"/>
  <c r="AW76" i="9"/>
  <c r="AX76" i="9"/>
  <c r="AY76" i="9"/>
  <c r="AZ76" i="9"/>
  <c r="BA76" i="9"/>
  <c r="BB76" i="9"/>
  <c r="BC76" i="9"/>
  <c r="AV77" i="9"/>
  <c r="CX77" i="9"/>
  <c r="KA76" i="9"/>
  <c r="KC76" i="9"/>
  <c r="DB76" i="9"/>
  <c r="DE76" i="9"/>
  <c r="CY76" i="9"/>
  <c r="CZ76" i="9"/>
  <c r="DA76" i="9"/>
  <c r="DD76" i="9"/>
  <c r="DC76" i="9"/>
  <c r="BR76" i="8"/>
  <c r="DU76" i="8" s="1"/>
  <c r="CM76" i="9"/>
  <c r="HT76" i="9" s="1"/>
  <c r="CV76" i="9"/>
  <c r="CJ76" i="9"/>
  <c r="HQ76" i="9" s="1"/>
  <c r="CK76" i="9"/>
  <c r="HR76" i="9" s="1"/>
  <c r="CL76" i="9"/>
  <c r="HS76" i="9" s="1"/>
  <c r="CG76" i="9"/>
  <c r="HN76" i="9" s="1"/>
  <c r="CH76" i="9"/>
  <c r="HO76" i="9" s="1"/>
  <c r="CI76" i="9"/>
  <c r="HP76" i="9" s="1"/>
  <c r="CP76" i="9"/>
  <c r="CQ76" i="9"/>
  <c r="CR76" i="9"/>
  <c r="CS76" i="9"/>
  <c r="CT76" i="9"/>
  <c r="CU76" i="9"/>
  <c r="CF77" i="9"/>
  <c r="HM77" i="9" s="1"/>
  <c r="CO77" i="9"/>
  <c r="BR75" i="8" a="1"/>
  <c r="AL76" i="12" l="1"/>
  <c r="AU76" i="12" s="1"/>
  <c r="DV76" i="8"/>
  <c r="JZ76" i="9"/>
  <c r="JY76" i="9"/>
  <c r="KB76" i="9"/>
  <c r="KE76" i="9"/>
  <c r="JX77" i="9"/>
  <c r="KD76" i="9"/>
  <c r="AW77" i="10"/>
  <c r="BI76" i="10"/>
  <c r="AY76" i="10"/>
  <c r="BD76" i="10"/>
  <c r="AN76" i="10"/>
  <c r="AO75" i="10"/>
  <c r="AP75" i="10"/>
  <c r="AQ75" i="10"/>
  <c r="AR75" i="10"/>
  <c r="AS75" i="10"/>
  <c r="AT75" i="10"/>
  <c r="AU75" i="10"/>
  <c r="BC76" i="10"/>
  <c r="BB76" i="10"/>
  <c r="BA76" i="10"/>
  <c r="AI75" i="10"/>
  <c r="AJ75" i="10"/>
  <c r="AK75" i="10"/>
  <c r="AL75" i="10"/>
  <c r="AF75" i="10"/>
  <c r="AG75" i="10"/>
  <c r="AH75" i="10"/>
  <c r="AZ76" i="10"/>
  <c r="BH76" i="10"/>
  <c r="BG76" i="10"/>
  <c r="BM76" i="10"/>
  <c r="BL76" i="10"/>
  <c r="BK76" i="10"/>
  <c r="BF77" i="10"/>
  <c r="AX76" i="10"/>
  <c r="AE76" i="10"/>
  <c r="BJ76" i="10"/>
  <c r="AW75" i="9"/>
  <c r="AX75" i="9"/>
  <c r="AY75" i="9"/>
  <c r="AZ75" i="9"/>
  <c r="BA75" i="9"/>
  <c r="BB75" i="9"/>
  <c r="BC75" i="9"/>
  <c r="AV76" i="9"/>
  <c r="KC75" i="9"/>
  <c r="KA75" i="9"/>
  <c r="CX76" i="9"/>
  <c r="DB75" i="9"/>
  <c r="DE75" i="9"/>
  <c r="CY75" i="9"/>
  <c r="CZ75" i="9"/>
  <c r="DA75" i="9"/>
  <c r="DC75" i="9"/>
  <c r="DD75" i="9"/>
  <c r="BR75" i="8"/>
  <c r="DU75" i="8" s="1"/>
  <c r="CM75" i="9"/>
  <c r="HT75" i="9" s="1"/>
  <c r="CV75" i="9"/>
  <c r="CI75" i="9"/>
  <c r="HP75" i="9" s="1"/>
  <c r="CJ75" i="9"/>
  <c r="HQ75" i="9" s="1"/>
  <c r="CK75" i="9"/>
  <c r="HR75" i="9" s="1"/>
  <c r="CL75" i="9"/>
  <c r="HS75" i="9" s="1"/>
  <c r="CG75" i="9"/>
  <c r="HN75" i="9" s="1"/>
  <c r="CH75" i="9"/>
  <c r="HO75" i="9" s="1"/>
  <c r="CP75" i="9"/>
  <c r="CQ75" i="9"/>
  <c r="CR75" i="9"/>
  <c r="CS75" i="9"/>
  <c r="CT75" i="9"/>
  <c r="CU75" i="9"/>
  <c r="CF76" i="9"/>
  <c r="HM76" i="9" s="1"/>
  <c r="CO76" i="9"/>
  <c r="BR66" i="8" a="1"/>
  <c r="AL75" i="12" l="1"/>
  <c r="DV75" i="8"/>
  <c r="BC75" i="10"/>
  <c r="JZ75" i="9"/>
  <c r="JY75" i="9"/>
  <c r="JX76" i="9"/>
  <c r="KE75" i="9"/>
  <c r="KB75" i="9"/>
  <c r="KD75" i="9"/>
  <c r="BB75" i="10"/>
  <c r="BD75" i="10"/>
  <c r="BF76" i="10"/>
  <c r="BJ75" i="10"/>
  <c r="AY75" i="10"/>
  <c r="AN75" i="10"/>
  <c r="AR66" i="10"/>
  <c r="AS66" i="10"/>
  <c r="AU66" i="10"/>
  <c r="AO66" i="10"/>
  <c r="AP66" i="10"/>
  <c r="AQ66" i="10"/>
  <c r="AT66" i="10"/>
  <c r="AZ75" i="10"/>
  <c r="BI75" i="10"/>
  <c r="AW76" i="10"/>
  <c r="BH75" i="10"/>
  <c r="AI66" i="10"/>
  <c r="AJ66" i="10"/>
  <c r="AK66" i="10"/>
  <c r="AL66" i="10"/>
  <c r="AF66" i="10"/>
  <c r="AG66" i="10"/>
  <c r="AH66" i="10"/>
  <c r="BG75" i="10"/>
  <c r="BM75" i="10"/>
  <c r="BL75" i="10"/>
  <c r="BK75" i="10"/>
  <c r="AX75" i="10"/>
  <c r="BA75" i="10"/>
  <c r="AE75" i="10"/>
  <c r="AW66" i="9"/>
  <c r="AX66" i="9"/>
  <c r="AY66" i="9"/>
  <c r="AZ66" i="9"/>
  <c r="BA66" i="9"/>
  <c r="BB66" i="9"/>
  <c r="BC66" i="9"/>
  <c r="AV75" i="9"/>
  <c r="AU75" i="12"/>
  <c r="CX75" i="9"/>
  <c r="KC66" i="9"/>
  <c r="KA66" i="9"/>
  <c r="DB66" i="9"/>
  <c r="DE66" i="9"/>
  <c r="CY66" i="9"/>
  <c r="CZ66" i="9"/>
  <c r="DA66" i="9"/>
  <c r="DC66" i="9"/>
  <c r="DD66" i="9"/>
  <c r="BR66" i="8"/>
  <c r="DU66" i="8" s="1"/>
  <c r="CV66" i="9"/>
  <c r="CM66" i="9"/>
  <c r="HT66" i="9" s="1"/>
  <c r="CH66" i="9"/>
  <c r="HO66" i="9" s="1"/>
  <c r="CI66" i="9"/>
  <c r="HP66" i="9" s="1"/>
  <c r="CJ66" i="9"/>
  <c r="HQ66" i="9" s="1"/>
  <c r="CK66" i="9"/>
  <c r="HR66" i="9" s="1"/>
  <c r="CT66" i="9"/>
  <c r="CL66" i="9"/>
  <c r="HS66" i="9" s="1"/>
  <c r="CG66" i="9"/>
  <c r="HN66" i="9" s="1"/>
  <c r="CP66" i="9"/>
  <c r="CS66" i="9"/>
  <c r="CU66" i="9"/>
  <c r="CQ66" i="9"/>
  <c r="CR66" i="9"/>
  <c r="CF75" i="9"/>
  <c r="HM75" i="9" s="1"/>
  <c r="CO75" i="9"/>
  <c r="BR74" i="8" a="1"/>
  <c r="AL66" i="12" l="1"/>
  <c r="DV66" i="8"/>
  <c r="JX75" i="9"/>
  <c r="KB66" i="9"/>
  <c r="JZ66" i="9"/>
  <c r="JY66" i="9"/>
  <c r="KE66" i="9"/>
  <c r="KD66" i="9"/>
  <c r="AZ66" i="10"/>
  <c r="BD66" i="10"/>
  <c r="AX66" i="10"/>
  <c r="BK66" i="10"/>
  <c r="BL66" i="10"/>
  <c r="AN66" i="10"/>
  <c r="AY66" i="10"/>
  <c r="AR74" i="10"/>
  <c r="AS74" i="10"/>
  <c r="AU74" i="10"/>
  <c r="AO74" i="10"/>
  <c r="AP74" i="10"/>
  <c r="AT74" i="10"/>
  <c r="AQ74" i="10"/>
  <c r="AI74" i="10"/>
  <c r="AJ74" i="10"/>
  <c r="AK74" i="10"/>
  <c r="AL74" i="10"/>
  <c r="AF74" i="10"/>
  <c r="AG74" i="10"/>
  <c r="AH74" i="10"/>
  <c r="BM66" i="10"/>
  <c r="BB66" i="10"/>
  <c r="BA66" i="10"/>
  <c r="AE66" i="10"/>
  <c r="BJ66" i="10"/>
  <c r="AW75" i="10"/>
  <c r="BI66" i="10"/>
  <c r="BF75" i="10"/>
  <c r="BH66" i="10"/>
  <c r="BC66" i="10"/>
  <c r="BG66" i="10"/>
  <c r="AW74" i="9"/>
  <c r="AX74" i="9"/>
  <c r="AY74" i="9"/>
  <c r="AZ74" i="9"/>
  <c r="BA74" i="9"/>
  <c r="BB74" i="9"/>
  <c r="BC74" i="9"/>
  <c r="AV66" i="9"/>
  <c r="AU66" i="12"/>
  <c r="KA74" i="9"/>
  <c r="KC74" i="9"/>
  <c r="CX66" i="9"/>
  <c r="DB74" i="9"/>
  <c r="DE74" i="9"/>
  <c r="CY74" i="9"/>
  <c r="CZ74" i="9"/>
  <c r="DA74" i="9"/>
  <c r="DC74" i="9"/>
  <c r="DD74" i="9"/>
  <c r="BR74" i="8"/>
  <c r="DU74" i="8" s="1"/>
  <c r="CF66" i="9"/>
  <c r="HM66" i="9" s="1"/>
  <c r="CO66" i="9"/>
  <c r="CV74" i="9"/>
  <c r="CM74" i="9"/>
  <c r="HT74" i="9" s="1"/>
  <c r="CH74" i="9"/>
  <c r="HO74" i="9" s="1"/>
  <c r="CI74" i="9"/>
  <c r="HP74" i="9" s="1"/>
  <c r="CJ74" i="9"/>
  <c r="HQ74" i="9" s="1"/>
  <c r="CK74" i="9"/>
  <c r="HR74" i="9" s="1"/>
  <c r="CL74" i="9"/>
  <c r="HS74" i="9" s="1"/>
  <c r="CG74" i="9"/>
  <c r="HN74" i="9" s="1"/>
  <c r="CU74" i="9"/>
  <c r="CP74" i="9"/>
  <c r="CQ74" i="9"/>
  <c r="CR74" i="9"/>
  <c r="CS74" i="9"/>
  <c r="CT74" i="9"/>
  <c r="AL74" i="12" l="1"/>
  <c r="AU74" i="12" s="1"/>
  <c r="DV74" i="8"/>
  <c r="JY74" i="9"/>
  <c r="KD74" i="9"/>
  <c r="JZ74" i="9"/>
  <c r="JX66" i="9"/>
  <c r="KE74" i="9"/>
  <c r="KB74" i="9"/>
  <c r="BF66" i="10"/>
  <c r="AZ74" i="10"/>
  <c r="BC74" i="10"/>
  <c r="BB74" i="10"/>
  <c r="BH74" i="10"/>
  <c r="BD74" i="10"/>
  <c r="AN74" i="10"/>
  <c r="BJ74" i="10"/>
  <c r="AW66" i="10"/>
  <c r="BI74" i="10"/>
  <c r="BG74" i="10"/>
  <c r="BM74" i="10"/>
  <c r="AY74" i="10"/>
  <c r="BL74" i="10"/>
  <c r="BK74" i="10"/>
  <c r="AX74" i="10"/>
  <c r="BA74" i="10"/>
  <c r="AE74" i="10"/>
  <c r="AW98" i="9"/>
  <c r="AX98" i="9"/>
  <c r="AY98" i="9"/>
  <c r="AZ98" i="9"/>
  <c r="BA98" i="9"/>
  <c r="BB98" i="9"/>
  <c r="BC98" i="9"/>
  <c r="AV74" i="9"/>
  <c r="KA98" i="9"/>
  <c r="KC98" i="9"/>
  <c r="CX74" i="9"/>
  <c r="DB98" i="9"/>
  <c r="DE98" i="9"/>
  <c r="CY98" i="9"/>
  <c r="CZ98" i="9"/>
  <c r="DA98" i="9"/>
  <c r="DD98" i="9"/>
  <c r="DC98" i="9"/>
  <c r="CV98" i="9"/>
  <c r="CM98" i="9"/>
  <c r="HT98" i="9" s="1"/>
  <c r="CH98" i="9"/>
  <c r="HO98" i="9" s="1"/>
  <c r="CI98" i="9"/>
  <c r="HP98" i="9" s="1"/>
  <c r="CJ98" i="9"/>
  <c r="HQ98" i="9" s="1"/>
  <c r="CK98" i="9"/>
  <c r="HR98" i="9" s="1"/>
  <c r="CL98" i="9"/>
  <c r="HS98" i="9" s="1"/>
  <c r="CG98" i="9"/>
  <c r="HN98" i="9" s="1"/>
  <c r="CU98" i="9"/>
  <c r="CP98" i="9"/>
  <c r="CQ98" i="9"/>
  <c r="CR98" i="9"/>
  <c r="CS98" i="9"/>
  <c r="CT98" i="9"/>
  <c r="CF74" i="9"/>
  <c r="HM74" i="9" s="1"/>
  <c r="CO74" i="9"/>
  <c r="CR68" i="8"/>
  <c r="BA3" i="8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2" i="8"/>
  <c r="KD98" i="9" l="1"/>
  <c r="KB98" i="9"/>
  <c r="JZ98" i="9"/>
  <c r="KE98" i="9"/>
  <c r="JY98" i="9"/>
  <c r="JX74" i="9"/>
  <c r="BF74" i="10"/>
  <c r="AR30" i="10"/>
  <c r="AS30" i="10"/>
  <c r="AU30" i="10"/>
  <c r="AO30" i="10"/>
  <c r="AP30" i="10"/>
  <c r="AQ30" i="10"/>
  <c r="AT30" i="10"/>
  <c r="AW74" i="10"/>
  <c r="AG30" i="10"/>
  <c r="AH30" i="10"/>
  <c r="AI30" i="10"/>
  <c r="AJ30" i="10"/>
  <c r="AK30" i="10"/>
  <c r="AL30" i="10"/>
  <c r="AF30" i="10"/>
  <c r="AV98" i="9"/>
  <c r="AW30" i="9"/>
  <c r="AX30" i="9"/>
  <c r="AY30" i="9"/>
  <c r="AZ30" i="9"/>
  <c r="BA30" i="9"/>
  <c r="BB30" i="9"/>
  <c r="BC30" i="9"/>
  <c r="CX98" i="9"/>
  <c r="KA30" i="9"/>
  <c r="KC30" i="9"/>
  <c r="DB30" i="9"/>
  <c r="DE30" i="9"/>
  <c r="CY30" i="9"/>
  <c r="CZ30" i="9"/>
  <c r="DA30" i="9"/>
  <c r="DD30" i="9"/>
  <c r="DC30" i="9"/>
  <c r="CV30" i="9"/>
  <c r="CM30" i="9"/>
  <c r="HT30" i="9" s="1"/>
  <c r="CL30" i="9"/>
  <c r="HS30" i="9" s="1"/>
  <c r="CU30" i="9"/>
  <c r="CG30" i="9"/>
  <c r="HN30" i="9" s="1"/>
  <c r="CP30" i="9"/>
  <c r="CH30" i="9"/>
  <c r="HO30" i="9" s="1"/>
  <c r="CQ30" i="9"/>
  <c r="CI30" i="9"/>
  <c r="HP30" i="9" s="1"/>
  <c r="CR30" i="9"/>
  <c r="CJ30" i="9"/>
  <c r="HQ30" i="9" s="1"/>
  <c r="CS30" i="9"/>
  <c r="CK30" i="9"/>
  <c r="HR30" i="9" s="1"/>
  <c r="CT30" i="9"/>
  <c r="CF98" i="9"/>
  <c r="HM98" i="9" s="1"/>
  <c r="CO98" i="9"/>
  <c r="BR97" i="8" a="1"/>
  <c r="KD30" i="9" l="1"/>
  <c r="JY30" i="9"/>
  <c r="JZ30" i="9"/>
  <c r="JX98" i="9"/>
  <c r="KE30" i="9"/>
  <c r="KB30" i="9"/>
  <c r="BA30" i="10"/>
  <c r="BL30" i="10"/>
  <c r="BD30" i="10"/>
  <c r="AZ30" i="10"/>
  <c r="AN30" i="10"/>
  <c r="AP97" i="10"/>
  <c r="AQ97" i="10"/>
  <c r="AR97" i="10"/>
  <c r="AS97" i="10"/>
  <c r="AT97" i="10"/>
  <c r="AU97" i="10"/>
  <c r="AO97" i="10"/>
  <c r="BB30" i="10"/>
  <c r="AY30" i="10"/>
  <c r="BG30" i="10"/>
  <c r="BC30" i="10"/>
  <c r="BM30" i="10"/>
  <c r="BK30" i="10"/>
  <c r="AE30" i="10"/>
  <c r="AX30" i="10"/>
  <c r="BI30" i="10"/>
  <c r="AI97" i="10"/>
  <c r="AJ97" i="10"/>
  <c r="AK97" i="10"/>
  <c r="AL97" i="10"/>
  <c r="AF97" i="10"/>
  <c r="AG97" i="10"/>
  <c r="AH97" i="10"/>
  <c r="BJ30" i="10"/>
  <c r="BH30" i="10"/>
  <c r="AW97" i="9"/>
  <c r="AX97" i="9"/>
  <c r="AY97" i="9"/>
  <c r="AZ97" i="9"/>
  <c r="BA97" i="9"/>
  <c r="BB97" i="9"/>
  <c r="BC97" i="9"/>
  <c r="AV30" i="9"/>
  <c r="CX30" i="9"/>
  <c r="KC97" i="9"/>
  <c r="KA97" i="9"/>
  <c r="DB97" i="9"/>
  <c r="DE97" i="9"/>
  <c r="CY97" i="9"/>
  <c r="CZ97" i="9"/>
  <c r="DA97" i="9"/>
  <c r="DD97" i="9"/>
  <c r="DC97" i="9"/>
  <c r="BR97" i="8"/>
  <c r="DU97" i="8" s="1"/>
  <c r="CV97" i="9"/>
  <c r="CM97" i="9"/>
  <c r="HT97" i="9" s="1"/>
  <c r="CG97" i="9"/>
  <c r="HN97" i="9" s="1"/>
  <c r="CH97" i="9"/>
  <c r="HO97" i="9" s="1"/>
  <c r="CI97" i="9"/>
  <c r="HP97" i="9" s="1"/>
  <c r="CJ97" i="9"/>
  <c r="HQ97" i="9" s="1"/>
  <c r="CK97" i="9"/>
  <c r="HR97" i="9" s="1"/>
  <c r="CL97" i="9"/>
  <c r="HS97" i="9" s="1"/>
  <c r="CT97" i="9"/>
  <c r="CU97" i="9"/>
  <c r="CP97" i="9"/>
  <c r="CQ97" i="9"/>
  <c r="CR97" i="9"/>
  <c r="CS97" i="9"/>
  <c r="CF30" i="9"/>
  <c r="HM30" i="9" s="1"/>
  <c r="CO30" i="9"/>
  <c r="BR90" i="8" a="1"/>
  <c r="AL97" i="12" l="1"/>
  <c r="DV97" i="8"/>
  <c r="JZ97" i="9"/>
  <c r="JY97" i="9"/>
  <c r="JX30" i="9"/>
  <c r="KB97" i="9"/>
  <c r="KE97" i="9"/>
  <c r="KD97" i="9"/>
  <c r="BB97" i="10"/>
  <c r="BJ97" i="10"/>
  <c r="BD97" i="10"/>
  <c r="AW30" i="10"/>
  <c r="BC97" i="10"/>
  <c r="AP90" i="10"/>
  <c r="AQ90" i="10"/>
  <c r="AR90" i="10"/>
  <c r="AS90" i="10"/>
  <c r="AT90" i="10"/>
  <c r="AU90" i="10"/>
  <c r="AO90" i="10"/>
  <c r="AN97" i="10"/>
  <c r="BI97" i="10"/>
  <c r="BG97" i="10"/>
  <c r="BM97" i="10"/>
  <c r="AZ97" i="10"/>
  <c r="BL97" i="10"/>
  <c r="BF30" i="10"/>
  <c r="AI90" i="10"/>
  <c r="AJ90" i="10"/>
  <c r="AK90" i="10"/>
  <c r="AL90" i="10"/>
  <c r="AF90" i="10"/>
  <c r="AG90" i="10"/>
  <c r="AH90" i="10"/>
  <c r="BH97" i="10"/>
  <c r="BK97" i="10"/>
  <c r="AY97" i="10"/>
  <c r="AE97" i="10"/>
  <c r="AX97" i="10"/>
  <c r="BA97" i="10"/>
  <c r="AW90" i="9"/>
  <c r="AX90" i="9"/>
  <c r="AY90" i="9"/>
  <c r="AZ90" i="9"/>
  <c r="BA90" i="9"/>
  <c r="BB90" i="9"/>
  <c r="BC90" i="9"/>
  <c r="AV97" i="9"/>
  <c r="AU97" i="12"/>
  <c r="CX97" i="9"/>
  <c r="KC90" i="9"/>
  <c r="KA90" i="9"/>
  <c r="DB90" i="9"/>
  <c r="DE90" i="9"/>
  <c r="CY90" i="9"/>
  <c r="CZ90" i="9"/>
  <c r="DA90" i="9"/>
  <c r="DC90" i="9"/>
  <c r="DD90" i="9"/>
  <c r="BR90" i="8"/>
  <c r="DU90" i="8" s="1"/>
  <c r="CV90" i="9"/>
  <c r="CM90" i="9"/>
  <c r="HT90" i="9" s="1"/>
  <c r="CH90" i="9"/>
  <c r="HO90" i="9" s="1"/>
  <c r="CI90" i="9"/>
  <c r="HP90" i="9" s="1"/>
  <c r="CJ90" i="9"/>
  <c r="HQ90" i="9" s="1"/>
  <c r="CK90" i="9"/>
  <c r="HR90" i="9" s="1"/>
  <c r="CL90" i="9"/>
  <c r="HS90" i="9" s="1"/>
  <c r="CG90" i="9"/>
  <c r="HN90" i="9" s="1"/>
  <c r="CU90" i="9"/>
  <c r="CP90" i="9"/>
  <c r="CQ90" i="9"/>
  <c r="CR90" i="9"/>
  <c r="CS90" i="9"/>
  <c r="CT90" i="9"/>
  <c r="CF97" i="9"/>
  <c r="HM97" i="9" s="1"/>
  <c r="CO97" i="9"/>
  <c r="BR83" i="8" a="1"/>
  <c r="AL90" i="12" l="1"/>
  <c r="DV90" i="8"/>
  <c r="AW97" i="10"/>
  <c r="JX97" i="9"/>
  <c r="KB90" i="9"/>
  <c r="JZ90" i="9"/>
  <c r="KE90" i="9"/>
  <c r="KD90" i="9"/>
  <c r="JY90" i="9"/>
  <c r="BH90" i="10"/>
  <c r="BD90" i="10"/>
  <c r="AZ90" i="10"/>
  <c r="BB90" i="10"/>
  <c r="AX90" i="10"/>
  <c r="BC90" i="10"/>
  <c r="AY90" i="10"/>
  <c r="AN90" i="10"/>
  <c r="AP83" i="10"/>
  <c r="AQ83" i="10"/>
  <c r="AR83" i="10"/>
  <c r="AS83" i="10"/>
  <c r="AT83" i="10"/>
  <c r="AU83" i="10"/>
  <c r="AO83" i="10"/>
  <c r="AE90" i="10"/>
  <c r="BI90" i="10"/>
  <c r="BJ90" i="10"/>
  <c r="BG90" i="10"/>
  <c r="BF97" i="10"/>
  <c r="BM90" i="10"/>
  <c r="AI83" i="10"/>
  <c r="AJ83" i="10"/>
  <c r="AK83" i="10"/>
  <c r="AL83" i="10"/>
  <c r="AF83" i="10"/>
  <c r="AG83" i="10"/>
  <c r="AH83" i="10"/>
  <c r="BA90" i="10"/>
  <c r="BL90" i="10"/>
  <c r="BK90" i="10"/>
  <c r="AV90" i="9"/>
  <c r="AW83" i="9"/>
  <c r="AX83" i="9"/>
  <c r="AY83" i="9"/>
  <c r="AZ83" i="9"/>
  <c r="BA83" i="9"/>
  <c r="BB83" i="9"/>
  <c r="BC83" i="9"/>
  <c r="AU90" i="12"/>
  <c r="CX90" i="9"/>
  <c r="KC83" i="9"/>
  <c r="KA83" i="9"/>
  <c r="DB83" i="9"/>
  <c r="DE83" i="9"/>
  <c r="CY83" i="9"/>
  <c r="CZ83" i="9"/>
  <c r="DA83" i="9"/>
  <c r="DC83" i="9"/>
  <c r="DD83" i="9"/>
  <c r="BR83" i="8"/>
  <c r="DU83" i="8" s="1"/>
  <c r="CF90" i="9"/>
  <c r="HM90" i="9" s="1"/>
  <c r="CO90" i="9"/>
  <c r="CM83" i="9"/>
  <c r="HT83" i="9" s="1"/>
  <c r="CV83" i="9"/>
  <c r="CI83" i="9"/>
  <c r="HP83" i="9" s="1"/>
  <c r="CJ83" i="9"/>
  <c r="HQ83" i="9" s="1"/>
  <c r="CK83" i="9"/>
  <c r="HR83" i="9" s="1"/>
  <c r="CL83" i="9"/>
  <c r="HS83" i="9" s="1"/>
  <c r="CG83" i="9"/>
  <c r="HN83" i="9" s="1"/>
  <c r="CH83" i="9"/>
  <c r="HO83" i="9" s="1"/>
  <c r="CP83" i="9"/>
  <c r="CQ83" i="9"/>
  <c r="CR83" i="9"/>
  <c r="CS83" i="9"/>
  <c r="CT83" i="9"/>
  <c r="CU83" i="9"/>
  <c r="BR33" i="8" a="1"/>
  <c r="AL83" i="12" l="1"/>
  <c r="AU83" i="12" s="1"/>
  <c r="DV83" i="8"/>
  <c r="KE83" i="9"/>
  <c r="JX90" i="9"/>
  <c r="KD83" i="9"/>
  <c r="JY83" i="9"/>
  <c r="KB83" i="9"/>
  <c r="JZ83" i="9"/>
  <c r="BD83" i="10"/>
  <c r="BK83" i="10"/>
  <c r="BC83" i="10"/>
  <c r="AZ83" i="10"/>
  <c r="AN83" i="10"/>
  <c r="AR33" i="10"/>
  <c r="AS33" i="10"/>
  <c r="AU33" i="10"/>
  <c r="AO33" i="10"/>
  <c r="AP33" i="10"/>
  <c r="AQ33" i="10"/>
  <c r="AT33" i="10"/>
  <c r="AX83" i="10"/>
  <c r="BA83" i="10"/>
  <c r="AE83" i="10"/>
  <c r="AG33" i="10"/>
  <c r="AH33" i="10"/>
  <c r="AI33" i="10"/>
  <c r="AJ33" i="10"/>
  <c r="AK33" i="10"/>
  <c r="AL33" i="10"/>
  <c r="AF33" i="10"/>
  <c r="BJ83" i="10"/>
  <c r="BI83" i="10"/>
  <c r="BH83" i="10"/>
  <c r="BG83" i="10"/>
  <c r="AW90" i="10"/>
  <c r="BM83" i="10"/>
  <c r="BF90" i="10"/>
  <c r="AY83" i="10"/>
  <c r="BB83" i="10"/>
  <c r="BL83" i="10"/>
  <c r="AW33" i="9"/>
  <c r="AX33" i="9"/>
  <c r="AY33" i="9"/>
  <c r="AZ33" i="9"/>
  <c r="BA33" i="9"/>
  <c r="BB33" i="9"/>
  <c r="BC33" i="9"/>
  <c r="AV83" i="9"/>
  <c r="KC33" i="9"/>
  <c r="KA33" i="9"/>
  <c r="CX83" i="9"/>
  <c r="DB33" i="9"/>
  <c r="DE33" i="9"/>
  <c r="CY33" i="9"/>
  <c r="CZ33" i="9"/>
  <c r="DA33" i="9"/>
  <c r="DC33" i="9"/>
  <c r="DD33" i="9"/>
  <c r="BR33" i="8"/>
  <c r="DU33" i="8" s="1"/>
  <c r="CV33" i="9"/>
  <c r="CM33" i="9"/>
  <c r="HT33" i="9" s="1"/>
  <c r="CG33" i="9"/>
  <c r="HN33" i="9" s="1"/>
  <c r="CP33" i="9"/>
  <c r="CH33" i="9"/>
  <c r="HO33" i="9" s="1"/>
  <c r="CQ33" i="9"/>
  <c r="CI33" i="9"/>
  <c r="HP33" i="9" s="1"/>
  <c r="CR33" i="9"/>
  <c r="CJ33" i="9"/>
  <c r="HQ33" i="9" s="1"/>
  <c r="CS33" i="9"/>
  <c r="CK33" i="9"/>
  <c r="HR33" i="9" s="1"/>
  <c r="CT33" i="9"/>
  <c r="CL33" i="9"/>
  <c r="HS33" i="9" s="1"/>
  <c r="CU33" i="9"/>
  <c r="CF83" i="9"/>
  <c r="HM83" i="9" s="1"/>
  <c r="CO83" i="9"/>
  <c r="BR99" i="8" a="1"/>
  <c r="AL33" i="12" l="1"/>
  <c r="DV33" i="8"/>
  <c r="JY33" i="9"/>
  <c r="KD33" i="9"/>
  <c r="JX83" i="9"/>
  <c r="KE33" i="9"/>
  <c r="KB33" i="9"/>
  <c r="JZ33" i="9"/>
  <c r="AW83" i="10"/>
  <c r="BM33" i="10"/>
  <c r="AY33" i="10"/>
  <c r="AZ33" i="10"/>
  <c r="AX33" i="10"/>
  <c r="BA33" i="10"/>
  <c r="AN33" i="10"/>
  <c r="AP99" i="10"/>
  <c r="AQ99" i="10"/>
  <c r="AR99" i="10"/>
  <c r="AS99" i="10"/>
  <c r="AT99" i="10"/>
  <c r="AU99" i="10"/>
  <c r="AO99" i="10"/>
  <c r="BB33" i="10"/>
  <c r="BL33" i="10"/>
  <c r="BK33" i="10"/>
  <c r="BJ33" i="10"/>
  <c r="AE33" i="10"/>
  <c r="BI33" i="10"/>
  <c r="BD33" i="10"/>
  <c r="BH33" i="10"/>
  <c r="BF83" i="10"/>
  <c r="AI99" i="10"/>
  <c r="AJ99" i="10"/>
  <c r="AK99" i="10"/>
  <c r="AL99" i="10"/>
  <c r="AF99" i="10"/>
  <c r="AG99" i="10"/>
  <c r="AH99" i="10"/>
  <c r="BC33" i="10"/>
  <c r="BG33" i="10"/>
  <c r="AV33" i="9"/>
  <c r="AW99" i="9"/>
  <c r="AX99" i="9"/>
  <c r="AY99" i="9"/>
  <c r="AZ99" i="9"/>
  <c r="BA99" i="9"/>
  <c r="BB99" i="9"/>
  <c r="BC99" i="9"/>
  <c r="AU33" i="12"/>
  <c r="KC99" i="9"/>
  <c r="KA99" i="9"/>
  <c r="CX33" i="9"/>
  <c r="DB99" i="9"/>
  <c r="DE99" i="9"/>
  <c r="CY99" i="9"/>
  <c r="CZ99" i="9"/>
  <c r="DA99" i="9"/>
  <c r="DC99" i="9"/>
  <c r="DD99" i="9"/>
  <c r="BR99" i="8"/>
  <c r="DU99" i="8" s="1"/>
  <c r="CF33" i="9"/>
  <c r="HM33" i="9" s="1"/>
  <c r="CO33" i="9"/>
  <c r="CM99" i="9"/>
  <c r="HT99" i="9" s="1"/>
  <c r="CV99" i="9"/>
  <c r="CI99" i="9"/>
  <c r="HP99" i="9" s="1"/>
  <c r="CJ99" i="9"/>
  <c r="HQ99" i="9" s="1"/>
  <c r="CK99" i="9"/>
  <c r="HR99" i="9" s="1"/>
  <c r="CL99" i="9"/>
  <c r="HS99" i="9" s="1"/>
  <c r="CG99" i="9"/>
  <c r="HN99" i="9" s="1"/>
  <c r="CH99" i="9"/>
  <c r="HO99" i="9" s="1"/>
  <c r="CP99" i="9"/>
  <c r="CQ99" i="9"/>
  <c r="CR99" i="9"/>
  <c r="CS99" i="9"/>
  <c r="CT99" i="9"/>
  <c r="CU99" i="9"/>
  <c r="BR92" i="8" a="1"/>
  <c r="AL99" i="12" l="1"/>
  <c r="AU99" i="12" s="1"/>
  <c r="DV99" i="8"/>
  <c r="KD99" i="9"/>
  <c r="JX33" i="9"/>
  <c r="KE99" i="9"/>
  <c r="KB99" i="9"/>
  <c r="JY99" i="9"/>
  <c r="JZ99" i="9"/>
  <c r="AZ99" i="10"/>
  <c r="BD99" i="10"/>
  <c r="BC99" i="10"/>
  <c r="AX99" i="10"/>
  <c r="BF33" i="10"/>
  <c r="BA99" i="10"/>
  <c r="AP92" i="10"/>
  <c r="AQ92" i="10"/>
  <c r="AR92" i="10"/>
  <c r="AS92" i="10"/>
  <c r="AT92" i="10"/>
  <c r="AU92" i="10"/>
  <c r="AO92" i="10"/>
  <c r="BB99" i="10"/>
  <c r="AN99" i="10"/>
  <c r="AW33" i="10"/>
  <c r="AX8" i="10"/>
  <c r="AY8" i="10"/>
  <c r="AZ8" i="10"/>
  <c r="BA8" i="10"/>
  <c r="BD8" i="10"/>
  <c r="BB8" i="10"/>
  <c r="BC8" i="10"/>
  <c r="AI92" i="10"/>
  <c r="AJ92" i="10"/>
  <c r="AK92" i="10"/>
  <c r="AL92" i="10"/>
  <c r="AF92" i="10"/>
  <c r="AG92" i="10"/>
  <c r="AH92" i="10"/>
  <c r="BG99" i="10"/>
  <c r="BM99" i="10"/>
  <c r="BH99" i="10"/>
  <c r="BL99" i="10"/>
  <c r="AY99" i="10"/>
  <c r="BK99" i="10"/>
  <c r="BI99" i="10"/>
  <c r="BJ99" i="10"/>
  <c r="AE99" i="10"/>
  <c r="AW92" i="9"/>
  <c r="AX92" i="9"/>
  <c r="AY92" i="9"/>
  <c r="AZ92" i="9"/>
  <c r="BA92" i="9"/>
  <c r="BB92" i="9"/>
  <c r="BC92" i="9"/>
  <c r="AV99" i="9"/>
  <c r="KA92" i="9"/>
  <c r="KC92" i="9"/>
  <c r="CX99" i="9"/>
  <c r="DB92" i="9"/>
  <c r="DE92" i="9"/>
  <c r="CY92" i="9"/>
  <c r="CZ92" i="9"/>
  <c r="DA92" i="9"/>
  <c r="DC92" i="9"/>
  <c r="DD92" i="9"/>
  <c r="BR92" i="8"/>
  <c r="DU92" i="8" s="1"/>
  <c r="CF99" i="9"/>
  <c r="HM99" i="9" s="1"/>
  <c r="CO99" i="9"/>
  <c r="CM92" i="9"/>
  <c r="HT92" i="9" s="1"/>
  <c r="CV92" i="9"/>
  <c r="CJ92" i="9"/>
  <c r="HQ92" i="9" s="1"/>
  <c r="CK92" i="9"/>
  <c r="HR92" i="9" s="1"/>
  <c r="CL92" i="9"/>
  <c r="HS92" i="9" s="1"/>
  <c r="CG92" i="9"/>
  <c r="HN92" i="9" s="1"/>
  <c r="CH92" i="9"/>
  <c r="HO92" i="9" s="1"/>
  <c r="CI92" i="9"/>
  <c r="HP92" i="9" s="1"/>
  <c r="CP92" i="9"/>
  <c r="CQ92" i="9"/>
  <c r="CR92" i="9"/>
  <c r="CS92" i="9"/>
  <c r="CT92" i="9"/>
  <c r="CU92" i="9"/>
  <c r="BR82" i="8" a="1"/>
  <c r="AL92" i="12" l="1"/>
  <c r="AU92" i="12" s="1"/>
  <c r="DV92" i="8"/>
  <c r="KD92" i="9"/>
  <c r="JZ92" i="9"/>
  <c r="JY92" i="9"/>
  <c r="JX99" i="9"/>
  <c r="KE92" i="9"/>
  <c r="KB92" i="9"/>
  <c r="BJ92" i="10"/>
  <c r="AY92" i="10"/>
  <c r="BM92" i="10"/>
  <c r="BF99" i="10"/>
  <c r="BC92" i="10"/>
  <c r="AP82" i="10"/>
  <c r="AQ82" i="10"/>
  <c r="AR82" i="10"/>
  <c r="AS82" i="10"/>
  <c r="AT82" i="10"/>
  <c r="AU82" i="10"/>
  <c r="AO82" i="10"/>
  <c r="AX92" i="10"/>
  <c r="BA92" i="10"/>
  <c r="AN92" i="10"/>
  <c r="BH92" i="10"/>
  <c r="BI92" i="10"/>
  <c r="BL92" i="10"/>
  <c r="BK92" i="10"/>
  <c r="BB92" i="10"/>
  <c r="AW8" i="10"/>
  <c r="AE92" i="10"/>
  <c r="AI82" i="10"/>
  <c r="AJ82" i="10"/>
  <c r="AK82" i="10"/>
  <c r="AL82" i="10"/>
  <c r="AF82" i="10"/>
  <c r="AG82" i="10"/>
  <c r="AH82" i="10"/>
  <c r="AW99" i="10"/>
  <c r="BD92" i="10"/>
  <c r="AZ92" i="10"/>
  <c r="BG92" i="10"/>
  <c r="AW82" i="9"/>
  <c r="AX82" i="9"/>
  <c r="AY82" i="9"/>
  <c r="AZ82" i="9"/>
  <c r="BA82" i="9"/>
  <c r="BB82" i="9"/>
  <c r="BC82" i="9"/>
  <c r="AV92" i="9"/>
  <c r="CX92" i="9"/>
  <c r="KC82" i="9"/>
  <c r="KA82" i="9"/>
  <c r="DB82" i="9"/>
  <c r="DE82" i="9"/>
  <c r="CY82" i="9"/>
  <c r="CZ82" i="9"/>
  <c r="DA82" i="9"/>
  <c r="DC82" i="9"/>
  <c r="DD82" i="9"/>
  <c r="BR82" i="8"/>
  <c r="DU82" i="8" s="1"/>
  <c r="CF92" i="9"/>
  <c r="HM92" i="9" s="1"/>
  <c r="CO92" i="9"/>
  <c r="CV82" i="9"/>
  <c r="CM82" i="9"/>
  <c r="HT82" i="9" s="1"/>
  <c r="CH82" i="9"/>
  <c r="HO82" i="9" s="1"/>
  <c r="CI82" i="9"/>
  <c r="HP82" i="9" s="1"/>
  <c r="CJ82" i="9"/>
  <c r="HQ82" i="9" s="1"/>
  <c r="CK82" i="9"/>
  <c r="HR82" i="9" s="1"/>
  <c r="CL82" i="9"/>
  <c r="HS82" i="9" s="1"/>
  <c r="CG82" i="9"/>
  <c r="HN82" i="9" s="1"/>
  <c r="CU82" i="9"/>
  <c r="CP82" i="9"/>
  <c r="CQ82" i="9"/>
  <c r="CR82" i="9"/>
  <c r="CS82" i="9"/>
  <c r="CT82" i="9"/>
  <c r="BR31" i="8" a="1"/>
  <c r="AL82" i="12" l="1"/>
  <c r="DV82" i="8"/>
  <c r="JX92" i="9"/>
  <c r="KB82" i="9"/>
  <c r="KE82" i="9"/>
  <c r="JZ82" i="9"/>
  <c r="KD82" i="9"/>
  <c r="JY82" i="9"/>
  <c r="AZ82" i="10"/>
  <c r="BB82" i="10"/>
  <c r="BJ82" i="10"/>
  <c r="BC82" i="10"/>
  <c r="BH82" i="10"/>
  <c r="BD82" i="10"/>
  <c r="AR31" i="10"/>
  <c r="AS31" i="10"/>
  <c r="AU31" i="10"/>
  <c r="AO31" i="10"/>
  <c r="AP31" i="10"/>
  <c r="AQ31" i="10"/>
  <c r="AT31" i="10"/>
  <c r="AN82" i="10"/>
  <c r="BI82" i="10"/>
  <c r="BG82" i="10"/>
  <c r="AW92" i="10"/>
  <c r="BM82" i="10"/>
  <c r="BF92" i="10"/>
  <c r="AY82" i="10"/>
  <c r="BL82" i="10"/>
  <c r="BK82" i="10"/>
  <c r="AG31" i="10"/>
  <c r="AH31" i="10"/>
  <c r="AI31" i="10"/>
  <c r="AJ31" i="10"/>
  <c r="AK31" i="10"/>
  <c r="AL31" i="10"/>
  <c r="AF31" i="10"/>
  <c r="AX82" i="10"/>
  <c r="BA82" i="10"/>
  <c r="AE82" i="10"/>
  <c r="AW31" i="9"/>
  <c r="AX31" i="9"/>
  <c r="AY31" i="9"/>
  <c r="AZ31" i="9"/>
  <c r="BA31" i="9"/>
  <c r="BB31" i="9"/>
  <c r="BC31" i="9"/>
  <c r="AV82" i="9"/>
  <c r="AU82" i="12"/>
  <c r="CX82" i="9"/>
  <c r="KC31" i="9"/>
  <c r="KA31" i="9"/>
  <c r="DB31" i="9"/>
  <c r="DE31" i="9"/>
  <c r="CY31" i="9"/>
  <c r="CZ31" i="9"/>
  <c r="DA31" i="9"/>
  <c r="DC31" i="9"/>
  <c r="DD31" i="9"/>
  <c r="BR31" i="8"/>
  <c r="DU31" i="8" s="1"/>
  <c r="CF82" i="9"/>
  <c r="HM82" i="9" s="1"/>
  <c r="CO82" i="9"/>
  <c r="CV31" i="9"/>
  <c r="CM31" i="9"/>
  <c r="HT31" i="9" s="1"/>
  <c r="CG31" i="9"/>
  <c r="HN31" i="9" s="1"/>
  <c r="CP31" i="9"/>
  <c r="CH31" i="9"/>
  <c r="HO31" i="9" s="1"/>
  <c r="CQ31" i="9"/>
  <c r="CI31" i="9"/>
  <c r="HP31" i="9" s="1"/>
  <c r="CR31" i="9"/>
  <c r="CJ31" i="9"/>
  <c r="HQ31" i="9" s="1"/>
  <c r="CS31" i="9"/>
  <c r="CK31" i="9"/>
  <c r="HR31" i="9" s="1"/>
  <c r="CT31" i="9"/>
  <c r="CL31" i="9"/>
  <c r="HS31" i="9" s="1"/>
  <c r="CU31" i="9"/>
  <c r="BR98" i="8" a="1"/>
  <c r="AL31" i="12" l="1"/>
  <c r="DV31" i="8"/>
  <c r="JX82" i="9"/>
  <c r="KD31" i="9"/>
  <c r="KB31" i="9"/>
  <c r="KE31" i="9"/>
  <c r="JZ31" i="9"/>
  <c r="JY31" i="9"/>
  <c r="BF82" i="10"/>
  <c r="BC31" i="10"/>
  <c r="AX31" i="10"/>
  <c r="BJ31" i="10"/>
  <c r="BD31" i="10"/>
  <c r="BB31" i="10"/>
  <c r="AZ31" i="10"/>
  <c r="AY31" i="10"/>
  <c r="AP98" i="10"/>
  <c r="AQ98" i="10"/>
  <c r="AR98" i="10"/>
  <c r="AS98" i="10"/>
  <c r="AT98" i="10"/>
  <c r="AU98" i="10"/>
  <c r="AO98" i="10"/>
  <c r="AN31" i="10"/>
  <c r="AE31" i="10"/>
  <c r="BH31" i="10"/>
  <c r="BI31" i="10"/>
  <c r="BG31" i="10"/>
  <c r="BM31" i="10"/>
  <c r="BL31" i="10"/>
  <c r="AX14" i="10"/>
  <c r="AY14" i="10"/>
  <c r="AZ14" i="10"/>
  <c r="BA14" i="10"/>
  <c r="BD14" i="10"/>
  <c r="BB14" i="10"/>
  <c r="BC14" i="10"/>
  <c r="AI98" i="10"/>
  <c r="AJ98" i="10"/>
  <c r="AK98" i="10"/>
  <c r="AL98" i="10"/>
  <c r="AF98" i="10"/>
  <c r="AG98" i="10"/>
  <c r="AH98" i="10"/>
  <c r="AW82" i="10"/>
  <c r="BA31" i="10"/>
  <c r="BK31" i="10"/>
  <c r="AV31" i="9"/>
  <c r="AU31" i="12"/>
  <c r="CX31" i="9"/>
  <c r="BR98" i="8"/>
  <c r="DU98" i="8" s="1"/>
  <c r="CF31" i="9"/>
  <c r="HM31" i="9" s="1"/>
  <c r="CO31" i="9"/>
  <c r="BR91" i="8" a="1"/>
  <c r="AL98" i="12" l="1"/>
  <c r="AU98" i="12" s="1"/>
  <c r="DV98" i="8"/>
  <c r="JX31" i="9"/>
  <c r="BD98" i="10"/>
  <c r="AX98" i="10"/>
  <c r="BA98" i="10"/>
  <c r="BH98" i="10"/>
  <c r="BB98" i="10"/>
  <c r="AW31" i="10"/>
  <c r="AN98" i="10"/>
  <c r="AZ98" i="10"/>
  <c r="BC98" i="10"/>
  <c r="AP91" i="10"/>
  <c r="AQ91" i="10"/>
  <c r="AR91" i="10"/>
  <c r="AS91" i="10"/>
  <c r="AT91" i="10"/>
  <c r="AU91" i="10"/>
  <c r="AO91" i="10"/>
  <c r="BI98" i="10"/>
  <c r="BG98" i="10"/>
  <c r="BM98" i="10"/>
  <c r="BL98" i="10"/>
  <c r="AX7" i="10"/>
  <c r="AY7" i="10"/>
  <c r="AZ7" i="10"/>
  <c r="BA7" i="10"/>
  <c r="BB7" i="10"/>
  <c r="BC7" i="10"/>
  <c r="BD7" i="10"/>
  <c r="AI91" i="10"/>
  <c r="AJ91" i="10"/>
  <c r="AK91" i="10"/>
  <c r="AL91" i="10"/>
  <c r="AF91" i="10"/>
  <c r="AG91" i="10"/>
  <c r="AH91" i="10"/>
  <c r="AY98" i="10"/>
  <c r="BK98" i="10"/>
  <c r="BJ98" i="10"/>
  <c r="AW14" i="10"/>
  <c r="AE98" i="10"/>
  <c r="BF31" i="10"/>
  <c r="AW91" i="9"/>
  <c r="AX91" i="9"/>
  <c r="AY91" i="9"/>
  <c r="AZ91" i="9"/>
  <c r="BA91" i="9"/>
  <c r="BB91" i="9"/>
  <c r="BC91" i="9"/>
  <c r="KC91" i="9"/>
  <c r="KA91" i="9"/>
  <c r="DB91" i="9"/>
  <c r="DE91" i="9"/>
  <c r="CY91" i="9"/>
  <c r="CZ91" i="9"/>
  <c r="DA91" i="9"/>
  <c r="DC91" i="9"/>
  <c r="DD91" i="9"/>
  <c r="BR91" i="8"/>
  <c r="DU91" i="8" s="1"/>
  <c r="CM91" i="9"/>
  <c r="HT91" i="9" s="1"/>
  <c r="CV91" i="9"/>
  <c r="CI91" i="9"/>
  <c r="HP91" i="9" s="1"/>
  <c r="CJ91" i="9"/>
  <c r="HQ91" i="9" s="1"/>
  <c r="CK91" i="9"/>
  <c r="HR91" i="9" s="1"/>
  <c r="CL91" i="9"/>
  <c r="HS91" i="9" s="1"/>
  <c r="CG91" i="9"/>
  <c r="HN91" i="9" s="1"/>
  <c r="CH91" i="9"/>
  <c r="HO91" i="9" s="1"/>
  <c r="CP91" i="9"/>
  <c r="CQ91" i="9"/>
  <c r="CR91" i="9"/>
  <c r="CS91" i="9"/>
  <c r="CT91" i="9"/>
  <c r="CU91" i="9"/>
  <c r="BR81" i="8" a="1"/>
  <c r="AL91" i="12" l="1"/>
  <c r="DV91" i="8"/>
  <c r="KD91" i="9"/>
  <c r="JZ91" i="9"/>
  <c r="JY91" i="9"/>
  <c r="KB91" i="9"/>
  <c r="KE91" i="9"/>
  <c r="BK91" i="10"/>
  <c r="AX91" i="10"/>
  <c r="BM91" i="10"/>
  <c r="AY91" i="10"/>
  <c r="BB91" i="10"/>
  <c r="AN91" i="10"/>
  <c r="AZ91" i="10"/>
  <c r="BC91" i="10"/>
  <c r="AP81" i="10"/>
  <c r="AQ81" i="10"/>
  <c r="AR81" i="10"/>
  <c r="AS81" i="10"/>
  <c r="AT81" i="10"/>
  <c r="AU81" i="10"/>
  <c r="AO81" i="10"/>
  <c r="AW98" i="10"/>
  <c r="BH91" i="10"/>
  <c r="BL91" i="10"/>
  <c r="BI91" i="10"/>
  <c r="BJ91" i="10"/>
  <c r="AW7" i="10"/>
  <c r="AE91" i="10"/>
  <c r="AI81" i="10"/>
  <c r="AJ81" i="10"/>
  <c r="AK81" i="10"/>
  <c r="AL81" i="10"/>
  <c r="AF81" i="10"/>
  <c r="AG81" i="10"/>
  <c r="AH81" i="10"/>
  <c r="BA91" i="10"/>
  <c r="BD91" i="10"/>
  <c r="BF98" i="10"/>
  <c r="BG91" i="10"/>
  <c r="AV91" i="9"/>
  <c r="AW81" i="9"/>
  <c r="AX81" i="9"/>
  <c r="AY81" i="9"/>
  <c r="AZ81" i="9"/>
  <c r="BA81" i="9"/>
  <c r="BB81" i="9"/>
  <c r="BC81" i="9"/>
  <c r="AU91" i="12"/>
  <c r="KC81" i="9"/>
  <c r="KA81" i="9"/>
  <c r="CX91" i="9"/>
  <c r="DB81" i="9"/>
  <c r="DE81" i="9"/>
  <c r="CY81" i="9"/>
  <c r="CZ81" i="9"/>
  <c r="DA81" i="9"/>
  <c r="DD81" i="9"/>
  <c r="DC81" i="9"/>
  <c r="BR81" i="8"/>
  <c r="DU81" i="8" s="1"/>
  <c r="CV81" i="9"/>
  <c r="CM81" i="9"/>
  <c r="HT81" i="9" s="1"/>
  <c r="CG81" i="9"/>
  <c r="HN81" i="9" s="1"/>
  <c r="CH81" i="9"/>
  <c r="HO81" i="9" s="1"/>
  <c r="CI81" i="9"/>
  <c r="HP81" i="9" s="1"/>
  <c r="CJ81" i="9"/>
  <c r="HQ81" i="9" s="1"/>
  <c r="CK81" i="9"/>
  <c r="HR81" i="9" s="1"/>
  <c r="CL81" i="9"/>
  <c r="HS81" i="9" s="1"/>
  <c r="CT81" i="9"/>
  <c r="CU81" i="9"/>
  <c r="CP81" i="9"/>
  <c r="CQ81" i="9"/>
  <c r="CR81" i="9"/>
  <c r="CS81" i="9"/>
  <c r="CF91" i="9"/>
  <c r="HM91" i="9" s="1"/>
  <c r="CO91" i="9"/>
  <c r="BR96" i="8" a="1"/>
  <c r="BR94" i="8" a="1"/>
  <c r="BR93" i="8" a="1"/>
  <c r="BR88" i="8" a="1"/>
  <c r="BR87" i="8" a="1"/>
  <c r="BR80" i="8" a="1"/>
  <c r="BR79" i="8" a="1"/>
  <c r="BR78" i="8" a="1"/>
  <c r="BR73" i="8" a="1"/>
  <c r="BR72" i="8" a="1"/>
  <c r="BR71" i="8" a="1"/>
  <c r="BR70" i="8" a="1"/>
  <c r="BR69" i="8" a="1"/>
  <c r="BR68" i="8" a="1"/>
  <c r="BR65" i="8" a="1"/>
  <c r="BR64" i="8" a="1"/>
  <c r="BR63" i="8" a="1"/>
  <c r="BR62" i="8" a="1"/>
  <c r="BR61" i="8" a="1"/>
  <c r="BR60" i="8" a="1"/>
  <c r="BR56" i="8" a="1"/>
  <c r="BR54" i="8" a="1"/>
  <c r="BR51" i="8" a="1"/>
  <c r="BR50" i="8" a="1"/>
  <c r="BR49" i="8" a="1"/>
  <c r="BR46" i="8" a="1"/>
  <c r="BR45" i="8" a="1"/>
  <c r="BR44" i="8" a="1"/>
  <c r="BR43" i="8" a="1"/>
  <c r="BR42" i="8" a="1"/>
  <c r="BR40" i="8" a="1"/>
  <c r="BR29" i="8" a="1"/>
  <c r="BR28" i="8" a="1"/>
  <c r="BR26" i="8" a="1"/>
  <c r="BR24" i="8" a="1"/>
  <c r="BR15" i="8" a="1"/>
  <c r="BR13" i="8" a="1"/>
  <c r="BR6" i="8" a="1"/>
  <c r="AL81" i="12" l="1"/>
  <c r="DV81" i="8"/>
  <c r="JY81" i="9"/>
  <c r="KD81" i="9"/>
  <c r="JZ81" i="9"/>
  <c r="JX91" i="9"/>
  <c r="KE81" i="9"/>
  <c r="KB81" i="9"/>
  <c r="AY81" i="10"/>
  <c r="BF91" i="10"/>
  <c r="BC81" i="10"/>
  <c r="BG81" i="10"/>
  <c r="BB81" i="10"/>
  <c r="AN81" i="10"/>
  <c r="AZ81" i="10"/>
  <c r="BM81" i="10"/>
  <c r="BK81" i="10"/>
  <c r="AX81" i="10"/>
  <c r="BA81" i="10"/>
  <c r="AE81" i="10"/>
  <c r="BJ81" i="10"/>
  <c r="BD81" i="10"/>
  <c r="BI81" i="10"/>
  <c r="BL81" i="10"/>
  <c r="BH81" i="10"/>
  <c r="AW91" i="10"/>
  <c r="AW44" i="9"/>
  <c r="AX44" i="9"/>
  <c r="AY44" i="9"/>
  <c r="AZ44" i="9"/>
  <c r="BA44" i="9"/>
  <c r="BB44" i="9"/>
  <c r="BC44" i="9"/>
  <c r="AW96" i="9"/>
  <c r="AX96" i="9"/>
  <c r="AY96" i="9"/>
  <c r="AZ96" i="9"/>
  <c r="BA96" i="9"/>
  <c r="BB96" i="9"/>
  <c r="BC96" i="9"/>
  <c r="AW24" i="9"/>
  <c r="AX24" i="9"/>
  <c r="AY24" i="9"/>
  <c r="AZ24" i="9"/>
  <c r="BA24" i="9"/>
  <c r="BB24" i="9"/>
  <c r="BC24" i="9"/>
  <c r="AW45" i="9"/>
  <c r="AX45" i="9"/>
  <c r="AY45" i="9"/>
  <c r="AZ45" i="9"/>
  <c r="BA45" i="9"/>
  <c r="BB45" i="9"/>
  <c r="BC45" i="9"/>
  <c r="AW61" i="9"/>
  <c r="AX61" i="9"/>
  <c r="AY61" i="9"/>
  <c r="AZ61" i="9"/>
  <c r="BA61" i="9"/>
  <c r="BB61" i="9"/>
  <c r="BC61" i="9"/>
  <c r="AW71" i="9"/>
  <c r="AX71" i="9"/>
  <c r="AY71" i="9"/>
  <c r="AZ71" i="9"/>
  <c r="BA71" i="9"/>
  <c r="BB71" i="9"/>
  <c r="BC71" i="9"/>
  <c r="AW60" i="9"/>
  <c r="AX60" i="9"/>
  <c r="AY60" i="9"/>
  <c r="AZ60" i="9"/>
  <c r="BA60" i="9"/>
  <c r="BB60" i="9"/>
  <c r="BC60" i="9"/>
  <c r="AW88" i="9"/>
  <c r="AX88" i="9"/>
  <c r="AY88" i="9"/>
  <c r="AZ88" i="9"/>
  <c r="BA88" i="9"/>
  <c r="BB88" i="9"/>
  <c r="BC88" i="9"/>
  <c r="AW26" i="9"/>
  <c r="AX26" i="9"/>
  <c r="AY26" i="9"/>
  <c r="AZ26" i="9"/>
  <c r="BA26" i="9"/>
  <c r="BB26" i="9"/>
  <c r="BC26" i="9"/>
  <c r="AW46" i="9"/>
  <c r="AX46" i="9"/>
  <c r="AY46" i="9"/>
  <c r="AZ46" i="9"/>
  <c r="BA46" i="9"/>
  <c r="BB46" i="9"/>
  <c r="BC46" i="9"/>
  <c r="AW62" i="9"/>
  <c r="AX62" i="9"/>
  <c r="AY62" i="9"/>
  <c r="AZ62" i="9"/>
  <c r="BA62" i="9"/>
  <c r="BB62" i="9"/>
  <c r="BC62" i="9"/>
  <c r="AW72" i="9"/>
  <c r="AX72" i="9"/>
  <c r="AY72" i="9"/>
  <c r="AZ72" i="9"/>
  <c r="BA72" i="9"/>
  <c r="BB72" i="9"/>
  <c r="BC72" i="9"/>
  <c r="AW94" i="9"/>
  <c r="AX94" i="9"/>
  <c r="AY94" i="9"/>
  <c r="AZ94" i="9"/>
  <c r="BA94" i="9"/>
  <c r="BB94" i="9"/>
  <c r="BC94" i="9"/>
  <c r="AW87" i="9"/>
  <c r="AX87" i="9"/>
  <c r="AY87" i="9"/>
  <c r="AZ87" i="9"/>
  <c r="BA87" i="9"/>
  <c r="BB87" i="9"/>
  <c r="BC87" i="9"/>
  <c r="AW28" i="9"/>
  <c r="AX28" i="9"/>
  <c r="AY28" i="9"/>
  <c r="AZ28" i="9"/>
  <c r="BA28" i="9"/>
  <c r="BB28" i="9"/>
  <c r="BC28" i="9"/>
  <c r="AW49" i="9"/>
  <c r="AX49" i="9"/>
  <c r="AY49" i="9"/>
  <c r="AZ49" i="9"/>
  <c r="BA49" i="9"/>
  <c r="BB49" i="9"/>
  <c r="BC49" i="9"/>
  <c r="AW63" i="9"/>
  <c r="AX63" i="9"/>
  <c r="AY63" i="9"/>
  <c r="AZ63" i="9"/>
  <c r="BA63" i="9"/>
  <c r="BB63" i="9"/>
  <c r="BC63" i="9"/>
  <c r="AW73" i="9"/>
  <c r="AX73" i="9"/>
  <c r="AY73" i="9"/>
  <c r="AZ73" i="9"/>
  <c r="BA73" i="9"/>
  <c r="BB73" i="9"/>
  <c r="BC73" i="9"/>
  <c r="AW80" i="9"/>
  <c r="AX80" i="9"/>
  <c r="AY80" i="9"/>
  <c r="AZ80" i="9"/>
  <c r="BA80" i="9"/>
  <c r="BB80" i="9"/>
  <c r="BC80" i="9"/>
  <c r="AW29" i="9"/>
  <c r="AX29" i="9"/>
  <c r="AY29" i="9"/>
  <c r="AZ29" i="9"/>
  <c r="BA29" i="9"/>
  <c r="BB29" i="9"/>
  <c r="BC29" i="9"/>
  <c r="AW50" i="9"/>
  <c r="AX50" i="9"/>
  <c r="AY50" i="9"/>
  <c r="AZ50" i="9"/>
  <c r="BA50" i="9"/>
  <c r="BB50" i="9"/>
  <c r="BC50" i="9"/>
  <c r="AW64" i="9"/>
  <c r="AX64" i="9"/>
  <c r="AY64" i="9"/>
  <c r="AZ64" i="9"/>
  <c r="BA64" i="9"/>
  <c r="BB64" i="9"/>
  <c r="BC64" i="9"/>
  <c r="AW78" i="9"/>
  <c r="AX78" i="9"/>
  <c r="AY78" i="9"/>
  <c r="AZ78" i="9"/>
  <c r="BA78" i="9"/>
  <c r="BB78" i="9"/>
  <c r="BC78" i="9"/>
  <c r="AW70" i="9"/>
  <c r="AX70" i="9"/>
  <c r="AY70" i="9"/>
  <c r="AZ70" i="9"/>
  <c r="BA70" i="9"/>
  <c r="BB70" i="9"/>
  <c r="BC70" i="9"/>
  <c r="AW40" i="9"/>
  <c r="AX40" i="9"/>
  <c r="AY40" i="9"/>
  <c r="AZ40" i="9"/>
  <c r="BA40" i="9"/>
  <c r="BB40" i="9"/>
  <c r="BC40" i="9"/>
  <c r="AW51" i="9"/>
  <c r="AX51" i="9"/>
  <c r="AY51" i="9"/>
  <c r="AZ51" i="9"/>
  <c r="BA51" i="9"/>
  <c r="BB51" i="9"/>
  <c r="BC51" i="9"/>
  <c r="AW65" i="9"/>
  <c r="AX65" i="9"/>
  <c r="AY65" i="9"/>
  <c r="AZ65" i="9"/>
  <c r="BA65" i="9"/>
  <c r="BB65" i="9"/>
  <c r="BC65" i="9"/>
  <c r="AW79" i="9"/>
  <c r="AX79" i="9"/>
  <c r="AY79" i="9"/>
  <c r="AZ79" i="9"/>
  <c r="BA79" i="9"/>
  <c r="BB79" i="9"/>
  <c r="BC79" i="9"/>
  <c r="AW42" i="9"/>
  <c r="AX42" i="9"/>
  <c r="AY42" i="9"/>
  <c r="AZ42" i="9"/>
  <c r="BA42" i="9"/>
  <c r="BB42" i="9"/>
  <c r="BC42" i="9"/>
  <c r="AW54" i="9"/>
  <c r="AX54" i="9"/>
  <c r="AY54" i="9"/>
  <c r="AZ54" i="9"/>
  <c r="BA54" i="9"/>
  <c r="BB54" i="9"/>
  <c r="BC54" i="9"/>
  <c r="AW68" i="9"/>
  <c r="AX68" i="9"/>
  <c r="AY68" i="9"/>
  <c r="AZ68" i="9"/>
  <c r="BA68" i="9"/>
  <c r="BB68" i="9"/>
  <c r="BC68" i="9"/>
  <c r="AV81" i="9"/>
  <c r="AW15" i="9"/>
  <c r="AX15" i="9"/>
  <c r="AY15" i="9"/>
  <c r="AZ15" i="9"/>
  <c r="BA15" i="9"/>
  <c r="BB15" i="9"/>
  <c r="BC15" i="9"/>
  <c r="AW93" i="9"/>
  <c r="AX93" i="9"/>
  <c r="AY93" i="9"/>
  <c r="AZ93" i="9"/>
  <c r="BA93" i="9"/>
  <c r="BB93" i="9"/>
  <c r="BC93" i="9"/>
  <c r="AW13" i="9"/>
  <c r="AX13" i="9"/>
  <c r="AY13" i="9"/>
  <c r="AZ13" i="9"/>
  <c r="BA13" i="9"/>
  <c r="BB13" i="9"/>
  <c r="BC13" i="9"/>
  <c r="AW43" i="9"/>
  <c r="AX43" i="9"/>
  <c r="AY43" i="9"/>
  <c r="AZ43" i="9"/>
  <c r="BA43" i="9"/>
  <c r="BB43" i="9"/>
  <c r="BC43" i="9"/>
  <c r="AW56" i="9"/>
  <c r="AX56" i="9"/>
  <c r="AY56" i="9"/>
  <c r="AZ56" i="9"/>
  <c r="BA56" i="9"/>
  <c r="BB56" i="9"/>
  <c r="BC56" i="9"/>
  <c r="AW69" i="9"/>
  <c r="AX69" i="9"/>
  <c r="AY69" i="9"/>
  <c r="AZ69" i="9"/>
  <c r="BA69" i="9"/>
  <c r="BB69" i="9"/>
  <c r="BC69" i="9"/>
  <c r="AU81" i="12"/>
  <c r="KC93" i="9"/>
  <c r="KA93" i="9"/>
  <c r="KC13" i="9"/>
  <c r="KA13" i="9"/>
  <c r="KC43" i="9"/>
  <c r="KA43" i="9"/>
  <c r="KC53" i="9"/>
  <c r="KA53" i="9"/>
  <c r="KC64" i="9"/>
  <c r="KA64" i="9"/>
  <c r="KC78" i="9"/>
  <c r="KA78" i="9"/>
  <c r="KA94" i="9"/>
  <c r="KC94" i="9"/>
  <c r="KA15" i="9"/>
  <c r="KC15" i="9"/>
  <c r="KC44" i="9"/>
  <c r="KA44" i="9"/>
  <c r="KA54" i="9"/>
  <c r="KC54" i="9"/>
  <c r="KA65" i="9"/>
  <c r="KC65" i="9"/>
  <c r="KC79" i="9"/>
  <c r="KA79" i="9"/>
  <c r="KA80" i="9"/>
  <c r="KC80" i="9"/>
  <c r="KA96" i="9"/>
  <c r="KC96" i="9"/>
  <c r="KC24" i="9"/>
  <c r="KA24" i="9"/>
  <c r="KC45" i="9"/>
  <c r="KA45" i="9"/>
  <c r="KC55" i="9"/>
  <c r="KA55" i="9"/>
  <c r="KC68" i="9"/>
  <c r="KA68" i="9"/>
  <c r="CX81" i="9"/>
  <c r="KC88" i="9"/>
  <c r="KA88" i="9"/>
  <c r="KA26" i="9"/>
  <c r="KC26" i="9"/>
  <c r="KA46" i="9"/>
  <c r="KC46" i="9"/>
  <c r="KA56" i="9"/>
  <c r="KC56" i="9"/>
  <c r="KC69" i="9"/>
  <c r="KA69" i="9"/>
  <c r="KC28" i="9"/>
  <c r="KA28" i="9"/>
  <c r="KC49" i="9"/>
  <c r="KA49" i="9"/>
  <c r="KC60" i="9"/>
  <c r="KA60" i="9"/>
  <c r="KA70" i="9"/>
  <c r="KC70" i="9"/>
  <c r="KC29" i="9"/>
  <c r="KA29" i="9"/>
  <c r="KC61" i="9"/>
  <c r="KA61" i="9"/>
  <c r="KC71" i="9"/>
  <c r="KA71" i="9"/>
  <c r="KA87" i="9"/>
  <c r="KC87" i="9"/>
  <c r="KC50" i="9"/>
  <c r="KA50" i="9"/>
  <c r="KC3" i="9"/>
  <c r="KA3" i="9"/>
  <c r="KC40" i="9"/>
  <c r="KA40" i="9"/>
  <c r="KA51" i="9"/>
  <c r="KC51" i="9"/>
  <c r="KA62" i="9"/>
  <c r="KC62" i="9"/>
  <c r="KC72" i="9"/>
  <c r="KA72" i="9"/>
  <c r="KA6" i="9"/>
  <c r="KC6" i="9"/>
  <c r="KA42" i="9"/>
  <c r="KC42" i="9"/>
  <c r="KC52" i="9"/>
  <c r="KA52" i="9"/>
  <c r="KC63" i="9"/>
  <c r="KA63" i="9"/>
  <c r="KC73" i="9"/>
  <c r="KA73" i="9"/>
  <c r="DB44" i="9"/>
  <c r="DE44" i="9"/>
  <c r="CY44" i="9"/>
  <c r="CZ44" i="9"/>
  <c r="DA44" i="9"/>
  <c r="DC44" i="9"/>
  <c r="DD44" i="9"/>
  <c r="DB42" i="9"/>
  <c r="DE42" i="9"/>
  <c r="CY42" i="9"/>
  <c r="CZ42" i="9"/>
  <c r="DA42" i="9"/>
  <c r="DC42" i="9"/>
  <c r="DD42" i="9"/>
  <c r="DB52" i="9"/>
  <c r="DE52" i="9"/>
  <c r="CY52" i="9"/>
  <c r="CZ52" i="9"/>
  <c r="DA52" i="9"/>
  <c r="DC52" i="9"/>
  <c r="DD52" i="9"/>
  <c r="DB63" i="9"/>
  <c r="DE63" i="9"/>
  <c r="CY63" i="9"/>
  <c r="CZ63" i="9"/>
  <c r="DA63" i="9"/>
  <c r="DC63" i="9"/>
  <c r="DD63" i="9"/>
  <c r="DB73" i="9"/>
  <c r="DE73" i="9"/>
  <c r="CY73" i="9"/>
  <c r="CZ73" i="9"/>
  <c r="DA73" i="9"/>
  <c r="DC73" i="9"/>
  <c r="DD73" i="9"/>
  <c r="DB79" i="9"/>
  <c r="DE79" i="9"/>
  <c r="CY79" i="9"/>
  <c r="CZ79" i="9"/>
  <c r="DA79" i="9"/>
  <c r="DC79" i="9"/>
  <c r="DD79" i="9"/>
  <c r="DB96" i="9"/>
  <c r="DE96" i="9"/>
  <c r="CY96" i="9"/>
  <c r="CZ96" i="9"/>
  <c r="DA96" i="9"/>
  <c r="DC96" i="9"/>
  <c r="DD96" i="9"/>
  <c r="DB93" i="9"/>
  <c r="DE93" i="9"/>
  <c r="CY93" i="9"/>
  <c r="CZ93" i="9"/>
  <c r="DA93" i="9"/>
  <c r="DC93" i="9"/>
  <c r="DD93" i="9"/>
  <c r="DB13" i="9"/>
  <c r="DE13" i="9"/>
  <c r="CY13" i="9"/>
  <c r="CZ13" i="9"/>
  <c r="DA13" i="9"/>
  <c r="DC13" i="9"/>
  <c r="DD13" i="9"/>
  <c r="DB43" i="9"/>
  <c r="DE43" i="9"/>
  <c r="CY43" i="9"/>
  <c r="CZ43" i="9"/>
  <c r="DA43" i="9"/>
  <c r="DD43" i="9"/>
  <c r="DC43" i="9"/>
  <c r="DB53" i="9"/>
  <c r="DE53" i="9"/>
  <c r="CY53" i="9"/>
  <c r="CZ53" i="9"/>
  <c r="DA53" i="9"/>
  <c r="DC53" i="9"/>
  <c r="DD53" i="9"/>
  <c r="DB64" i="9"/>
  <c r="DE64" i="9"/>
  <c r="CY64" i="9"/>
  <c r="CZ64" i="9"/>
  <c r="DA64" i="9"/>
  <c r="DD64" i="9"/>
  <c r="DC64" i="9"/>
  <c r="DB78" i="9"/>
  <c r="DE78" i="9"/>
  <c r="CY78" i="9"/>
  <c r="CZ78" i="9"/>
  <c r="DA78" i="9"/>
  <c r="DC78" i="9"/>
  <c r="DD78" i="9"/>
  <c r="DB94" i="9"/>
  <c r="DE94" i="9"/>
  <c r="CY94" i="9"/>
  <c r="CZ94" i="9"/>
  <c r="DA94" i="9"/>
  <c r="DC94" i="9"/>
  <c r="DD94" i="9"/>
  <c r="DB55" i="9"/>
  <c r="DE55" i="9"/>
  <c r="CY55" i="9"/>
  <c r="CZ55" i="9"/>
  <c r="DA55" i="9"/>
  <c r="DC55" i="9"/>
  <c r="DD55" i="9"/>
  <c r="DB88" i="9"/>
  <c r="DE88" i="9"/>
  <c r="CY88" i="9"/>
  <c r="CZ88" i="9"/>
  <c r="DA88" i="9"/>
  <c r="DC88" i="9"/>
  <c r="DD88" i="9"/>
  <c r="DB26" i="9"/>
  <c r="DE26" i="9"/>
  <c r="CY26" i="9"/>
  <c r="CZ26" i="9"/>
  <c r="DA26" i="9"/>
  <c r="DC26" i="9"/>
  <c r="DD26" i="9"/>
  <c r="DB46" i="9"/>
  <c r="DE46" i="9"/>
  <c r="CY46" i="9"/>
  <c r="CZ46" i="9"/>
  <c r="DA46" i="9"/>
  <c r="DD46" i="9"/>
  <c r="DC46" i="9"/>
  <c r="DB56" i="9"/>
  <c r="DE56" i="9"/>
  <c r="CY56" i="9"/>
  <c r="CZ56" i="9"/>
  <c r="DA56" i="9"/>
  <c r="DD56" i="9"/>
  <c r="DC56" i="9"/>
  <c r="DB69" i="9"/>
  <c r="DE69" i="9"/>
  <c r="CY69" i="9"/>
  <c r="CZ69" i="9"/>
  <c r="DA69" i="9"/>
  <c r="DC69" i="9"/>
  <c r="DD69" i="9"/>
  <c r="DB54" i="9"/>
  <c r="DE54" i="9"/>
  <c r="CY54" i="9"/>
  <c r="CZ54" i="9"/>
  <c r="DA54" i="9"/>
  <c r="DC54" i="9"/>
  <c r="DD54" i="9"/>
  <c r="DB45" i="9"/>
  <c r="DE45" i="9"/>
  <c r="CY45" i="9"/>
  <c r="CZ45" i="9"/>
  <c r="DA45" i="9"/>
  <c r="DC45" i="9"/>
  <c r="DD45" i="9"/>
  <c r="DB87" i="9"/>
  <c r="DE87" i="9"/>
  <c r="CY87" i="9"/>
  <c r="CZ87" i="9"/>
  <c r="DA87" i="9"/>
  <c r="DD87" i="9"/>
  <c r="DC87" i="9"/>
  <c r="DB28" i="9"/>
  <c r="DE28" i="9"/>
  <c r="CY28" i="9"/>
  <c r="CZ28" i="9"/>
  <c r="DA28" i="9"/>
  <c r="DC28" i="9"/>
  <c r="DD28" i="9"/>
  <c r="DB49" i="9"/>
  <c r="DE49" i="9"/>
  <c r="CY49" i="9"/>
  <c r="CZ49" i="9"/>
  <c r="DA49" i="9"/>
  <c r="DC49" i="9"/>
  <c r="DD49" i="9"/>
  <c r="DB60" i="9"/>
  <c r="DE60" i="9"/>
  <c r="CY60" i="9"/>
  <c r="CZ60" i="9"/>
  <c r="DA60" i="9"/>
  <c r="DC60" i="9"/>
  <c r="DD60" i="9"/>
  <c r="DB70" i="9"/>
  <c r="DE70" i="9"/>
  <c r="CY70" i="9"/>
  <c r="CZ70" i="9"/>
  <c r="DA70" i="9"/>
  <c r="DC70" i="9"/>
  <c r="DD70" i="9"/>
  <c r="DB65" i="9"/>
  <c r="DE65" i="9"/>
  <c r="CY65" i="9"/>
  <c r="CZ65" i="9"/>
  <c r="DA65" i="9"/>
  <c r="DC65" i="9"/>
  <c r="DD65" i="9"/>
  <c r="DB68" i="9"/>
  <c r="DE68" i="9"/>
  <c r="CY68" i="9"/>
  <c r="CZ68" i="9"/>
  <c r="DA68" i="9"/>
  <c r="DD68" i="9"/>
  <c r="DC68" i="9"/>
  <c r="DB80" i="9"/>
  <c r="DE80" i="9"/>
  <c r="CY80" i="9"/>
  <c r="CZ80" i="9"/>
  <c r="DA80" i="9"/>
  <c r="DC80" i="9"/>
  <c r="DD80" i="9"/>
  <c r="DB29" i="9"/>
  <c r="DE29" i="9"/>
  <c r="CY29" i="9"/>
  <c r="CZ29" i="9"/>
  <c r="DA29" i="9"/>
  <c r="DC29" i="9"/>
  <c r="DD29" i="9"/>
  <c r="DB50" i="9"/>
  <c r="DE50" i="9"/>
  <c r="CY50" i="9"/>
  <c r="CZ50" i="9"/>
  <c r="DA50" i="9"/>
  <c r="DC50" i="9"/>
  <c r="DD50" i="9"/>
  <c r="DB61" i="9"/>
  <c r="DE61" i="9"/>
  <c r="CY61" i="9"/>
  <c r="CZ61" i="9"/>
  <c r="DA61" i="9"/>
  <c r="DC61" i="9"/>
  <c r="DD61" i="9"/>
  <c r="DB71" i="9"/>
  <c r="DE71" i="9"/>
  <c r="CY71" i="9"/>
  <c r="CZ71" i="9"/>
  <c r="DA71" i="9"/>
  <c r="DC71" i="9"/>
  <c r="DD71" i="9"/>
  <c r="DB15" i="9"/>
  <c r="DE15" i="9"/>
  <c r="CY15" i="9"/>
  <c r="CZ15" i="9"/>
  <c r="DA15" i="9"/>
  <c r="DC15" i="9"/>
  <c r="DD15" i="9"/>
  <c r="DB24" i="9"/>
  <c r="DE24" i="9"/>
  <c r="CY24" i="9"/>
  <c r="CZ24" i="9"/>
  <c r="DA24" i="9"/>
  <c r="DC24" i="9"/>
  <c r="DD24" i="9"/>
  <c r="DB40" i="9"/>
  <c r="DE40" i="9"/>
  <c r="CY40" i="9"/>
  <c r="CZ40" i="9"/>
  <c r="DA40" i="9"/>
  <c r="DC40" i="9"/>
  <c r="DD40" i="9"/>
  <c r="DB51" i="9"/>
  <c r="DE51" i="9"/>
  <c r="CY51" i="9"/>
  <c r="CZ51" i="9"/>
  <c r="DA51" i="9"/>
  <c r="DC51" i="9"/>
  <c r="DD51" i="9"/>
  <c r="DB62" i="9"/>
  <c r="DE62" i="9"/>
  <c r="CY62" i="9"/>
  <c r="CZ62" i="9"/>
  <c r="DA62" i="9"/>
  <c r="DC62" i="9"/>
  <c r="DD62" i="9"/>
  <c r="DB72" i="9"/>
  <c r="DE72" i="9"/>
  <c r="CY72" i="9"/>
  <c r="CZ72" i="9"/>
  <c r="DA72" i="9"/>
  <c r="DC72" i="9"/>
  <c r="DD72" i="9"/>
  <c r="BR68" i="8"/>
  <c r="DU68" i="8" s="1"/>
  <c r="BR46" i="8"/>
  <c r="DU46" i="8" s="1"/>
  <c r="BR56" i="8"/>
  <c r="DU56" i="8" s="1"/>
  <c r="BR69" i="8"/>
  <c r="DU69" i="8" s="1"/>
  <c r="BR87" i="8"/>
  <c r="DU87" i="8" s="1"/>
  <c r="BR24" i="8"/>
  <c r="DU24" i="8" s="1"/>
  <c r="BR80" i="8"/>
  <c r="DU80" i="8" s="1"/>
  <c r="BR28" i="8"/>
  <c r="DU28" i="8" s="1"/>
  <c r="BR60" i="8"/>
  <c r="DU60" i="8" s="1"/>
  <c r="BR70" i="8"/>
  <c r="DU70" i="8" s="1"/>
  <c r="BR88" i="8"/>
  <c r="DU88" i="8" s="1"/>
  <c r="BR54" i="8"/>
  <c r="DU54" i="8" s="1"/>
  <c r="BR45" i="8"/>
  <c r="DU45" i="8" s="1"/>
  <c r="BR26" i="8"/>
  <c r="DU26" i="8" s="1"/>
  <c r="BR49" i="8"/>
  <c r="DU49" i="8" s="1"/>
  <c r="BR29" i="8"/>
  <c r="DU29" i="8" s="1"/>
  <c r="BR50" i="8"/>
  <c r="DU50" i="8" s="1"/>
  <c r="BR61" i="8"/>
  <c r="DU61" i="8" s="1"/>
  <c r="BR71" i="8"/>
  <c r="DU71" i="8" s="1"/>
  <c r="BR93" i="8"/>
  <c r="DU93" i="8" s="1"/>
  <c r="BR15" i="8"/>
  <c r="DU15" i="8" s="1"/>
  <c r="BR79" i="8"/>
  <c r="DU79" i="8" s="1"/>
  <c r="BR40" i="8"/>
  <c r="DU40" i="8" s="1"/>
  <c r="BR51" i="8"/>
  <c r="DU51" i="8" s="1"/>
  <c r="BR62" i="8"/>
  <c r="DU62" i="8" s="1"/>
  <c r="BR72" i="8"/>
  <c r="DU72" i="8" s="1"/>
  <c r="BR94" i="8"/>
  <c r="DU94" i="8" s="1"/>
  <c r="BR65" i="8"/>
  <c r="DU65" i="8" s="1"/>
  <c r="BR42" i="8"/>
  <c r="DU42" i="8" s="1"/>
  <c r="AL52" i="12"/>
  <c r="BR73" i="8"/>
  <c r="DU73" i="8" s="1"/>
  <c r="BR96" i="8"/>
  <c r="DU96" i="8" s="1"/>
  <c r="BR44" i="8"/>
  <c r="DU44" i="8" s="1"/>
  <c r="BR6" i="8"/>
  <c r="DU6" i="8" s="1"/>
  <c r="BR63" i="8"/>
  <c r="DU63" i="8" s="1"/>
  <c r="BR13" i="8"/>
  <c r="DU13" i="8" s="1"/>
  <c r="BR43" i="8"/>
  <c r="DU43" i="8" s="1"/>
  <c r="BR64" i="8"/>
  <c r="DU64" i="8" s="1"/>
  <c r="BR78" i="8"/>
  <c r="DU78" i="8" s="1"/>
  <c r="CV42" i="9"/>
  <c r="CM42" i="9"/>
  <c r="HT42" i="9" s="1"/>
  <c r="CH42" i="9"/>
  <c r="HO42" i="9" s="1"/>
  <c r="CQ42" i="9"/>
  <c r="CI42" i="9"/>
  <c r="HP42" i="9" s="1"/>
  <c r="CR42" i="9"/>
  <c r="CJ42" i="9"/>
  <c r="HQ42" i="9" s="1"/>
  <c r="CS42" i="9"/>
  <c r="CK42" i="9"/>
  <c r="HR42" i="9" s="1"/>
  <c r="CT42" i="9"/>
  <c r="CL42" i="9"/>
  <c r="HS42" i="9" s="1"/>
  <c r="CU42" i="9"/>
  <c r="CG42" i="9"/>
  <c r="HN42" i="9" s="1"/>
  <c r="CP42" i="9"/>
  <c r="CV93" i="9"/>
  <c r="CM93" i="9"/>
  <c r="HT93" i="9" s="1"/>
  <c r="CK93" i="9"/>
  <c r="HR93" i="9" s="1"/>
  <c r="CL93" i="9"/>
  <c r="HS93" i="9" s="1"/>
  <c r="CG93" i="9"/>
  <c r="HN93" i="9" s="1"/>
  <c r="CH93" i="9"/>
  <c r="HO93" i="9" s="1"/>
  <c r="CI93" i="9"/>
  <c r="HP93" i="9" s="1"/>
  <c r="CJ93" i="9"/>
  <c r="HQ93" i="9" s="1"/>
  <c r="CP93" i="9"/>
  <c r="CQ93" i="9"/>
  <c r="CR93" i="9"/>
  <c r="CS93" i="9"/>
  <c r="CT93" i="9"/>
  <c r="CU93" i="9"/>
  <c r="CV13" i="9"/>
  <c r="CM13" i="9"/>
  <c r="HT13" i="9" s="1"/>
  <c r="CK13" i="9"/>
  <c r="HR13" i="9" s="1"/>
  <c r="CT13" i="9"/>
  <c r="CL13" i="9"/>
  <c r="HS13" i="9" s="1"/>
  <c r="CU13" i="9"/>
  <c r="CG13" i="9"/>
  <c r="HN13" i="9" s="1"/>
  <c r="CP13" i="9"/>
  <c r="CH13" i="9"/>
  <c r="HO13" i="9" s="1"/>
  <c r="CQ13" i="9"/>
  <c r="HP13" i="9"/>
  <c r="CR13" i="9"/>
  <c r="CJ13" i="9"/>
  <c r="HQ13" i="9" s="1"/>
  <c r="CS13" i="9"/>
  <c r="CM43" i="9"/>
  <c r="HT43" i="9" s="1"/>
  <c r="CV43" i="9"/>
  <c r="CI43" i="9"/>
  <c r="HP43" i="9" s="1"/>
  <c r="CR43" i="9"/>
  <c r="CJ43" i="9"/>
  <c r="HQ43" i="9" s="1"/>
  <c r="CS43" i="9"/>
  <c r="CK43" i="9"/>
  <c r="HR43" i="9" s="1"/>
  <c r="CT43" i="9"/>
  <c r="CL43" i="9"/>
  <c r="HS43" i="9" s="1"/>
  <c r="CU43" i="9"/>
  <c r="CG43" i="9"/>
  <c r="HN43" i="9" s="1"/>
  <c r="CP43" i="9"/>
  <c r="CH43" i="9"/>
  <c r="HO43" i="9" s="1"/>
  <c r="CQ43" i="9"/>
  <c r="CV53" i="9"/>
  <c r="CM53" i="9"/>
  <c r="HT53" i="9" s="1"/>
  <c r="CK53" i="9"/>
  <c r="HR53" i="9" s="1"/>
  <c r="CT53" i="9"/>
  <c r="CL53" i="9"/>
  <c r="HS53" i="9" s="1"/>
  <c r="CU53" i="9"/>
  <c r="CG53" i="9"/>
  <c r="HN53" i="9" s="1"/>
  <c r="CP53" i="9"/>
  <c r="CH53" i="9"/>
  <c r="HO53" i="9" s="1"/>
  <c r="CQ53" i="9"/>
  <c r="CI53" i="9"/>
  <c r="HP53" i="9" s="1"/>
  <c r="CR53" i="9"/>
  <c r="CJ53" i="9"/>
  <c r="HQ53" i="9" s="1"/>
  <c r="CS53" i="9"/>
  <c r="CM64" i="9"/>
  <c r="HT64" i="9" s="1"/>
  <c r="CV64" i="9"/>
  <c r="CG64" i="9"/>
  <c r="HN64" i="9" s="1"/>
  <c r="CH64" i="9"/>
  <c r="HO64" i="9" s="1"/>
  <c r="CI64" i="9"/>
  <c r="HP64" i="9" s="1"/>
  <c r="CR64" i="9"/>
  <c r="CJ64" i="9"/>
  <c r="HQ64" i="9" s="1"/>
  <c r="CK64" i="9"/>
  <c r="HR64" i="9" s="1"/>
  <c r="CL64" i="9"/>
  <c r="HS64" i="9" s="1"/>
  <c r="CP64" i="9"/>
  <c r="CQ64" i="9"/>
  <c r="CS64" i="9"/>
  <c r="CT64" i="9"/>
  <c r="CU64" i="9"/>
  <c r="CV78" i="9"/>
  <c r="CM78" i="9"/>
  <c r="HT78" i="9" s="1"/>
  <c r="CL78" i="9"/>
  <c r="HS78" i="9" s="1"/>
  <c r="CG78" i="9"/>
  <c r="HN78" i="9" s="1"/>
  <c r="CH78" i="9"/>
  <c r="HO78" i="9" s="1"/>
  <c r="CI78" i="9"/>
  <c r="HP78" i="9" s="1"/>
  <c r="CJ78" i="9"/>
  <c r="HQ78" i="9" s="1"/>
  <c r="CK78" i="9"/>
  <c r="HR78" i="9" s="1"/>
  <c r="CQ78" i="9"/>
  <c r="CR78" i="9"/>
  <c r="CS78" i="9"/>
  <c r="CT78" i="9"/>
  <c r="CU78" i="9"/>
  <c r="CP78" i="9"/>
  <c r="CM52" i="9"/>
  <c r="HT52" i="9" s="1"/>
  <c r="CV52" i="9"/>
  <c r="CJ52" i="9"/>
  <c r="HQ52" i="9" s="1"/>
  <c r="CS52" i="9"/>
  <c r="CK52" i="9"/>
  <c r="HR52" i="9" s="1"/>
  <c r="CT52" i="9"/>
  <c r="CL52" i="9"/>
  <c r="HS52" i="9" s="1"/>
  <c r="CU52" i="9"/>
  <c r="CG52" i="9"/>
  <c r="HN52" i="9" s="1"/>
  <c r="CP52" i="9"/>
  <c r="CH52" i="9"/>
  <c r="HO52" i="9" s="1"/>
  <c r="CQ52" i="9"/>
  <c r="CI52" i="9"/>
  <c r="HP52" i="9" s="1"/>
  <c r="CR52" i="9"/>
  <c r="CV15" i="9"/>
  <c r="CM15" i="9"/>
  <c r="HT15" i="9" s="1"/>
  <c r="CG15" i="9"/>
  <c r="HN15" i="9" s="1"/>
  <c r="CP15" i="9"/>
  <c r="CH15" i="9"/>
  <c r="HO15" i="9" s="1"/>
  <c r="CQ15" i="9"/>
  <c r="CI15" i="9"/>
  <c r="HP15" i="9" s="1"/>
  <c r="CR15" i="9"/>
  <c r="CJ15" i="9"/>
  <c r="HQ15" i="9" s="1"/>
  <c r="CS15" i="9"/>
  <c r="CK15" i="9"/>
  <c r="HR15" i="9" s="1"/>
  <c r="CT15" i="9"/>
  <c r="CL15" i="9"/>
  <c r="HS15" i="9" s="1"/>
  <c r="CU15" i="9"/>
  <c r="CM44" i="9"/>
  <c r="HT44" i="9" s="1"/>
  <c r="CV44" i="9"/>
  <c r="CJ44" i="9"/>
  <c r="HQ44" i="9" s="1"/>
  <c r="CS44" i="9"/>
  <c r="CK44" i="9"/>
  <c r="HR44" i="9" s="1"/>
  <c r="CT44" i="9"/>
  <c r="CL44" i="9"/>
  <c r="HS44" i="9" s="1"/>
  <c r="CU44" i="9"/>
  <c r="CG44" i="9"/>
  <c r="HN44" i="9" s="1"/>
  <c r="CP44" i="9"/>
  <c r="CH44" i="9"/>
  <c r="HO44" i="9" s="1"/>
  <c r="CQ44" i="9"/>
  <c r="CI44" i="9"/>
  <c r="HP44" i="9" s="1"/>
  <c r="CR44" i="9"/>
  <c r="CV54" i="9"/>
  <c r="CM54" i="9"/>
  <c r="HT54" i="9" s="1"/>
  <c r="CL54" i="9"/>
  <c r="HS54" i="9" s="1"/>
  <c r="CU54" i="9"/>
  <c r="CG54" i="9"/>
  <c r="HN54" i="9" s="1"/>
  <c r="CP54" i="9"/>
  <c r="CH54" i="9"/>
  <c r="HO54" i="9" s="1"/>
  <c r="CQ54" i="9"/>
  <c r="CI54" i="9"/>
  <c r="HP54" i="9" s="1"/>
  <c r="CR54" i="9"/>
  <c r="CJ54" i="9"/>
  <c r="HQ54" i="9" s="1"/>
  <c r="CS54" i="9"/>
  <c r="CK54" i="9"/>
  <c r="HR54" i="9" s="1"/>
  <c r="CT54" i="9"/>
  <c r="CV65" i="9"/>
  <c r="CM65" i="9"/>
  <c r="HT65" i="9" s="1"/>
  <c r="CG65" i="9"/>
  <c r="HN65" i="9" s="1"/>
  <c r="CH65" i="9"/>
  <c r="HO65" i="9" s="1"/>
  <c r="CI65" i="9"/>
  <c r="HP65" i="9" s="1"/>
  <c r="CJ65" i="9"/>
  <c r="HQ65" i="9" s="1"/>
  <c r="CS65" i="9"/>
  <c r="CK65" i="9"/>
  <c r="HR65" i="9" s="1"/>
  <c r="CL65" i="9"/>
  <c r="HS65" i="9" s="1"/>
  <c r="CP65" i="9"/>
  <c r="CQ65" i="9"/>
  <c r="CR65" i="9"/>
  <c r="CT65" i="9"/>
  <c r="CU65" i="9"/>
  <c r="CV79" i="9"/>
  <c r="CM79" i="9"/>
  <c r="HT79" i="9" s="1"/>
  <c r="CG79" i="9"/>
  <c r="HN79" i="9" s="1"/>
  <c r="CH79" i="9"/>
  <c r="HO79" i="9" s="1"/>
  <c r="CI79" i="9"/>
  <c r="HP79" i="9" s="1"/>
  <c r="CJ79" i="9"/>
  <c r="HQ79" i="9" s="1"/>
  <c r="CK79" i="9"/>
  <c r="HR79" i="9" s="1"/>
  <c r="CL79" i="9"/>
  <c r="HS79" i="9" s="1"/>
  <c r="CR79" i="9"/>
  <c r="CS79" i="9"/>
  <c r="CT79" i="9"/>
  <c r="CU79" i="9"/>
  <c r="CP79" i="9"/>
  <c r="CQ79" i="9"/>
  <c r="CM96" i="9"/>
  <c r="HT96" i="9" s="1"/>
  <c r="CV96" i="9"/>
  <c r="CG96" i="9"/>
  <c r="HN96" i="9" s="1"/>
  <c r="CH96" i="9"/>
  <c r="HO96" i="9" s="1"/>
  <c r="CI96" i="9"/>
  <c r="HP96" i="9" s="1"/>
  <c r="CJ96" i="9"/>
  <c r="HQ96" i="9" s="1"/>
  <c r="CK96" i="9"/>
  <c r="HR96" i="9" s="1"/>
  <c r="CL96" i="9"/>
  <c r="HS96" i="9" s="1"/>
  <c r="CS96" i="9"/>
  <c r="CT96" i="9"/>
  <c r="CU96" i="9"/>
  <c r="CP96" i="9"/>
  <c r="CQ96" i="9"/>
  <c r="CR96" i="9"/>
  <c r="CM24" i="9"/>
  <c r="HT24" i="9" s="1"/>
  <c r="CV24" i="9"/>
  <c r="CG24" i="9"/>
  <c r="HN24" i="9" s="1"/>
  <c r="CP24" i="9"/>
  <c r="CH24" i="9"/>
  <c r="HO24" i="9" s="1"/>
  <c r="CQ24" i="9"/>
  <c r="CI24" i="9"/>
  <c r="HP24" i="9" s="1"/>
  <c r="CR24" i="9"/>
  <c r="CJ24" i="9"/>
  <c r="HQ24" i="9" s="1"/>
  <c r="CS24" i="9"/>
  <c r="CK24" i="9"/>
  <c r="HR24" i="9" s="1"/>
  <c r="CT24" i="9"/>
  <c r="CL24" i="9"/>
  <c r="HS24" i="9" s="1"/>
  <c r="CU24" i="9"/>
  <c r="CV45" i="9"/>
  <c r="CM45" i="9"/>
  <c r="HT45" i="9" s="1"/>
  <c r="CK45" i="9"/>
  <c r="HR45" i="9" s="1"/>
  <c r="CT45" i="9"/>
  <c r="CL45" i="9"/>
  <c r="HS45" i="9" s="1"/>
  <c r="CU45" i="9"/>
  <c r="CG45" i="9"/>
  <c r="HN45" i="9" s="1"/>
  <c r="CP45" i="9"/>
  <c r="CH45" i="9"/>
  <c r="HO45" i="9" s="1"/>
  <c r="CQ45" i="9"/>
  <c r="CI45" i="9"/>
  <c r="HP45" i="9" s="1"/>
  <c r="CR45" i="9"/>
  <c r="CJ45" i="9"/>
  <c r="HQ45" i="9" s="1"/>
  <c r="CS45" i="9"/>
  <c r="CV55" i="9"/>
  <c r="CM55" i="9"/>
  <c r="HT55" i="9" s="1"/>
  <c r="CG55" i="9"/>
  <c r="HN55" i="9" s="1"/>
  <c r="CP55" i="9"/>
  <c r="CH55" i="9"/>
  <c r="HO55" i="9" s="1"/>
  <c r="CQ55" i="9"/>
  <c r="CI55" i="9"/>
  <c r="HP55" i="9" s="1"/>
  <c r="CR55" i="9"/>
  <c r="CJ55" i="9"/>
  <c r="HQ55" i="9" s="1"/>
  <c r="CS55" i="9"/>
  <c r="CK55" i="9"/>
  <c r="HR55" i="9" s="1"/>
  <c r="CT55" i="9"/>
  <c r="CL55" i="9"/>
  <c r="HS55" i="9" s="1"/>
  <c r="CU55" i="9"/>
  <c r="CM68" i="9"/>
  <c r="HT68" i="9" s="1"/>
  <c r="CV68" i="9"/>
  <c r="CJ68" i="9"/>
  <c r="HQ68" i="9" s="1"/>
  <c r="CK68" i="9"/>
  <c r="HR68" i="9" s="1"/>
  <c r="CL68" i="9"/>
  <c r="HS68" i="9" s="1"/>
  <c r="CG68" i="9"/>
  <c r="HN68" i="9" s="1"/>
  <c r="CH68" i="9"/>
  <c r="HO68" i="9" s="1"/>
  <c r="CI68" i="9"/>
  <c r="HP68" i="9" s="1"/>
  <c r="CR68" i="9"/>
  <c r="CP68" i="9"/>
  <c r="CQ68" i="9"/>
  <c r="CS68" i="9"/>
  <c r="CT68" i="9"/>
  <c r="CU68" i="9"/>
  <c r="CM88" i="9"/>
  <c r="HT88" i="9" s="1"/>
  <c r="CV88" i="9"/>
  <c r="CG88" i="9"/>
  <c r="HN88" i="9" s="1"/>
  <c r="CH88" i="9"/>
  <c r="HO88" i="9" s="1"/>
  <c r="CI88" i="9"/>
  <c r="HP88" i="9" s="1"/>
  <c r="CJ88" i="9"/>
  <c r="HQ88" i="9" s="1"/>
  <c r="CK88" i="9"/>
  <c r="HR88" i="9" s="1"/>
  <c r="CL88" i="9"/>
  <c r="HS88" i="9" s="1"/>
  <c r="CS88" i="9"/>
  <c r="CT88" i="9"/>
  <c r="CU88" i="9"/>
  <c r="CP88" i="9"/>
  <c r="CQ88" i="9"/>
  <c r="CR88" i="9"/>
  <c r="CV26" i="9"/>
  <c r="CM26" i="9"/>
  <c r="HT26" i="9" s="1"/>
  <c r="CH26" i="9"/>
  <c r="HO26" i="9" s="1"/>
  <c r="CQ26" i="9"/>
  <c r="CI26" i="9"/>
  <c r="HP26" i="9" s="1"/>
  <c r="CR26" i="9"/>
  <c r="CJ26" i="9"/>
  <c r="HQ26" i="9" s="1"/>
  <c r="CS26" i="9"/>
  <c r="CK26" i="9"/>
  <c r="HR26" i="9" s="1"/>
  <c r="CT26" i="9"/>
  <c r="CL26" i="9"/>
  <c r="HS26" i="9" s="1"/>
  <c r="CU26" i="9"/>
  <c r="CG26" i="9"/>
  <c r="HN26" i="9" s="1"/>
  <c r="CP26" i="9"/>
  <c r="CV46" i="9"/>
  <c r="CM46" i="9"/>
  <c r="HT46" i="9" s="1"/>
  <c r="CL46" i="9"/>
  <c r="HS46" i="9" s="1"/>
  <c r="CU46" i="9"/>
  <c r="CG46" i="9"/>
  <c r="HN46" i="9" s="1"/>
  <c r="CP46" i="9"/>
  <c r="CH46" i="9"/>
  <c r="HO46" i="9" s="1"/>
  <c r="CQ46" i="9"/>
  <c r="CI46" i="9"/>
  <c r="HP46" i="9" s="1"/>
  <c r="CR46" i="9"/>
  <c r="CJ46" i="9"/>
  <c r="HQ46" i="9" s="1"/>
  <c r="CS46" i="9"/>
  <c r="CK46" i="9"/>
  <c r="HR46" i="9" s="1"/>
  <c r="CT46" i="9"/>
  <c r="CM56" i="9"/>
  <c r="HT56" i="9" s="1"/>
  <c r="CV56" i="9"/>
  <c r="CG56" i="9"/>
  <c r="HN56" i="9" s="1"/>
  <c r="CP56" i="9"/>
  <c r="CH56" i="9"/>
  <c r="HO56" i="9" s="1"/>
  <c r="CQ56" i="9"/>
  <c r="CI56" i="9"/>
  <c r="HP56" i="9" s="1"/>
  <c r="CR56" i="9"/>
  <c r="CJ56" i="9"/>
  <c r="HQ56" i="9" s="1"/>
  <c r="CS56" i="9"/>
  <c r="CK56" i="9"/>
  <c r="HR56" i="9" s="1"/>
  <c r="CT56" i="9"/>
  <c r="CL56" i="9"/>
  <c r="HS56" i="9" s="1"/>
  <c r="CU56" i="9"/>
  <c r="CV69" i="9"/>
  <c r="CM69" i="9"/>
  <c r="HT69" i="9" s="1"/>
  <c r="CK69" i="9"/>
  <c r="HR69" i="9" s="1"/>
  <c r="CL69" i="9"/>
  <c r="HS69" i="9" s="1"/>
  <c r="CG69" i="9"/>
  <c r="HN69" i="9" s="1"/>
  <c r="CH69" i="9"/>
  <c r="HO69" i="9" s="1"/>
  <c r="CI69" i="9"/>
  <c r="HP69" i="9" s="1"/>
  <c r="CJ69" i="9"/>
  <c r="HQ69" i="9" s="1"/>
  <c r="CS69" i="9"/>
  <c r="CQ69" i="9"/>
  <c r="CR69" i="9"/>
  <c r="CT69" i="9"/>
  <c r="CU69" i="9"/>
  <c r="CP69" i="9"/>
  <c r="CV63" i="9"/>
  <c r="CM63" i="9"/>
  <c r="HT63" i="9" s="1"/>
  <c r="CG63" i="9"/>
  <c r="HN63" i="9" s="1"/>
  <c r="CH63" i="9"/>
  <c r="HO63" i="9" s="1"/>
  <c r="CQ63" i="9"/>
  <c r="CI63" i="9"/>
  <c r="HP63" i="9" s="1"/>
  <c r="CJ63" i="9"/>
  <c r="HQ63" i="9" s="1"/>
  <c r="CK63" i="9"/>
  <c r="HR63" i="9" s="1"/>
  <c r="CL63" i="9"/>
  <c r="HS63" i="9" s="1"/>
  <c r="CU63" i="9"/>
  <c r="CS63" i="9"/>
  <c r="CT63" i="9"/>
  <c r="CP63" i="9"/>
  <c r="CR63" i="9"/>
  <c r="CV87" i="9"/>
  <c r="CM87" i="9"/>
  <c r="HT87" i="9" s="1"/>
  <c r="CG87" i="9"/>
  <c r="HN87" i="9" s="1"/>
  <c r="CH87" i="9"/>
  <c r="HO87" i="9" s="1"/>
  <c r="CI87" i="9"/>
  <c r="HP87" i="9" s="1"/>
  <c r="CJ87" i="9"/>
  <c r="HQ87" i="9" s="1"/>
  <c r="CK87" i="9"/>
  <c r="HR87" i="9" s="1"/>
  <c r="CL87" i="9"/>
  <c r="HS87" i="9" s="1"/>
  <c r="CR87" i="9"/>
  <c r="CS87" i="9"/>
  <c r="CT87" i="9"/>
  <c r="CU87" i="9"/>
  <c r="CP87" i="9"/>
  <c r="CQ87" i="9"/>
  <c r="CM28" i="9"/>
  <c r="HT28" i="9" s="1"/>
  <c r="CV28" i="9"/>
  <c r="CJ28" i="9"/>
  <c r="HQ28" i="9" s="1"/>
  <c r="CS28" i="9"/>
  <c r="CK28" i="9"/>
  <c r="HR28" i="9" s="1"/>
  <c r="CT28" i="9"/>
  <c r="CL28" i="9"/>
  <c r="HS28" i="9" s="1"/>
  <c r="CU28" i="9"/>
  <c r="CG28" i="9"/>
  <c r="HN28" i="9" s="1"/>
  <c r="CP28" i="9"/>
  <c r="CH28" i="9"/>
  <c r="HO28" i="9" s="1"/>
  <c r="CQ28" i="9"/>
  <c r="CI28" i="9"/>
  <c r="HP28" i="9" s="1"/>
  <c r="CR28" i="9"/>
  <c r="CV49" i="9"/>
  <c r="CM49" i="9"/>
  <c r="HT49" i="9" s="1"/>
  <c r="CG49" i="9"/>
  <c r="HN49" i="9" s="1"/>
  <c r="CP49" i="9"/>
  <c r="CH49" i="9"/>
  <c r="HO49" i="9" s="1"/>
  <c r="CQ49" i="9"/>
  <c r="CI49" i="9"/>
  <c r="HP49" i="9" s="1"/>
  <c r="CR49" i="9"/>
  <c r="CJ49" i="9"/>
  <c r="HQ49" i="9" s="1"/>
  <c r="CS49" i="9"/>
  <c r="CK49" i="9"/>
  <c r="HR49" i="9" s="1"/>
  <c r="CT49" i="9"/>
  <c r="CL49" i="9"/>
  <c r="HS49" i="9" s="1"/>
  <c r="CU49" i="9"/>
  <c r="CM60" i="9"/>
  <c r="HT60" i="9" s="1"/>
  <c r="CV60" i="9"/>
  <c r="CJ60" i="9"/>
  <c r="HQ60" i="9" s="1"/>
  <c r="CS60" i="9"/>
  <c r="CK60" i="9"/>
  <c r="HR60" i="9" s="1"/>
  <c r="CT60" i="9"/>
  <c r="CL60" i="9"/>
  <c r="HS60" i="9" s="1"/>
  <c r="CG60" i="9"/>
  <c r="HN60" i="9" s="1"/>
  <c r="CP60" i="9"/>
  <c r="CH60" i="9"/>
  <c r="HO60" i="9" s="1"/>
  <c r="CI60" i="9"/>
  <c r="HP60" i="9" s="1"/>
  <c r="CR60" i="9"/>
  <c r="CQ60" i="9"/>
  <c r="CU60" i="9"/>
  <c r="CV70" i="9"/>
  <c r="CM70" i="9"/>
  <c r="HT70" i="9" s="1"/>
  <c r="CL70" i="9"/>
  <c r="HS70" i="9" s="1"/>
  <c r="CG70" i="9"/>
  <c r="HN70" i="9" s="1"/>
  <c r="CP70" i="9"/>
  <c r="CH70" i="9"/>
  <c r="HO70" i="9" s="1"/>
  <c r="CI70" i="9"/>
  <c r="HP70" i="9" s="1"/>
  <c r="CJ70" i="9"/>
  <c r="HQ70" i="9" s="1"/>
  <c r="CK70" i="9"/>
  <c r="HR70" i="9" s="1"/>
  <c r="CT70" i="9"/>
  <c r="CU70" i="9"/>
  <c r="CQ70" i="9"/>
  <c r="CR70" i="9"/>
  <c r="CS70" i="9"/>
  <c r="CV73" i="9"/>
  <c r="CM73" i="9"/>
  <c r="HT73" i="9" s="1"/>
  <c r="CG73" i="9"/>
  <c r="HN73" i="9" s="1"/>
  <c r="CH73" i="9"/>
  <c r="HO73" i="9" s="1"/>
  <c r="CI73" i="9"/>
  <c r="HP73" i="9" s="1"/>
  <c r="CJ73" i="9"/>
  <c r="HQ73" i="9" s="1"/>
  <c r="CK73" i="9"/>
  <c r="HR73" i="9" s="1"/>
  <c r="CL73" i="9"/>
  <c r="HS73" i="9" s="1"/>
  <c r="CT73" i="9"/>
  <c r="CU73" i="9"/>
  <c r="CP73" i="9"/>
  <c r="CQ73" i="9"/>
  <c r="CR73" i="9"/>
  <c r="CS73" i="9"/>
  <c r="CV94" i="9"/>
  <c r="CM94" i="9"/>
  <c r="HT94" i="9" s="1"/>
  <c r="CL94" i="9"/>
  <c r="HS94" i="9" s="1"/>
  <c r="CG94" i="9"/>
  <c r="HN94" i="9" s="1"/>
  <c r="CH94" i="9"/>
  <c r="HO94" i="9" s="1"/>
  <c r="CI94" i="9"/>
  <c r="HP94" i="9" s="1"/>
  <c r="CJ94" i="9"/>
  <c r="HQ94" i="9" s="1"/>
  <c r="CK94" i="9"/>
  <c r="HR94" i="9" s="1"/>
  <c r="CQ94" i="9"/>
  <c r="CR94" i="9"/>
  <c r="CS94" i="9"/>
  <c r="CT94" i="9"/>
  <c r="CU94" i="9"/>
  <c r="CP94" i="9"/>
  <c r="CM80" i="9"/>
  <c r="HT80" i="9" s="1"/>
  <c r="CV80" i="9"/>
  <c r="CG80" i="9"/>
  <c r="HN80" i="9" s="1"/>
  <c r="CH80" i="9"/>
  <c r="HO80" i="9" s="1"/>
  <c r="CI80" i="9"/>
  <c r="HP80" i="9" s="1"/>
  <c r="CJ80" i="9"/>
  <c r="HQ80" i="9" s="1"/>
  <c r="CK80" i="9"/>
  <c r="HR80" i="9" s="1"/>
  <c r="CL80" i="9"/>
  <c r="HS80" i="9" s="1"/>
  <c r="CS80" i="9"/>
  <c r="CT80" i="9"/>
  <c r="CU80" i="9"/>
  <c r="CP80" i="9"/>
  <c r="CQ80" i="9"/>
  <c r="CR80" i="9"/>
  <c r="CV29" i="9"/>
  <c r="CM29" i="9"/>
  <c r="HT29" i="9" s="1"/>
  <c r="CK29" i="9"/>
  <c r="HR29" i="9" s="1"/>
  <c r="CT29" i="9"/>
  <c r="CL29" i="9"/>
  <c r="HS29" i="9" s="1"/>
  <c r="CU29" i="9"/>
  <c r="CG29" i="9"/>
  <c r="HN29" i="9" s="1"/>
  <c r="CP29" i="9"/>
  <c r="CH29" i="9"/>
  <c r="HO29" i="9" s="1"/>
  <c r="CQ29" i="9"/>
  <c r="CI29" i="9"/>
  <c r="HP29" i="9" s="1"/>
  <c r="CR29" i="9"/>
  <c r="CJ29" i="9"/>
  <c r="HQ29" i="9" s="1"/>
  <c r="CS29" i="9"/>
  <c r="CV50" i="9"/>
  <c r="CM50" i="9"/>
  <c r="HT50" i="9" s="1"/>
  <c r="CH50" i="9"/>
  <c r="HO50" i="9" s="1"/>
  <c r="CQ50" i="9"/>
  <c r="CI50" i="9"/>
  <c r="HP50" i="9" s="1"/>
  <c r="CR50" i="9"/>
  <c r="CJ50" i="9"/>
  <c r="HQ50" i="9" s="1"/>
  <c r="CS50" i="9"/>
  <c r="CK50" i="9"/>
  <c r="HR50" i="9" s="1"/>
  <c r="CT50" i="9"/>
  <c r="CL50" i="9"/>
  <c r="HS50" i="9" s="1"/>
  <c r="CU50" i="9"/>
  <c r="CG50" i="9"/>
  <c r="HN50" i="9" s="1"/>
  <c r="CP50" i="9"/>
  <c r="CV61" i="9"/>
  <c r="CM61" i="9"/>
  <c r="HT61" i="9" s="1"/>
  <c r="CK61" i="9"/>
  <c r="HR61" i="9" s="1"/>
  <c r="CL61" i="9"/>
  <c r="HS61" i="9" s="1"/>
  <c r="CG61" i="9"/>
  <c r="HN61" i="9" s="1"/>
  <c r="CH61" i="9"/>
  <c r="HO61" i="9" s="1"/>
  <c r="CI61" i="9"/>
  <c r="HP61" i="9" s="1"/>
  <c r="CJ61" i="9"/>
  <c r="HQ61" i="9" s="1"/>
  <c r="CS61" i="9"/>
  <c r="CP61" i="9"/>
  <c r="CQ61" i="9"/>
  <c r="CR61" i="9"/>
  <c r="CT61" i="9"/>
  <c r="CU61" i="9"/>
  <c r="CV71" i="9"/>
  <c r="CM71" i="9"/>
  <c r="HT71" i="9" s="1"/>
  <c r="CG71" i="9"/>
  <c r="HN71" i="9" s="1"/>
  <c r="CH71" i="9"/>
  <c r="HO71" i="9" s="1"/>
  <c r="CQ71" i="9"/>
  <c r="CI71" i="9"/>
  <c r="HP71" i="9" s="1"/>
  <c r="CJ71" i="9"/>
  <c r="HQ71" i="9" s="1"/>
  <c r="CK71" i="9"/>
  <c r="HR71" i="9" s="1"/>
  <c r="CL71" i="9"/>
  <c r="HS71" i="9" s="1"/>
  <c r="CU71" i="9"/>
  <c r="CP71" i="9"/>
  <c r="CR71" i="9"/>
  <c r="CS71" i="9"/>
  <c r="CT71" i="9"/>
  <c r="CF81" i="9"/>
  <c r="HM81" i="9" s="1"/>
  <c r="CO81" i="9"/>
  <c r="HT6" i="9"/>
  <c r="HS6" i="9"/>
  <c r="HN6" i="9"/>
  <c r="HO6" i="9"/>
  <c r="HP6" i="9"/>
  <c r="HQ6" i="9"/>
  <c r="HR6" i="9"/>
  <c r="HT3" i="9"/>
  <c r="HP3" i="9"/>
  <c r="HQ3" i="9"/>
  <c r="HR3" i="9"/>
  <c r="HS3" i="9"/>
  <c r="HN3" i="9"/>
  <c r="HO3" i="9"/>
  <c r="CM40" i="9"/>
  <c r="HT40" i="9" s="1"/>
  <c r="CV40" i="9"/>
  <c r="CG40" i="9"/>
  <c r="HN40" i="9" s="1"/>
  <c r="CP40" i="9"/>
  <c r="CH40" i="9"/>
  <c r="HO40" i="9" s="1"/>
  <c r="CQ40" i="9"/>
  <c r="CI40" i="9"/>
  <c r="HP40" i="9" s="1"/>
  <c r="CR40" i="9"/>
  <c r="CJ40" i="9"/>
  <c r="HQ40" i="9" s="1"/>
  <c r="CS40" i="9"/>
  <c r="CK40" i="9"/>
  <c r="HR40" i="9" s="1"/>
  <c r="CT40" i="9"/>
  <c r="CL40" i="9"/>
  <c r="HS40" i="9" s="1"/>
  <c r="CU40" i="9"/>
  <c r="CM51" i="9"/>
  <c r="HT51" i="9" s="1"/>
  <c r="CV51" i="9"/>
  <c r="CI51" i="9"/>
  <c r="HP51" i="9" s="1"/>
  <c r="CR51" i="9"/>
  <c r="CJ51" i="9"/>
  <c r="HQ51" i="9" s="1"/>
  <c r="CS51" i="9"/>
  <c r="CK51" i="9"/>
  <c r="HR51" i="9" s="1"/>
  <c r="CT51" i="9"/>
  <c r="CL51" i="9"/>
  <c r="HS51" i="9" s="1"/>
  <c r="CU51" i="9"/>
  <c r="CG51" i="9"/>
  <c r="HN51" i="9" s="1"/>
  <c r="CP51" i="9"/>
  <c r="CH51" i="9"/>
  <c r="HO51" i="9" s="1"/>
  <c r="CQ51" i="9"/>
  <c r="CV62" i="9"/>
  <c r="CM62" i="9"/>
  <c r="HT62" i="9" s="1"/>
  <c r="CL62" i="9"/>
  <c r="HS62" i="9" s="1"/>
  <c r="CG62" i="9"/>
  <c r="HN62" i="9" s="1"/>
  <c r="CP62" i="9"/>
  <c r="CH62" i="9"/>
  <c r="HO62" i="9" s="1"/>
  <c r="CI62" i="9"/>
  <c r="HP62" i="9" s="1"/>
  <c r="CJ62" i="9"/>
  <c r="HQ62" i="9" s="1"/>
  <c r="CK62" i="9"/>
  <c r="HR62" i="9" s="1"/>
  <c r="CT62" i="9"/>
  <c r="CQ62" i="9"/>
  <c r="CR62" i="9"/>
  <c r="CS62" i="9"/>
  <c r="CU62" i="9"/>
  <c r="CM72" i="9"/>
  <c r="HT72" i="9" s="1"/>
  <c r="CV72" i="9"/>
  <c r="CG72" i="9"/>
  <c r="HN72" i="9" s="1"/>
  <c r="CH72" i="9"/>
  <c r="HO72" i="9" s="1"/>
  <c r="CI72" i="9"/>
  <c r="HP72" i="9" s="1"/>
  <c r="CR72" i="9"/>
  <c r="CJ72" i="9"/>
  <c r="HQ72" i="9" s="1"/>
  <c r="CK72" i="9"/>
  <c r="HR72" i="9" s="1"/>
  <c r="CL72" i="9"/>
  <c r="HS72" i="9" s="1"/>
  <c r="CQ72" i="9"/>
  <c r="CS72" i="9"/>
  <c r="CT72" i="9"/>
  <c r="CU72" i="9"/>
  <c r="CP72" i="9"/>
  <c r="AL46" i="12" l="1"/>
  <c r="AU46" i="12" s="1"/>
  <c r="DV46" i="8"/>
  <c r="AL44" i="12"/>
  <c r="AU44" i="12" s="1"/>
  <c r="DV44" i="8"/>
  <c r="AL62" i="12"/>
  <c r="AU62" i="12" s="1"/>
  <c r="DV62" i="8"/>
  <c r="AL50" i="12"/>
  <c r="AU50" i="12" s="1"/>
  <c r="DV50" i="8"/>
  <c r="AL60" i="12"/>
  <c r="DV60" i="8"/>
  <c r="AL68" i="12"/>
  <c r="AU68" i="12" s="1"/>
  <c r="DV68" i="8"/>
  <c r="AL61" i="12"/>
  <c r="DV61" i="8"/>
  <c r="AL96" i="12"/>
  <c r="AU96" i="12" s="1"/>
  <c r="DV96" i="8"/>
  <c r="AL51" i="12"/>
  <c r="DV51" i="8"/>
  <c r="AL29" i="12"/>
  <c r="AU29" i="12" s="1"/>
  <c r="DV29" i="8"/>
  <c r="AL28" i="12"/>
  <c r="AU28" i="12" s="1"/>
  <c r="DV28" i="8"/>
  <c r="AL78" i="12"/>
  <c r="AU78" i="12" s="1"/>
  <c r="DV78" i="8"/>
  <c r="AL73" i="12"/>
  <c r="DV73" i="8"/>
  <c r="AL40" i="12"/>
  <c r="AU40" i="12" s="1"/>
  <c r="DV40" i="8"/>
  <c r="AL49" i="12"/>
  <c r="AU49" i="12" s="1"/>
  <c r="DV49" i="8"/>
  <c r="AL80" i="12"/>
  <c r="AU80" i="12" s="1"/>
  <c r="DV80" i="8"/>
  <c r="AL6" i="12"/>
  <c r="AU6" i="12" s="1"/>
  <c r="DV6" i="8"/>
  <c r="AL64" i="12"/>
  <c r="AU64" i="12" s="1"/>
  <c r="DV64" i="8"/>
  <c r="AL79" i="12"/>
  <c r="AU79" i="12" s="1"/>
  <c r="DV79" i="8"/>
  <c r="AL26" i="12"/>
  <c r="AU26" i="12" s="1"/>
  <c r="DV26" i="8"/>
  <c r="AL24" i="12"/>
  <c r="DV24" i="8"/>
  <c r="AL70" i="12"/>
  <c r="AU70" i="12" s="1"/>
  <c r="DV70" i="8"/>
  <c r="AL43" i="12"/>
  <c r="AU43" i="12" s="1"/>
  <c r="DV43" i="8"/>
  <c r="AL42" i="12"/>
  <c r="AU42" i="12" s="1"/>
  <c r="DV42" i="8"/>
  <c r="AL15" i="12"/>
  <c r="AU15" i="12" s="1"/>
  <c r="DV15" i="8"/>
  <c r="AL45" i="12"/>
  <c r="AU45" i="12" s="1"/>
  <c r="DV45" i="8"/>
  <c r="AL87" i="12"/>
  <c r="AU87" i="12" s="1"/>
  <c r="DV87" i="8"/>
  <c r="AL72" i="12"/>
  <c r="AU72" i="12" s="1"/>
  <c r="DV72" i="8"/>
  <c r="AL13" i="12"/>
  <c r="DV13" i="8"/>
  <c r="AL65" i="12"/>
  <c r="AU65" i="12" s="1"/>
  <c r="DV65" i="8"/>
  <c r="AL93" i="12"/>
  <c r="DV93" i="8"/>
  <c r="AL54" i="12"/>
  <c r="AU54" i="12" s="1"/>
  <c r="DV54" i="8"/>
  <c r="AL69" i="12"/>
  <c r="DV69" i="8"/>
  <c r="AL63" i="12"/>
  <c r="AU63" i="12" s="1"/>
  <c r="DV63" i="8"/>
  <c r="AL94" i="12"/>
  <c r="AU94" i="12" s="1"/>
  <c r="DV94" i="8"/>
  <c r="AL71" i="12"/>
  <c r="AU71" i="12" s="1"/>
  <c r="DV71" i="8"/>
  <c r="AL88" i="12"/>
  <c r="AU88" i="12" s="1"/>
  <c r="DV88" i="8"/>
  <c r="AL56" i="12"/>
  <c r="AU56" i="12" s="1"/>
  <c r="DV56" i="8"/>
  <c r="KE61" i="9"/>
  <c r="JZ24" i="9"/>
  <c r="JZ73" i="9"/>
  <c r="JZ63" i="9"/>
  <c r="JY52" i="9"/>
  <c r="KE6" i="9"/>
  <c r="KD72" i="9"/>
  <c r="KB62" i="9"/>
  <c r="JY40" i="9"/>
  <c r="JY3" i="9"/>
  <c r="KE71" i="9"/>
  <c r="KB61" i="9"/>
  <c r="JZ60" i="9"/>
  <c r="KD49" i="9"/>
  <c r="KD28" i="9"/>
  <c r="KE56" i="9"/>
  <c r="KD46" i="9"/>
  <c r="KB68" i="9"/>
  <c r="JZ55" i="9"/>
  <c r="JY45" i="9"/>
  <c r="JY24" i="9"/>
  <c r="JY96" i="9"/>
  <c r="KE79" i="9"/>
  <c r="KD44" i="9"/>
  <c r="JZ15" i="9"/>
  <c r="JZ94" i="9"/>
  <c r="KD78" i="9"/>
  <c r="KE53" i="9"/>
  <c r="KD43" i="9"/>
  <c r="KB13" i="9"/>
  <c r="JY50" i="9"/>
  <c r="JY69" i="9"/>
  <c r="KD73" i="9"/>
  <c r="JY63" i="9"/>
  <c r="KE42" i="9"/>
  <c r="KB6" i="9"/>
  <c r="KB72" i="9"/>
  <c r="JZ51" i="9"/>
  <c r="KD40" i="9"/>
  <c r="KD3" i="9"/>
  <c r="KE87" i="9"/>
  <c r="KB71" i="9"/>
  <c r="KD70" i="9"/>
  <c r="JY49" i="9"/>
  <c r="KE69" i="9"/>
  <c r="KD56" i="9"/>
  <c r="KB26" i="9"/>
  <c r="JZ88" i="9"/>
  <c r="JY55" i="9"/>
  <c r="KD45" i="9"/>
  <c r="KE80" i="9"/>
  <c r="KD79" i="9"/>
  <c r="KB65" i="9"/>
  <c r="JZ44" i="9"/>
  <c r="JY15" i="9"/>
  <c r="JY94" i="9"/>
  <c r="KE64" i="9"/>
  <c r="KB53" i="9"/>
  <c r="KB43" i="9"/>
  <c r="JZ93" i="9"/>
  <c r="JY42" i="9"/>
  <c r="JY87" i="9"/>
  <c r="JY28" i="9"/>
  <c r="JZ45" i="9"/>
  <c r="JY80" i="9"/>
  <c r="JY78" i="9"/>
  <c r="JY73" i="9"/>
  <c r="KE52" i="9"/>
  <c r="KD6" i="9"/>
  <c r="JZ62" i="9"/>
  <c r="JY51" i="9"/>
  <c r="KE50" i="9"/>
  <c r="JZ61" i="9"/>
  <c r="JZ29" i="9"/>
  <c r="JZ70" i="9"/>
  <c r="JY60" i="9"/>
  <c r="KE28" i="9"/>
  <c r="KB69" i="9"/>
  <c r="KB46" i="9"/>
  <c r="JY88" i="9"/>
  <c r="KD55" i="9"/>
  <c r="KE96" i="9"/>
  <c r="KB79" i="9"/>
  <c r="KD65" i="9"/>
  <c r="KD54" i="9"/>
  <c r="KD15" i="9"/>
  <c r="KE78" i="9"/>
  <c r="KB64" i="9"/>
  <c r="JZ13" i="9"/>
  <c r="JY93" i="9"/>
  <c r="KE72" i="9"/>
  <c r="KB70" i="9"/>
  <c r="KD26" i="9"/>
  <c r="KD13" i="9"/>
  <c r="KE63" i="9"/>
  <c r="KD52" i="9"/>
  <c r="KB42" i="9"/>
  <c r="JZ72" i="9"/>
  <c r="KD62" i="9"/>
  <c r="KD51" i="9"/>
  <c r="KE3" i="9"/>
  <c r="KB50" i="9"/>
  <c r="KB87" i="9"/>
  <c r="JZ71" i="9"/>
  <c r="JY61" i="9"/>
  <c r="KD29" i="9"/>
  <c r="JY70" i="9"/>
  <c r="KE49" i="9"/>
  <c r="KB28" i="9"/>
  <c r="KB56" i="9"/>
  <c r="JZ26" i="9"/>
  <c r="KD88" i="9"/>
  <c r="JZ68" i="9"/>
  <c r="KE24" i="9"/>
  <c r="KB80" i="9"/>
  <c r="JZ54" i="9"/>
  <c r="JY44" i="9"/>
  <c r="KE94" i="9"/>
  <c r="KB78" i="9"/>
  <c r="JY13" i="9"/>
  <c r="KD93" i="9"/>
  <c r="JZ40" i="9"/>
  <c r="KD60" i="9"/>
  <c r="KE65" i="9"/>
  <c r="JY64" i="9"/>
  <c r="KE73" i="9"/>
  <c r="KD63" i="9"/>
  <c r="KB52" i="9"/>
  <c r="JY62" i="9"/>
  <c r="KE40" i="9"/>
  <c r="KB3" i="9"/>
  <c r="JY71" i="9"/>
  <c r="KD61" i="9"/>
  <c r="JY29" i="9"/>
  <c r="KE60" i="9"/>
  <c r="KB49" i="9"/>
  <c r="JZ69" i="9"/>
  <c r="JZ46" i="9"/>
  <c r="JY26" i="9"/>
  <c r="JY68" i="9"/>
  <c r="KE45" i="9"/>
  <c r="KB24" i="9"/>
  <c r="KB96" i="9"/>
  <c r="JZ79" i="9"/>
  <c r="JZ65" i="9"/>
  <c r="JY54" i="9"/>
  <c r="KE15" i="9"/>
  <c r="KD94" i="9"/>
  <c r="KD64" i="9"/>
  <c r="JZ53" i="9"/>
  <c r="JZ43" i="9"/>
  <c r="KB51" i="9"/>
  <c r="KB29" i="9"/>
  <c r="KE46" i="9"/>
  <c r="JZ96" i="9"/>
  <c r="KB73" i="9"/>
  <c r="KB63" i="9"/>
  <c r="JZ42" i="9"/>
  <c r="JZ6" i="9"/>
  <c r="JY72" i="9"/>
  <c r="KE51" i="9"/>
  <c r="KB40" i="9"/>
  <c r="KD50" i="9"/>
  <c r="KD87" i="9"/>
  <c r="KD71" i="9"/>
  <c r="KE70" i="9"/>
  <c r="KB60" i="9"/>
  <c r="JZ28" i="9"/>
  <c r="KD69" i="9"/>
  <c r="JZ56" i="9"/>
  <c r="JY46" i="9"/>
  <c r="KE88" i="9"/>
  <c r="JX81" i="9"/>
  <c r="KE55" i="9"/>
  <c r="KB45" i="9"/>
  <c r="KD80" i="9"/>
  <c r="JY79" i="9"/>
  <c r="JY65" i="9"/>
  <c r="KE44" i="9"/>
  <c r="KB94" i="9"/>
  <c r="JZ64" i="9"/>
  <c r="KD53" i="9"/>
  <c r="JY43" i="9"/>
  <c r="KE93" i="9"/>
  <c r="JZ3" i="9"/>
  <c r="JZ49" i="9"/>
  <c r="KD68" i="9"/>
  <c r="KB54" i="9"/>
  <c r="KE43" i="9"/>
  <c r="JZ52" i="9"/>
  <c r="KD42" i="9"/>
  <c r="JY6" i="9"/>
  <c r="KE62" i="9"/>
  <c r="JZ50" i="9"/>
  <c r="JZ87" i="9"/>
  <c r="KE29" i="9"/>
  <c r="JY56" i="9"/>
  <c r="KE26" i="9"/>
  <c r="KB88" i="9"/>
  <c r="KE68" i="9"/>
  <c r="KB55" i="9"/>
  <c r="KD24" i="9"/>
  <c r="KD96" i="9"/>
  <c r="JZ80" i="9"/>
  <c r="KE54" i="9"/>
  <c r="KB44" i="9"/>
  <c r="KB15" i="9"/>
  <c r="JZ78" i="9"/>
  <c r="JY53" i="9"/>
  <c r="KE13" i="9"/>
  <c r="KB93" i="9"/>
  <c r="AR73" i="10"/>
  <c r="AS73" i="10"/>
  <c r="AU73" i="10"/>
  <c r="AO73" i="10"/>
  <c r="AP73" i="10"/>
  <c r="AQ73" i="10"/>
  <c r="AT73" i="10"/>
  <c r="AI73" i="10"/>
  <c r="AJ73" i="10"/>
  <c r="AK73" i="10"/>
  <c r="AL73" i="10"/>
  <c r="AF73" i="10"/>
  <c r="AG73" i="10"/>
  <c r="AH73" i="10"/>
  <c r="AW81" i="10"/>
  <c r="BF81" i="10"/>
  <c r="AV40" i="9"/>
  <c r="AV96" i="9"/>
  <c r="AV44" i="9"/>
  <c r="AV13" i="9"/>
  <c r="AV50" i="9"/>
  <c r="AV73" i="9"/>
  <c r="AV28" i="9"/>
  <c r="AV56" i="9"/>
  <c r="AV68" i="9"/>
  <c r="AV78" i="9"/>
  <c r="AV51" i="9"/>
  <c r="AV24" i="9"/>
  <c r="AV54" i="9"/>
  <c r="AV43" i="9"/>
  <c r="AV61" i="9"/>
  <c r="AV94" i="9"/>
  <c r="AV49" i="9"/>
  <c r="AV69" i="9"/>
  <c r="AV88" i="9"/>
  <c r="AV62" i="9"/>
  <c r="AV45" i="9"/>
  <c r="AV65" i="9"/>
  <c r="AV42" i="9"/>
  <c r="AV71" i="9"/>
  <c r="AV80" i="9"/>
  <c r="AV60" i="9"/>
  <c r="AV63" i="9"/>
  <c r="AV26" i="9"/>
  <c r="AV79" i="9"/>
  <c r="AV15" i="9"/>
  <c r="AV93" i="9"/>
  <c r="AV72" i="9"/>
  <c r="AV29" i="9"/>
  <c r="AV70" i="9"/>
  <c r="AV87" i="9"/>
  <c r="AV46" i="9"/>
  <c r="AV64" i="9"/>
  <c r="AU61" i="12"/>
  <c r="AU60" i="12"/>
  <c r="AU51" i="12"/>
  <c r="AU73" i="12"/>
  <c r="AU52" i="12"/>
  <c r="AU24" i="12"/>
  <c r="AU13" i="12"/>
  <c r="AU93" i="12"/>
  <c r="AU69" i="12"/>
  <c r="CX80" i="9"/>
  <c r="CX63" i="9"/>
  <c r="CX45" i="9"/>
  <c r="CX52" i="9"/>
  <c r="CX62" i="9"/>
  <c r="CX40" i="9"/>
  <c r="CX61" i="9"/>
  <c r="CX49" i="9"/>
  <c r="CX88" i="9"/>
  <c r="CX54" i="9"/>
  <c r="CX13" i="9"/>
  <c r="CX72" i="9"/>
  <c r="CX73" i="9"/>
  <c r="CX56" i="9"/>
  <c r="CX96" i="9"/>
  <c r="CX64" i="9"/>
  <c r="CX29" i="9"/>
  <c r="CX87" i="9"/>
  <c r="CX55" i="9"/>
  <c r="CX15" i="9"/>
  <c r="CX42" i="9"/>
  <c r="CX51" i="9"/>
  <c r="CX71" i="9"/>
  <c r="CX60" i="9"/>
  <c r="CX26" i="9"/>
  <c r="CX65" i="9"/>
  <c r="CX43" i="9"/>
  <c r="CX94" i="9"/>
  <c r="CX69" i="9"/>
  <c r="CX24" i="9"/>
  <c r="CX78" i="9"/>
  <c r="CX50" i="9"/>
  <c r="CX28" i="9"/>
  <c r="CX68" i="9"/>
  <c r="CX44" i="9"/>
  <c r="CX93" i="9"/>
  <c r="CX70" i="9"/>
  <c r="CX46" i="9"/>
  <c r="CX79" i="9"/>
  <c r="CX53" i="9"/>
  <c r="CF61" i="9"/>
  <c r="HM61" i="9" s="1"/>
  <c r="CO61" i="9"/>
  <c r="CF94" i="9"/>
  <c r="HM94" i="9" s="1"/>
  <c r="CO94" i="9"/>
  <c r="CF60" i="9"/>
  <c r="HM60" i="9" s="1"/>
  <c r="CO60" i="9"/>
  <c r="CF63" i="9"/>
  <c r="HM63" i="9" s="1"/>
  <c r="CO63" i="9"/>
  <c r="CF46" i="9"/>
  <c r="HM46" i="9" s="1"/>
  <c r="CO46" i="9"/>
  <c r="CF43" i="9"/>
  <c r="HM43" i="9" s="1"/>
  <c r="CO43" i="9"/>
  <c r="CF24" i="9"/>
  <c r="HM24" i="9" s="1"/>
  <c r="CO24" i="9"/>
  <c r="CF44" i="9"/>
  <c r="HM44" i="9" s="1"/>
  <c r="CO44" i="9"/>
  <c r="CF50" i="9"/>
  <c r="HM50" i="9" s="1"/>
  <c r="CO50" i="9"/>
  <c r="CF73" i="9"/>
  <c r="HM73" i="9" s="1"/>
  <c r="CO73" i="9"/>
  <c r="CF49" i="9"/>
  <c r="HM49" i="9" s="1"/>
  <c r="CO49" i="9"/>
  <c r="CF26" i="9"/>
  <c r="HM26" i="9" s="1"/>
  <c r="CO26" i="9"/>
  <c r="CF78" i="9"/>
  <c r="HM78" i="9" s="1"/>
  <c r="CO78" i="9"/>
  <c r="CF13" i="9"/>
  <c r="HM13" i="9" s="1"/>
  <c r="CO13" i="9"/>
  <c r="CF72" i="9"/>
  <c r="HM72" i="9" s="1"/>
  <c r="CO72" i="9"/>
  <c r="HM3" i="9"/>
  <c r="CF62" i="9"/>
  <c r="HM62" i="9" s="1"/>
  <c r="CO62" i="9"/>
  <c r="CF68" i="9"/>
  <c r="HM68" i="9" s="1"/>
  <c r="CO68" i="9"/>
  <c r="CF96" i="9"/>
  <c r="HM96" i="9" s="1"/>
  <c r="CO96" i="9"/>
  <c r="CF79" i="9"/>
  <c r="HM79" i="9" s="1"/>
  <c r="CO79" i="9"/>
  <c r="CF15" i="9"/>
  <c r="HM15" i="9" s="1"/>
  <c r="CO15" i="9"/>
  <c r="CF29" i="9"/>
  <c r="HM29" i="9" s="1"/>
  <c r="CO29" i="9"/>
  <c r="CF28" i="9"/>
  <c r="HM28" i="9" s="1"/>
  <c r="CO28" i="9"/>
  <c r="CF69" i="9"/>
  <c r="HM69" i="9" s="1"/>
  <c r="CO69" i="9"/>
  <c r="CF88" i="9"/>
  <c r="HM88" i="9" s="1"/>
  <c r="CO88" i="9"/>
  <c r="CF64" i="9"/>
  <c r="HM64" i="9" s="1"/>
  <c r="CO64" i="9"/>
  <c r="CF93" i="9"/>
  <c r="HM93" i="9" s="1"/>
  <c r="CO93" i="9"/>
  <c r="HM6" i="9"/>
  <c r="CF55" i="9"/>
  <c r="HM55" i="9" s="1"/>
  <c r="CO55" i="9"/>
  <c r="CF65" i="9"/>
  <c r="HM65" i="9" s="1"/>
  <c r="CO65" i="9"/>
  <c r="CF52" i="9"/>
  <c r="HM52" i="9" s="1"/>
  <c r="CO52" i="9"/>
  <c r="CF40" i="9"/>
  <c r="HM40" i="9" s="1"/>
  <c r="CO40" i="9"/>
  <c r="CF45" i="9"/>
  <c r="HM45" i="9" s="1"/>
  <c r="CO45" i="9"/>
  <c r="CF54" i="9"/>
  <c r="HM54" i="9" s="1"/>
  <c r="CO54" i="9"/>
  <c r="CF51" i="9"/>
  <c r="HM51" i="9" s="1"/>
  <c r="CO51" i="9"/>
  <c r="CF71" i="9"/>
  <c r="HM71" i="9" s="1"/>
  <c r="CO71" i="9"/>
  <c r="CF80" i="9"/>
  <c r="HM80" i="9" s="1"/>
  <c r="CO80" i="9"/>
  <c r="CF70" i="9"/>
  <c r="HM70" i="9" s="1"/>
  <c r="CO70" i="9"/>
  <c r="CF87" i="9"/>
  <c r="HM87" i="9" s="1"/>
  <c r="CO87" i="9"/>
  <c r="CF56" i="9"/>
  <c r="HM56" i="9" s="1"/>
  <c r="CO56" i="9"/>
  <c r="CF53" i="9"/>
  <c r="HM53" i="9" s="1"/>
  <c r="CO53" i="9"/>
  <c r="CF42" i="9"/>
  <c r="HM42" i="9" s="1"/>
  <c r="CO42" i="9"/>
  <c r="JX70" i="9" l="1"/>
  <c r="JX65" i="9"/>
  <c r="JX51" i="9"/>
  <c r="JX87" i="9"/>
  <c r="JX96" i="9"/>
  <c r="JX13" i="9"/>
  <c r="JX61" i="9"/>
  <c r="JX45" i="9"/>
  <c r="JX24" i="9"/>
  <c r="JX28" i="9"/>
  <c r="JX93" i="9"/>
  <c r="JX69" i="9"/>
  <c r="JX42" i="9"/>
  <c r="JX56" i="9"/>
  <c r="JX40" i="9"/>
  <c r="JX63" i="9"/>
  <c r="JX53" i="9"/>
  <c r="JX50" i="9"/>
  <c r="JX26" i="9"/>
  <c r="JX29" i="9"/>
  <c r="JX54" i="9"/>
  <c r="JX60" i="9"/>
  <c r="JX79" i="9"/>
  <c r="JX3" i="9"/>
  <c r="JX15" i="9"/>
  <c r="JX73" i="9"/>
  <c r="JX88" i="9"/>
  <c r="JX80" i="9"/>
  <c r="JX44" i="9"/>
  <c r="JX94" i="9"/>
  <c r="JX6" i="9"/>
  <c r="JX62" i="9"/>
  <c r="JX46" i="9"/>
  <c r="JX68" i="9"/>
  <c r="JX78" i="9"/>
  <c r="JX43" i="9"/>
  <c r="JX71" i="9"/>
  <c r="JX55" i="9"/>
  <c r="JX64" i="9"/>
  <c r="JX72" i="9"/>
  <c r="JX49" i="9"/>
  <c r="JX52" i="9"/>
  <c r="BL73" i="10"/>
  <c r="BM73" i="10"/>
  <c r="AZ73" i="10"/>
  <c r="AY73" i="10"/>
  <c r="BB73" i="10"/>
  <c r="BA73" i="10"/>
  <c r="AN73" i="10"/>
  <c r="AR62" i="10"/>
  <c r="AS62" i="10"/>
  <c r="AU62" i="10"/>
  <c r="AO62" i="10"/>
  <c r="AP62" i="10"/>
  <c r="AQ62" i="10"/>
  <c r="AT62" i="10"/>
  <c r="BC73" i="10"/>
  <c r="BG73" i="10"/>
  <c r="AI62" i="10"/>
  <c r="AJ62" i="10"/>
  <c r="AK62" i="10"/>
  <c r="AL62" i="10"/>
  <c r="AF62" i="10"/>
  <c r="AG62" i="10"/>
  <c r="AH62" i="10"/>
  <c r="BK73" i="10"/>
  <c r="AX73" i="10"/>
  <c r="AE73" i="10"/>
  <c r="BJ73" i="10"/>
  <c r="BD73" i="10"/>
  <c r="BI73" i="10"/>
  <c r="BH73" i="10"/>
  <c r="BD62" i="10" l="1"/>
  <c r="BC62" i="10"/>
  <c r="BI62" i="10"/>
  <c r="BF73" i="10"/>
  <c r="AX62" i="10"/>
  <c r="BA62" i="10"/>
  <c r="AN62" i="10"/>
  <c r="AY62" i="10"/>
  <c r="BB62" i="10"/>
  <c r="AE62" i="10"/>
  <c r="BJ62" i="10"/>
  <c r="AZ62" i="10"/>
  <c r="BH62" i="10"/>
  <c r="BG62" i="10"/>
  <c r="BM62" i="10"/>
  <c r="AW73" i="10"/>
  <c r="BL62" i="10"/>
  <c r="BK62" i="10"/>
  <c r="AW62" i="10" l="1"/>
  <c r="AR45" i="10"/>
  <c r="AS45" i="10"/>
  <c r="AU45" i="10"/>
  <c r="AO45" i="10"/>
  <c r="AP45" i="10"/>
  <c r="AQ45" i="10"/>
  <c r="AT45" i="10"/>
  <c r="BF62" i="10"/>
  <c r="AG45" i="10"/>
  <c r="AH45" i="10"/>
  <c r="AI45" i="10"/>
  <c r="AJ45" i="10"/>
  <c r="AK45" i="10"/>
  <c r="AL45" i="10"/>
  <c r="AF45" i="10"/>
  <c r="AX45" i="10" l="1"/>
  <c r="BA45" i="10"/>
  <c r="BK45" i="10"/>
  <c r="AY45" i="10"/>
  <c r="AN45" i="10"/>
  <c r="BC45" i="10"/>
  <c r="AR44" i="10"/>
  <c r="AS44" i="10"/>
  <c r="AU44" i="10"/>
  <c r="AO44" i="10"/>
  <c r="AP44" i="10"/>
  <c r="AQ44" i="10"/>
  <c r="AT44" i="10"/>
  <c r="BD45" i="10"/>
  <c r="BM45" i="10"/>
  <c r="BB45" i="10"/>
  <c r="BL45" i="10"/>
  <c r="AZ45" i="10"/>
  <c r="AE45" i="10"/>
  <c r="BI45" i="10"/>
  <c r="BH45" i="10"/>
  <c r="AG44" i="10"/>
  <c r="AH44" i="10"/>
  <c r="AI44" i="10"/>
  <c r="AJ44" i="10"/>
  <c r="AK44" i="10"/>
  <c r="AL44" i="10"/>
  <c r="AF44" i="10"/>
  <c r="BJ45" i="10"/>
  <c r="BG45" i="10"/>
  <c r="AZ44" i="10" l="1"/>
  <c r="BF45" i="10"/>
  <c r="BC44" i="10"/>
  <c r="BJ44" i="10"/>
  <c r="AY44" i="10"/>
  <c r="AR72" i="10"/>
  <c r="AS72" i="10"/>
  <c r="AU72" i="10"/>
  <c r="AO72" i="10"/>
  <c r="AP72" i="10"/>
  <c r="AQ72" i="10"/>
  <c r="AT72" i="10"/>
  <c r="AN44" i="10"/>
  <c r="BB44" i="10"/>
  <c r="BG44" i="10"/>
  <c r="BM44" i="10"/>
  <c r="AW45" i="10"/>
  <c r="BA44" i="10"/>
  <c r="BK44" i="10"/>
  <c r="AE44" i="10"/>
  <c r="AI72" i="10"/>
  <c r="AJ72" i="10"/>
  <c r="AK72" i="10"/>
  <c r="AL72" i="10"/>
  <c r="AF72" i="10"/>
  <c r="AG72" i="10"/>
  <c r="AH72" i="10"/>
  <c r="BI44" i="10"/>
  <c r="BL44" i="10"/>
  <c r="AX44" i="10"/>
  <c r="BD44" i="10"/>
  <c r="BH44" i="10"/>
  <c r="AZ72" i="10" l="1"/>
  <c r="BJ72" i="10"/>
  <c r="BD72" i="10"/>
  <c r="AY72" i="10"/>
  <c r="BK72" i="10"/>
  <c r="AX72" i="10"/>
  <c r="BF44" i="10"/>
  <c r="AR61" i="10"/>
  <c r="AS61" i="10"/>
  <c r="AU61" i="10"/>
  <c r="AO61" i="10"/>
  <c r="AP61" i="10"/>
  <c r="AQ61" i="10"/>
  <c r="AT61" i="10"/>
  <c r="AN72" i="10"/>
  <c r="BC72" i="10"/>
  <c r="AW44" i="10"/>
  <c r="BA72" i="10"/>
  <c r="AE72" i="10"/>
  <c r="AI61" i="10"/>
  <c r="AJ61" i="10"/>
  <c r="AK61" i="10"/>
  <c r="AL61" i="10"/>
  <c r="AF61" i="10"/>
  <c r="AG61" i="10"/>
  <c r="AH61" i="10"/>
  <c r="BI72" i="10"/>
  <c r="BH72" i="10"/>
  <c r="BG72" i="10"/>
  <c r="BM72" i="10"/>
  <c r="BB72" i="10"/>
  <c r="BL72" i="10"/>
  <c r="AZ61" i="10" l="1"/>
  <c r="AX61" i="10"/>
  <c r="BA61" i="10"/>
  <c r="AN61" i="10"/>
  <c r="AW72" i="10"/>
  <c r="BC61" i="10"/>
  <c r="AR50" i="10"/>
  <c r="AS50" i="10"/>
  <c r="AU50" i="10"/>
  <c r="AO50" i="10"/>
  <c r="AP50" i="10"/>
  <c r="AQ50" i="10"/>
  <c r="AT50" i="10"/>
  <c r="BD61" i="10"/>
  <c r="AE61" i="10"/>
  <c r="BJ61" i="10"/>
  <c r="BI61" i="10"/>
  <c r="BH61" i="10"/>
  <c r="BG61" i="10"/>
  <c r="BF72" i="10"/>
  <c r="AG50" i="10"/>
  <c r="AH50" i="10"/>
  <c r="AI50" i="10"/>
  <c r="AJ50" i="10"/>
  <c r="AK50" i="10"/>
  <c r="AL50" i="10"/>
  <c r="AF50" i="10"/>
  <c r="BM61" i="10"/>
  <c r="AY61" i="10"/>
  <c r="BB61" i="10"/>
  <c r="BL61" i="10"/>
  <c r="BK61" i="10"/>
  <c r="BA50" i="10" l="1"/>
  <c r="BC50" i="10"/>
  <c r="BG50" i="10"/>
  <c r="BD50" i="10"/>
  <c r="BH50" i="10"/>
  <c r="AR49" i="10"/>
  <c r="AS49" i="10"/>
  <c r="AU49" i="10"/>
  <c r="AO49" i="10"/>
  <c r="AP49" i="10"/>
  <c r="AQ49" i="10"/>
  <c r="AT49" i="10"/>
  <c r="BB50" i="10"/>
  <c r="AW61" i="10"/>
  <c r="AN50" i="10"/>
  <c r="BM50" i="10"/>
  <c r="BL50" i="10"/>
  <c r="AX50" i="10"/>
  <c r="BJ50" i="10"/>
  <c r="BK50" i="10"/>
  <c r="AZ50" i="10"/>
  <c r="AE50" i="10"/>
  <c r="BF61" i="10"/>
  <c r="AY50" i="10"/>
  <c r="AG49" i="10"/>
  <c r="AH49" i="10"/>
  <c r="AI49" i="10"/>
  <c r="AJ49" i="10"/>
  <c r="AK49" i="10"/>
  <c r="AL49" i="10"/>
  <c r="AF49" i="10"/>
  <c r="BI50" i="10"/>
  <c r="BB49" i="10" l="1"/>
  <c r="BI49" i="10"/>
  <c r="BG49" i="10"/>
  <c r="BM49" i="10"/>
  <c r="BA49" i="10"/>
  <c r="AY49" i="10"/>
  <c r="BC49" i="10"/>
  <c r="AN49" i="10"/>
  <c r="AR71" i="10"/>
  <c r="AS71" i="10"/>
  <c r="AU71" i="10"/>
  <c r="AO71" i="10"/>
  <c r="AP71" i="10"/>
  <c r="AQ71" i="10"/>
  <c r="AT71" i="10"/>
  <c r="AX49" i="10"/>
  <c r="BL49" i="10"/>
  <c r="AZ49" i="10"/>
  <c r="BK49" i="10"/>
  <c r="AW50" i="10"/>
  <c r="BJ49" i="10"/>
  <c r="AE49" i="10"/>
  <c r="BF50" i="10"/>
  <c r="AI71" i="10"/>
  <c r="AJ71" i="10"/>
  <c r="AK71" i="10"/>
  <c r="AL71" i="10"/>
  <c r="AF71" i="10"/>
  <c r="AG71" i="10"/>
  <c r="AH71" i="10"/>
  <c r="BD49" i="10"/>
  <c r="BH49" i="10"/>
  <c r="BM71" i="10" l="1"/>
  <c r="AZ71" i="10"/>
  <c r="BC71" i="10"/>
  <c r="AY71" i="10"/>
  <c r="BA71" i="10"/>
  <c r="BB71" i="10"/>
  <c r="AR60" i="10"/>
  <c r="AS60" i="10"/>
  <c r="AU60" i="10"/>
  <c r="AO60" i="10"/>
  <c r="AP60" i="10"/>
  <c r="AQ60" i="10"/>
  <c r="AT60" i="10"/>
  <c r="AX71" i="10"/>
  <c r="AN71" i="10"/>
  <c r="AE71" i="10"/>
  <c r="BD71" i="10"/>
  <c r="BI71" i="10"/>
  <c r="AG60" i="10"/>
  <c r="AH60" i="10"/>
  <c r="AI60" i="10"/>
  <c r="AJ60" i="10"/>
  <c r="AF60" i="10"/>
  <c r="AK60" i="10"/>
  <c r="AL60" i="10"/>
  <c r="BJ71" i="10"/>
  <c r="BH71" i="10"/>
  <c r="AW49" i="10"/>
  <c r="BG71" i="10"/>
  <c r="BF49" i="10"/>
  <c r="BL71" i="10"/>
  <c r="BK71" i="10"/>
  <c r="AX60" i="10" l="1"/>
  <c r="BA60" i="10"/>
  <c r="BD60" i="10"/>
  <c r="BL60" i="10"/>
  <c r="BB60" i="10"/>
  <c r="AR51" i="10"/>
  <c r="AS51" i="10"/>
  <c r="AU51" i="10"/>
  <c r="AO51" i="10"/>
  <c r="AP51" i="10"/>
  <c r="AQ51" i="10"/>
  <c r="AT51" i="10"/>
  <c r="AY60" i="10"/>
  <c r="AN60" i="10"/>
  <c r="AG51" i="10"/>
  <c r="AH51" i="10"/>
  <c r="AI51" i="10"/>
  <c r="AJ51" i="10"/>
  <c r="AK51" i="10"/>
  <c r="AL51" i="10"/>
  <c r="AF51" i="10"/>
  <c r="BI60" i="10"/>
  <c r="BH60" i="10"/>
  <c r="BC60" i="10"/>
  <c r="BG60" i="10"/>
  <c r="AW71" i="10"/>
  <c r="BJ60" i="10"/>
  <c r="BM60" i="10"/>
  <c r="BF71" i="10"/>
  <c r="BK60" i="10"/>
  <c r="AZ60" i="10"/>
  <c r="AE60" i="10"/>
  <c r="BJ51" i="10" l="1"/>
  <c r="BD51" i="10"/>
  <c r="AY51" i="10"/>
  <c r="BL51" i="10"/>
  <c r="AR46" i="10"/>
  <c r="AS46" i="10"/>
  <c r="AU46" i="10"/>
  <c r="AO46" i="10"/>
  <c r="AP46" i="10"/>
  <c r="AQ46" i="10"/>
  <c r="AT46" i="10"/>
  <c r="AW60" i="10"/>
  <c r="AN51" i="10"/>
  <c r="AX51" i="10"/>
  <c r="BI51" i="10"/>
  <c r="BH51" i="10"/>
  <c r="AG46" i="10"/>
  <c r="AH46" i="10"/>
  <c r="AI46" i="10"/>
  <c r="AJ46" i="10"/>
  <c r="AK46" i="10"/>
  <c r="AL46" i="10"/>
  <c r="AF46" i="10"/>
  <c r="BC51" i="10"/>
  <c r="BG51" i="10"/>
  <c r="BB51" i="10"/>
  <c r="BM51" i="10"/>
  <c r="BF60" i="10"/>
  <c r="BA51" i="10"/>
  <c r="BK51" i="10"/>
  <c r="AZ51" i="10"/>
  <c r="AE51" i="10"/>
  <c r="AY46" i="10" l="1"/>
  <c r="BI46" i="10"/>
  <c r="AX46" i="10"/>
  <c r="BF51" i="10"/>
  <c r="AN46" i="10"/>
  <c r="BC46" i="10"/>
  <c r="BB46" i="10"/>
  <c r="AR69" i="10"/>
  <c r="AS69" i="10"/>
  <c r="AU69" i="10"/>
  <c r="AO69" i="10"/>
  <c r="AP69" i="10"/>
  <c r="AQ69" i="10"/>
  <c r="AT69" i="10"/>
  <c r="AE46" i="10"/>
  <c r="AZ46" i="10"/>
  <c r="BJ46" i="10"/>
  <c r="BH46" i="10"/>
  <c r="BD46" i="10"/>
  <c r="BG46" i="10"/>
  <c r="AI69" i="10"/>
  <c r="AJ69" i="10"/>
  <c r="AK69" i="10"/>
  <c r="AL69" i="10"/>
  <c r="AF69" i="10"/>
  <c r="AG69" i="10"/>
  <c r="AH69" i="10"/>
  <c r="BM46" i="10"/>
  <c r="BL46" i="10"/>
  <c r="AW51" i="10"/>
  <c r="BA46" i="10"/>
  <c r="BK46" i="10"/>
  <c r="BF46" i="10" l="1"/>
  <c r="BI69" i="10"/>
  <c r="BM69" i="10"/>
  <c r="AY69" i="10"/>
  <c r="BB69" i="10"/>
  <c r="BL69" i="10"/>
  <c r="BA69" i="10"/>
  <c r="AX69" i="10"/>
  <c r="AN69" i="10"/>
  <c r="AR64" i="10"/>
  <c r="AS64" i="10"/>
  <c r="AU64" i="10"/>
  <c r="AO64" i="10"/>
  <c r="AP64" i="10"/>
  <c r="AQ64" i="10"/>
  <c r="AT64" i="10"/>
  <c r="BK69" i="10"/>
  <c r="AE69" i="10"/>
  <c r="AI64" i="10"/>
  <c r="AJ64" i="10"/>
  <c r="AK64" i="10"/>
  <c r="AL64" i="10"/>
  <c r="AF64" i="10"/>
  <c r="AG64" i="10"/>
  <c r="AH64" i="10"/>
  <c r="BJ69" i="10"/>
  <c r="BD69" i="10"/>
  <c r="AZ69" i="10"/>
  <c r="BH69" i="10"/>
  <c r="BC69" i="10"/>
  <c r="BG69" i="10"/>
  <c r="AW46" i="10"/>
  <c r="BD64" i="10" l="1"/>
  <c r="AN64" i="10"/>
  <c r="BA64" i="10"/>
  <c r="AR26" i="10"/>
  <c r="AS26" i="10"/>
  <c r="AU26" i="10"/>
  <c r="AO26" i="10"/>
  <c r="AP26" i="10"/>
  <c r="AQ26" i="10"/>
  <c r="AT26" i="10"/>
  <c r="BC64" i="10"/>
  <c r="AY64" i="10"/>
  <c r="BB64" i="10"/>
  <c r="BI64" i="10"/>
  <c r="BH64" i="10"/>
  <c r="AW69" i="10"/>
  <c r="BG64" i="10"/>
  <c r="BF69" i="10"/>
  <c r="BM64" i="10"/>
  <c r="BL64" i="10"/>
  <c r="BK64" i="10"/>
  <c r="AG26" i="10"/>
  <c r="AH26" i="10"/>
  <c r="AI26" i="10"/>
  <c r="AJ26" i="10"/>
  <c r="AK26" i="10"/>
  <c r="AL26" i="10"/>
  <c r="AF26" i="10"/>
  <c r="AX64" i="10"/>
  <c r="AE64" i="10"/>
  <c r="AZ64" i="10"/>
  <c r="BJ64" i="10"/>
  <c r="BC26" i="10" l="1"/>
  <c r="BG26" i="10"/>
  <c r="AW64" i="10"/>
  <c r="AN26" i="10"/>
  <c r="BD26" i="10"/>
  <c r="BB26" i="10"/>
  <c r="AR68" i="10"/>
  <c r="AS68" i="10"/>
  <c r="AU68" i="10"/>
  <c r="AO68" i="10"/>
  <c r="AP68" i="10"/>
  <c r="AQ68" i="10"/>
  <c r="AT68" i="10"/>
  <c r="BA26" i="10"/>
  <c r="AZ26" i="10"/>
  <c r="BM26" i="10"/>
  <c r="AX26" i="10"/>
  <c r="BL26" i="10"/>
  <c r="BJ26" i="10"/>
  <c r="BK26" i="10"/>
  <c r="AE26" i="10"/>
  <c r="BF64" i="10"/>
  <c r="AY26" i="10"/>
  <c r="AI68" i="10"/>
  <c r="AJ68" i="10"/>
  <c r="AK68" i="10"/>
  <c r="AL68" i="10"/>
  <c r="AF68" i="10"/>
  <c r="AG68" i="10"/>
  <c r="AH68" i="10"/>
  <c r="BI26" i="10"/>
  <c r="BH26" i="10"/>
  <c r="AX68" i="10" l="1"/>
  <c r="BA68" i="10"/>
  <c r="BI68" i="10"/>
  <c r="AY68" i="10"/>
  <c r="BD68" i="10"/>
  <c r="AR63" i="10"/>
  <c r="AS63" i="10"/>
  <c r="AU63" i="10"/>
  <c r="AO63" i="10"/>
  <c r="AP63" i="10"/>
  <c r="AQ63" i="10"/>
  <c r="AT63" i="10"/>
  <c r="AN68" i="10"/>
  <c r="BB68" i="10"/>
  <c r="AZ68" i="10"/>
  <c r="BH68" i="10"/>
  <c r="BC68" i="10"/>
  <c r="BG68" i="10"/>
  <c r="BM68" i="10"/>
  <c r="AI63" i="10"/>
  <c r="AJ63" i="10"/>
  <c r="AK63" i="10"/>
  <c r="AL63" i="10"/>
  <c r="AF63" i="10"/>
  <c r="AG63" i="10"/>
  <c r="AH63" i="10"/>
  <c r="BL68" i="10"/>
  <c r="BK68" i="10"/>
  <c r="AW26" i="10"/>
  <c r="AE68" i="10"/>
  <c r="BF26" i="10"/>
  <c r="BJ68" i="10"/>
  <c r="AZ63" i="10" l="1"/>
  <c r="BJ63" i="10"/>
  <c r="AX63" i="10"/>
  <c r="BD63" i="10"/>
  <c r="BH63" i="10"/>
  <c r="BB63" i="10"/>
  <c r="AN63" i="10"/>
  <c r="AR54" i="10"/>
  <c r="AS54" i="10"/>
  <c r="AU54" i="10"/>
  <c r="AO54" i="10"/>
  <c r="AP54" i="10"/>
  <c r="AT54" i="10"/>
  <c r="AQ54" i="10"/>
  <c r="BC63" i="10"/>
  <c r="AW68" i="10"/>
  <c r="BG63" i="10"/>
  <c r="BM63" i="10"/>
  <c r="BL63" i="10"/>
  <c r="AG54" i="10"/>
  <c r="AH54" i="10"/>
  <c r="AI54" i="10"/>
  <c r="AJ54" i="10"/>
  <c r="AK54" i="10"/>
  <c r="AL54" i="10"/>
  <c r="AF54" i="10"/>
  <c r="BK63" i="10"/>
  <c r="AY63" i="10"/>
  <c r="AE63" i="10"/>
  <c r="BF68" i="10"/>
  <c r="BA63" i="10"/>
  <c r="BI63" i="10"/>
  <c r="AX54" i="10" l="1"/>
  <c r="AY54" i="10"/>
  <c r="BD54" i="10"/>
  <c r="BC54" i="10"/>
  <c r="AR24" i="10"/>
  <c r="AS24" i="10"/>
  <c r="AU24" i="10"/>
  <c r="AO24" i="10"/>
  <c r="AP24" i="10"/>
  <c r="AQ24" i="10"/>
  <c r="AT24" i="10"/>
  <c r="AN54" i="10"/>
  <c r="BB54" i="10"/>
  <c r="AZ54" i="10"/>
  <c r="BI54" i="10"/>
  <c r="BJ54" i="10"/>
  <c r="BH54" i="10"/>
  <c r="BG54" i="10"/>
  <c r="BM54" i="10"/>
  <c r="AW63" i="10"/>
  <c r="BL54" i="10"/>
  <c r="AG24" i="10"/>
  <c r="AH24" i="10"/>
  <c r="AI24" i="10"/>
  <c r="AJ24" i="10"/>
  <c r="AK24" i="10"/>
  <c r="AL24" i="10"/>
  <c r="AF24" i="10"/>
  <c r="BF63" i="10"/>
  <c r="BA54" i="10"/>
  <c r="BK54" i="10"/>
  <c r="AE54" i="10"/>
  <c r="AY24" i="10" l="1"/>
  <c r="BF54" i="10"/>
  <c r="BA24" i="10"/>
  <c r="AX24" i="10"/>
  <c r="BK24" i="10"/>
  <c r="AZ24" i="10"/>
  <c r="AR70" i="10"/>
  <c r="AS70" i="10"/>
  <c r="AU70" i="10"/>
  <c r="AO70" i="10"/>
  <c r="AP70" i="10"/>
  <c r="AT70" i="10"/>
  <c r="AQ70" i="10"/>
  <c r="AN24" i="10"/>
  <c r="BD24" i="10"/>
  <c r="AE24" i="10"/>
  <c r="BJ24" i="10"/>
  <c r="BI24" i="10"/>
  <c r="BH24" i="10"/>
  <c r="AI70" i="10"/>
  <c r="AJ70" i="10"/>
  <c r="AK70" i="10"/>
  <c r="AL70" i="10"/>
  <c r="AF70" i="10"/>
  <c r="AG70" i="10"/>
  <c r="AH70" i="10"/>
  <c r="BC24" i="10"/>
  <c r="BG24" i="10"/>
  <c r="BB24" i="10"/>
  <c r="BM24" i="10"/>
  <c r="AW54" i="10"/>
  <c r="BL24" i="10"/>
  <c r="AX70" i="10" l="1"/>
  <c r="BL70" i="10"/>
  <c r="BD70" i="10"/>
  <c r="AR65" i="10"/>
  <c r="AS65" i="10"/>
  <c r="AU65" i="10"/>
  <c r="AO65" i="10"/>
  <c r="AP65" i="10"/>
  <c r="AQ65" i="10"/>
  <c r="AT65" i="10"/>
  <c r="AY70" i="10"/>
  <c r="AW24" i="10"/>
  <c r="AZ70" i="10"/>
  <c r="AN70" i="10"/>
  <c r="BB70" i="10"/>
  <c r="BK70" i="10"/>
  <c r="BA70" i="10"/>
  <c r="AE70" i="10"/>
  <c r="AI65" i="10"/>
  <c r="AJ65" i="10"/>
  <c r="AK65" i="10"/>
  <c r="AL65" i="10"/>
  <c r="AF65" i="10"/>
  <c r="AG65" i="10"/>
  <c r="AH65" i="10"/>
  <c r="BI70" i="10"/>
  <c r="BJ70" i="10"/>
  <c r="BC70" i="10"/>
  <c r="BG70" i="10"/>
  <c r="BF24" i="10"/>
  <c r="BH70" i="10"/>
  <c r="BM70" i="10"/>
  <c r="AZ65" i="10" l="1"/>
  <c r="AX65" i="10"/>
  <c r="BA65" i="10"/>
  <c r="BL65" i="10"/>
  <c r="AY65" i="10"/>
  <c r="BB65" i="10"/>
  <c r="BM65" i="10"/>
  <c r="AW70" i="10"/>
  <c r="AR56" i="10"/>
  <c r="AS56" i="10"/>
  <c r="AU56" i="10"/>
  <c r="AO56" i="10"/>
  <c r="AP56" i="10"/>
  <c r="AQ56" i="10"/>
  <c r="AT56" i="10"/>
  <c r="AN65" i="10"/>
  <c r="BK65" i="10"/>
  <c r="AE65" i="10"/>
  <c r="BJ65" i="10"/>
  <c r="BD65" i="10"/>
  <c r="BI65" i="10"/>
  <c r="BH65" i="10"/>
  <c r="BF70" i="10"/>
  <c r="AG56" i="10"/>
  <c r="AH56" i="10"/>
  <c r="AI56" i="10"/>
  <c r="AJ56" i="10"/>
  <c r="AK56" i="10"/>
  <c r="AL56" i="10"/>
  <c r="AF56" i="10"/>
  <c r="BC65" i="10"/>
  <c r="BG65" i="10"/>
  <c r="AX56" i="10" l="1"/>
  <c r="BI56" i="10"/>
  <c r="BD56" i="10"/>
  <c r="BC56" i="10"/>
  <c r="BB56" i="10"/>
  <c r="AW65" i="10"/>
  <c r="AN56" i="10"/>
  <c r="AR28" i="10"/>
  <c r="AS28" i="10"/>
  <c r="AU28" i="10"/>
  <c r="AO28" i="10"/>
  <c r="AP28" i="10"/>
  <c r="AQ28" i="10"/>
  <c r="AT28" i="10"/>
  <c r="BH56" i="10"/>
  <c r="BF65" i="10"/>
  <c r="BG56" i="10"/>
  <c r="BM56" i="10"/>
  <c r="BA56" i="10"/>
  <c r="BL56" i="10"/>
  <c r="AG28" i="10"/>
  <c r="AH28" i="10"/>
  <c r="AI28" i="10"/>
  <c r="AJ28" i="10"/>
  <c r="AK28" i="10"/>
  <c r="AL28" i="10"/>
  <c r="AF28" i="10"/>
  <c r="AZ56" i="10"/>
  <c r="BK56" i="10"/>
  <c r="AY56" i="10"/>
  <c r="AE56" i="10"/>
  <c r="BJ56" i="10"/>
  <c r="BB28" i="10" l="1"/>
  <c r="AY28" i="10"/>
  <c r="BI28" i="10"/>
  <c r="AW56" i="10"/>
  <c r="BM28" i="10"/>
  <c r="AX28" i="10"/>
  <c r="BC28" i="10"/>
  <c r="AP96" i="10"/>
  <c r="AQ96" i="10"/>
  <c r="AR96" i="10"/>
  <c r="AS96" i="10"/>
  <c r="AT96" i="10"/>
  <c r="AU96" i="10"/>
  <c r="AO96" i="10"/>
  <c r="AN28" i="10"/>
  <c r="BD28" i="10"/>
  <c r="BH28" i="10"/>
  <c r="BF56" i="10"/>
  <c r="BG28" i="10"/>
  <c r="BL28" i="10"/>
  <c r="BJ28" i="10"/>
  <c r="BA28" i="10"/>
  <c r="BK28" i="10"/>
  <c r="AX12" i="10"/>
  <c r="AY12" i="10"/>
  <c r="AZ12" i="10"/>
  <c r="BA12" i="10"/>
  <c r="BB12" i="10"/>
  <c r="BD12" i="10"/>
  <c r="BC12" i="10"/>
  <c r="AI96" i="10"/>
  <c r="AJ96" i="10"/>
  <c r="AK96" i="10"/>
  <c r="AL96" i="10"/>
  <c r="AF96" i="10"/>
  <c r="AG96" i="10"/>
  <c r="AH96" i="10"/>
  <c r="AZ28" i="10"/>
  <c r="AE28" i="10"/>
  <c r="AZ96" i="10" l="1"/>
  <c r="BD96" i="10"/>
  <c r="BC96" i="10"/>
  <c r="AY96" i="10"/>
  <c r="AP80" i="10"/>
  <c r="AQ80" i="10"/>
  <c r="AR80" i="10"/>
  <c r="AS80" i="10"/>
  <c r="AT80" i="10"/>
  <c r="AU80" i="10"/>
  <c r="AO80" i="10"/>
  <c r="AX96" i="10"/>
  <c r="BA96" i="10"/>
  <c r="AN96" i="10"/>
  <c r="AW28" i="10"/>
  <c r="BI96" i="10"/>
  <c r="BB96" i="10"/>
  <c r="BJ96" i="10"/>
  <c r="AW12" i="10"/>
  <c r="AE96" i="10"/>
  <c r="BF28" i="10"/>
  <c r="AI80" i="10"/>
  <c r="AJ80" i="10"/>
  <c r="AK80" i="10"/>
  <c r="AL80" i="10"/>
  <c r="AF80" i="10"/>
  <c r="AG80" i="10"/>
  <c r="AH80" i="10"/>
  <c r="BG96" i="10"/>
  <c r="BK96" i="10"/>
  <c r="BM96" i="10"/>
  <c r="BH96" i="10"/>
  <c r="BL96" i="10"/>
  <c r="BA80" i="10" l="1"/>
  <c r="BB80" i="10"/>
  <c r="BH80" i="10"/>
  <c r="BM80" i="10"/>
  <c r="BG80" i="10"/>
  <c r="AZ80" i="10"/>
  <c r="BC80" i="10"/>
  <c r="AN80" i="10"/>
  <c r="AR43" i="10"/>
  <c r="AS43" i="10"/>
  <c r="AU43" i="10"/>
  <c r="AO43" i="10"/>
  <c r="AP43" i="10"/>
  <c r="AQ43" i="10"/>
  <c r="AT43" i="10"/>
  <c r="AW96" i="10"/>
  <c r="BL80" i="10"/>
  <c r="BK80" i="10"/>
  <c r="AY80" i="10"/>
  <c r="AX80" i="10"/>
  <c r="AE80" i="10"/>
  <c r="BF96" i="10"/>
  <c r="BJ80" i="10"/>
  <c r="AG43" i="10"/>
  <c r="AH43" i="10"/>
  <c r="AI43" i="10"/>
  <c r="AJ43" i="10"/>
  <c r="AK43" i="10"/>
  <c r="AL43" i="10"/>
  <c r="AF43" i="10"/>
  <c r="BD80" i="10"/>
  <c r="BI80" i="10"/>
  <c r="BD43" i="10" l="1"/>
  <c r="BH43" i="10"/>
  <c r="AZ43" i="10"/>
  <c r="BJ43" i="10"/>
  <c r="BK43" i="10"/>
  <c r="BC43" i="10"/>
  <c r="AW80" i="10"/>
  <c r="AN43" i="10"/>
  <c r="AP94" i="10"/>
  <c r="AQ94" i="10"/>
  <c r="AR94" i="10"/>
  <c r="AS94" i="10"/>
  <c r="AT94" i="10"/>
  <c r="AU94" i="10"/>
  <c r="AO94" i="10"/>
  <c r="BG43" i="10"/>
  <c r="AX43" i="10"/>
  <c r="BB43" i="10"/>
  <c r="BM43" i="10"/>
  <c r="AX10" i="10"/>
  <c r="AY10" i="10"/>
  <c r="AZ10" i="10"/>
  <c r="BA10" i="10"/>
  <c r="BB10" i="10"/>
  <c r="BC10" i="10"/>
  <c r="BD10" i="10"/>
  <c r="AI94" i="10"/>
  <c r="AJ94" i="10"/>
  <c r="AK94" i="10"/>
  <c r="AL94" i="10"/>
  <c r="AF94" i="10"/>
  <c r="AG94" i="10"/>
  <c r="AH94" i="10"/>
  <c r="BL43" i="10"/>
  <c r="AE43" i="10"/>
  <c r="BA43" i="10"/>
  <c r="AY43" i="10"/>
  <c r="BI43" i="10"/>
  <c r="BF80" i="10"/>
  <c r="BB94" i="10" l="1"/>
  <c r="BA94" i="10"/>
  <c r="BC94" i="10"/>
  <c r="AY94" i="10"/>
  <c r="BF43" i="10"/>
  <c r="AX94" i="10"/>
  <c r="BI94" i="10"/>
  <c r="AN94" i="10"/>
  <c r="AP88" i="10"/>
  <c r="AQ88" i="10"/>
  <c r="AR88" i="10"/>
  <c r="AS88" i="10"/>
  <c r="AT88" i="10"/>
  <c r="AU88" i="10"/>
  <c r="AO88" i="10"/>
  <c r="BD94" i="10"/>
  <c r="BH94" i="10"/>
  <c r="AZ94" i="10"/>
  <c r="BG94" i="10"/>
  <c r="BM94" i="10"/>
  <c r="BL94" i="10"/>
  <c r="AX4" i="10"/>
  <c r="AY4" i="10"/>
  <c r="AZ4" i="10"/>
  <c r="BA4" i="10"/>
  <c r="BD4" i="10"/>
  <c r="BB4" i="10"/>
  <c r="BC4" i="10"/>
  <c r="AI88" i="10"/>
  <c r="AJ88" i="10"/>
  <c r="AK88" i="10"/>
  <c r="AL88" i="10"/>
  <c r="AF88" i="10"/>
  <c r="AG88" i="10"/>
  <c r="AH88" i="10"/>
  <c r="BK94" i="10"/>
  <c r="BJ94" i="10"/>
  <c r="AW10" i="10"/>
  <c r="AE94" i="10"/>
  <c r="AW43" i="10"/>
  <c r="BI88" i="10" l="1"/>
  <c r="AX88" i="10"/>
  <c r="BC88" i="10"/>
  <c r="BB88" i="10"/>
  <c r="BF94" i="10"/>
  <c r="BJ88" i="10"/>
  <c r="AN88" i="10"/>
  <c r="BD88" i="10"/>
  <c r="AP79" i="10"/>
  <c r="AQ79" i="10"/>
  <c r="AR79" i="10"/>
  <c r="AS79" i="10"/>
  <c r="AT79" i="10"/>
  <c r="AU79" i="10"/>
  <c r="AO79" i="10"/>
  <c r="AI79" i="10"/>
  <c r="AJ79" i="10"/>
  <c r="AK79" i="10"/>
  <c r="AL79" i="10"/>
  <c r="AF79" i="10"/>
  <c r="AG79" i="10"/>
  <c r="AH79" i="10"/>
  <c r="AW4" i="10"/>
  <c r="AE88" i="10"/>
  <c r="BA88" i="10"/>
  <c r="BG88" i="10"/>
  <c r="AZ88" i="10"/>
  <c r="BM88" i="10"/>
  <c r="BH88" i="10"/>
  <c r="BL88" i="10"/>
  <c r="AW94" i="10"/>
  <c r="AY88" i="10"/>
  <c r="BK88" i="10"/>
  <c r="AW88" i="10" l="1"/>
  <c r="AZ79" i="10"/>
  <c r="BC79" i="10"/>
  <c r="BH79" i="10"/>
  <c r="AR42" i="10"/>
  <c r="AS42" i="10"/>
  <c r="AU42" i="10"/>
  <c r="AO42" i="10"/>
  <c r="AP42" i="10"/>
  <c r="AT42" i="10"/>
  <c r="AQ42" i="10"/>
  <c r="BB79" i="10"/>
  <c r="AX79" i="10"/>
  <c r="BD79" i="10"/>
  <c r="AN79" i="10"/>
  <c r="BF88" i="10"/>
  <c r="BA79" i="10"/>
  <c r="BI79" i="10"/>
  <c r="AG42" i="10"/>
  <c r="AH42" i="10"/>
  <c r="AI42" i="10"/>
  <c r="AJ42" i="10"/>
  <c r="AK42" i="10"/>
  <c r="AL42" i="10"/>
  <c r="AF42" i="10"/>
  <c r="BG79" i="10"/>
  <c r="AE79" i="10"/>
  <c r="BJ79" i="10"/>
  <c r="BM79" i="10"/>
  <c r="AY79" i="10"/>
  <c r="BL79" i="10"/>
  <c r="BK79" i="10"/>
  <c r="BG42" i="10" l="1"/>
  <c r="BJ42" i="10"/>
  <c r="BB42" i="10"/>
  <c r="AY42" i="10"/>
  <c r="BM42" i="10"/>
  <c r="BC42" i="10"/>
  <c r="AZ42" i="10"/>
  <c r="AW79" i="10"/>
  <c r="AN42" i="10"/>
  <c r="AP93" i="10"/>
  <c r="AQ93" i="10"/>
  <c r="AR93" i="10"/>
  <c r="AS93" i="10"/>
  <c r="AT93" i="10"/>
  <c r="AU93" i="10"/>
  <c r="AO93" i="10"/>
  <c r="AX42" i="10"/>
  <c r="BA42" i="10"/>
  <c r="BL42" i="10"/>
  <c r="AE42" i="10"/>
  <c r="BK42" i="10"/>
  <c r="BF79" i="10"/>
  <c r="AX9" i="10"/>
  <c r="AY9" i="10"/>
  <c r="AZ9" i="10"/>
  <c r="BA9" i="10"/>
  <c r="BB9" i="10"/>
  <c r="BD9" i="10"/>
  <c r="BC9" i="10"/>
  <c r="AI93" i="10"/>
  <c r="AJ93" i="10"/>
  <c r="AK93" i="10"/>
  <c r="AL93" i="10"/>
  <c r="AF93" i="10"/>
  <c r="AG93" i="10"/>
  <c r="AH93" i="10"/>
  <c r="BI42" i="10"/>
  <c r="BD42" i="10"/>
  <c r="BH42" i="10"/>
  <c r="BH93" i="10" l="1"/>
  <c r="AZ93" i="10"/>
  <c r="BB93" i="10"/>
  <c r="BJ93" i="10"/>
  <c r="AX93" i="10"/>
  <c r="AW42" i="10"/>
  <c r="BM93" i="10"/>
  <c r="AN93" i="10"/>
  <c r="AY93" i="10"/>
  <c r="AP87" i="10"/>
  <c r="AQ87" i="10"/>
  <c r="AR87" i="10"/>
  <c r="AS87" i="10"/>
  <c r="AT87" i="10"/>
  <c r="AU87" i="10"/>
  <c r="AO87" i="10"/>
  <c r="BC93" i="10"/>
  <c r="BK93" i="10"/>
  <c r="BF42" i="10"/>
  <c r="BA93" i="10"/>
  <c r="AW9" i="10"/>
  <c r="AE93" i="10"/>
  <c r="BD93" i="10"/>
  <c r="BL93" i="10"/>
  <c r="AI87" i="10"/>
  <c r="AJ87" i="10"/>
  <c r="AK87" i="10"/>
  <c r="AL87" i="10"/>
  <c r="AF87" i="10"/>
  <c r="AG87" i="10"/>
  <c r="AH87" i="10"/>
  <c r="BI93" i="10"/>
  <c r="BG93" i="10"/>
  <c r="BA87" i="10" l="1"/>
  <c r="BC87" i="10"/>
  <c r="BH87" i="10"/>
  <c r="AW93" i="10"/>
  <c r="BB87" i="10"/>
  <c r="AX87" i="10"/>
  <c r="AN87" i="10"/>
  <c r="AP78" i="10"/>
  <c r="AQ78" i="10"/>
  <c r="AR78" i="10"/>
  <c r="AS78" i="10"/>
  <c r="AT78" i="10"/>
  <c r="AU78" i="10"/>
  <c r="AO78" i="10"/>
  <c r="BJ87" i="10"/>
  <c r="BD87" i="10"/>
  <c r="BG87" i="10"/>
  <c r="AZ87" i="10"/>
  <c r="BM87" i="10"/>
  <c r="BI87" i="10"/>
  <c r="AY87" i="10"/>
  <c r="BL87" i="10"/>
  <c r="BF93" i="10"/>
  <c r="AI78" i="10"/>
  <c r="AJ78" i="10"/>
  <c r="AK78" i="10"/>
  <c r="AL78" i="10"/>
  <c r="AF78" i="10"/>
  <c r="AG78" i="10"/>
  <c r="AH78" i="10"/>
  <c r="BK87" i="10"/>
  <c r="AE87" i="10"/>
  <c r="BC78" i="10" l="1"/>
  <c r="BD78" i="10"/>
  <c r="AY78" i="10"/>
  <c r="BK78" i="10"/>
  <c r="AX78" i="10"/>
  <c r="BA78" i="10"/>
  <c r="AW87" i="10"/>
  <c r="BI78" i="10"/>
  <c r="AR40" i="10"/>
  <c r="AS40" i="10"/>
  <c r="AU40" i="10"/>
  <c r="AO40" i="10"/>
  <c r="AP40" i="10"/>
  <c r="AQ40" i="10"/>
  <c r="AT40" i="10"/>
  <c r="AN78" i="10"/>
  <c r="AE78" i="10"/>
  <c r="BJ78" i="10"/>
  <c r="BF87" i="10"/>
  <c r="BH78" i="10"/>
  <c r="AZ78" i="10"/>
  <c r="BG78" i="10"/>
  <c r="AG40" i="10"/>
  <c r="AH40" i="10"/>
  <c r="AI40" i="10"/>
  <c r="AJ40" i="10"/>
  <c r="AK40" i="10"/>
  <c r="AL40" i="10"/>
  <c r="AF40" i="10"/>
  <c r="BM78" i="10"/>
  <c r="BB78" i="10"/>
  <c r="BL78" i="10"/>
  <c r="CR57" i="8"/>
  <c r="CR58" i="8"/>
  <c r="CR59" i="8"/>
  <c r="CR60" i="8"/>
  <c r="CR61" i="8"/>
  <c r="CR62" i="8"/>
  <c r="CR63" i="8"/>
  <c r="CR64" i="8"/>
  <c r="CR65" i="8"/>
  <c r="CR66" i="8"/>
  <c r="CR67" i="8"/>
  <c r="CR69" i="8"/>
  <c r="CR70" i="8"/>
  <c r="CR71" i="8"/>
  <c r="CR72" i="8"/>
  <c r="CR73" i="8"/>
  <c r="CR74" i="8"/>
  <c r="CR75" i="8"/>
  <c r="CR76" i="8"/>
  <c r="CR77" i="8"/>
  <c r="CR78" i="8"/>
  <c r="CR79" i="8"/>
  <c r="CR80" i="8"/>
  <c r="CR81" i="8"/>
  <c r="CR82" i="8"/>
  <c r="CR83" i="8"/>
  <c r="CR84" i="8"/>
  <c r="CR85" i="8"/>
  <c r="CR86" i="8"/>
  <c r="CR87" i="8"/>
  <c r="CR88" i="8"/>
  <c r="CR89" i="8"/>
  <c r="CR90" i="8"/>
  <c r="CR91" i="8"/>
  <c r="CR92" i="8"/>
  <c r="CR93" i="8"/>
  <c r="CR94" i="8"/>
  <c r="CR95" i="8"/>
  <c r="CR96" i="8"/>
  <c r="CR97" i="8"/>
  <c r="CR98" i="8"/>
  <c r="CR99" i="8"/>
  <c r="CR100" i="8"/>
  <c r="CR101" i="8"/>
  <c r="CR102" i="8"/>
  <c r="CR50" i="8"/>
  <c r="CR51" i="8"/>
  <c r="CR52" i="8"/>
  <c r="CR53" i="8"/>
  <c r="CR54" i="8"/>
  <c r="CR55" i="8"/>
  <c r="CR56" i="8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DI2" i="8"/>
  <c r="DH2" i="8"/>
  <c r="DG2" i="8"/>
  <c r="DJ2" i="8" l="1"/>
  <c r="DL2" i="8" s="1"/>
  <c r="BC40" i="10"/>
  <c r="AZ40" i="10"/>
  <c r="AY40" i="10"/>
  <c r="BK40" i="10"/>
  <c r="BA40" i="10"/>
  <c r="AX40" i="10"/>
  <c r="BF78" i="10"/>
  <c r="BD40" i="10"/>
  <c r="AN40" i="10"/>
  <c r="AE40" i="10"/>
  <c r="BJ40" i="10"/>
  <c r="BH40" i="10"/>
  <c r="BI40" i="10"/>
  <c r="BG40" i="10"/>
  <c r="BB40" i="10"/>
  <c r="BM40" i="10"/>
  <c r="BL40" i="10"/>
  <c r="AW78" i="10"/>
  <c r="DI102" i="8"/>
  <c r="DH102" i="8"/>
  <c r="DG102" i="8"/>
  <c r="CY102" i="8"/>
  <c r="R102" i="8" a="1"/>
  <c r="J102" i="8" a="1"/>
  <c r="B102" i="8" a="1"/>
  <c r="O147" i="7"/>
  <c r="DK2" i="8" l="1"/>
  <c r="DJ102" i="8"/>
  <c r="DL102" i="8" s="1"/>
  <c r="AW40" i="10"/>
  <c r="BF40" i="10"/>
  <c r="J102" i="8"/>
  <c r="B102" i="8"/>
  <c r="R102" i="8"/>
  <c r="DI101" i="8"/>
  <c r="DH101" i="8"/>
  <c r="DG101" i="8"/>
  <c r="CY101" i="8"/>
  <c r="R101" i="8" a="1"/>
  <c r="J101" i="8" a="1"/>
  <c r="B101" i="8" a="1"/>
  <c r="O146" i="7"/>
  <c r="DK102" i="8" l="1"/>
  <c r="DJ101" i="8"/>
  <c r="DL101" i="8" s="1"/>
  <c r="J101" i="8"/>
  <c r="AD103" i="11"/>
  <c r="DP102" i="8"/>
  <c r="R101" i="8"/>
  <c r="B101" i="8"/>
  <c r="DI100" i="8"/>
  <c r="DH100" i="8"/>
  <c r="DG100" i="8"/>
  <c r="CY100" i="8"/>
  <c r="R100" i="8" a="1"/>
  <c r="J100" i="8" a="1"/>
  <c r="B100" i="8" a="1"/>
  <c r="O145" i="7"/>
  <c r="DK101" i="8" l="1"/>
  <c r="DJ100" i="8"/>
  <c r="DL100" i="8" s="1"/>
  <c r="J100" i="8"/>
  <c r="AD102" i="11"/>
  <c r="DP101" i="8"/>
  <c r="R100" i="8"/>
  <c r="B100" i="8"/>
  <c r="DI99" i="8"/>
  <c r="DH99" i="8"/>
  <c r="DG99" i="8"/>
  <c r="CY99" i="8"/>
  <c r="R99" i="8" a="1"/>
  <c r="J99" i="8" a="1"/>
  <c r="B99" i="8" a="1"/>
  <c r="O144" i="7"/>
  <c r="DK100" i="8" l="1"/>
  <c r="DJ99" i="8"/>
  <c r="DL99" i="8" s="1"/>
  <c r="J99" i="8"/>
  <c r="AD101" i="11"/>
  <c r="DP100" i="8"/>
  <c r="R99" i="8"/>
  <c r="B99" i="8"/>
  <c r="DI98" i="8"/>
  <c r="DH98" i="8"/>
  <c r="DG98" i="8"/>
  <c r="CY98" i="8"/>
  <c r="R98" i="8" a="1"/>
  <c r="J98" i="8" a="1"/>
  <c r="B98" i="8" a="1"/>
  <c r="O143" i="7"/>
  <c r="DK99" i="8" l="1"/>
  <c r="DJ98" i="8"/>
  <c r="DL98" i="8" s="1"/>
  <c r="J98" i="8"/>
  <c r="AD100" i="11"/>
  <c r="DP99" i="8"/>
  <c r="B98" i="8"/>
  <c r="R98" i="8"/>
  <c r="DI97" i="8"/>
  <c r="DH97" i="8"/>
  <c r="DG97" i="8"/>
  <c r="CY97" i="8"/>
  <c r="R97" i="8" a="1"/>
  <c r="J97" i="8" a="1"/>
  <c r="B97" i="8" a="1"/>
  <c r="O142" i="7"/>
  <c r="DK98" i="8" l="1"/>
  <c r="DJ97" i="8"/>
  <c r="DL97" i="8" s="1"/>
  <c r="J97" i="8"/>
  <c r="AD99" i="11"/>
  <c r="DP98" i="8"/>
  <c r="R97" i="8"/>
  <c r="B97" i="8"/>
  <c r="DI96" i="8"/>
  <c r="DH96" i="8"/>
  <c r="DG96" i="8"/>
  <c r="CY96" i="8"/>
  <c r="R96" i="8" a="1"/>
  <c r="J96" i="8" a="1"/>
  <c r="B96" i="8" a="1"/>
  <c r="O141" i="7"/>
  <c r="DK97" i="8" l="1"/>
  <c r="DJ96" i="8"/>
  <c r="J96" i="8"/>
  <c r="AD98" i="11"/>
  <c r="DP97" i="8"/>
  <c r="B96" i="8"/>
  <c r="R96" i="8"/>
  <c r="A96" i="8"/>
  <c r="A97" i="8"/>
  <c r="A98" i="8"/>
  <c r="A99" i="8"/>
  <c r="A100" i="8"/>
  <c r="A101" i="8"/>
  <c r="A102" i="8"/>
  <c r="DI95" i="8"/>
  <c r="DH95" i="8"/>
  <c r="DG95" i="8"/>
  <c r="CY95" i="8"/>
  <c r="R95" i="8" a="1"/>
  <c r="J95" i="8" a="1"/>
  <c r="B95" i="8" a="1"/>
  <c r="O140" i="7"/>
  <c r="DK96" i="8" l="1"/>
  <c r="DL96" i="8"/>
  <c r="DJ95" i="8"/>
  <c r="DL95" i="8" s="1"/>
  <c r="A101" i="9"/>
  <c r="A101" i="12"/>
  <c r="A100" i="9"/>
  <c r="A100" i="12"/>
  <c r="A99" i="9"/>
  <c r="A99" i="12"/>
  <c r="A98" i="9"/>
  <c r="A98" i="12"/>
  <c r="A102" i="9"/>
  <c r="A102" i="12"/>
  <c r="A97" i="9"/>
  <c r="A97" i="12"/>
  <c r="A96" i="9"/>
  <c r="A96" i="12"/>
  <c r="J95" i="8"/>
  <c r="AD97" i="11"/>
  <c r="DP96" i="8"/>
  <c r="B95" i="8"/>
  <c r="R95" i="8"/>
  <c r="DI94" i="8"/>
  <c r="DH94" i="8"/>
  <c r="DG94" i="8"/>
  <c r="CY94" i="8"/>
  <c r="R94" i="8" a="1"/>
  <c r="J94" i="8" a="1"/>
  <c r="B94" i="8" a="1"/>
  <c r="O139" i="7"/>
  <c r="DK95" i="8" l="1"/>
  <c r="DJ94" i="8"/>
  <c r="DL94" i="8" s="1"/>
  <c r="J94" i="8"/>
  <c r="AD96" i="11"/>
  <c r="DP95" i="8"/>
  <c r="R94" i="8"/>
  <c r="B94" i="8"/>
  <c r="DI93" i="8"/>
  <c r="DH93" i="8"/>
  <c r="DG93" i="8"/>
  <c r="CZ93" i="8"/>
  <c r="CZ94" i="8"/>
  <c r="CZ95" i="8"/>
  <c r="CZ96" i="8"/>
  <c r="CZ97" i="8"/>
  <c r="CZ98" i="8"/>
  <c r="CZ99" i="8"/>
  <c r="CZ100" i="8"/>
  <c r="CZ101" i="8"/>
  <c r="CZ102" i="8"/>
  <c r="CY93" i="8"/>
  <c r="R93" i="8" a="1"/>
  <c r="J93" i="8" a="1"/>
  <c r="B93" i="8" a="1"/>
  <c r="O138" i="7"/>
  <c r="DK94" i="8" l="1"/>
  <c r="DJ93" i="8"/>
  <c r="DL93" i="8" s="1"/>
  <c r="J93" i="8"/>
  <c r="AD95" i="11"/>
  <c r="DP94" i="8"/>
  <c r="B93" i="8"/>
  <c r="R93" i="8"/>
  <c r="DI92" i="8"/>
  <c r="DH92" i="8"/>
  <c r="DG92" i="8"/>
  <c r="CY92" i="8"/>
  <c r="R92" i="8" a="1"/>
  <c r="J92" i="8" a="1"/>
  <c r="B92" i="8" a="1"/>
  <c r="O137" i="7"/>
  <c r="DK93" i="8" l="1"/>
  <c r="DJ92" i="8"/>
  <c r="DL92" i="8" s="1"/>
  <c r="J92" i="8"/>
  <c r="AD94" i="11"/>
  <c r="DP93" i="8"/>
  <c r="B92" i="8"/>
  <c r="R92" i="8"/>
  <c r="DI91" i="8"/>
  <c r="DJ91" i="8" s="1"/>
  <c r="DH91" i="8"/>
  <c r="DG91" i="8"/>
  <c r="CY91" i="8"/>
  <c r="R91" i="8" a="1"/>
  <c r="J91" i="8" a="1"/>
  <c r="B91" i="8" a="1"/>
  <c r="O136" i="7"/>
  <c r="DK91" i="8" l="1"/>
  <c r="DL91" i="8"/>
  <c r="DK92" i="8"/>
  <c r="J91" i="8"/>
  <c r="AD93" i="11"/>
  <c r="DP92" i="8"/>
  <c r="R91" i="8"/>
  <c r="B91" i="8"/>
  <c r="DI90" i="8"/>
  <c r="DH90" i="8"/>
  <c r="DG90" i="8"/>
  <c r="CY90" i="8"/>
  <c r="R90" i="8" a="1"/>
  <c r="J90" i="8" a="1"/>
  <c r="B90" i="8" a="1"/>
  <c r="O135" i="7"/>
  <c r="DJ90" i="8" l="1"/>
  <c r="DL90" i="8" s="1"/>
  <c r="J90" i="8"/>
  <c r="AD92" i="11"/>
  <c r="DP91" i="8"/>
  <c r="R90" i="8"/>
  <c r="B90" i="8"/>
  <c r="DI89" i="8"/>
  <c r="DH89" i="8"/>
  <c r="DG89" i="8"/>
  <c r="CY89" i="8"/>
  <c r="R89" i="8" a="1"/>
  <c r="J89" i="8" a="1"/>
  <c r="B89" i="8" a="1"/>
  <c r="A89" i="8"/>
  <c r="A90" i="8"/>
  <c r="A91" i="8"/>
  <c r="A92" i="8"/>
  <c r="A93" i="8"/>
  <c r="A94" i="8"/>
  <c r="A95" i="8"/>
  <c r="O134" i="7"/>
  <c r="DK90" i="8" l="1"/>
  <c r="DJ89" i="8"/>
  <c r="DL89" i="8" s="1"/>
  <c r="A89" i="9"/>
  <c r="A89" i="12"/>
  <c r="A94" i="9"/>
  <c r="A94" i="12"/>
  <c r="A93" i="9"/>
  <c r="A93" i="12"/>
  <c r="A92" i="9"/>
  <c r="A92" i="12"/>
  <c r="A95" i="9"/>
  <c r="A95" i="12"/>
  <c r="A91" i="9"/>
  <c r="A91" i="12"/>
  <c r="A90" i="9"/>
  <c r="A90" i="12"/>
  <c r="J89" i="8"/>
  <c r="AD91" i="11"/>
  <c r="DP90" i="8"/>
  <c r="B89" i="8"/>
  <c r="R89" i="8"/>
  <c r="DI88" i="8"/>
  <c r="DH88" i="8"/>
  <c r="DG88" i="8"/>
  <c r="CY88" i="8"/>
  <c r="CW88" i="8"/>
  <c r="CX88" i="8"/>
  <c r="CZ88" i="8"/>
  <c r="DA88" i="8"/>
  <c r="DB88" i="8"/>
  <c r="DC88" i="8"/>
  <c r="DD88" i="8"/>
  <c r="C88" i="10" s="1"/>
  <c r="DE88" i="8"/>
  <c r="DF88" i="8"/>
  <c r="CW89" i="8"/>
  <c r="CX89" i="8"/>
  <c r="CZ89" i="8"/>
  <c r="DA89" i="8"/>
  <c r="DB89" i="8"/>
  <c r="DC89" i="8"/>
  <c r="DD89" i="8"/>
  <c r="C89" i="10" s="1"/>
  <c r="DE89" i="8"/>
  <c r="DF89" i="8"/>
  <c r="CW90" i="8"/>
  <c r="CX90" i="8"/>
  <c r="CZ90" i="8"/>
  <c r="DA90" i="8"/>
  <c r="DB90" i="8"/>
  <c r="DC90" i="8"/>
  <c r="DD90" i="8"/>
  <c r="C90" i="10" s="1"/>
  <c r="DE90" i="8"/>
  <c r="DF90" i="8"/>
  <c r="CW91" i="8"/>
  <c r="CX91" i="8"/>
  <c r="CZ91" i="8"/>
  <c r="DA91" i="8"/>
  <c r="DB91" i="8"/>
  <c r="DC91" i="8"/>
  <c r="DD91" i="8"/>
  <c r="C91" i="10" s="1"/>
  <c r="DE91" i="8"/>
  <c r="DF91" i="8"/>
  <c r="CW92" i="8"/>
  <c r="CX92" i="8"/>
  <c r="CZ92" i="8"/>
  <c r="DA92" i="8"/>
  <c r="DB92" i="8"/>
  <c r="DC92" i="8"/>
  <c r="DD92" i="8"/>
  <c r="C92" i="10" s="1"/>
  <c r="DE92" i="8"/>
  <c r="DF92" i="8"/>
  <c r="CW93" i="8"/>
  <c r="CX93" i="8"/>
  <c r="DA93" i="8"/>
  <c r="DB93" i="8"/>
  <c r="DC93" i="8"/>
  <c r="DD93" i="8"/>
  <c r="C93" i="10" s="1"/>
  <c r="DE93" i="8"/>
  <c r="DF93" i="8"/>
  <c r="CW94" i="8"/>
  <c r="CX94" i="8"/>
  <c r="DA94" i="8"/>
  <c r="DB94" i="8"/>
  <c r="DC94" i="8"/>
  <c r="DD94" i="8"/>
  <c r="C94" i="10" s="1"/>
  <c r="DE94" i="8"/>
  <c r="DF94" i="8"/>
  <c r="CW95" i="8"/>
  <c r="CX95" i="8"/>
  <c r="DA95" i="8"/>
  <c r="DB95" i="8"/>
  <c r="DC95" i="8"/>
  <c r="DD95" i="8"/>
  <c r="C95" i="10" s="1"/>
  <c r="DE95" i="8"/>
  <c r="DF95" i="8"/>
  <c r="CW96" i="8"/>
  <c r="CX96" i="8"/>
  <c r="DA96" i="8"/>
  <c r="DB96" i="8"/>
  <c r="DC96" i="8"/>
  <c r="DD96" i="8"/>
  <c r="C96" i="10" s="1"/>
  <c r="DE96" i="8"/>
  <c r="DF96" i="8"/>
  <c r="CW97" i="8"/>
  <c r="CX97" i="8"/>
  <c r="DA97" i="8"/>
  <c r="DB97" i="8"/>
  <c r="DC97" i="8"/>
  <c r="DD97" i="8"/>
  <c r="C97" i="10" s="1"/>
  <c r="DE97" i="8"/>
  <c r="DF97" i="8"/>
  <c r="CW98" i="8"/>
  <c r="CX98" i="8"/>
  <c r="DA98" i="8"/>
  <c r="DB98" i="8"/>
  <c r="DC98" i="8"/>
  <c r="DD98" i="8"/>
  <c r="C98" i="10" s="1"/>
  <c r="DE98" i="8"/>
  <c r="DF98" i="8"/>
  <c r="CW99" i="8"/>
  <c r="CX99" i="8"/>
  <c r="DA99" i="8"/>
  <c r="DB99" i="8"/>
  <c r="DC99" i="8"/>
  <c r="DD99" i="8"/>
  <c r="C99" i="10" s="1"/>
  <c r="DE99" i="8"/>
  <c r="DF99" i="8"/>
  <c r="CW100" i="8"/>
  <c r="CX100" i="8"/>
  <c r="DA100" i="8"/>
  <c r="DB100" i="8"/>
  <c r="DC100" i="8"/>
  <c r="DD100" i="8"/>
  <c r="C100" i="10" s="1"/>
  <c r="DE100" i="8"/>
  <c r="DF100" i="8"/>
  <c r="CW101" i="8"/>
  <c r="CX101" i="8"/>
  <c r="DA101" i="8"/>
  <c r="DB101" i="8"/>
  <c r="DC101" i="8"/>
  <c r="DD101" i="8"/>
  <c r="C101" i="10" s="1"/>
  <c r="DE101" i="8"/>
  <c r="DF101" i="8"/>
  <c r="CW102" i="8"/>
  <c r="CX102" i="8"/>
  <c r="DA102" i="8"/>
  <c r="DB102" i="8"/>
  <c r="DC102" i="8"/>
  <c r="DD102" i="8"/>
  <c r="C102" i="10" s="1"/>
  <c r="DE102" i="8"/>
  <c r="DF102" i="8"/>
  <c r="R88" i="8" a="1"/>
  <c r="J88" i="8" a="1"/>
  <c r="B88" i="8" a="1"/>
  <c r="O133" i="7"/>
  <c r="DK89" i="8" l="1"/>
  <c r="DJ88" i="8"/>
  <c r="DL88" i="8" s="1"/>
  <c r="BD102" i="9"/>
  <c r="IV102" i="9"/>
  <c r="JE102" i="9"/>
  <c r="DN102" i="8"/>
  <c r="K102" i="9"/>
  <c r="T102" i="9" s="1"/>
  <c r="BD101" i="9"/>
  <c r="JE101" i="9"/>
  <c r="DN101" i="8"/>
  <c r="IV101" i="9"/>
  <c r="K101" i="9"/>
  <c r="T101" i="9" s="1"/>
  <c r="BD100" i="9"/>
  <c r="DN100" i="8"/>
  <c r="IV100" i="9"/>
  <c r="JE100" i="9"/>
  <c r="K100" i="9"/>
  <c r="T100" i="9" s="1"/>
  <c r="BD99" i="9"/>
  <c r="DN99" i="8"/>
  <c r="IV99" i="9"/>
  <c r="JE99" i="9"/>
  <c r="K99" i="9"/>
  <c r="T99" i="9" s="1"/>
  <c r="BD98" i="9"/>
  <c r="DN98" i="8"/>
  <c r="IV98" i="9"/>
  <c r="JE98" i="9"/>
  <c r="K98" i="9"/>
  <c r="T98" i="9" s="1"/>
  <c r="BD97" i="9"/>
  <c r="IV97" i="9"/>
  <c r="JE97" i="9"/>
  <c r="DN97" i="8"/>
  <c r="K97" i="9"/>
  <c r="T97" i="9" s="1"/>
  <c r="BD96" i="9"/>
  <c r="IV96" i="9"/>
  <c r="JE96" i="9"/>
  <c r="DN96" i="8"/>
  <c r="K96" i="9"/>
  <c r="T96" i="9" s="1"/>
  <c r="BD95" i="9"/>
  <c r="IV95" i="9"/>
  <c r="JE95" i="9"/>
  <c r="DN95" i="8"/>
  <c r="K95" i="9"/>
  <c r="T95" i="9" s="1"/>
  <c r="BD94" i="9"/>
  <c r="JE94" i="9"/>
  <c r="DN94" i="8"/>
  <c r="IV94" i="9"/>
  <c r="K94" i="9"/>
  <c r="T94" i="9" s="1"/>
  <c r="BD93" i="9"/>
  <c r="JE93" i="9"/>
  <c r="DN93" i="8"/>
  <c r="IV93" i="9"/>
  <c r="K93" i="9"/>
  <c r="T93" i="9" s="1"/>
  <c r="BD92" i="9"/>
  <c r="DN92" i="8"/>
  <c r="JE92" i="9"/>
  <c r="IV92" i="9"/>
  <c r="K92" i="9"/>
  <c r="T92" i="9" s="1"/>
  <c r="BD91" i="9"/>
  <c r="DN91" i="8"/>
  <c r="IV91" i="9"/>
  <c r="JE91" i="9"/>
  <c r="K91" i="9"/>
  <c r="T91" i="9" s="1"/>
  <c r="BD90" i="9"/>
  <c r="DN90" i="8"/>
  <c r="IV90" i="9"/>
  <c r="JE90" i="9"/>
  <c r="K90" i="9"/>
  <c r="T90" i="9" s="1"/>
  <c r="BD88" i="9"/>
  <c r="IV88" i="9"/>
  <c r="JE88" i="9"/>
  <c r="DN88" i="8"/>
  <c r="K88" i="9"/>
  <c r="T88" i="9" s="1"/>
  <c r="BD89" i="9"/>
  <c r="IV89" i="9"/>
  <c r="JE89" i="9"/>
  <c r="DN89" i="8"/>
  <c r="K89" i="9"/>
  <c r="T89" i="9" s="1"/>
  <c r="B99" i="10"/>
  <c r="AD99" i="10" s="1"/>
  <c r="B95" i="10"/>
  <c r="AD95" i="10" s="1"/>
  <c r="B92" i="10"/>
  <c r="AC102" i="10"/>
  <c r="W102" i="10"/>
  <c r="X102" i="10"/>
  <c r="Y102" i="10"/>
  <c r="BR102" i="10" s="1"/>
  <c r="V102" i="10"/>
  <c r="BO102" i="10" s="1"/>
  <c r="Z102" i="10"/>
  <c r="AA102" i="10"/>
  <c r="AB102" i="10"/>
  <c r="DP101" i="9"/>
  <c r="DQ101" i="9"/>
  <c r="DR101" i="9"/>
  <c r="DS101" i="9"/>
  <c r="DT101" i="9"/>
  <c r="DU101" i="9"/>
  <c r="DV101" i="9"/>
  <c r="DW101" i="9"/>
  <c r="DO101" i="9"/>
  <c r="DX101" i="9" s="1"/>
  <c r="DP97" i="9"/>
  <c r="DQ97" i="9"/>
  <c r="DR97" i="9"/>
  <c r="DS97" i="9"/>
  <c r="DT97" i="9"/>
  <c r="DU97" i="9"/>
  <c r="DV97" i="9"/>
  <c r="DW97" i="9"/>
  <c r="DO97" i="9"/>
  <c r="DX97" i="9" s="1"/>
  <c r="DP93" i="9"/>
  <c r="DQ93" i="9"/>
  <c r="DR93" i="9"/>
  <c r="DS93" i="9"/>
  <c r="DT93" i="9"/>
  <c r="DU93" i="9"/>
  <c r="DV93" i="9"/>
  <c r="DW93" i="9"/>
  <c r="DO93" i="9"/>
  <c r="DX93" i="9" s="1"/>
  <c r="DJ102" i="9" a="1"/>
  <c r="DJ102" i="9" s="1"/>
  <c r="DM102" i="9" a="1"/>
  <c r="DM102" i="9" s="1"/>
  <c r="DN102" i="9" a="1"/>
  <c r="DN102" i="9" s="1"/>
  <c r="DF102" i="9"/>
  <c r="DG102" i="9"/>
  <c r="DH102" i="9" a="1"/>
  <c r="DH102" i="9" s="1"/>
  <c r="DI102" i="9" a="1"/>
  <c r="DI102" i="9" s="1"/>
  <c r="DK102" i="9" a="1"/>
  <c r="DK102" i="9" s="1"/>
  <c r="DL102" i="9" a="1"/>
  <c r="DL102" i="9" s="1"/>
  <c r="DJ101" i="9" a="1"/>
  <c r="DJ101" i="9" s="1"/>
  <c r="DL101" i="9" a="1"/>
  <c r="DL101" i="9" s="1"/>
  <c r="DF101" i="9"/>
  <c r="DM101" i="9" a="1"/>
  <c r="DM101" i="9" s="1"/>
  <c r="DN101" i="9" a="1"/>
  <c r="DN101" i="9" s="1"/>
  <c r="DG101" i="9"/>
  <c r="DH101" i="9" a="1"/>
  <c r="DH101" i="9" s="1"/>
  <c r="DI101" i="9" a="1"/>
  <c r="DI101" i="9" s="1"/>
  <c r="DK101" i="9" a="1"/>
  <c r="DK101" i="9" s="1"/>
  <c r="DK100" i="9" a="1"/>
  <c r="DK100" i="9" s="1"/>
  <c r="DF100" i="9"/>
  <c r="DL100" i="9" a="1"/>
  <c r="DL100" i="9" s="1"/>
  <c r="DM100" i="9" a="1"/>
  <c r="DM100" i="9" s="1"/>
  <c r="DG100" i="9"/>
  <c r="DN100" i="9" a="1"/>
  <c r="DN100" i="9" s="1"/>
  <c r="DH100" i="9" a="1"/>
  <c r="DH100" i="9" s="1"/>
  <c r="DI100" i="9" a="1"/>
  <c r="DI100" i="9" s="1"/>
  <c r="DJ100" i="9" a="1"/>
  <c r="DJ100" i="9" s="1"/>
  <c r="DL99" i="9" a="1"/>
  <c r="DL99" i="9" s="1"/>
  <c r="DK99" i="9" a="1"/>
  <c r="DK99" i="9" s="1"/>
  <c r="DM99" i="9" a="1"/>
  <c r="DM99" i="9" s="1"/>
  <c r="DN99" i="9" a="1"/>
  <c r="DN99" i="9" s="1"/>
  <c r="DG99" i="9"/>
  <c r="DH99" i="9" a="1"/>
  <c r="DH99" i="9" s="1"/>
  <c r="DI99" i="9" a="1"/>
  <c r="DI99" i="9" s="1"/>
  <c r="DJ99" i="9" a="1"/>
  <c r="DJ99" i="9" s="1"/>
  <c r="DF99" i="9"/>
  <c r="DL98" i="9" a="1"/>
  <c r="DL98" i="9" s="1"/>
  <c r="DK98" i="9" a="1"/>
  <c r="DK98" i="9" s="1"/>
  <c r="DM98" i="9" a="1"/>
  <c r="DM98" i="9" s="1"/>
  <c r="DN98" i="9" a="1"/>
  <c r="DN98" i="9" s="1"/>
  <c r="DG98" i="9"/>
  <c r="DH98" i="9" a="1"/>
  <c r="DH98" i="9" s="1"/>
  <c r="DI98" i="9" a="1"/>
  <c r="DI98" i="9" s="1"/>
  <c r="DF98" i="9"/>
  <c r="DJ98" i="9" a="1"/>
  <c r="DJ98" i="9" s="1"/>
  <c r="DM97" i="9" a="1"/>
  <c r="DM97" i="9" s="1"/>
  <c r="DJ97" i="9" a="1"/>
  <c r="DJ97" i="9" s="1"/>
  <c r="DK97" i="9" a="1"/>
  <c r="DK97" i="9" s="1"/>
  <c r="DL97" i="9" a="1"/>
  <c r="DL97" i="9" s="1"/>
  <c r="DN97" i="9" a="1"/>
  <c r="DN97" i="9" s="1"/>
  <c r="DG97" i="9"/>
  <c r="DF97" i="9"/>
  <c r="DH97" i="9" a="1"/>
  <c r="DH97" i="9" s="1"/>
  <c r="DI97" i="9" a="1"/>
  <c r="DI97" i="9" s="1"/>
  <c r="DN96" i="9" a="1"/>
  <c r="DN96" i="9" s="1"/>
  <c r="DJ96" i="9" a="1"/>
  <c r="DJ96" i="9" s="1"/>
  <c r="DK96" i="9" a="1"/>
  <c r="DK96" i="9" s="1"/>
  <c r="DL96" i="9" a="1"/>
  <c r="DL96" i="9" s="1"/>
  <c r="DM96" i="9" a="1"/>
  <c r="DM96" i="9" s="1"/>
  <c r="DF96" i="9"/>
  <c r="DG96" i="9"/>
  <c r="DH96" i="9" a="1"/>
  <c r="DH96" i="9" s="1"/>
  <c r="DI96" i="9" a="1"/>
  <c r="DI96" i="9" s="1"/>
  <c r="DN95" i="9" a="1"/>
  <c r="DN95" i="9" s="1"/>
  <c r="DI95" i="9" a="1"/>
  <c r="DI95" i="9" s="1"/>
  <c r="DJ95" i="9" a="1"/>
  <c r="DJ95" i="9" s="1"/>
  <c r="DK95" i="9" a="1"/>
  <c r="DK95" i="9" s="1"/>
  <c r="DL95" i="9" a="1"/>
  <c r="DL95" i="9" s="1"/>
  <c r="DF95" i="9"/>
  <c r="DM95" i="9" a="1"/>
  <c r="DM95" i="9" s="1"/>
  <c r="DG95" i="9"/>
  <c r="DH95" i="9" a="1"/>
  <c r="DH95" i="9" s="1"/>
  <c r="DN94" i="9" a="1"/>
  <c r="DN94" i="9" s="1"/>
  <c r="DH94" i="9" a="1"/>
  <c r="DH94" i="9" s="1"/>
  <c r="DI94" i="9" a="1"/>
  <c r="DI94" i="9" s="1"/>
  <c r="DJ94" i="9" a="1"/>
  <c r="DJ94" i="9" s="1"/>
  <c r="DF94" i="9"/>
  <c r="DK94" i="9" a="1"/>
  <c r="DK94" i="9" s="1"/>
  <c r="DL94" i="9" a="1"/>
  <c r="DL94" i="9" s="1"/>
  <c r="DM94" i="9" a="1"/>
  <c r="DM94" i="9" s="1"/>
  <c r="DG94" i="9"/>
  <c r="DN93" i="9" a="1"/>
  <c r="DN93" i="9" s="1"/>
  <c r="DG93" i="9"/>
  <c r="DH93" i="9" a="1"/>
  <c r="DH93" i="9" s="1"/>
  <c r="DF93" i="9"/>
  <c r="DI93" i="9" a="1"/>
  <c r="DI93" i="9" s="1"/>
  <c r="DJ93" i="9" a="1"/>
  <c r="DJ93" i="9" s="1"/>
  <c r="DK93" i="9" a="1"/>
  <c r="DK93" i="9" s="1"/>
  <c r="DL93" i="9" a="1"/>
  <c r="DL93" i="9" s="1"/>
  <c r="DM93" i="9" a="1"/>
  <c r="DM93" i="9" s="1"/>
  <c r="DG92" i="9"/>
  <c r="DN92" i="9" a="1"/>
  <c r="DN92" i="9" s="1"/>
  <c r="DF92" i="9"/>
  <c r="DH92" i="9" a="1"/>
  <c r="DH92" i="9" s="1"/>
  <c r="DI92" i="9" a="1"/>
  <c r="DI92" i="9" s="1"/>
  <c r="DJ92" i="9" a="1"/>
  <c r="DJ92" i="9" s="1"/>
  <c r="DK92" i="9" a="1"/>
  <c r="DK92" i="9" s="1"/>
  <c r="DL92" i="9" a="1"/>
  <c r="DL92" i="9" s="1"/>
  <c r="DM92" i="9" a="1"/>
  <c r="DM92" i="9" s="1"/>
  <c r="DP91" i="9"/>
  <c r="DQ91" i="9"/>
  <c r="DR91" i="9"/>
  <c r="DS91" i="9"/>
  <c r="DT91" i="9"/>
  <c r="DU91" i="9"/>
  <c r="DV91" i="9"/>
  <c r="DW91" i="9"/>
  <c r="DO91" i="9"/>
  <c r="DX91" i="9" s="1"/>
  <c r="AC90" i="10"/>
  <c r="W90" i="10"/>
  <c r="X90" i="10"/>
  <c r="Y90" i="10"/>
  <c r="V90" i="10"/>
  <c r="Z90" i="10"/>
  <c r="AA90" i="10"/>
  <c r="AB90" i="10"/>
  <c r="B89" i="10"/>
  <c r="B96" i="10"/>
  <c r="AC100" i="10"/>
  <c r="W100" i="10"/>
  <c r="X100" i="10"/>
  <c r="Y100" i="10"/>
  <c r="V100" i="10"/>
  <c r="Z100" i="10"/>
  <c r="AA100" i="10"/>
  <c r="AB100" i="10"/>
  <c r="AC96" i="10"/>
  <c r="W96" i="10"/>
  <c r="X96" i="10"/>
  <c r="Y96" i="10"/>
  <c r="V96" i="10"/>
  <c r="Z96" i="10"/>
  <c r="AA96" i="10"/>
  <c r="AB96" i="10"/>
  <c r="AC93" i="10"/>
  <c r="W93" i="10"/>
  <c r="X93" i="10"/>
  <c r="Y93" i="10"/>
  <c r="BR93" i="10" s="1"/>
  <c r="Z93" i="10"/>
  <c r="AA93" i="10"/>
  <c r="AB93" i="10"/>
  <c r="V93" i="10"/>
  <c r="DP95" i="9"/>
  <c r="DQ95" i="9"/>
  <c r="DR95" i="9"/>
  <c r="DS95" i="9"/>
  <c r="DT95" i="9"/>
  <c r="DU95" i="9"/>
  <c r="DV95" i="9"/>
  <c r="DW95" i="9"/>
  <c r="DO95" i="9"/>
  <c r="EG95" i="9" s="1"/>
  <c r="DI91" i="9" a="1"/>
  <c r="DI91" i="9" s="1"/>
  <c r="DG91" i="9"/>
  <c r="DN91" i="9" a="1"/>
  <c r="DN91" i="9" s="1"/>
  <c r="DF91" i="9"/>
  <c r="DH91" i="9" a="1"/>
  <c r="DH91" i="9" s="1"/>
  <c r="DJ91" i="9" a="1"/>
  <c r="DJ91" i="9" s="1"/>
  <c r="DK91" i="9" a="1"/>
  <c r="DK91" i="9" s="1"/>
  <c r="DL91" i="9" a="1"/>
  <c r="DL91" i="9" s="1"/>
  <c r="DM91" i="9" a="1"/>
  <c r="DM91" i="9" s="1"/>
  <c r="DP90" i="9"/>
  <c r="DQ90" i="9"/>
  <c r="DR90" i="9"/>
  <c r="DS90" i="9"/>
  <c r="DT90" i="9"/>
  <c r="DU90" i="9"/>
  <c r="DV90" i="9"/>
  <c r="DW90" i="9"/>
  <c r="DO90" i="9"/>
  <c r="EG90" i="9" s="1"/>
  <c r="AC89" i="10"/>
  <c r="W89" i="10"/>
  <c r="X89" i="10"/>
  <c r="Y89" i="10"/>
  <c r="Z89" i="10"/>
  <c r="AA89" i="10"/>
  <c r="AB89" i="10"/>
  <c r="V89" i="10"/>
  <c r="B88" i="10"/>
  <c r="B101" i="10"/>
  <c r="AC101" i="10"/>
  <c r="W101" i="10"/>
  <c r="X101" i="10"/>
  <c r="Y101" i="10"/>
  <c r="Z101" i="10"/>
  <c r="AA101" i="10"/>
  <c r="AB101" i="10"/>
  <c r="V101" i="10"/>
  <c r="AC97" i="10"/>
  <c r="W97" i="10"/>
  <c r="X97" i="10"/>
  <c r="Y97" i="10"/>
  <c r="Z97" i="10"/>
  <c r="AA97" i="10"/>
  <c r="AB97" i="10"/>
  <c r="V97" i="10"/>
  <c r="AC94" i="10"/>
  <c r="W94" i="10"/>
  <c r="X94" i="10"/>
  <c r="Y94" i="10"/>
  <c r="V94" i="10"/>
  <c r="Z94" i="10"/>
  <c r="AA94" i="10"/>
  <c r="AB94" i="10"/>
  <c r="AC92" i="10"/>
  <c r="W92" i="10"/>
  <c r="X92" i="10"/>
  <c r="Y92" i="10"/>
  <c r="V92" i="10"/>
  <c r="Z92" i="10"/>
  <c r="AA92" i="10"/>
  <c r="AB92" i="10"/>
  <c r="DP102" i="9"/>
  <c r="DQ102" i="9"/>
  <c r="DR102" i="9"/>
  <c r="DS102" i="9"/>
  <c r="DT102" i="9"/>
  <c r="DU102" i="9"/>
  <c r="DV102" i="9"/>
  <c r="DW102" i="9"/>
  <c r="DO102" i="9"/>
  <c r="DX102" i="9" s="1"/>
  <c r="DP98" i="9"/>
  <c r="DQ98" i="9"/>
  <c r="DR98" i="9"/>
  <c r="DS98" i="9"/>
  <c r="DT98" i="9"/>
  <c r="DU98" i="9"/>
  <c r="DV98" i="9"/>
  <c r="DW98" i="9"/>
  <c r="DO98" i="9"/>
  <c r="DX98" i="9" s="1"/>
  <c r="DP94" i="9"/>
  <c r="DQ94" i="9"/>
  <c r="DR94" i="9"/>
  <c r="DS94" i="9"/>
  <c r="DT94" i="9"/>
  <c r="DU94" i="9"/>
  <c r="DV94" i="9"/>
  <c r="DW94" i="9"/>
  <c r="DO94" i="9"/>
  <c r="DX94" i="9" s="1"/>
  <c r="DP92" i="9"/>
  <c r="DQ92" i="9"/>
  <c r="DR92" i="9"/>
  <c r="DS92" i="9"/>
  <c r="DT92" i="9"/>
  <c r="DU92" i="9"/>
  <c r="DV92" i="9"/>
  <c r="DW92" i="9"/>
  <c r="DO92" i="9"/>
  <c r="DX92" i="9" s="1"/>
  <c r="B90" i="10"/>
  <c r="DK90" i="9" a="1"/>
  <c r="DK90" i="9" s="1"/>
  <c r="DH90" i="9" a="1"/>
  <c r="DH90" i="9" s="1"/>
  <c r="DI90" i="9" a="1"/>
  <c r="DI90" i="9" s="1"/>
  <c r="DJ90" i="9" a="1"/>
  <c r="DJ90" i="9" s="1"/>
  <c r="DL90" i="9" a="1"/>
  <c r="DL90" i="9" s="1"/>
  <c r="DM90" i="9" a="1"/>
  <c r="DM90" i="9" s="1"/>
  <c r="DG90" i="9"/>
  <c r="DF90" i="9"/>
  <c r="DN90" i="9" a="1"/>
  <c r="DN90" i="9" s="1"/>
  <c r="DP89" i="9"/>
  <c r="DQ89" i="9"/>
  <c r="DR89" i="9"/>
  <c r="DS89" i="9"/>
  <c r="DT89" i="9"/>
  <c r="DU89" i="9"/>
  <c r="DV89" i="9"/>
  <c r="DW89" i="9"/>
  <c r="DO89" i="9"/>
  <c r="DX89" i="9" s="1"/>
  <c r="AC88" i="10"/>
  <c r="W88" i="10"/>
  <c r="X88" i="10"/>
  <c r="Y88" i="10"/>
  <c r="V88" i="10"/>
  <c r="Z88" i="10"/>
  <c r="AA88" i="10"/>
  <c r="AB88" i="10"/>
  <c r="B100" i="10"/>
  <c r="B97" i="10"/>
  <c r="AD97" i="10" s="1"/>
  <c r="B93" i="10"/>
  <c r="AC99" i="10"/>
  <c r="W99" i="10"/>
  <c r="X99" i="10"/>
  <c r="Y99" i="10"/>
  <c r="Z99" i="10"/>
  <c r="AA99" i="10"/>
  <c r="AB99" i="10"/>
  <c r="V99" i="10"/>
  <c r="AC95" i="10"/>
  <c r="W95" i="10"/>
  <c r="X95" i="10"/>
  <c r="Y95" i="10"/>
  <c r="Z95" i="10"/>
  <c r="AA95" i="10"/>
  <c r="AB95" i="10"/>
  <c r="V95" i="10"/>
  <c r="B91" i="10"/>
  <c r="DP99" i="9"/>
  <c r="DQ99" i="9"/>
  <c r="DR99" i="9"/>
  <c r="DS99" i="9"/>
  <c r="DT99" i="9"/>
  <c r="DU99" i="9"/>
  <c r="DV99" i="9"/>
  <c r="DW99" i="9"/>
  <c r="DO99" i="9"/>
  <c r="DX99" i="9" s="1"/>
  <c r="DH89" i="9" a="1"/>
  <c r="DH89" i="9" s="1"/>
  <c r="DI89" i="9" a="1"/>
  <c r="DI89" i="9" s="1"/>
  <c r="DJ89" i="9" a="1"/>
  <c r="DJ89" i="9" s="1"/>
  <c r="DK89" i="9" a="1"/>
  <c r="DK89" i="9" s="1"/>
  <c r="DL89" i="9" a="1"/>
  <c r="DL89" i="9" s="1"/>
  <c r="DM89" i="9" a="1"/>
  <c r="DM89" i="9" s="1"/>
  <c r="DN89" i="9" a="1"/>
  <c r="DN89" i="9" s="1"/>
  <c r="DF89" i="9"/>
  <c r="DG89" i="9"/>
  <c r="DO88" i="9"/>
  <c r="DX88" i="9" s="1"/>
  <c r="B102" i="10"/>
  <c r="B98" i="10"/>
  <c r="B94" i="10"/>
  <c r="AC98" i="10"/>
  <c r="W98" i="10"/>
  <c r="X98" i="10"/>
  <c r="Y98" i="10"/>
  <c r="V98" i="10"/>
  <c r="Z98" i="10"/>
  <c r="AA98" i="10"/>
  <c r="AB98" i="10"/>
  <c r="DP100" i="9"/>
  <c r="DQ100" i="9"/>
  <c r="DR100" i="9"/>
  <c r="DS100" i="9"/>
  <c r="DT100" i="9"/>
  <c r="DU100" i="9"/>
  <c r="DV100" i="9"/>
  <c r="DW100" i="9"/>
  <c r="DO100" i="9"/>
  <c r="DX100" i="9" s="1"/>
  <c r="DP96" i="9"/>
  <c r="DQ96" i="9"/>
  <c r="DR96" i="9"/>
  <c r="DS96" i="9"/>
  <c r="DT96" i="9"/>
  <c r="DU96" i="9"/>
  <c r="DV96" i="9"/>
  <c r="DW96" i="9"/>
  <c r="DO96" i="9"/>
  <c r="EG96" i="9" s="1"/>
  <c r="AC91" i="10"/>
  <c r="W91" i="10"/>
  <c r="X91" i="10"/>
  <c r="Y91" i="10"/>
  <c r="Z91" i="10"/>
  <c r="AA91" i="10"/>
  <c r="AB91" i="10"/>
  <c r="V91" i="10"/>
  <c r="DF88" i="9"/>
  <c r="AU102" i="9"/>
  <c r="CW102" i="9"/>
  <c r="AU100" i="9"/>
  <c r="CW100" i="9"/>
  <c r="AU98" i="9"/>
  <c r="CW98" i="9"/>
  <c r="AU96" i="9"/>
  <c r="CW96" i="9"/>
  <c r="AU95" i="9"/>
  <c r="CW95" i="9"/>
  <c r="AU94" i="9"/>
  <c r="CW94" i="9"/>
  <c r="AU93" i="9"/>
  <c r="CW93" i="9"/>
  <c r="AU92" i="9"/>
  <c r="CW92" i="9"/>
  <c r="AU101" i="9"/>
  <c r="CW101" i="9"/>
  <c r="AU99" i="9"/>
  <c r="CW99" i="9"/>
  <c r="AU97" i="9"/>
  <c r="CW97" i="9"/>
  <c r="AU91" i="9"/>
  <c r="CW91" i="9"/>
  <c r="AU90" i="9"/>
  <c r="CW90" i="9"/>
  <c r="AU89" i="9"/>
  <c r="CW89" i="9"/>
  <c r="AU88" i="9"/>
  <c r="CW88" i="9"/>
  <c r="J88" i="8"/>
  <c r="AD90" i="11"/>
  <c r="AZ90" i="8"/>
  <c r="AZ89" i="8"/>
  <c r="BB90" i="8"/>
  <c r="CN102" i="9"/>
  <c r="CE102" i="9"/>
  <c r="CN101" i="9"/>
  <c r="CE101" i="9"/>
  <c r="CN98" i="9"/>
  <c r="CE98" i="9"/>
  <c r="S98" i="9" s="1"/>
  <c r="AB98" i="9" s="1"/>
  <c r="CE97" i="9"/>
  <c r="CN97" i="9"/>
  <c r="CE96" i="9"/>
  <c r="CN96" i="9"/>
  <c r="CE95" i="9"/>
  <c r="CN95" i="9"/>
  <c r="CN94" i="9"/>
  <c r="CE94" i="9"/>
  <c r="CN93" i="9"/>
  <c r="CE93" i="9"/>
  <c r="CN92" i="9"/>
  <c r="CE92" i="9"/>
  <c r="AZ88" i="8"/>
  <c r="BD90" i="8"/>
  <c r="CN91" i="9"/>
  <c r="CE91" i="9"/>
  <c r="CN90" i="9"/>
  <c r="CE90" i="9"/>
  <c r="CE89" i="9"/>
  <c r="CN89" i="9"/>
  <c r="CN99" i="9"/>
  <c r="CE99" i="9"/>
  <c r="AZ102" i="8"/>
  <c r="BB102" i="8"/>
  <c r="BD102" i="8"/>
  <c r="AZ101" i="8"/>
  <c r="BB101" i="8"/>
  <c r="BD101" i="8"/>
  <c r="AZ100" i="8"/>
  <c r="BD100" i="8"/>
  <c r="BB100" i="8"/>
  <c r="AZ99" i="8"/>
  <c r="BD99" i="8"/>
  <c r="BB99" i="8"/>
  <c r="AZ98" i="8"/>
  <c r="BD98" i="8"/>
  <c r="BB98" i="8"/>
  <c r="AZ97" i="8"/>
  <c r="BD97" i="8"/>
  <c r="BB97" i="8"/>
  <c r="AZ96" i="8"/>
  <c r="BB96" i="8"/>
  <c r="BD96" i="8"/>
  <c r="AZ95" i="8"/>
  <c r="BB95" i="8"/>
  <c r="BD95" i="8"/>
  <c r="AZ94" i="8"/>
  <c r="BB94" i="8"/>
  <c r="BD94" i="8"/>
  <c r="AZ93" i="8"/>
  <c r="BD93" i="8"/>
  <c r="BB93" i="8"/>
  <c r="AZ92" i="8"/>
  <c r="BB92" i="8"/>
  <c r="BD92" i="8"/>
  <c r="CE88" i="9"/>
  <c r="CN88" i="9"/>
  <c r="CN100" i="9"/>
  <c r="CE100" i="9"/>
  <c r="AZ91" i="8"/>
  <c r="BD91" i="8"/>
  <c r="BB91" i="8"/>
  <c r="DP89" i="8"/>
  <c r="BB89" i="8"/>
  <c r="BD89" i="8"/>
  <c r="R88" i="8"/>
  <c r="B88" i="8"/>
  <c r="DP88" i="9" s="1"/>
  <c r="BN94" i="8"/>
  <c r="BF89" i="8"/>
  <c r="BP90" i="8"/>
  <c r="BH90" i="8"/>
  <c r="BJ90" i="8"/>
  <c r="BF90" i="8"/>
  <c r="BL90" i="8"/>
  <c r="BN90" i="8"/>
  <c r="BL89" i="8"/>
  <c r="BF91" i="8"/>
  <c r="BJ91" i="8"/>
  <c r="BN91" i="8"/>
  <c r="BL91" i="8"/>
  <c r="BP91" i="8"/>
  <c r="BH91" i="8"/>
  <c r="BP102" i="8"/>
  <c r="BF102" i="8"/>
  <c r="BN102" i="8"/>
  <c r="BJ102" i="8"/>
  <c r="BL102" i="8"/>
  <c r="BH102" i="8"/>
  <c r="BF101" i="8"/>
  <c r="BN101" i="8"/>
  <c r="BL101" i="8"/>
  <c r="BP101" i="8"/>
  <c r="BH101" i="8"/>
  <c r="BJ101" i="8"/>
  <c r="BN100" i="8"/>
  <c r="BL100" i="8"/>
  <c r="BP100" i="8"/>
  <c r="BF100" i="8"/>
  <c r="BH100" i="8"/>
  <c r="BJ100" i="8"/>
  <c r="BL99" i="8"/>
  <c r="BP99" i="8"/>
  <c r="BH99" i="8"/>
  <c r="BN99" i="8"/>
  <c r="BJ99" i="8"/>
  <c r="BF99" i="8"/>
  <c r="BF98" i="8"/>
  <c r="BH98" i="8"/>
  <c r="BL98" i="8"/>
  <c r="BP98" i="8"/>
  <c r="BJ98" i="8"/>
  <c r="BN98" i="8"/>
  <c r="BH97" i="8"/>
  <c r="BL97" i="8"/>
  <c r="BN97" i="8"/>
  <c r="BF97" i="8"/>
  <c r="BP97" i="8"/>
  <c r="BJ97" i="8"/>
  <c r="BP96" i="8"/>
  <c r="BF96" i="8"/>
  <c r="BN96" i="8"/>
  <c r="BJ96" i="8"/>
  <c r="BL96" i="8"/>
  <c r="BH96" i="8"/>
  <c r="BJ95" i="8"/>
  <c r="BN95" i="8"/>
  <c r="BL95" i="8"/>
  <c r="BH95" i="8"/>
  <c r="BP95" i="8"/>
  <c r="BF95" i="8"/>
  <c r="BF94" i="8"/>
  <c r="BH94" i="8"/>
  <c r="BL94" i="8"/>
  <c r="BJ94" i="8"/>
  <c r="BP94" i="8"/>
  <c r="BF93" i="8"/>
  <c r="BJ93" i="8"/>
  <c r="BP93" i="8"/>
  <c r="BN93" i="8"/>
  <c r="BH93" i="8"/>
  <c r="BL93" i="8"/>
  <c r="BN92" i="8"/>
  <c r="BH92" i="8"/>
  <c r="BF92" i="8"/>
  <c r="BJ92" i="8"/>
  <c r="BL92" i="8"/>
  <c r="BP92" i="8"/>
  <c r="BJ89" i="8"/>
  <c r="BH89" i="8"/>
  <c r="BN89" i="8"/>
  <c r="BP89" i="8"/>
  <c r="DI87" i="8"/>
  <c r="DH87" i="8"/>
  <c r="DG87" i="8"/>
  <c r="CY87" i="8"/>
  <c r="R87" i="8" a="1"/>
  <c r="J87" i="8" a="1"/>
  <c r="B87" i="8" a="1"/>
  <c r="O132" i="7"/>
  <c r="DK88" i="8" l="1"/>
  <c r="LG93" i="9"/>
  <c r="KF99" i="9"/>
  <c r="KF102" i="9"/>
  <c r="KF92" i="9"/>
  <c r="LJ97" i="9"/>
  <c r="BY97" i="9" s="1"/>
  <c r="M97" i="9" s="1"/>
  <c r="V97" i="9" s="1"/>
  <c r="LI93" i="9"/>
  <c r="G94" i="11" s="1"/>
  <c r="DJ87" i="8"/>
  <c r="DL87" i="8" s="1"/>
  <c r="KF90" i="9"/>
  <c r="KF98" i="9"/>
  <c r="DX95" i="9"/>
  <c r="BM95" i="9" s="1"/>
  <c r="AK96" i="11" s="1"/>
  <c r="KF88" i="9"/>
  <c r="KF97" i="9"/>
  <c r="KF91" i="9"/>
  <c r="EG92" i="9"/>
  <c r="BM92" i="9" s="1"/>
  <c r="AK93" i="11" s="1"/>
  <c r="LN91" i="9"/>
  <c r="CC91" i="9" s="1"/>
  <c r="Q91" i="9" s="1"/>
  <c r="Z91" i="9" s="1"/>
  <c r="KF93" i="9"/>
  <c r="KF101" i="9"/>
  <c r="LM91" i="9"/>
  <c r="CB91" i="9" s="1"/>
  <c r="P91" i="9" s="1"/>
  <c r="Y91" i="9" s="1"/>
  <c r="KF89" i="9"/>
  <c r="KF96" i="9"/>
  <c r="AM92" i="10"/>
  <c r="L92" i="10"/>
  <c r="U92" i="10" s="1"/>
  <c r="AM91" i="10"/>
  <c r="L91" i="10"/>
  <c r="LL91" i="9"/>
  <c r="CA91" i="9" s="1"/>
  <c r="O91" i="9" s="1"/>
  <c r="X91" i="9" s="1"/>
  <c r="AM96" i="10"/>
  <c r="L96" i="10"/>
  <c r="U96" i="10" s="1"/>
  <c r="AM94" i="10"/>
  <c r="L94" i="10"/>
  <c r="AM95" i="10"/>
  <c r="AV95" i="10" s="1"/>
  <c r="L95" i="10"/>
  <c r="U95" i="10" s="1"/>
  <c r="BW95" i="10" s="1"/>
  <c r="KF95" i="9"/>
  <c r="KF100" i="9"/>
  <c r="AM97" i="10"/>
  <c r="AV97" i="10" s="1"/>
  <c r="L97" i="10"/>
  <c r="AM98" i="10"/>
  <c r="L98" i="10"/>
  <c r="U98" i="10" s="1"/>
  <c r="AM100" i="10"/>
  <c r="L100" i="10"/>
  <c r="AM101" i="10"/>
  <c r="L101" i="10"/>
  <c r="U101" i="10" s="1"/>
  <c r="AM99" i="10"/>
  <c r="AV99" i="10" s="1"/>
  <c r="L99" i="10"/>
  <c r="U99" i="10" s="1"/>
  <c r="BW99" i="10" s="1"/>
  <c r="KF94" i="9"/>
  <c r="AM93" i="10"/>
  <c r="L93" i="10"/>
  <c r="U93" i="10" s="1"/>
  <c r="AM89" i="10"/>
  <c r="L89" i="10"/>
  <c r="U89" i="10" s="1"/>
  <c r="AM102" i="10"/>
  <c r="L102" i="10"/>
  <c r="AM88" i="10"/>
  <c r="L88" i="10"/>
  <c r="U88" i="10" s="1"/>
  <c r="AM90" i="10"/>
  <c r="L90" i="10"/>
  <c r="U90" i="10" s="1"/>
  <c r="LK91" i="9"/>
  <c r="BZ91" i="9" s="1"/>
  <c r="N91" i="9" s="1"/>
  <c r="W91" i="9" s="1"/>
  <c r="DR89" i="8"/>
  <c r="DS89" i="8"/>
  <c r="DR96" i="8"/>
  <c r="DS96" i="8"/>
  <c r="DR90" i="8"/>
  <c r="DS90" i="8"/>
  <c r="DS98" i="8"/>
  <c r="DR98" i="8"/>
  <c r="DS92" i="8"/>
  <c r="DR92" i="8"/>
  <c r="DS95" i="8"/>
  <c r="DR95" i="8"/>
  <c r="DS100" i="8"/>
  <c r="DR100" i="8"/>
  <c r="DR94" i="8"/>
  <c r="DS94" i="8"/>
  <c r="DR88" i="8"/>
  <c r="DS88" i="8"/>
  <c r="DR97" i="8"/>
  <c r="DS97" i="8"/>
  <c r="DR91" i="8"/>
  <c r="DS91" i="8"/>
  <c r="DR99" i="8"/>
  <c r="DS99" i="8"/>
  <c r="DS102" i="8"/>
  <c r="DR102" i="8"/>
  <c r="DS93" i="8"/>
  <c r="DR93" i="8"/>
  <c r="DS101" i="8"/>
  <c r="DR101" i="8"/>
  <c r="LH93" i="9"/>
  <c r="BW93" i="9" s="1"/>
  <c r="HD93" i="9" s="1"/>
  <c r="AD88" i="10"/>
  <c r="LM97" i="9"/>
  <c r="CB97" i="9" s="1"/>
  <c r="P97" i="9" s="1"/>
  <c r="Y97" i="9" s="1"/>
  <c r="LL93" i="9"/>
  <c r="CA93" i="9" s="1"/>
  <c r="O93" i="9" s="1"/>
  <c r="X93" i="9" s="1"/>
  <c r="LH101" i="9"/>
  <c r="BW101" i="9" s="1"/>
  <c r="HD101" i="9" s="1"/>
  <c r="LN101" i="9"/>
  <c r="CC101" i="9" s="1"/>
  <c r="Q101" i="9" s="1"/>
  <c r="Z101" i="9" s="1"/>
  <c r="LG91" i="9"/>
  <c r="BV91" i="9" s="1"/>
  <c r="DQ91" i="8" s="1"/>
  <c r="AD101" i="10"/>
  <c r="LG101" i="9"/>
  <c r="BV101" i="9" s="1"/>
  <c r="DQ101" i="8" s="1"/>
  <c r="LH91" i="9"/>
  <c r="BW91" i="9" s="1"/>
  <c r="AD100" i="10"/>
  <c r="LO97" i="9"/>
  <c r="CD97" i="9" s="1"/>
  <c r="R97" i="9" s="1"/>
  <c r="AA97" i="9" s="1"/>
  <c r="HL88" i="9"/>
  <c r="S88" i="9"/>
  <c r="AB88" i="9" s="1"/>
  <c r="HL96" i="9"/>
  <c r="S96" i="9"/>
  <c r="AB96" i="9" s="1"/>
  <c r="HL89" i="9"/>
  <c r="S89" i="9"/>
  <c r="AB89" i="9" s="1"/>
  <c r="HL93" i="9"/>
  <c r="S93" i="9"/>
  <c r="AB93" i="9" s="1"/>
  <c r="LO101" i="9"/>
  <c r="CD101" i="9" s="1"/>
  <c r="R101" i="9" s="1"/>
  <c r="AA101" i="9" s="1"/>
  <c r="HL91" i="9"/>
  <c r="S91" i="9"/>
  <c r="AB91" i="9" s="1"/>
  <c r="HL94" i="9"/>
  <c r="S94" i="9"/>
  <c r="AB94" i="9" s="1"/>
  <c r="HL90" i="9"/>
  <c r="S90" i="9"/>
  <c r="AB90" i="9" s="1"/>
  <c r="LG88" i="9"/>
  <c r="BV88" i="9" s="1"/>
  <c r="DQ88" i="8" s="1"/>
  <c r="HL101" i="9"/>
  <c r="S101" i="9"/>
  <c r="AB101" i="9" s="1"/>
  <c r="LK101" i="9"/>
  <c r="BZ101" i="9" s="1"/>
  <c r="N101" i="9" s="1"/>
  <c r="W101" i="9" s="1"/>
  <c r="HL100" i="9"/>
  <c r="S100" i="9"/>
  <c r="AB100" i="9" s="1"/>
  <c r="HL99" i="9"/>
  <c r="S99" i="9"/>
  <c r="AB99" i="9" s="1"/>
  <c r="HL95" i="9"/>
  <c r="S95" i="9"/>
  <c r="AB95" i="9" s="1"/>
  <c r="LM93" i="9"/>
  <c r="CB93" i="9" s="1"/>
  <c r="P93" i="9" s="1"/>
  <c r="Y93" i="9" s="1"/>
  <c r="HL97" i="9"/>
  <c r="S97" i="9"/>
  <c r="AB97" i="9" s="1"/>
  <c r="HL92" i="9"/>
  <c r="S92" i="9"/>
  <c r="AB92" i="9" s="1"/>
  <c r="HL102" i="9"/>
  <c r="S102" i="9"/>
  <c r="AB102" i="9" s="1"/>
  <c r="LK97" i="9"/>
  <c r="BZ97" i="9" s="1"/>
  <c r="N97" i="9" s="1"/>
  <c r="W97" i="9" s="1"/>
  <c r="LJ93" i="9"/>
  <c r="BY93" i="9" s="1"/>
  <c r="M93" i="9" s="1"/>
  <c r="V93" i="9" s="1"/>
  <c r="LL101" i="9"/>
  <c r="CA101" i="9" s="1"/>
  <c r="O101" i="9" s="1"/>
  <c r="X101" i="9" s="1"/>
  <c r="LI97" i="9"/>
  <c r="G98" i="11" s="1"/>
  <c r="LM90" i="9"/>
  <c r="CB90" i="9" s="1"/>
  <c r="P90" i="9" s="1"/>
  <c r="Y90" i="9" s="1"/>
  <c r="LI89" i="9"/>
  <c r="G90" i="11" s="1"/>
  <c r="LJ101" i="9"/>
  <c r="BY101" i="9" s="1"/>
  <c r="M101" i="9" s="1"/>
  <c r="V101" i="9" s="1"/>
  <c r="LK90" i="9"/>
  <c r="BZ90" i="9" s="1"/>
  <c r="N90" i="9" s="1"/>
  <c r="W90" i="9" s="1"/>
  <c r="CC95" i="10"/>
  <c r="BX89" i="10"/>
  <c r="CA99" i="10"/>
  <c r="CB91" i="10"/>
  <c r="CC98" i="10"/>
  <c r="BY95" i="10"/>
  <c r="BY99" i="10"/>
  <c r="CD88" i="10"/>
  <c r="CD92" i="10"/>
  <c r="CD94" i="10"/>
  <c r="BX97" i="10"/>
  <c r="BX101" i="10"/>
  <c r="CA89" i="10"/>
  <c r="CD93" i="10"/>
  <c r="CC96" i="10"/>
  <c r="CC100" i="10"/>
  <c r="BZ90" i="10"/>
  <c r="LK93" i="9"/>
  <c r="BZ93" i="9" s="1"/>
  <c r="N93" i="9" s="1"/>
  <c r="W93" i="9" s="1"/>
  <c r="BY102" i="10"/>
  <c r="CE91" i="10"/>
  <c r="BZ98" i="10"/>
  <c r="CC99" i="10"/>
  <c r="CA94" i="10"/>
  <c r="CC90" i="10"/>
  <c r="BT99" i="10"/>
  <c r="CA91" i="10"/>
  <c r="CB98" i="10"/>
  <c r="CE95" i="10"/>
  <c r="CE99" i="10"/>
  <c r="CC88" i="10"/>
  <c r="CC92" i="10"/>
  <c r="CC94" i="10"/>
  <c r="CD97" i="10"/>
  <c r="CD101" i="10"/>
  <c r="BZ89" i="10"/>
  <c r="CC93" i="10"/>
  <c r="CB96" i="10"/>
  <c r="CB100" i="10"/>
  <c r="BY90" i="10"/>
  <c r="CE102" i="10"/>
  <c r="BZ93" i="10"/>
  <c r="CD91" i="10"/>
  <c r="BZ91" i="10"/>
  <c r="BX98" i="10"/>
  <c r="BX95" i="10"/>
  <c r="BX99" i="10"/>
  <c r="CB88" i="10"/>
  <c r="CB92" i="10"/>
  <c r="CB94" i="10"/>
  <c r="CC97" i="10"/>
  <c r="CC101" i="10"/>
  <c r="BY89" i="10"/>
  <c r="CB93" i="10"/>
  <c r="BX96" i="10"/>
  <c r="BX100" i="10"/>
  <c r="CE90" i="10"/>
  <c r="CD102" i="10"/>
  <c r="CA88" i="10"/>
  <c r="CA92" i="10"/>
  <c r="CA101" i="10"/>
  <c r="LM101" i="9"/>
  <c r="CB101" i="9" s="1"/>
  <c r="P101" i="9" s="1"/>
  <c r="Y101" i="9" s="1"/>
  <c r="CA95" i="10"/>
  <c r="BT90" i="10"/>
  <c r="BY91" i="10"/>
  <c r="CA98" i="10"/>
  <c r="CD95" i="10"/>
  <c r="CD99" i="10"/>
  <c r="BX88" i="10"/>
  <c r="BX92" i="10"/>
  <c r="BX94" i="10"/>
  <c r="CB97" i="10"/>
  <c r="CB101" i="10"/>
  <c r="CE89" i="10"/>
  <c r="CA93" i="10"/>
  <c r="CJ93" i="10" s="1"/>
  <c r="CS93" i="10" s="1"/>
  <c r="CA96" i="10"/>
  <c r="CA100" i="10"/>
  <c r="CD90" i="10"/>
  <c r="CC102" i="10"/>
  <c r="CB102" i="10"/>
  <c r="BZ100" i="10"/>
  <c r="BR94" i="10"/>
  <c r="BX91" i="10"/>
  <c r="CG91" i="10" s="1"/>
  <c r="BY98" i="10"/>
  <c r="CB95" i="10"/>
  <c r="CB99" i="10"/>
  <c r="BZ88" i="10"/>
  <c r="BZ92" i="10"/>
  <c r="BZ94" i="10"/>
  <c r="BZ97" i="10"/>
  <c r="BZ101" i="10"/>
  <c r="CI101" i="10" s="1"/>
  <c r="CD89" i="10"/>
  <c r="BY93" i="10"/>
  <c r="BY96" i="10"/>
  <c r="BY100" i="10"/>
  <c r="CB90" i="10"/>
  <c r="BX102" i="10"/>
  <c r="CG102" i="10" s="1"/>
  <c r="CP102" i="10" s="1"/>
  <c r="BZ96" i="10"/>
  <c r="BY92" i="10"/>
  <c r="BY94" i="10"/>
  <c r="BY97" i="10"/>
  <c r="BY101" i="10"/>
  <c r="CC89" i="10"/>
  <c r="CE93" i="10"/>
  <c r="CE96" i="10"/>
  <c r="CE100" i="10"/>
  <c r="BX90" i="10"/>
  <c r="CA102" i="10"/>
  <c r="CJ102" i="10" s="1"/>
  <c r="CS102" i="10" s="1"/>
  <c r="CA97" i="10"/>
  <c r="CE98" i="10"/>
  <c r="BY88" i="10"/>
  <c r="BQ100" i="10"/>
  <c r="CC91" i="10"/>
  <c r="CD98" i="10"/>
  <c r="BZ95" i="10"/>
  <c r="BZ99" i="10"/>
  <c r="CE88" i="10"/>
  <c r="CE92" i="10"/>
  <c r="CE94" i="10"/>
  <c r="CE97" i="10"/>
  <c r="CE101" i="10"/>
  <c r="CB89" i="10"/>
  <c r="BX93" i="10"/>
  <c r="CD96" i="10"/>
  <c r="CD100" i="10"/>
  <c r="CA90" i="10"/>
  <c r="LL97" i="9"/>
  <c r="CA97" i="9" s="1"/>
  <c r="O97" i="9" s="1"/>
  <c r="X97" i="9" s="1"/>
  <c r="BZ102" i="10"/>
  <c r="BT96" i="10"/>
  <c r="BS91" i="10"/>
  <c r="BP99" i="10"/>
  <c r="BU94" i="10"/>
  <c r="BO97" i="10"/>
  <c r="BR89" i="10"/>
  <c r="BU93" i="10"/>
  <c r="CM93" i="10" s="1"/>
  <c r="BQ90" i="10"/>
  <c r="BP102" i="10"/>
  <c r="BR91" i="10"/>
  <c r="BS98" i="10"/>
  <c r="BV95" i="10"/>
  <c r="BV99" i="10"/>
  <c r="BT88" i="10"/>
  <c r="BT92" i="10"/>
  <c r="BT94" i="10"/>
  <c r="BU97" i="10"/>
  <c r="BU101" i="10"/>
  <c r="BQ89" i="10"/>
  <c r="BT93" i="10"/>
  <c r="CL93" i="10" s="1"/>
  <c r="BS96" i="10"/>
  <c r="BS100" i="10"/>
  <c r="BP90" i="10"/>
  <c r="BV102" i="10"/>
  <c r="BT98" i="10"/>
  <c r="BQ91" i="10"/>
  <c r="BO98" i="10"/>
  <c r="BO95" i="10"/>
  <c r="BO99" i="10"/>
  <c r="BS88" i="10"/>
  <c r="BS92" i="10"/>
  <c r="BS94" i="10"/>
  <c r="BT97" i="10"/>
  <c r="BT101" i="10"/>
  <c r="BP89" i="10"/>
  <c r="BS93" i="10"/>
  <c r="CK93" i="10" s="1"/>
  <c r="BO96" i="10"/>
  <c r="BO100" i="10"/>
  <c r="BV90" i="10"/>
  <c r="BU102" i="10"/>
  <c r="BU88" i="10"/>
  <c r="BP91" i="10"/>
  <c r="BR98" i="10"/>
  <c r="BU95" i="10"/>
  <c r="BU99" i="10"/>
  <c r="BO88" i="10"/>
  <c r="BO92" i="10"/>
  <c r="BO94" i="10"/>
  <c r="BS97" i="10"/>
  <c r="BS101" i="10"/>
  <c r="BV89" i="10"/>
  <c r="BR96" i="10"/>
  <c r="BR100" i="10"/>
  <c r="BU90" i="10"/>
  <c r="BT102" i="10"/>
  <c r="BV91" i="10"/>
  <c r="BQ98" i="10"/>
  <c r="BT95" i="10"/>
  <c r="BR88" i="10"/>
  <c r="BR92" i="10"/>
  <c r="BR97" i="10"/>
  <c r="BR101" i="10"/>
  <c r="BO89" i="10"/>
  <c r="BQ93" i="10"/>
  <c r="BQ96" i="10"/>
  <c r="BS102" i="10"/>
  <c r="BP95" i="10"/>
  <c r="BU92" i="10"/>
  <c r="BO101" i="10"/>
  <c r="BO91" i="10"/>
  <c r="BP98" i="10"/>
  <c r="BS95" i="10"/>
  <c r="BS99" i="10"/>
  <c r="BQ88" i="10"/>
  <c r="BQ92" i="10"/>
  <c r="BQ94" i="10"/>
  <c r="BQ97" i="10"/>
  <c r="BQ101" i="10"/>
  <c r="BU89" i="10"/>
  <c r="BP93" i="10"/>
  <c r="BP96" i="10"/>
  <c r="BP100" i="10"/>
  <c r="BS90" i="10"/>
  <c r="BU91" i="10"/>
  <c r="BV98" i="10"/>
  <c r="BR95" i="10"/>
  <c r="BR99" i="10"/>
  <c r="BP88" i="10"/>
  <c r="BP92" i="10"/>
  <c r="BP94" i="10"/>
  <c r="BP97" i="10"/>
  <c r="BP101" i="10"/>
  <c r="BT89" i="10"/>
  <c r="BV93" i="10"/>
  <c r="CN93" i="10" s="1"/>
  <c r="BV96" i="10"/>
  <c r="BV100" i="10"/>
  <c r="BO90" i="10"/>
  <c r="BT100" i="10"/>
  <c r="BT91" i="10"/>
  <c r="BU98" i="10"/>
  <c r="BQ95" i="10"/>
  <c r="BQ99" i="10"/>
  <c r="BV88" i="10"/>
  <c r="BV92" i="10"/>
  <c r="BV94" i="10"/>
  <c r="CN94" i="10" s="1"/>
  <c r="BV97" i="10"/>
  <c r="BV101" i="10"/>
  <c r="BS89" i="10"/>
  <c r="BO93" i="10"/>
  <c r="BU96" i="10"/>
  <c r="BU100" i="10"/>
  <c r="BR90" i="10"/>
  <c r="BQ102" i="10"/>
  <c r="JW93" i="9"/>
  <c r="JW98" i="9"/>
  <c r="JW100" i="9"/>
  <c r="JW90" i="9"/>
  <c r="JW95" i="9"/>
  <c r="JW89" i="9"/>
  <c r="JW92" i="9"/>
  <c r="JW102" i="9"/>
  <c r="JW88" i="9"/>
  <c r="JW91" i="9"/>
  <c r="JW97" i="9"/>
  <c r="JW94" i="9"/>
  <c r="JW96" i="9"/>
  <c r="JW99" i="9"/>
  <c r="JW101" i="9"/>
  <c r="LI91" i="9"/>
  <c r="BX91" i="9" s="1"/>
  <c r="LO90" i="9"/>
  <c r="CD90" i="9" s="1"/>
  <c r="R90" i="9" s="1"/>
  <c r="AA90" i="9" s="1"/>
  <c r="LJ90" i="9"/>
  <c r="BY90" i="9" s="1"/>
  <c r="M90" i="9" s="1"/>
  <c r="V90" i="9" s="1"/>
  <c r="LG90" i="9"/>
  <c r="BV90" i="9" s="1"/>
  <c r="DQ90" i="8" s="1"/>
  <c r="LH90" i="9"/>
  <c r="BW90" i="9" s="1"/>
  <c r="HD90" i="9" s="1"/>
  <c r="LO91" i="9"/>
  <c r="CD91" i="9" s="1"/>
  <c r="R91" i="9" s="1"/>
  <c r="AA91" i="9" s="1"/>
  <c r="LO89" i="9"/>
  <c r="CD89" i="9" s="1"/>
  <c r="R89" i="9" s="1"/>
  <c r="AA89" i="9" s="1"/>
  <c r="LN97" i="9"/>
  <c r="CC97" i="9" s="1"/>
  <c r="LN93" i="9"/>
  <c r="CC93" i="9" s="1"/>
  <c r="LI90" i="9"/>
  <c r="BX90" i="9" s="1"/>
  <c r="L90" i="9" s="1"/>
  <c r="U90" i="9" s="1"/>
  <c r="LN89" i="9"/>
  <c r="CC89" i="9" s="1"/>
  <c r="Q89" i="9" s="1"/>
  <c r="Z89" i="9" s="1"/>
  <c r="LM89" i="9"/>
  <c r="CB89" i="9" s="1"/>
  <c r="P89" i="9" s="1"/>
  <c r="Y89" i="9" s="1"/>
  <c r="LG92" i="9"/>
  <c r="BV92" i="9" s="1"/>
  <c r="DQ92" i="8" s="1"/>
  <c r="BV93" i="9"/>
  <c r="DQ93" i="8" s="1"/>
  <c r="LG94" i="9"/>
  <c r="BV94" i="9" s="1"/>
  <c r="DQ94" i="8" s="1"/>
  <c r="LG95" i="9"/>
  <c r="BV95" i="9" s="1"/>
  <c r="DQ95" i="8" s="1"/>
  <c r="LG96" i="9"/>
  <c r="BV96" i="9" s="1"/>
  <c r="DQ96" i="8" s="1"/>
  <c r="LG97" i="9"/>
  <c r="BV97" i="9" s="1"/>
  <c r="DQ97" i="8" s="1"/>
  <c r="LG98" i="9"/>
  <c r="BV98" i="9" s="1"/>
  <c r="DQ98" i="8" s="1"/>
  <c r="LG99" i="9"/>
  <c r="BV99" i="9" s="1"/>
  <c r="DQ99" i="8" s="1"/>
  <c r="LG100" i="9"/>
  <c r="BV100" i="9" s="1"/>
  <c r="DQ100" i="8" s="1"/>
  <c r="LG102" i="9"/>
  <c r="BV102" i="9" s="1"/>
  <c r="DQ102" i="8" s="1"/>
  <c r="LH97" i="9"/>
  <c r="BW97" i="9" s="1"/>
  <c r="HD97" i="9" s="1"/>
  <c r="LO93" i="9"/>
  <c r="CD93" i="9" s="1"/>
  <c r="R93" i="9" s="1"/>
  <c r="AA93" i="9" s="1"/>
  <c r="LH89" i="9"/>
  <c r="BW89" i="9" s="1"/>
  <c r="HD89" i="9" s="1"/>
  <c r="LH94" i="9"/>
  <c r="BW94" i="9" s="1"/>
  <c r="HD94" i="9" s="1"/>
  <c r="LL96" i="9"/>
  <c r="CA96" i="9" s="1"/>
  <c r="LI100" i="9"/>
  <c r="BX100" i="9" s="1"/>
  <c r="LM102" i="9"/>
  <c r="CB102" i="9" s="1"/>
  <c r="LK102" i="9"/>
  <c r="BZ102" i="9" s="1"/>
  <c r="LG89" i="9"/>
  <c r="BV89" i="9" s="1"/>
  <c r="DQ89" i="8" s="1"/>
  <c r="LI101" i="9"/>
  <c r="BX101" i="9" s="1"/>
  <c r="L101" i="9" s="1"/>
  <c r="U101" i="9" s="1"/>
  <c r="LJ95" i="9"/>
  <c r="BY95" i="9" s="1"/>
  <c r="M95" i="9" s="1"/>
  <c r="V95" i="9" s="1"/>
  <c r="LL92" i="9"/>
  <c r="CA92" i="9" s="1"/>
  <c r="O92" i="9" s="1"/>
  <c r="X92" i="9" s="1"/>
  <c r="LJ91" i="9"/>
  <c r="BY91" i="9" s="1"/>
  <c r="LL90" i="9"/>
  <c r="CA90" i="9" s="1"/>
  <c r="LL89" i="9"/>
  <c r="CA89" i="9" s="1"/>
  <c r="LO94" i="9"/>
  <c r="CD94" i="9" s="1"/>
  <c r="R94" i="9" s="1"/>
  <c r="AA94" i="9" s="1"/>
  <c r="LH98" i="9"/>
  <c r="BW98" i="9" s="1"/>
  <c r="HD98" i="9" s="1"/>
  <c r="LI92" i="9"/>
  <c r="LL94" i="9"/>
  <c r="CA94" i="9" s="1"/>
  <c r="O94" i="9" s="1"/>
  <c r="X94" i="9" s="1"/>
  <c r="LN95" i="9"/>
  <c r="CC95" i="9" s="1"/>
  <c r="LI96" i="9"/>
  <c r="LL98" i="9"/>
  <c r="CA98" i="9" s="1"/>
  <c r="LN99" i="9"/>
  <c r="CC99" i="9" s="1"/>
  <c r="LN100" i="9"/>
  <c r="CC100" i="9" s="1"/>
  <c r="Q100" i="9" s="1"/>
  <c r="Z100" i="9" s="1"/>
  <c r="LI102" i="9"/>
  <c r="LH96" i="9"/>
  <c r="BW96" i="9" s="1"/>
  <c r="HD96" i="9" s="1"/>
  <c r="LK98" i="9"/>
  <c r="BZ98" i="9" s="1"/>
  <c r="LM98" i="9"/>
  <c r="CB98" i="9" s="1"/>
  <c r="P98" i="9" s="1"/>
  <c r="Y98" i="9" s="1"/>
  <c r="LL99" i="9"/>
  <c r="CA99" i="9" s="1"/>
  <c r="LM100" i="9"/>
  <c r="CB100" i="9" s="1"/>
  <c r="P100" i="9" s="1"/>
  <c r="Y100" i="9" s="1"/>
  <c r="LH102" i="9"/>
  <c r="BW102" i="9" s="1"/>
  <c r="HD102" i="9" s="1"/>
  <c r="LO92" i="9"/>
  <c r="CD92" i="9" s="1"/>
  <c r="LK94" i="9"/>
  <c r="BZ94" i="9" s="1"/>
  <c r="LM95" i="9"/>
  <c r="CB95" i="9" s="1"/>
  <c r="P95" i="9" s="1"/>
  <c r="Y95" i="9" s="1"/>
  <c r="LM99" i="9"/>
  <c r="CB99" i="9" s="1"/>
  <c r="LI99" i="9"/>
  <c r="LK89" i="9"/>
  <c r="BZ89" i="9" s="1"/>
  <c r="LN90" i="9"/>
  <c r="CC90" i="9" s="1"/>
  <c r="LN92" i="9"/>
  <c r="CC92" i="9" s="1"/>
  <c r="Q92" i="9" s="1"/>
  <c r="Z92" i="9" s="1"/>
  <c r="LH92" i="9"/>
  <c r="BW92" i="9" s="1"/>
  <c r="HD92" i="9" s="1"/>
  <c r="LJ94" i="9"/>
  <c r="BY94" i="9" s="1"/>
  <c r="LL95" i="9"/>
  <c r="CA95" i="9" s="1"/>
  <c r="LN96" i="9"/>
  <c r="CC96" i="9" s="1"/>
  <c r="LJ98" i="9"/>
  <c r="BY98" i="9" s="1"/>
  <c r="LK99" i="9"/>
  <c r="BZ99" i="9" s="1"/>
  <c r="LK100" i="9"/>
  <c r="BZ100" i="9" s="1"/>
  <c r="LL100" i="9"/>
  <c r="CA100" i="9" s="1"/>
  <c r="LO102" i="9"/>
  <c r="CD102" i="9" s="1"/>
  <c r="R102" i="9" s="1"/>
  <c r="AA102" i="9" s="1"/>
  <c r="LJ89" i="9"/>
  <c r="BY89" i="9" s="1"/>
  <c r="LM92" i="9"/>
  <c r="CB92" i="9" s="1"/>
  <c r="LI94" i="9"/>
  <c r="LK95" i="9"/>
  <c r="BZ95" i="9" s="1"/>
  <c r="N95" i="9" s="1"/>
  <c r="W95" i="9" s="1"/>
  <c r="LM96" i="9"/>
  <c r="CB96" i="9" s="1"/>
  <c r="LI98" i="9"/>
  <c r="LJ99" i="9"/>
  <c r="BY99" i="9" s="1"/>
  <c r="LJ100" i="9"/>
  <c r="BY100" i="9" s="1"/>
  <c r="M100" i="9" s="1"/>
  <c r="V100" i="9" s="1"/>
  <c r="LN102" i="9"/>
  <c r="CC102" i="9" s="1"/>
  <c r="Q102" i="9" s="1"/>
  <c r="Z102" i="9" s="1"/>
  <c r="LK92" i="9"/>
  <c r="BZ92" i="9" s="1"/>
  <c r="LN94" i="9"/>
  <c r="CC94" i="9" s="1"/>
  <c r="Q94" i="9" s="1"/>
  <c r="Z94" i="9" s="1"/>
  <c r="LI95" i="9"/>
  <c r="LO95" i="9"/>
  <c r="CD95" i="9" s="1"/>
  <c r="LK96" i="9"/>
  <c r="BZ96" i="9" s="1"/>
  <c r="LO98" i="9"/>
  <c r="CD98" i="9" s="1"/>
  <c r="LH99" i="9"/>
  <c r="BW99" i="9" s="1"/>
  <c r="LO100" i="9"/>
  <c r="CD100" i="9" s="1"/>
  <c r="LL102" i="9"/>
  <c r="CA102" i="9" s="1"/>
  <c r="LJ92" i="9"/>
  <c r="BY92" i="9" s="1"/>
  <c r="LM94" i="9"/>
  <c r="CB94" i="9" s="1"/>
  <c r="P94" i="9" s="1"/>
  <c r="Y94" i="9" s="1"/>
  <c r="LH95" i="9"/>
  <c r="BW95" i="9" s="1"/>
  <c r="HD95" i="9" s="1"/>
  <c r="LJ96" i="9"/>
  <c r="BY96" i="9" s="1"/>
  <c r="LO96" i="9"/>
  <c r="CD96" i="9" s="1"/>
  <c r="LN98" i="9"/>
  <c r="CC98" i="9" s="1"/>
  <c r="LO99" i="9"/>
  <c r="CD99" i="9" s="1"/>
  <c r="LH100" i="9"/>
  <c r="BW100" i="9" s="1"/>
  <c r="LJ102" i="9"/>
  <c r="BY102" i="9" s="1"/>
  <c r="M102" i="9" s="1"/>
  <c r="V102" i="9" s="1"/>
  <c r="EG100" i="9"/>
  <c r="BM100" i="9" s="1"/>
  <c r="AK101" i="11" s="1"/>
  <c r="EG99" i="9"/>
  <c r="BM99" i="9" s="1"/>
  <c r="AK100" i="11" s="1"/>
  <c r="DX90" i="9"/>
  <c r="BM90" i="9" s="1"/>
  <c r="AK91" i="11" s="1"/>
  <c r="AD98" i="10"/>
  <c r="AD96" i="10"/>
  <c r="AV96" i="10" s="1"/>
  <c r="EG89" i="9"/>
  <c r="BM89" i="9" s="1"/>
  <c r="AK90" i="11" s="1"/>
  <c r="AD94" i="10"/>
  <c r="AD90" i="10"/>
  <c r="AD92" i="10"/>
  <c r="U91" i="10"/>
  <c r="AD91" i="10"/>
  <c r="AD93" i="10"/>
  <c r="DJ88" i="9" a="1"/>
  <c r="DJ88" i="9" s="1"/>
  <c r="AD89" i="10"/>
  <c r="DX96" i="9"/>
  <c r="BM96" i="9" s="1"/>
  <c r="AK97" i="11" s="1"/>
  <c r="DW88" i="9"/>
  <c r="JV88" i="9" s="1"/>
  <c r="EX88" i="9" s="1"/>
  <c r="U102" i="10"/>
  <c r="AD102" i="10"/>
  <c r="EH88" i="9"/>
  <c r="DY88" i="9"/>
  <c r="AM88" i="9"/>
  <c r="JO88" i="9"/>
  <c r="EQ88" i="9" s="1"/>
  <c r="EN96" i="9"/>
  <c r="EE96" i="9"/>
  <c r="AS96" i="9"/>
  <c r="JU96" i="9"/>
  <c r="EW96" i="9" s="1"/>
  <c r="EA91" i="9"/>
  <c r="EJ91" i="9"/>
  <c r="AO91" i="9"/>
  <c r="JQ91" i="9"/>
  <c r="ES91" i="9" s="1"/>
  <c r="DY101" i="9"/>
  <c r="EH101" i="9"/>
  <c r="AM101" i="9"/>
  <c r="JO101" i="9"/>
  <c r="EQ101" i="9" s="1"/>
  <c r="DI88" i="9" a="1"/>
  <c r="DI88" i="9" s="1"/>
  <c r="EM96" i="9"/>
  <c r="ED96" i="9"/>
  <c r="EN100" i="9"/>
  <c r="EE100" i="9"/>
  <c r="JU100" i="9"/>
  <c r="EW100" i="9" s="1"/>
  <c r="AS100" i="9"/>
  <c r="DV88" i="9"/>
  <c r="EH99" i="9"/>
  <c r="DY99" i="9"/>
  <c r="JO99" i="9"/>
  <c r="EQ99" i="9" s="1"/>
  <c r="AM99" i="9"/>
  <c r="EL89" i="9"/>
  <c r="EC89" i="9"/>
  <c r="AQ89" i="9"/>
  <c r="JS89" i="9"/>
  <c r="EU89" i="9" s="1"/>
  <c r="DZ92" i="9"/>
  <c r="EI92" i="9"/>
  <c r="JP92" i="9"/>
  <c r="ER92" i="9" s="1"/>
  <c r="AN92" i="9"/>
  <c r="EJ94" i="9"/>
  <c r="EA94" i="9"/>
  <c r="JQ94" i="9"/>
  <c r="ES94" i="9" s="1"/>
  <c r="AO94" i="9"/>
  <c r="EK98" i="9"/>
  <c r="EB98" i="9"/>
  <c r="EL102" i="9"/>
  <c r="EC102" i="9"/>
  <c r="AQ102" i="9"/>
  <c r="JS102" i="9"/>
  <c r="EU102" i="9" s="1"/>
  <c r="EN90" i="9"/>
  <c r="EE90" i="9"/>
  <c r="JU90" i="9"/>
  <c r="EW90" i="9" s="1"/>
  <c r="AS90" i="9"/>
  <c r="EH95" i="9"/>
  <c r="DY95" i="9"/>
  <c r="AM95" i="9"/>
  <c r="JO95" i="9"/>
  <c r="EQ95" i="9" s="1"/>
  <c r="DZ91" i="9"/>
  <c r="EI91" i="9"/>
  <c r="JP91" i="9"/>
  <c r="ER91" i="9" s="1"/>
  <c r="AN91" i="9"/>
  <c r="ED93" i="9"/>
  <c r="EM93" i="9"/>
  <c r="EN97" i="9"/>
  <c r="EE97" i="9"/>
  <c r="AS97" i="9"/>
  <c r="JU97" i="9"/>
  <c r="EW97" i="9" s="1"/>
  <c r="EO101" i="9"/>
  <c r="EF101" i="9"/>
  <c r="JV101" i="9"/>
  <c r="EX101" i="9" s="1"/>
  <c r="EM89" i="9"/>
  <c r="ED89" i="9"/>
  <c r="EF90" i="9"/>
  <c r="EO90" i="9"/>
  <c r="JV90" i="9"/>
  <c r="EX90" i="9" s="1"/>
  <c r="EI95" i="9"/>
  <c r="DZ95" i="9"/>
  <c r="JP95" i="9"/>
  <c r="ER95" i="9" s="1"/>
  <c r="AN95" i="9"/>
  <c r="DH88" i="9" a="1"/>
  <c r="DH88" i="9" s="1"/>
  <c r="EL96" i="9"/>
  <c r="EC96" i="9"/>
  <c r="JS96" i="9"/>
  <c r="EU96" i="9" s="1"/>
  <c r="AQ96" i="9"/>
  <c r="EM100" i="9"/>
  <c r="ED100" i="9"/>
  <c r="DU88" i="9"/>
  <c r="EO99" i="9"/>
  <c r="EF99" i="9"/>
  <c r="JV99" i="9"/>
  <c r="EX99" i="9" s="1"/>
  <c r="EK89" i="9"/>
  <c r="EB89" i="9"/>
  <c r="EH92" i="9"/>
  <c r="DY92" i="9"/>
  <c r="JO92" i="9"/>
  <c r="EQ92" i="9" s="1"/>
  <c r="AM92" i="9"/>
  <c r="DZ94" i="9"/>
  <c r="EI94" i="9"/>
  <c r="JP94" i="9"/>
  <c r="ER94" i="9" s="1"/>
  <c r="AN94" i="9"/>
  <c r="EJ98" i="9"/>
  <c r="EA98" i="9"/>
  <c r="JQ98" i="9"/>
  <c r="ES98" i="9" s="1"/>
  <c r="AO98" i="9"/>
  <c r="EK102" i="9"/>
  <c r="EB102" i="9"/>
  <c r="ED90" i="9"/>
  <c r="EM90" i="9"/>
  <c r="EO95" i="9"/>
  <c r="EF95" i="9"/>
  <c r="JV95" i="9"/>
  <c r="EX95" i="9" s="1"/>
  <c r="EH91" i="9"/>
  <c r="DY91" i="9"/>
  <c r="HD91" i="9"/>
  <c r="AM91" i="9"/>
  <c r="JO91" i="9"/>
  <c r="EQ91" i="9" s="1"/>
  <c r="EC93" i="9"/>
  <c r="EL93" i="9"/>
  <c r="JS93" i="9"/>
  <c r="EU93" i="9" s="1"/>
  <c r="AQ93" i="9"/>
  <c r="EM97" i="9"/>
  <c r="ED97" i="9"/>
  <c r="EN101" i="9"/>
  <c r="EE101" i="9"/>
  <c r="AS101" i="9"/>
  <c r="JU101" i="9"/>
  <c r="EW101" i="9" s="1"/>
  <c r="EJ92" i="9"/>
  <c r="EA92" i="9"/>
  <c r="AO92" i="9"/>
  <c r="JQ92" i="9"/>
  <c r="ES92" i="9" s="1"/>
  <c r="EL98" i="9"/>
  <c r="EC98" i="9"/>
  <c r="JS98" i="9"/>
  <c r="EU98" i="9" s="1"/>
  <c r="AQ98" i="9"/>
  <c r="EO97" i="9"/>
  <c r="EF97" i="9"/>
  <c r="JV97" i="9"/>
  <c r="EX97" i="9" s="1"/>
  <c r="DG88" i="9"/>
  <c r="LH88" i="9" s="1"/>
  <c r="BW88" i="9" s="1"/>
  <c r="EB96" i="9"/>
  <c r="EK96" i="9"/>
  <c r="EL100" i="9"/>
  <c r="EC100" i="9"/>
  <c r="JS100" i="9"/>
  <c r="EU100" i="9" s="1"/>
  <c r="AQ100" i="9"/>
  <c r="DT88" i="9"/>
  <c r="EE99" i="9"/>
  <c r="EN99" i="9"/>
  <c r="AS99" i="9"/>
  <c r="JU99" i="9"/>
  <c r="EW99" i="9" s="1"/>
  <c r="EJ89" i="9"/>
  <c r="EA89" i="9"/>
  <c r="AO89" i="9"/>
  <c r="JQ89" i="9"/>
  <c r="ES89" i="9" s="1"/>
  <c r="EF92" i="9"/>
  <c r="EO92" i="9"/>
  <c r="JV92" i="9"/>
  <c r="EX92" i="9" s="1"/>
  <c r="EH94" i="9"/>
  <c r="DY94" i="9"/>
  <c r="AM94" i="9"/>
  <c r="JO94" i="9"/>
  <c r="EQ94" i="9" s="1"/>
  <c r="DZ98" i="9"/>
  <c r="EI98" i="9"/>
  <c r="AN98" i="9"/>
  <c r="JP98" i="9"/>
  <c r="ER98" i="9" s="1"/>
  <c r="EA102" i="9"/>
  <c r="EJ102" i="9"/>
  <c r="AO102" i="9"/>
  <c r="JQ102" i="9"/>
  <c r="ES102" i="9" s="1"/>
  <c r="EL90" i="9"/>
  <c r="EC90" i="9"/>
  <c r="AQ90" i="9"/>
  <c r="JS90" i="9"/>
  <c r="EU90" i="9" s="1"/>
  <c r="EE95" i="9"/>
  <c r="EN95" i="9"/>
  <c r="JU95" i="9"/>
  <c r="EW95" i="9" s="1"/>
  <c r="AS95" i="9"/>
  <c r="EF91" i="9"/>
  <c r="EO91" i="9"/>
  <c r="JV91" i="9"/>
  <c r="EX91" i="9" s="1"/>
  <c r="EK93" i="9"/>
  <c r="EB93" i="9"/>
  <c r="EL97" i="9"/>
  <c r="EC97" i="9"/>
  <c r="JS97" i="9"/>
  <c r="EU97" i="9" s="1"/>
  <c r="AQ97" i="9"/>
  <c r="EM101" i="9"/>
  <c r="ED101" i="9"/>
  <c r="EI99" i="9"/>
  <c r="DZ99" i="9"/>
  <c r="JP99" i="9"/>
  <c r="ER99" i="9" s="1"/>
  <c r="AN99" i="9"/>
  <c r="EM102" i="9"/>
  <c r="ED102" i="9"/>
  <c r="HL98" i="9"/>
  <c r="DN88" i="9" a="1"/>
  <c r="DN88" i="9" s="1"/>
  <c r="DL88" i="9" a="1"/>
  <c r="DL88" i="9" s="1"/>
  <c r="EA96" i="9"/>
  <c r="EJ96" i="9"/>
  <c r="JQ96" i="9"/>
  <c r="ES96" i="9" s="1"/>
  <c r="AO96" i="9"/>
  <c r="EB100" i="9"/>
  <c r="EK100" i="9"/>
  <c r="DS88" i="9"/>
  <c r="EM99" i="9"/>
  <c r="ED99" i="9"/>
  <c r="DZ89" i="9"/>
  <c r="EI89" i="9"/>
  <c r="AN89" i="9"/>
  <c r="JP89" i="9"/>
  <c r="ER89" i="9" s="1"/>
  <c r="EN92" i="9"/>
  <c r="EE92" i="9"/>
  <c r="AS92" i="9"/>
  <c r="JU92" i="9"/>
  <c r="EW92" i="9" s="1"/>
  <c r="EO94" i="9"/>
  <c r="EF94" i="9"/>
  <c r="JV94" i="9"/>
  <c r="EX94" i="9" s="1"/>
  <c r="EH98" i="9"/>
  <c r="DY98" i="9"/>
  <c r="JO98" i="9"/>
  <c r="EQ98" i="9" s="1"/>
  <c r="AM98" i="9"/>
  <c r="DZ102" i="9"/>
  <c r="EI102" i="9"/>
  <c r="AN102" i="9"/>
  <c r="JP102" i="9"/>
  <c r="ER102" i="9" s="1"/>
  <c r="EB90" i="9"/>
  <c r="EK90" i="9"/>
  <c r="ED95" i="9"/>
  <c r="EM95" i="9"/>
  <c r="EN91" i="9"/>
  <c r="EE91" i="9"/>
  <c r="JU91" i="9"/>
  <c r="EW91" i="9" s="1"/>
  <c r="AS91" i="9"/>
  <c r="EA93" i="9"/>
  <c r="EJ93" i="9"/>
  <c r="JQ93" i="9"/>
  <c r="ES93" i="9" s="1"/>
  <c r="AO93" i="9"/>
  <c r="EK97" i="9"/>
  <c r="EB97" i="9"/>
  <c r="EC101" i="9"/>
  <c r="EL101" i="9"/>
  <c r="JS101" i="9"/>
  <c r="EU101" i="9" s="1"/>
  <c r="AQ101" i="9"/>
  <c r="EO100" i="9"/>
  <c r="EF100" i="9"/>
  <c r="JV100" i="9"/>
  <c r="EX100" i="9" s="1"/>
  <c r="EK94" i="9"/>
  <c r="EB94" i="9"/>
  <c r="EE93" i="9"/>
  <c r="EN93" i="9"/>
  <c r="AS93" i="9"/>
  <c r="JU93" i="9"/>
  <c r="EW93" i="9" s="1"/>
  <c r="DZ96" i="9"/>
  <c r="EI96" i="9"/>
  <c r="AN96" i="9"/>
  <c r="JP96" i="9"/>
  <c r="ER96" i="9" s="1"/>
  <c r="EJ100" i="9"/>
  <c r="EA100" i="9"/>
  <c r="JQ100" i="9"/>
  <c r="ES100" i="9" s="1"/>
  <c r="AO100" i="9"/>
  <c r="DR88" i="9"/>
  <c r="EC99" i="9"/>
  <c r="EL99" i="9"/>
  <c r="AQ99" i="9"/>
  <c r="JS99" i="9"/>
  <c r="EU99" i="9" s="1"/>
  <c r="EH89" i="9"/>
  <c r="DY89" i="9"/>
  <c r="JO89" i="9"/>
  <c r="EQ89" i="9" s="1"/>
  <c r="AM89" i="9"/>
  <c r="ED92" i="9"/>
  <c r="EM92" i="9"/>
  <c r="EN94" i="9"/>
  <c r="EE94" i="9"/>
  <c r="AS94" i="9"/>
  <c r="JU94" i="9"/>
  <c r="EW94" i="9" s="1"/>
  <c r="EO98" i="9"/>
  <c r="EF98" i="9"/>
  <c r="JV98" i="9"/>
  <c r="EX98" i="9" s="1"/>
  <c r="EH102" i="9"/>
  <c r="DY102" i="9"/>
  <c r="JO102" i="9"/>
  <c r="EQ102" i="9" s="1"/>
  <c r="AM102" i="9"/>
  <c r="EA90" i="9"/>
  <c r="EJ90" i="9"/>
  <c r="AO90" i="9"/>
  <c r="JQ90" i="9"/>
  <c r="ES90" i="9" s="1"/>
  <c r="EC95" i="9"/>
  <c r="EL95" i="9"/>
  <c r="JS95" i="9"/>
  <c r="EU95" i="9" s="1"/>
  <c r="AQ95" i="9"/>
  <c r="EM91" i="9"/>
  <c r="ED91" i="9"/>
  <c r="EI93" i="9"/>
  <c r="DZ93" i="9"/>
  <c r="AN93" i="9"/>
  <c r="JP93" i="9"/>
  <c r="ER93" i="9" s="1"/>
  <c r="EJ97" i="9"/>
  <c r="EA97" i="9"/>
  <c r="JQ97" i="9"/>
  <c r="ES97" i="9" s="1"/>
  <c r="AO97" i="9"/>
  <c r="EB101" i="9"/>
  <c r="EK101" i="9"/>
  <c r="DM88" i="9" a="1"/>
  <c r="DM88" i="9" s="1"/>
  <c r="EH96" i="9"/>
  <c r="DY96" i="9"/>
  <c r="AM96" i="9"/>
  <c r="JO96" i="9"/>
  <c r="EQ96" i="9" s="1"/>
  <c r="DZ100" i="9"/>
  <c r="EI100" i="9"/>
  <c r="JP100" i="9"/>
  <c r="ER100" i="9" s="1"/>
  <c r="AN100" i="9"/>
  <c r="DQ88" i="9"/>
  <c r="EK99" i="9"/>
  <c r="EB99" i="9"/>
  <c r="EO89" i="9"/>
  <c r="EF89" i="9"/>
  <c r="JV89" i="9"/>
  <c r="EX89" i="9" s="1"/>
  <c r="EL92" i="9"/>
  <c r="EC92" i="9"/>
  <c r="JS92" i="9"/>
  <c r="EU92" i="9" s="1"/>
  <c r="AQ92" i="9"/>
  <c r="EM94" i="9"/>
  <c r="ED94" i="9"/>
  <c r="EN98" i="9"/>
  <c r="EE98" i="9"/>
  <c r="JU98" i="9"/>
  <c r="EW98" i="9" s="1"/>
  <c r="AS98" i="9"/>
  <c r="EO102" i="9"/>
  <c r="EF102" i="9"/>
  <c r="JV102" i="9"/>
  <c r="EX102" i="9" s="1"/>
  <c r="DZ90" i="9"/>
  <c r="EI90" i="9"/>
  <c r="JP90" i="9"/>
  <c r="ER90" i="9" s="1"/>
  <c r="AN90" i="9"/>
  <c r="EK95" i="9"/>
  <c r="EB95" i="9"/>
  <c r="EL91" i="9"/>
  <c r="EC91" i="9"/>
  <c r="AQ91" i="9"/>
  <c r="JS91" i="9"/>
  <c r="EU91" i="9" s="1"/>
  <c r="DY93" i="9"/>
  <c r="EH93" i="9"/>
  <c r="JO93" i="9"/>
  <c r="EQ93" i="9" s="1"/>
  <c r="AM93" i="9"/>
  <c r="DZ97" i="9"/>
  <c r="EI97" i="9"/>
  <c r="JP97" i="9"/>
  <c r="ER97" i="9" s="1"/>
  <c r="AN97" i="9"/>
  <c r="EJ101" i="9"/>
  <c r="EA101" i="9"/>
  <c r="JQ101" i="9"/>
  <c r="ES101" i="9" s="1"/>
  <c r="AO101" i="9"/>
  <c r="DK88" i="9" a="1"/>
  <c r="DK88" i="9" s="1"/>
  <c r="EO96" i="9"/>
  <c r="EF96" i="9"/>
  <c r="JV96" i="9"/>
  <c r="EX96" i="9" s="1"/>
  <c r="EH100" i="9"/>
  <c r="DY100" i="9"/>
  <c r="AM100" i="9"/>
  <c r="JO100" i="9"/>
  <c r="EQ100" i="9" s="1"/>
  <c r="EA99" i="9"/>
  <c r="EJ99" i="9"/>
  <c r="JQ99" i="9"/>
  <c r="ES99" i="9" s="1"/>
  <c r="AO99" i="9"/>
  <c r="EN89" i="9"/>
  <c r="EE89" i="9"/>
  <c r="JU89" i="9"/>
  <c r="EW89" i="9" s="1"/>
  <c r="AS89" i="9"/>
  <c r="EB92" i="9"/>
  <c r="EK92" i="9"/>
  <c r="EL94" i="9"/>
  <c r="EC94" i="9"/>
  <c r="AQ94" i="9"/>
  <c r="JS94" i="9"/>
  <c r="EU94" i="9" s="1"/>
  <c r="EM98" i="9"/>
  <c r="ED98" i="9"/>
  <c r="EE102" i="9"/>
  <c r="EN102" i="9"/>
  <c r="AS102" i="9"/>
  <c r="JU102" i="9"/>
  <c r="EW102" i="9" s="1"/>
  <c r="EH90" i="9"/>
  <c r="DY90" i="9"/>
  <c r="JO90" i="9"/>
  <c r="EQ90" i="9" s="1"/>
  <c r="AM90" i="9"/>
  <c r="EA95" i="9"/>
  <c r="EJ95" i="9"/>
  <c r="AO95" i="9"/>
  <c r="JQ95" i="9"/>
  <c r="ES95" i="9" s="1"/>
  <c r="EK91" i="9"/>
  <c r="EB91" i="9"/>
  <c r="EF93" i="9"/>
  <c r="EO93" i="9"/>
  <c r="JV93" i="9"/>
  <c r="EX93" i="9" s="1"/>
  <c r="DY97" i="9"/>
  <c r="EH97" i="9"/>
  <c r="AM97" i="9"/>
  <c r="JO97" i="9"/>
  <c r="EQ97" i="9" s="1"/>
  <c r="EI101" i="9"/>
  <c r="DZ101" i="9"/>
  <c r="JP101" i="9"/>
  <c r="ER101" i="9" s="1"/>
  <c r="AN101" i="9"/>
  <c r="AT95" i="9"/>
  <c r="AT98" i="9"/>
  <c r="AT101" i="9"/>
  <c r="AT90" i="9"/>
  <c r="AT91" i="9"/>
  <c r="AT100" i="9"/>
  <c r="AT102" i="9"/>
  <c r="AT89" i="9"/>
  <c r="AT94" i="9"/>
  <c r="AT96" i="9"/>
  <c r="AT99" i="9"/>
  <c r="AT92" i="9"/>
  <c r="AT93" i="9"/>
  <c r="AT97" i="9"/>
  <c r="BL88" i="8"/>
  <c r="J87" i="8"/>
  <c r="AD89" i="11"/>
  <c r="EG93" i="9"/>
  <c r="BM93" i="9" s="1"/>
  <c r="AK94" i="11" s="1"/>
  <c r="EG98" i="9"/>
  <c r="BM98" i="9" s="1"/>
  <c r="AK99" i="11" s="1"/>
  <c r="BF88" i="8"/>
  <c r="EG88" i="9"/>
  <c r="BM88" i="9" s="1"/>
  <c r="AK89" i="11" s="1"/>
  <c r="L92" i="11"/>
  <c r="EG91" i="9"/>
  <c r="BM91" i="9" s="1"/>
  <c r="AK92" i="11" s="1"/>
  <c r="L94" i="11"/>
  <c r="L96" i="11"/>
  <c r="L98" i="11"/>
  <c r="L100" i="11"/>
  <c r="L102" i="11"/>
  <c r="EG101" i="9"/>
  <c r="BM101" i="9" s="1"/>
  <c r="AK102" i="11" s="1"/>
  <c r="EG94" i="9"/>
  <c r="BM94" i="9" s="1"/>
  <c r="AK95" i="11" s="1"/>
  <c r="EG97" i="9"/>
  <c r="BM97" i="9" s="1"/>
  <c r="AK98" i="11" s="1"/>
  <c r="L89" i="11"/>
  <c r="L90" i="11"/>
  <c r="L91" i="11"/>
  <c r="BJ88" i="8"/>
  <c r="L93" i="11"/>
  <c r="L95" i="11"/>
  <c r="L97" i="11"/>
  <c r="L99" i="11"/>
  <c r="L101" i="11"/>
  <c r="L103" i="11"/>
  <c r="EG102" i="9"/>
  <c r="BM102" i="9" s="1"/>
  <c r="AK103" i="11" s="1"/>
  <c r="DP88" i="8"/>
  <c r="BN88" i="8"/>
  <c r="BH88" i="8"/>
  <c r="BP88" i="8"/>
  <c r="BD88" i="8"/>
  <c r="BB88" i="8"/>
  <c r="R87" i="8"/>
  <c r="B87" i="8"/>
  <c r="DI86" i="8"/>
  <c r="DH86" i="8"/>
  <c r="DG86" i="8"/>
  <c r="CY86" i="8"/>
  <c r="R86" i="8" a="1"/>
  <c r="J86" i="8" a="1"/>
  <c r="B86" i="8" a="1"/>
  <c r="O131" i="7"/>
  <c r="DK87" i="8" l="1"/>
  <c r="HF97" i="9"/>
  <c r="BX93" i="9"/>
  <c r="L93" i="9" s="1"/>
  <c r="U93" i="9" s="1"/>
  <c r="BX97" i="9"/>
  <c r="L97" i="9" s="1"/>
  <c r="U97" i="9" s="1"/>
  <c r="AV102" i="10"/>
  <c r="HI90" i="9"/>
  <c r="BE97" i="10"/>
  <c r="U97" i="10"/>
  <c r="BW97" i="10" s="1"/>
  <c r="HH91" i="9"/>
  <c r="HI91" i="9"/>
  <c r="BE99" i="10"/>
  <c r="BN99" i="10" s="1"/>
  <c r="DT91" i="8"/>
  <c r="DJ86" i="8"/>
  <c r="DL86" i="8" s="1"/>
  <c r="DT102" i="8"/>
  <c r="DT92" i="8"/>
  <c r="AV90" i="10"/>
  <c r="AV93" i="10"/>
  <c r="AV94" i="10"/>
  <c r="AV101" i="10"/>
  <c r="DT98" i="8"/>
  <c r="BE100" i="10"/>
  <c r="BE95" i="10"/>
  <c r="BN95" i="10" s="1"/>
  <c r="CF95" i="10" s="1"/>
  <c r="AV100" i="10"/>
  <c r="DT90" i="8"/>
  <c r="AV88" i="10"/>
  <c r="BE88" i="10"/>
  <c r="BN88" i="10" s="1"/>
  <c r="BE92" i="10"/>
  <c r="BN92" i="10" s="1"/>
  <c r="HJ91" i="9"/>
  <c r="U100" i="10"/>
  <c r="BN100" i="10" s="1"/>
  <c r="AV91" i="10"/>
  <c r="DT89" i="8"/>
  <c r="HH101" i="9"/>
  <c r="DT99" i="8"/>
  <c r="HG91" i="9"/>
  <c r="DT100" i="8"/>
  <c r="AV89" i="10"/>
  <c r="DT95" i="8"/>
  <c r="HF95" i="9"/>
  <c r="HG93" i="9"/>
  <c r="HH94" i="9"/>
  <c r="HJ92" i="9"/>
  <c r="DT101" i="8"/>
  <c r="DT88" i="8"/>
  <c r="DT93" i="8"/>
  <c r="DT96" i="8"/>
  <c r="DT94" i="8"/>
  <c r="DT97" i="8"/>
  <c r="CG93" i="10"/>
  <c r="CP93" i="10" s="1"/>
  <c r="CI95" i="10"/>
  <c r="CR95" i="10" s="1"/>
  <c r="CM100" i="10"/>
  <c r="CV100" i="10" s="1"/>
  <c r="CN88" i="10"/>
  <c r="CW88" i="10" s="1"/>
  <c r="CJ97" i="10"/>
  <c r="CS97" i="10" s="1"/>
  <c r="CH97" i="10"/>
  <c r="CQ97" i="10" s="1"/>
  <c r="CH93" i="10"/>
  <c r="CQ93" i="10" s="1"/>
  <c r="CK95" i="10"/>
  <c r="CT95" i="10" s="1"/>
  <c r="CJ100" i="10"/>
  <c r="CS100" i="10" s="1"/>
  <c r="CG88" i="10"/>
  <c r="CP88" i="10" s="1"/>
  <c r="CJ101" i="10"/>
  <c r="CS101" i="10" s="1"/>
  <c r="CH89" i="10"/>
  <c r="CQ89" i="10" s="1"/>
  <c r="CG98" i="10"/>
  <c r="CP98" i="10" s="1"/>
  <c r="CN95" i="10"/>
  <c r="CW95" i="10" s="1"/>
  <c r="CN91" i="10"/>
  <c r="CW91" i="10" s="1"/>
  <c r="CG101" i="10"/>
  <c r="CP101" i="10" s="1"/>
  <c r="CK91" i="10"/>
  <c r="CT91" i="10" s="1"/>
  <c r="CM96" i="10"/>
  <c r="CV96" i="10" s="1"/>
  <c r="CI99" i="10"/>
  <c r="CR99" i="10" s="1"/>
  <c r="CH94" i="10"/>
  <c r="CQ94" i="10" s="1"/>
  <c r="CM89" i="10"/>
  <c r="CV89" i="10" s="1"/>
  <c r="CH98" i="10"/>
  <c r="CQ98" i="10" s="1"/>
  <c r="CJ96" i="10"/>
  <c r="CS96" i="10" s="1"/>
  <c r="CM99" i="10"/>
  <c r="CV99" i="10" s="1"/>
  <c r="CJ92" i="10"/>
  <c r="CS92" i="10" s="1"/>
  <c r="CL101" i="10"/>
  <c r="CU101" i="10" s="1"/>
  <c r="CI91" i="10"/>
  <c r="CR91" i="10" s="1"/>
  <c r="CI89" i="10"/>
  <c r="CR89" i="10" s="1"/>
  <c r="CK98" i="10"/>
  <c r="CT98" i="10" s="1"/>
  <c r="CH102" i="10"/>
  <c r="CQ102" i="10" s="1"/>
  <c r="CG97" i="10"/>
  <c r="CP97" i="10" s="1"/>
  <c r="CJ99" i="10"/>
  <c r="CS99" i="10" s="1"/>
  <c r="CG90" i="10"/>
  <c r="CP90" i="10" s="1"/>
  <c r="CH92" i="10"/>
  <c r="CQ92" i="10" s="1"/>
  <c r="CM95" i="10"/>
  <c r="CV95" i="10" s="1"/>
  <c r="CJ88" i="10"/>
  <c r="CS88" i="10" s="1"/>
  <c r="CL97" i="10"/>
  <c r="CU97" i="10" s="1"/>
  <c r="CM91" i="10"/>
  <c r="CV91" i="10" s="1"/>
  <c r="CM101" i="10"/>
  <c r="CV101" i="10" s="1"/>
  <c r="CJ91" i="10"/>
  <c r="CS91" i="10" s="1"/>
  <c r="CG89" i="10"/>
  <c r="CP89" i="10" s="1"/>
  <c r="CK89" i="10"/>
  <c r="CT89" i="10" s="1"/>
  <c r="CM98" i="10"/>
  <c r="CV98" i="10" s="1"/>
  <c r="CN100" i="10"/>
  <c r="CW100" i="10" s="1"/>
  <c r="CI96" i="10"/>
  <c r="CR96" i="10" s="1"/>
  <c r="CI97" i="10"/>
  <c r="CR97" i="10" s="1"/>
  <c r="CN89" i="10"/>
  <c r="CW89" i="10" s="1"/>
  <c r="CJ98" i="10"/>
  <c r="CS98" i="10" s="1"/>
  <c r="CM102" i="10"/>
  <c r="CV102" i="10" s="1"/>
  <c r="CK94" i="10"/>
  <c r="CT94" i="10" s="1"/>
  <c r="CM97" i="10"/>
  <c r="CV97" i="10" s="1"/>
  <c r="CI90" i="10"/>
  <c r="CR90" i="10" s="1"/>
  <c r="CM92" i="10"/>
  <c r="CV92" i="10" s="1"/>
  <c r="CL95" i="10"/>
  <c r="CU95" i="10" s="1"/>
  <c r="CN101" i="10"/>
  <c r="CW101" i="10" s="1"/>
  <c r="CL91" i="10"/>
  <c r="CU91" i="10" s="1"/>
  <c r="CN96" i="10"/>
  <c r="CW96" i="10" s="1"/>
  <c r="CI94" i="10"/>
  <c r="CR94" i="10" s="1"/>
  <c r="CI100" i="10"/>
  <c r="CR100" i="10" s="1"/>
  <c r="CK101" i="10"/>
  <c r="CT101" i="10" s="1"/>
  <c r="CH91" i="10"/>
  <c r="CQ91" i="10" s="1"/>
  <c r="CN90" i="10"/>
  <c r="CW90" i="10" s="1"/>
  <c r="CK92" i="10"/>
  <c r="CT92" i="10" s="1"/>
  <c r="CN102" i="10"/>
  <c r="CW102" i="10" s="1"/>
  <c r="CL94" i="10"/>
  <c r="CU94" i="10" s="1"/>
  <c r="CL90" i="10"/>
  <c r="CU90" i="10" s="1"/>
  <c r="CL100" i="10"/>
  <c r="CU100" i="10" s="1"/>
  <c r="CM88" i="10"/>
  <c r="CV88" i="10" s="1"/>
  <c r="CI102" i="10"/>
  <c r="CR102" i="10" s="1"/>
  <c r="CN97" i="10"/>
  <c r="CW97" i="10" s="1"/>
  <c r="CK90" i="10"/>
  <c r="CT90" i="10" s="1"/>
  <c r="CI92" i="10"/>
  <c r="CR92" i="10" s="1"/>
  <c r="CK102" i="10"/>
  <c r="CT102" i="10" s="1"/>
  <c r="CK97" i="10"/>
  <c r="CT97" i="10" s="1"/>
  <c r="CG100" i="10"/>
  <c r="CP100" i="10" s="1"/>
  <c r="CK88" i="10"/>
  <c r="CT88" i="10" s="1"/>
  <c r="CH90" i="10"/>
  <c r="CQ90" i="10" s="1"/>
  <c r="CL92" i="10"/>
  <c r="CU92" i="10" s="1"/>
  <c r="CJ94" i="10"/>
  <c r="CS94" i="10" s="1"/>
  <c r="CL96" i="10"/>
  <c r="CU96" i="10" s="1"/>
  <c r="CH99" i="10"/>
  <c r="CQ99" i="10" s="1"/>
  <c r="CH88" i="10"/>
  <c r="CQ88" i="10" s="1"/>
  <c r="CL89" i="10"/>
  <c r="CU89" i="10" s="1"/>
  <c r="CH100" i="10"/>
  <c r="CQ100" i="10" s="1"/>
  <c r="CI88" i="10"/>
  <c r="CR88" i="10" s="1"/>
  <c r="CL102" i="10"/>
  <c r="CU102" i="10" s="1"/>
  <c r="CG94" i="10"/>
  <c r="CP94" i="10" s="1"/>
  <c r="CJ95" i="10"/>
  <c r="CS95" i="10" s="1"/>
  <c r="CG96" i="10"/>
  <c r="CP96" i="10" s="1"/>
  <c r="CG99" i="10"/>
  <c r="CP99" i="10" s="1"/>
  <c r="CK100" i="10"/>
  <c r="CT100" i="10" s="1"/>
  <c r="CL88" i="10"/>
  <c r="CU88" i="10" s="1"/>
  <c r="CL99" i="10"/>
  <c r="CU99" i="10" s="1"/>
  <c r="CH95" i="10"/>
  <c r="CQ95" i="10" s="1"/>
  <c r="CJ90" i="10"/>
  <c r="CS90" i="10" s="1"/>
  <c r="CN92" i="10"/>
  <c r="CW92" i="10" s="1"/>
  <c r="CN98" i="10"/>
  <c r="CW98" i="10" s="1"/>
  <c r="CH101" i="10"/>
  <c r="CQ101" i="10" s="1"/>
  <c r="CH96" i="10"/>
  <c r="CQ96" i="10" s="1"/>
  <c r="CK99" i="10"/>
  <c r="CT99" i="10" s="1"/>
  <c r="CM90" i="10"/>
  <c r="CV90" i="10" s="1"/>
  <c r="CG92" i="10"/>
  <c r="CP92" i="10" s="1"/>
  <c r="CG95" i="10"/>
  <c r="CP95" i="10" s="1"/>
  <c r="CK96" i="10"/>
  <c r="CT96" i="10" s="1"/>
  <c r="CN99" i="10"/>
  <c r="CW99" i="10" s="1"/>
  <c r="CI98" i="10"/>
  <c r="CR98" i="10" s="1"/>
  <c r="CJ89" i="10"/>
  <c r="CS89" i="10" s="1"/>
  <c r="CL98" i="10"/>
  <c r="CU98" i="10" s="1"/>
  <c r="CI93" i="10"/>
  <c r="CR93" i="10" s="1"/>
  <c r="HH93" i="9"/>
  <c r="HI93" i="9"/>
  <c r="HG101" i="9"/>
  <c r="HG97" i="9"/>
  <c r="HK94" i="9"/>
  <c r="HG95" i="9"/>
  <c r="HI97" i="9"/>
  <c r="HJ101" i="9"/>
  <c r="HF93" i="9"/>
  <c r="CM94" i="10"/>
  <c r="CV94" i="10" s="1"/>
  <c r="BE98" i="10"/>
  <c r="BN98" i="10" s="1"/>
  <c r="BX89" i="9"/>
  <c r="IF89" i="9" s="1"/>
  <c r="FA89" i="9" s="1"/>
  <c r="HK97" i="9"/>
  <c r="HH97" i="9"/>
  <c r="HK101" i="9"/>
  <c r="HF101" i="9"/>
  <c r="AV92" i="10"/>
  <c r="BW102" i="10"/>
  <c r="BW89" i="10"/>
  <c r="BW91" i="10"/>
  <c r="BW90" i="10"/>
  <c r="BW98" i="10"/>
  <c r="BW88" i="10"/>
  <c r="BW92" i="10"/>
  <c r="BW101" i="10"/>
  <c r="BW93" i="10"/>
  <c r="BW96" i="10"/>
  <c r="HG90" i="9"/>
  <c r="CR101" i="10"/>
  <c r="HJ89" i="9"/>
  <c r="CP91" i="10"/>
  <c r="HK93" i="9"/>
  <c r="HF102" i="9"/>
  <c r="G102" i="11"/>
  <c r="HF90" i="9"/>
  <c r="HI101" i="9"/>
  <c r="HI89" i="9"/>
  <c r="HK102" i="9"/>
  <c r="HK91" i="9"/>
  <c r="HH92" i="9"/>
  <c r="HF100" i="9"/>
  <c r="BE94" i="10"/>
  <c r="CT93" i="10"/>
  <c r="CU93" i="10"/>
  <c r="CW93" i="10"/>
  <c r="CV93" i="10"/>
  <c r="BE89" i="10"/>
  <c r="BN89" i="10" s="1"/>
  <c r="CW94" i="10"/>
  <c r="HJ94" i="9"/>
  <c r="HI95" i="9"/>
  <c r="HI98" i="9"/>
  <c r="HK90" i="9"/>
  <c r="HI100" i="9"/>
  <c r="G91" i="11"/>
  <c r="HJ100" i="9"/>
  <c r="HF94" i="9"/>
  <c r="M94" i="9"/>
  <c r="V94" i="9" s="1"/>
  <c r="HG98" i="9"/>
  <c r="N98" i="9"/>
  <c r="W98" i="9" s="1"/>
  <c r="HJ102" i="9"/>
  <c r="HF96" i="9"/>
  <c r="M96" i="9"/>
  <c r="V96" i="9" s="1"/>
  <c r="HH102" i="9"/>
  <c r="O102" i="9"/>
  <c r="X102" i="9" s="1"/>
  <c r="HJ96" i="9"/>
  <c r="Q96" i="9"/>
  <c r="Z96" i="9" s="1"/>
  <c r="HI99" i="9"/>
  <c r="P99" i="9"/>
  <c r="Y99" i="9" s="1"/>
  <c r="HH99" i="9"/>
  <c r="O99" i="9"/>
  <c r="X99" i="9" s="1"/>
  <c r="HJ99" i="9"/>
  <c r="Q99" i="9"/>
  <c r="Z99" i="9" s="1"/>
  <c r="HH89" i="9"/>
  <c r="O89" i="9"/>
  <c r="X89" i="9" s="1"/>
  <c r="HI102" i="9"/>
  <c r="P102" i="9"/>
  <c r="Y102" i="9" s="1"/>
  <c r="HJ93" i="9"/>
  <c r="Q93" i="9"/>
  <c r="Z93" i="9" s="1"/>
  <c r="HE91" i="9"/>
  <c r="L91" i="9"/>
  <c r="U91" i="9" s="1"/>
  <c r="HK100" i="9"/>
  <c r="R100" i="9"/>
  <c r="AA100" i="9" s="1"/>
  <c r="HG94" i="9"/>
  <c r="N94" i="9"/>
  <c r="W94" i="9" s="1"/>
  <c r="HG92" i="9"/>
  <c r="N92" i="9"/>
  <c r="W92" i="9" s="1"/>
  <c r="HI92" i="9"/>
  <c r="P92" i="9"/>
  <c r="Y92" i="9" s="1"/>
  <c r="HH95" i="9"/>
  <c r="O95" i="9"/>
  <c r="X95" i="9" s="1"/>
  <c r="HH98" i="9"/>
  <c r="O98" i="9"/>
  <c r="X98" i="9" s="1"/>
  <c r="HH90" i="9"/>
  <c r="O90" i="9"/>
  <c r="X90" i="9" s="1"/>
  <c r="HE100" i="9"/>
  <c r="L100" i="9"/>
  <c r="U100" i="9" s="1"/>
  <c r="HJ97" i="9"/>
  <c r="Q97" i="9"/>
  <c r="Z97" i="9" s="1"/>
  <c r="HI94" i="9"/>
  <c r="HK89" i="9"/>
  <c r="HF92" i="9"/>
  <c r="M92" i="9"/>
  <c r="V92" i="9" s="1"/>
  <c r="HJ95" i="9"/>
  <c r="Q95" i="9"/>
  <c r="Z95" i="9" s="1"/>
  <c r="HF91" i="9"/>
  <c r="M91" i="9"/>
  <c r="V91" i="9" s="1"/>
  <c r="HK98" i="9"/>
  <c r="R98" i="9"/>
  <c r="AA98" i="9" s="1"/>
  <c r="HF99" i="9"/>
  <c r="M99" i="9"/>
  <c r="V99" i="9" s="1"/>
  <c r="HH100" i="9"/>
  <c r="O100" i="9"/>
  <c r="X100" i="9" s="1"/>
  <c r="HK99" i="9"/>
  <c r="R99" i="9"/>
  <c r="AA99" i="9" s="1"/>
  <c r="HG96" i="9"/>
  <c r="N96" i="9"/>
  <c r="W96" i="9" s="1"/>
  <c r="HG100" i="9"/>
  <c r="N100" i="9"/>
  <c r="W100" i="9" s="1"/>
  <c r="HJ90" i="9"/>
  <c r="Q90" i="9"/>
  <c r="Z90" i="9" s="1"/>
  <c r="HK92" i="9"/>
  <c r="R92" i="9"/>
  <c r="AA92" i="9" s="1"/>
  <c r="HH96" i="9"/>
  <c r="O96" i="9"/>
  <c r="X96" i="9" s="1"/>
  <c r="EO88" i="9"/>
  <c r="HJ98" i="9"/>
  <c r="Q98" i="9"/>
  <c r="Z98" i="9" s="1"/>
  <c r="HK95" i="9"/>
  <c r="R95" i="9"/>
  <c r="AA95" i="9" s="1"/>
  <c r="HI96" i="9"/>
  <c r="P96" i="9"/>
  <c r="Y96" i="9" s="1"/>
  <c r="HG99" i="9"/>
  <c r="N99" i="9"/>
  <c r="W99" i="9" s="1"/>
  <c r="HG89" i="9"/>
  <c r="N89" i="9"/>
  <c r="W89" i="9" s="1"/>
  <c r="HF89" i="9"/>
  <c r="M89" i="9"/>
  <c r="V89" i="9" s="1"/>
  <c r="HK96" i="9"/>
  <c r="R96" i="9"/>
  <c r="AA96" i="9" s="1"/>
  <c r="HF98" i="9"/>
  <c r="M98" i="9"/>
  <c r="V98" i="9" s="1"/>
  <c r="HG102" i="9"/>
  <c r="N102" i="9"/>
  <c r="W102" i="9" s="1"/>
  <c r="G92" i="11"/>
  <c r="LM88" i="9"/>
  <c r="CB88" i="9" s="1"/>
  <c r="P88" i="9" s="1"/>
  <c r="Y88" i="9" s="1"/>
  <c r="LO88" i="9"/>
  <c r="CD88" i="9" s="1"/>
  <c r="BO91" i="9"/>
  <c r="AM92" i="11" s="1"/>
  <c r="HE101" i="9"/>
  <c r="LL88" i="9"/>
  <c r="CA88" i="9" s="1"/>
  <c r="O88" i="9" s="1"/>
  <c r="X88" i="9" s="1"/>
  <c r="HE93" i="9"/>
  <c r="BE101" i="10"/>
  <c r="AV98" i="10"/>
  <c r="G101" i="11"/>
  <c r="HE90" i="9"/>
  <c r="LN88" i="9"/>
  <c r="CC88" i="9" s="1"/>
  <c r="BN99" i="9"/>
  <c r="AL100" i="11" s="1"/>
  <c r="BX96" i="9"/>
  <c r="G97" i="11"/>
  <c r="BX99" i="9"/>
  <c r="G100" i="11"/>
  <c r="LK88" i="9"/>
  <c r="BZ88" i="9" s="1"/>
  <c r="BX98" i="9"/>
  <c r="G99" i="11"/>
  <c r="BX92" i="9"/>
  <c r="G93" i="11"/>
  <c r="LJ88" i="9"/>
  <c r="BY88" i="9" s="1"/>
  <c r="BX95" i="9"/>
  <c r="IF95" i="9" s="1"/>
  <c r="FA95" i="9" s="1"/>
  <c r="G96" i="11"/>
  <c r="BX102" i="9"/>
  <c r="IF102" i="9" s="1"/>
  <c r="FA102" i="9" s="1"/>
  <c r="G103" i="11"/>
  <c r="HD100" i="9"/>
  <c r="LI88" i="9"/>
  <c r="HD99" i="9"/>
  <c r="HD88" i="9"/>
  <c r="BX94" i="9"/>
  <c r="L94" i="9" s="1"/>
  <c r="U94" i="9" s="1"/>
  <c r="G95" i="11"/>
  <c r="BE96" i="10"/>
  <c r="BN96" i="10" s="1"/>
  <c r="BU89" i="9"/>
  <c r="AS90" i="11" s="1"/>
  <c r="BO95" i="9"/>
  <c r="AM96" i="11" s="1"/>
  <c r="BN90" i="9"/>
  <c r="AL91" i="11" s="1"/>
  <c r="BE93" i="10"/>
  <c r="BN93" i="10" s="1"/>
  <c r="CF93" i="10" s="1"/>
  <c r="EF88" i="9"/>
  <c r="U94" i="10"/>
  <c r="BQ101" i="9"/>
  <c r="AO102" i="11" s="1"/>
  <c r="BE90" i="10"/>
  <c r="BN90" i="10" s="1"/>
  <c r="BP102" i="9"/>
  <c r="AN103" i="11" s="1"/>
  <c r="BS93" i="9"/>
  <c r="AQ94" i="11" s="1"/>
  <c r="BT96" i="9"/>
  <c r="AR97" i="11" s="1"/>
  <c r="BE102" i="10"/>
  <c r="BN102" i="10" s="1"/>
  <c r="HC102" i="9"/>
  <c r="HC89" i="9"/>
  <c r="BE91" i="10"/>
  <c r="BN91" i="10" s="1"/>
  <c r="HC92" i="9"/>
  <c r="HC97" i="9"/>
  <c r="HC99" i="9"/>
  <c r="HC94" i="9"/>
  <c r="HC90" i="9"/>
  <c r="HC100" i="9"/>
  <c r="HC91" i="9"/>
  <c r="HC96" i="9"/>
  <c r="HC95" i="9"/>
  <c r="HC101" i="9"/>
  <c r="HC93" i="9"/>
  <c r="HC98" i="9"/>
  <c r="HC88" i="9"/>
  <c r="BO101" i="9"/>
  <c r="AM102" i="11" s="1"/>
  <c r="BU91" i="9"/>
  <c r="AS92" i="11" s="1"/>
  <c r="BT102" i="9"/>
  <c r="AR103" i="11" s="1"/>
  <c r="BO93" i="9"/>
  <c r="AM94" i="11" s="1"/>
  <c r="BR92" i="9"/>
  <c r="AP93" i="11" s="1"/>
  <c r="AL92" i="9"/>
  <c r="BO90" i="9"/>
  <c r="AM91" i="11" s="1"/>
  <c r="BU92" i="9"/>
  <c r="AS93" i="11" s="1"/>
  <c r="BR96" i="9"/>
  <c r="AP97" i="11" s="1"/>
  <c r="BT98" i="9"/>
  <c r="AR99" i="11" s="1"/>
  <c r="EC88" i="9"/>
  <c r="EL88" i="9"/>
  <c r="AQ88" i="9"/>
  <c r="JS88" i="9"/>
  <c r="EU88" i="9" s="1"/>
  <c r="EJ88" i="9"/>
  <c r="EA88" i="9"/>
  <c r="JQ88" i="9"/>
  <c r="ES88" i="9" s="1"/>
  <c r="AO88" i="9"/>
  <c r="EK88" i="9"/>
  <c r="EB88" i="9"/>
  <c r="EN88" i="9"/>
  <c r="EE88" i="9"/>
  <c r="AS88" i="9"/>
  <c r="JU88" i="9"/>
  <c r="EW88" i="9" s="1"/>
  <c r="EI88" i="9"/>
  <c r="DZ88" i="9"/>
  <c r="JP88" i="9"/>
  <c r="ER88" i="9" s="1"/>
  <c r="AN88" i="9"/>
  <c r="EM88" i="9"/>
  <c r="ED88" i="9"/>
  <c r="AL95" i="9"/>
  <c r="AC95" i="9" s="1"/>
  <c r="AL98" i="9"/>
  <c r="AC98" i="9" s="1"/>
  <c r="BP97" i="9"/>
  <c r="AN98" i="11" s="1"/>
  <c r="BO99" i="9"/>
  <c r="AM100" i="11" s="1"/>
  <c r="BQ93" i="9"/>
  <c r="AO94" i="11" s="1"/>
  <c r="BU101" i="9"/>
  <c r="AS102" i="11" s="1"/>
  <c r="AL93" i="9"/>
  <c r="AC93" i="9" s="1"/>
  <c r="BP93" i="9"/>
  <c r="AN94" i="11" s="1"/>
  <c r="AL99" i="9"/>
  <c r="AC99" i="9" s="1"/>
  <c r="BS102" i="9"/>
  <c r="IL90" i="9"/>
  <c r="BT94" i="9"/>
  <c r="AR95" i="11" s="1"/>
  <c r="BP92" i="9"/>
  <c r="AN93" i="11" s="1"/>
  <c r="BS94" i="9"/>
  <c r="AQ95" i="11" s="1"/>
  <c r="BO97" i="9"/>
  <c r="AM98" i="11" s="1"/>
  <c r="BT91" i="9"/>
  <c r="BQ97" i="9"/>
  <c r="BQ100" i="9"/>
  <c r="BO94" i="9"/>
  <c r="AM95" i="11" s="1"/>
  <c r="BN97" i="9"/>
  <c r="AL98" i="11" s="1"/>
  <c r="BP91" i="9"/>
  <c r="BT92" i="9"/>
  <c r="JN92" i="9"/>
  <c r="EP92" i="9" s="1"/>
  <c r="BR102" i="9"/>
  <c r="BN96" i="9"/>
  <c r="AL101" i="9"/>
  <c r="AC101" i="9" s="1"/>
  <c r="BQ98" i="9"/>
  <c r="AO99" i="11" s="1"/>
  <c r="JN91" i="9"/>
  <c r="EP91" i="9" s="1"/>
  <c r="AL91" i="9"/>
  <c r="AL100" i="9"/>
  <c r="AC100" i="9" s="1"/>
  <c r="AL96" i="9"/>
  <c r="AC96" i="9" s="1"/>
  <c r="BO96" i="9"/>
  <c r="AM97" i="11" s="1"/>
  <c r="BT93" i="9"/>
  <c r="BQ92" i="9"/>
  <c r="AO93" i="11" s="1"/>
  <c r="BN101" i="9"/>
  <c r="AL102" i="11" s="1"/>
  <c r="BR100" i="9"/>
  <c r="BR91" i="9"/>
  <c r="BP98" i="9"/>
  <c r="AN99" i="11" s="1"/>
  <c r="AL102" i="9"/>
  <c r="AC102" i="9" s="1"/>
  <c r="AL94" i="9"/>
  <c r="AC94" i="9" s="1"/>
  <c r="AL90" i="9"/>
  <c r="AC90" i="9" s="1"/>
  <c r="AL88" i="9"/>
  <c r="AC88" i="9" s="1"/>
  <c r="BU102" i="9"/>
  <c r="BT100" i="9"/>
  <c r="AR101" i="11" s="1"/>
  <c r="AL97" i="9"/>
  <c r="AC97" i="9" s="1"/>
  <c r="BS95" i="9"/>
  <c r="AQ96" i="11" s="1"/>
  <c r="AL89" i="9"/>
  <c r="AC89" i="9" s="1"/>
  <c r="BU98" i="9"/>
  <c r="BQ91" i="9"/>
  <c r="BS91" i="9"/>
  <c r="AQ92" i="11" s="1"/>
  <c r="BP96" i="9"/>
  <c r="AN97" i="11" s="1"/>
  <c r="BU95" i="9"/>
  <c r="BT99" i="9"/>
  <c r="BN89" i="9"/>
  <c r="AL90" i="11" s="1"/>
  <c r="AT88" i="9"/>
  <c r="BS89" i="9"/>
  <c r="BR89" i="9"/>
  <c r="BO100" i="9"/>
  <c r="BR97" i="9"/>
  <c r="AP98" i="11" s="1"/>
  <c r="BN95" i="9"/>
  <c r="BR99" i="9"/>
  <c r="AP100" i="11" s="1"/>
  <c r="BU96" i="9"/>
  <c r="BS97" i="9"/>
  <c r="BU94" i="9"/>
  <c r="BQ95" i="9"/>
  <c r="BN100" i="9"/>
  <c r="BQ102" i="9"/>
  <c r="AO103" i="11" s="1"/>
  <c r="BP95" i="9"/>
  <c r="BR98" i="9"/>
  <c r="BO102" i="9"/>
  <c r="BN91" i="9"/>
  <c r="BN98" i="9"/>
  <c r="AL99" i="11" s="1"/>
  <c r="BU93" i="9"/>
  <c r="BN94" i="9"/>
  <c r="BS100" i="9"/>
  <c r="AQ101" i="11" s="1"/>
  <c r="BU99" i="9"/>
  <c r="BS92" i="9"/>
  <c r="BS99" i="9"/>
  <c r="BQ94" i="9"/>
  <c r="BU90" i="9"/>
  <c r="AS91" i="11" s="1"/>
  <c r="BR90" i="9"/>
  <c r="BP90" i="9"/>
  <c r="BQ99" i="9"/>
  <c r="AO100" i="11" s="1"/>
  <c r="BR101" i="9"/>
  <c r="BU97" i="9"/>
  <c r="BQ89" i="9"/>
  <c r="BS101" i="9"/>
  <c r="BP101" i="9"/>
  <c r="BT101" i="9"/>
  <c r="AR102" i="11" s="1"/>
  <c r="BT97" i="9"/>
  <c r="BR93" i="9"/>
  <c r="BP100" i="9"/>
  <c r="BR95" i="9"/>
  <c r="BP94" i="9"/>
  <c r="BN93" i="9"/>
  <c r="BT95" i="9"/>
  <c r="BU100" i="9"/>
  <c r="AS101" i="11" s="1"/>
  <c r="BS98" i="9"/>
  <c r="BO92" i="9"/>
  <c r="BQ90" i="9"/>
  <c r="BS90" i="9"/>
  <c r="BO89" i="9"/>
  <c r="BP89" i="9"/>
  <c r="AN90" i="11" s="1"/>
  <c r="BT89" i="9"/>
  <c r="BO98" i="9"/>
  <c r="BQ96" i="9"/>
  <c r="BR94" i="9"/>
  <c r="BN92" i="9"/>
  <c r="BS96" i="9"/>
  <c r="AQ97" i="11" s="1"/>
  <c r="BN102" i="9"/>
  <c r="BP99" i="9"/>
  <c r="AN100" i="11" s="1"/>
  <c r="BT90" i="9"/>
  <c r="J86" i="8"/>
  <c r="IK90" i="9"/>
  <c r="FF90" i="9" s="1"/>
  <c r="JN90" i="9"/>
  <c r="EP90" i="9" s="1"/>
  <c r="JN96" i="9"/>
  <c r="EP96" i="9" s="1"/>
  <c r="JN101" i="9"/>
  <c r="IE90" i="9"/>
  <c r="EZ90" i="9" s="1"/>
  <c r="IF90" i="9"/>
  <c r="FA90" i="9" s="1"/>
  <c r="JN89" i="9"/>
  <c r="EP89" i="9" s="1"/>
  <c r="JN94" i="9"/>
  <c r="EP94" i="9" s="1"/>
  <c r="JN102" i="9"/>
  <c r="EP102" i="9" s="1"/>
  <c r="JN88" i="9"/>
  <c r="EP88" i="9" s="1"/>
  <c r="JN99" i="9"/>
  <c r="EP99" i="9" s="1"/>
  <c r="AD88" i="11"/>
  <c r="IG93" i="9"/>
  <c r="JN95" i="9"/>
  <c r="EP95" i="9" s="1"/>
  <c r="JN100" i="9"/>
  <c r="EP100" i="9" s="1"/>
  <c r="JN93" i="9"/>
  <c r="EP93" i="9" s="1"/>
  <c r="IK96" i="9"/>
  <c r="FF96" i="9" s="1"/>
  <c r="JN97" i="9"/>
  <c r="EP97" i="9" s="1"/>
  <c r="II97" i="9"/>
  <c r="JN98" i="9"/>
  <c r="EP98" i="9" s="1"/>
  <c r="IG95" i="9"/>
  <c r="FB95" i="9" s="1"/>
  <c r="IF100" i="9"/>
  <c r="FA100" i="9" s="1"/>
  <c r="IG98" i="9"/>
  <c r="FB98" i="9" s="1"/>
  <c r="IF101" i="9"/>
  <c r="FA101" i="9" s="1"/>
  <c r="IG100" i="9"/>
  <c r="FB100" i="9" s="1"/>
  <c r="IK102" i="9"/>
  <c r="FF102" i="9" s="1"/>
  <c r="IK95" i="9"/>
  <c r="FF95" i="9" s="1"/>
  <c r="II100" i="9"/>
  <c r="FD100" i="9" s="1"/>
  <c r="II101" i="9"/>
  <c r="FD101" i="9" s="1"/>
  <c r="IG102" i="9"/>
  <c r="FB102" i="9" s="1"/>
  <c r="IF93" i="9"/>
  <c r="FA93" i="9" s="1"/>
  <c r="IG91" i="9"/>
  <c r="FB91" i="9" s="1"/>
  <c r="IG90" i="9"/>
  <c r="FB90" i="9" s="1"/>
  <c r="II96" i="9"/>
  <c r="FD96" i="9" s="1"/>
  <c r="IG101" i="9"/>
  <c r="FB101" i="9" s="1"/>
  <c r="IE93" i="9"/>
  <c r="EZ93" i="9" s="1"/>
  <c r="IL97" i="9"/>
  <c r="FG97" i="9" s="1"/>
  <c r="IK94" i="9"/>
  <c r="FF94" i="9" s="1"/>
  <c r="IE102" i="9"/>
  <c r="EZ102" i="9" s="1"/>
  <c r="IL96" i="9"/>
  <c r="FG96" i="9" s="1"/>
  <c r="IL94" i="9"/>
  <c r="FG94" i="9" s="1"/>
  <c r="II102" i="9"/>
  <c r="FD102" i="9" s="1"/>
  <c r="IL92" i="9"/>
  <c r="IK101" i="9"/>
  <c r="FF101" i="9" s="1"/>
  <c r="IE91" i="9"/>
  <c r="EZ91" i="9" s="1"/>
  <c r="IK97" i="9"/>
  <c r="FF97" i="9" s="1"/>
  <c r="II93" i="9"/>
  <c r="FD93" i="9" s="1"/>
  <c r="IL102" i="9"/>
  <c r="IE99" i="9"/>
  <c r="EZ99" i="9" s="1"/>
  <c r="II92" i="9"/>
  <c r="FD92" i="9" s="1"/>
  <c r="IE101" i="9"/>
  <c r="EZ101" i="9" s="1"/>
  <c r="IL99" i="9"/>
  <c r="FG99" i="9" s="1"/>
  <c r="IG96" i="9"/>
  <c r="FB96" i="9" s="1"/>
  <c r="IK99" i="9"/>
  <c r="FF99" i="9" s="1"/>
  <c r="IG92" i="9"/>
  <c r="FB92" i="9" s="1"/>
  <c r="IK92" i="9"/>
  <c r="FF92" i="9" s="1"/>
  <c r="IE100" i="9"/>
  <c r="EZ100" i="9" s="1"/>
  <c r="II99" i="9"/>
  <c r="FD99" i="9" s="1"/>
  <c r="IG97" i="9"/>
  <c r="FB97" i="9" s="1"/>
  <c r="II95" i="9"/>
  <c r="FD95" i="9" s="1"/>
  <c r="IE94" i="9"/>
  <c r="EZ94" i="9" s="1"/>
  <c r="IG94" i="9"/>
  <c r="FB94" i="9" s="1"/>
  <c r="IK100" i="9"/>
  <c r="FF100" i="9" s="1"/>
  <c r="IG99" i="9"/>
  <c r="FB99" i="9" s="1"/>
  <c r="IK91" i="9"/>
  <c r="FF91" i="9" s="1"/>
  <c r="II90" i="9"/>
  <c r="FD90" i="9" s="1"/>
  <c r="IL100" i="9"/>
  <c r="FG100" i="9" s="1"/>
  <c r="II91" i="9"/>
  <c r="FD91" i="9" s="1"/>
  <c r="IK98" i="9"/>
  <c r="FF98" i="9" s="1"/>
  <c r="IE97" i="9"/>
  <c r="EZ97" i="9" s="1"/>
  <c r="IK93" i="9"/>
  <c r="FF93" i="9" s="1"/>
  <c r="IL101" i="9"/>
  <c r="FG101" i="9" s="1"/>
  <c r="IE95" i="9"/>
  <c r="EZ95" i="9" s="1"/>
  <c r="IL95" i="9"/>
  <c r="FG95" i="9" s="1"/>
  <c r="IE92" i="9"/>
  <c r="EZ92" i="9" s="1"/>
  <c r="II98" i="9"/>
  <c r="FD98" i="9" s="1"/>
  <c r="IF91" i="9"/>
  <c r="FA91" i="9" s="1"/>
  <c r="IE98" i="9"/>
  <c r="EZ98" i="9" s="1"/>
  <c r="IL93" i="9"/>
  <c r="FG93" i="9" s="1"/>
  <c r="IL98" i="9"/>
  <c r="FG98" i="9" s="1"/>
  <c r="II94" i="9"/>
  <c r="FD94" i="9" s="1"/>
  <c r="IE96" i="9"/>
  <c r="EZ96" i="9" s="1"/>
  <c r="IL91" i="9"/>
  <c r="FG91" i="9" s="1"/>
  <c r="DP87" i="8"/>
  <c r="IG89" i="9"/>
  <c r="IK89" i="9"/>
  <c r="II89" i="9"/>
  <c r="FD89" i="9" s="1"/>
  <c r="IL89" i="9"/>
  <c r="FG89" i="9" s="1"/>
  <c r="IE89" i="9"/>
  <c r="EZ89" i="9" s="1"/>
  <c r="R86" i="8"/>
  <c r="B86" i="8"/>
  <c r="DI85" i="8"/>
  <c r="DH85" i="8"/>
  <c r="DG85" i="8"/>
  <c r="CY85" i="8"/>
  <c r="R85" i="8" a="1"/>
  <c r="J85" i="8" a="1"/>
  <c r="B85" i="8" a="1"/>
  <c r="O130" i="7"/>
  <c r="BN97" i="10" l="1"/>
  <c r="HE97" i="9"/>
  <c r="IF97" i="9"/>
  <c r="FA97" i="9" s="1"/>
  <c r="DK86" i="8"/>
  <c r="CF92" i="10"/>
  <c r="CO92" i="10" s="1"/>
  <c r="B93" i="11" s="1"/>
  <c r="DJ85" i="8"/>
  <c r="DL85" i="8" s="1"/>
  <c r="BW100" i="10"/>
  <c r="CF100" i="10" s="1"/>
  <c r="CO100" i="10" s="1"/>
  <c r="B101" i="11" s="1"/>
  <c r="CF98" i="10"/>
  <c r="CO98" i="10" s="1"/>
  <c r="B99" i="11" s="1"/>
  <c r="CF97" i="10"/>
  <c r="CO97" i="10" s="1"/>
  <c r="B98" i="11" s="1"/>
  <c r="CF101" i="10"/>
  <c r="CO101" i="10" s="1"/>
  <c r="B102" i="11" s="1"/>
  <c r="CF99" i="10"/>
  <c r="CO99" i="10" s="1"/>
  <c r="B100" i="11" s="1"/>
  <c r="CF88" i="10"/>
  <c r="CO88" i="10" s="1"/>
  <c r="B89" i="11" s="1"/>
  <c r="BN101" i="10"/>
  <c r="CO95" i="10"/>
  <c r="B96" i="11" s="1"/>
  <c r="CF89" i="10"/>
  <c r="CO89" i="10" s="1"/>
  <c r="B90" i="11" s="1"/>
  <c r="L89" i="9"/>
  <c r="U89" i="9" s="1"/>
  <c r="HE89" i="9"/>
  <c r="CF90" i="10"/>
  <c r="CO90" i="10" s="1"/>
  <c r="B91" i="11" s="1"/>
  <c r="CF91" i="10"/>
  <c r="CO91" i="10" s="1"/>
  <c r="B92" i="11" s="1"/>
  <c r="DM90" i="8"/>
  <c r="B90" i="9"/>
  <c r="DM101" i="8"/>
  <c r="B101" i="9"/>
  <c r="DM98" i="8"/>
  <c r="B98" i="9"/>
  <c r="CF96" i="10"/>
  <c r="CO96" i="10" s="1"/>
  <c r="B97" i="11" s="1"/>
  <c r="DM93" i="8"/>
  <c r="B93" i="9"/>
  <c r="DM94" i="8"/>
  <c r="B94" i="9"/>
  <c r="DM99" i="8"/>
  <c r="B99" i="9"/>
  <c r="DM95" i="8"/>
  <c r="B95" i="9"/>
  <c r="DM89" i="8"/>
  <c r="B89" i="9"/>
  <c r="DM102" i="8"/>
  <c r="B102" i="9"/>
  <c r="DM96" i="8"/>
  <c r="B96" i="9"/>
  <c r="DM97" i="8"/>
  <c r="B97" i="9"/>
  <c r="DM100" i="8"/>
  <c r="B100" i="9"/>
  <c r="CF102" i="10"/>
  <c r="CO102" i="10" s="1"/>
  <c r="B103" i="11" s="1"/>
  <c r="DM88" i="8"/>
  <c r="B88" i="9"/>
  <c r="BW94" i="10"/>
  <c r="IF94" i="9"/>
  <c r="FA94" i="9" s="1"/>
  <c r="FJ94" i="9" s="1"/>
  <c r="BN94" i="10"/>
  <c r="CO93" i="10"/>
  <c r="B94" i="11" s="1"/>
  <c r="KQ91" i="9"/>
  <c r="KZ91" i="9" s="1"/>
  <c r="KT96" i="9"/>
  <c r="LC96" i="9" s="1"/>
  <c r="HH88" i="9"/>
  <c r="HI88" i="9"/>
  <c r="HE95" i="9"/>
  <c r="L95" i="9"/>
  <c r="U95" i="9" s="1"/>
  <c r="HE99" i="9"/>
  <c r="L99" i="9"/>
  <c r="HF88" i="9"/>
  <c r="M88" i="9"/>
  <c r="V88" i="9" s="1"/>
  <c r="HK88" i="9"/>
  <c r="R88" i="9"/>
  <c r="AA88" i="9" s="1"/>
  <c r="HE96" i="9"/>
  <c r="L96" i="9"/>
  <c r="U96" i="9" s="1"/>
  <c r="HE92" i="9"/>
  <c r="L92" i="9"/>
  <c r="U92" i="9" s="1"/>
  <c r="HE98" i="9"/>
  <c r="L98" i="9"/>
  <c r="U98" i="9" s="1"/>
  <c r="HE102" i="9"/>
  <c r="L102" i="9"/>
  <c r="U102" i="9" s="1"/>
  <c r="HG88" i="9"/>
  <c r="N88" i="9"/>
  <c r="W88" i="9" s="1"/>
  <c r="HJ88" i="9"/>
  <c r="Q88" i="9"/>
  <c r="Z88" i="9" s="1"/>
  <c r="KR102" i="9"/>
  <c r="LA102" i="9" s="1"/>
  <c r="IF92" i="9"/>
  <c r="FA92" i="9" s="1"/>
  <c r="FJ92" i="9" s="1"/>
  <c r="AK89" i="9"/>
  <c r="J89" i="9" s="1"/>
  <c r="IF96" i="9"/>
  <c r="FA96" i="9" s="1"/>
  <c r="FJ96" i="9" s="1"/>
  <c r="IF99" i="9"/>
  <c r="FA99" i="9" s="1"/>
  <c r="FJ99" i="9" s="1"/>
  <c r="BX88" i="9"/>
  <c r="L88" i="9" s="1"/>
  <c r="U88" i="9" s="1"/>
  <c r="G89" i="11"/>
  <c r="KP90" i="9"/>
  <c r="KY90" i="9" s="1"/>
  <c r="IF98" i="9"/>
  <c r="FA98" i="9" s="1"/>
  <c r="FJ98" i="9" s="1"/>
  <c r="AD90" i="9"/>
  <c r="C90" i="9" s="1"/>
  <c r="HE94" i="9"/>
  <c r="KQ95" i="9"/>
  <c r="KZ95" i="9" s="1"/>
  <c r="AK91" i="9"/>
  <c r="J91" i="9" s="1"/>
  <c r="AK92" i="9"/>
  <c r="J92" i="9" s="1"/>
  <c r="KV94" i="9"/>
  <c r="LE94" i="9" s="1"/>
  <c r="KQ101" i="9"/>
  <c r="KZ101" i="9" s="1"/>
  <c r="KP97" i="9"/>
  <c r="KY97" i="9" s="1"/>
  <c r="KT92" i="9"/>
  <c r="LC92" i="9" s="1"/>
  <c r="KV96" i="9"/>
  <c r="LE96" i="9" s="1"/>
  <c r="KQ97" i="9"/>
  <c r="KZ97" i="9" s="1"/>
  <c r="ID92" i="9"/>
  <c r="EY92" i="9" s="1"/>
  <c r="AE90" i="9"/>
  <c r="D90" i="9" s="1"/>
  <c r="AC92" i="9"/>
  <c r="KQ96" i="9"/>
  <c r="KQ93" i="9"/>
  <c r="KZ93" i="9" s="1"/>
  <c r="KR97" i="9"/>
  <c r="LA97" i="9" s="1"/>
  <c r="KQ99" i="9"/>
  <c r="KV102" i="9"/>
  <c r="LE102" i="9" s="1"/>
  <c r="AK101" i="9"/>
  <c r="J101" i="9" s="1"/>
  <c r="KQ90" i="9"/>
  <c r="KZ90" i="9" s="1"/>
  <c r="KR92" i="9"/>
  <c r="LA92" i="9" s="1"/>
  <c r="KV100" i="9"/>
  <c r="LE100" i="9" s="1"/>
  <c r="KV98" i="9"/>
  <c r="LE98" i="9" s="1"/>
  <c r="KR98" i="9"/>
  <c r="LA98" i="9" s="1"/>
  <c r="KQ94" i="9"/>
  <c r="KO92" i="9"/>
  <c r="KR93" i="9"/>
  <c r="LA93" i="9" s="1"/>
  <c r="FF89" i="9"/>
  <c r="FO89" i="9" s="1"/>
  <c r="FB89" i="9"/>
  <c r="FK89" i="9" s="1"/>
  <c r="FG92" i="9"/>
  <c r="FP92" i="9" s="1"/>
  <c r="FG102" i="9"/>
  <c r="FP102" i="9" s="1"/>
  <c r="FD97" i="9"/>
  <c r="FM97" i="9" s="1"/>
  <c r="FB93" i="9"/>
  <c r="FK93" i="9" s="1"/>
  <c r="FG90" i="9"/>
  <c r="FP90" i="9" s="1"/>
  <c r="KR99" i="9"/>
  <c r="LA99" i="9" s="1"/>
  <c r="KT99" i="9"/>
  <c r="LC99" i="9" s="1"/>
  <c r="AQ99" i="11"/>
  <c r="KT101" i="9"/>
  <c r="LC101" i="9" s="1"/>
  <c r="AP102" i="11"/>
  <c r="KQ102" i="9"/>
  <c r="KZ102" i="9" s="1"/>
  <c r="AM103" i="11"/>
  <c r="KV91" i="9"/>
  <c r="LE91" i="9" s="1"/>
  <c r="AR92" i="11"/>
  <c r="KV90" i="9"/>
  <c r="LE90" i="9" s="1"/>
  <c r="AR91" i="11"/>
  <c r="KV89" i="9"/>
  <c r="LE89" i="9" s="1"/>
  <c r="AR90" i="11"/>
  <c r="AQ93" i="11"/>
  <c r="KT98" i="9"/>
  <c r="LC98" i="9" s="1"/>
  <c r="AP99" i="11"/>
  <c r="AK96" i="9"/>
  <c r="J96" i="9" s="1"/>
  <c r="AS97" i="11"/>
  <c r="KQ98" i="9"/>
  <c r="AM99" i="11"/>
  <c r="KV97" i="9"/>
  <c r="LE97" i="9" s="1"/>
  <c r="AR98" i="11"/>
  <c r="AQ100" i="11"/>
  <c r="AQ98" i="11"/>
  <c r="KT102" i="9"/>
  <c r="LC102" i="9" s="1"/>
  <c r="AP103" i="11"/>
  <c r="AQ103" i="11"/>
  <c r="KP101" i="9"/>
  <c r="KY101" i="9" s="1"/>
  <c r="KR96" i="9"/>
  <c r="LA96" i="9" s="1"/>
  <c r="KV95" i="9"/>
  <c r="LE95" i="9" s="1"/>
  <c r="AR96" i="11"/>
  <c r="KR101" i="9"/>
  <c r="LA101" i="9" s="1"/>
  <c r="AN102" i="11"/>
  <c r="KR90" i="9"/>
  <c r="LA90" i="9" s="1"/>
  <c r="AN91" i="11"/>
  <c r="AK99" i="9"/>
  <c r="J99" i="9" s="1"/>
  <c r="AS100" i="11"/>
  <c r="KR95" i="9"/>
  <c r="LA95" i="9" s="1"/>
  <c r="AN96" i="11"/>
  <c r="KV99" i="9"/>
  <c r="LE99" i="9" s="1"/>
  <c r="AR100" i="11"/>
  <c r="KT91" i="9"/>
  <c r="LC91" i="9" s="1"/>
  <c r="AP92" i="11"/>
  <c r="KV92" i="9"/>
  <c r="LE92" i="9" s="1"/>
  <c r="AR93" i="11"/>
  <c r="AL103" i="11"/>
  <c r="KP93" i="9"/>
  <c r="KY93" i="9" s="1"/>
  <c r="AL94" i="11"/>
  <c r="AQ102" i="11"/>
  <c r="AL96" i="11"/>
  <c r="AK95" i="9"/>
  <c r="J95" i="9" s="1"/>
  <c r="AS96" i="11"/>
  <c r="KT100" i="9"/>
  <c r="LC100" i="9" s="1"/>
  <c r="AP101" i="11"/>
  <c r="KR91" i="9"/>
  <c r="LA91" i="9" s="1"/>
  <c r="AN92" i="11"/>
  <c r="AO90" i="11"/>
  <c r="AK102" i="9"/>
  <c r="J102" i="9" s="1"/>
  <c r="AS103" i="11"/>
  <c r="KQ100" i="9"/>
  <c r="KZ100" i="9" s="1"/>
  <c r="AM101" i="11"/>
  <c r="KQ89" i="9"/>
  <c r="KZ89" i="9" s="1"/>
  <c r="AM90" i="11"/>
  <c r="KP94" i="9"/>
  <c r="KY94" i="9" s="1"/>
  <c r="AL95" i="11"/>
  <c r="KT97" i="9"/>
  <c r="LC97" i="9" s="1"/>
  <c r="KT90" i="9"/>
  <c r="LC90" i="9" s="1"/>
  <c r="AP91" i="11"/>
  <c r="KT94" i="9"/>
  <c r="LC94" i="9" s="1"/>
  <c r="AP95" i="11"/>
  <c r="AO91" i="11"/>
  <c r="KR100" i="9"/>
  <c r="LA100" i="9" s="1"/>
  <c r="AN101" i="11"/>
  <c r="AO96" i="11"/>
  <c r="KT89" i="9"/>
  <c r="LC89" i="9" s="1"/>
  <c r="AP90" i="11"/>
  <c r="AO92" i="11"/>
  <c r="KV93" i="9"/>
  <c r="LE93" i="9" s="1"/>
  <c r="AR94" i="11"/>
  <c r="AO101" i="11"/>
  <c r="AF94" i="9"/>
  <c r="E94" i="9" s="1"/>
  <c r="AN95" i="11"/>
  <c r="AL93" i="11"/>
  <c r="AQ91" i="11"/>
  <c r="KT95" i="9"/>
  <c r="LC95" i="9" s="1"/>
  <c r="AP96" i="11"/>
  <c r="AK93" i="9"/>
  <c r="J93" i="9" s="1"/>
  <c r="AS94" i="11"/>
  <c r="KP100" i="9"/>
  <c r="KY100" i="9" s="1"/>
  <c r="AL101" i="11"/>
  <c r="KR89" i="9"/>
  <c r="LA89" i="9" s="1"/>
  <c r="AK100" i="9"/>
  <c r="J100" i="9" s="1"/>
  <c r="KV101" i="9"/>
  <c r="LE101" i="9" s="1"/>
  <c r="AO97" i="11"/>
  <c r="KQ92" i="9"/>
  <c r="AM93" i="11"/>
  <c r="KT93" i="9"/>
  <c r="LC93" i="9" s="1"/>
  <c r="AP94" i="11"/>
  <c r="AK97" i="9"/>
  <c r="J97" i="9" s="1"/>
  <c r="AS98" i="11"/>
  <c r="AO95" i="11"/>
  <c r="KP91" i="9"/>
  <c r="KY91" i="9" s="1"/>
  <c r="AL92" i="11"/>
  <c r="AK94" i="9"/>
  <c r="J94" i="9" s="1"/>
  <c r="AS95" i="11"/>
  <c r="AQ90" i="11"/>
  <c r="AK98" i="9"/>
  <c r="J98" i="9" s="1"/>
  <c r="AS99" i="11"/>
  <c r="AL97" i="11"/>
  <c r="AO98" i="11"/>
  <c r="AJ90" i="9"/>
  <c r="I90" i="9" s="1"/>
  <c r="BQ88" i="9"/>
  <c r="ID91" i="9"/>
  <c r="EY91" i="9" s="1"/>
  <c r="BS88" i="9"/>
  <c r="AF90" i="9"/>
  <c r="E90" i="9" s="1"/>
  <c r="BR88" i="9"/>
  <c r="AP89" i="11" s="1"/>
  <c r="BN88" i="9"/>
  <c r="AL89" i="11" s="1"/>
  <c r="BO88" i="9"/>
  <c r="AM89" i="11" s="1"/>
  <c r="BU88" i="9"/>
  <c r="BP88" i="9"/>
  <c r="AN89" i="11" s="1"/>
  <c r="BT88" i="9"/>
  <c r="ID90" i="9"/>
  <c r="EY90" i="9" s="1"/>
  <c r="ID102" i="9"/>
  <c r="EY102" i="9" s="1"/>
  <c r="ID94" i="9"/>
  <c r="EY94" i="9" s="1"/>
  <c r="ID101" i="9"/>
  <c r="EP101" i="9"/>
  <c r="KO93" i="9"/>
  <c r="KO100" i="9"/>
  <c r="KO99" i="9"/>
  <c r="KO101" i="9"/>
  <c r="KO94" i="9"/>
  <c r="KO96" i="9"/>
  <c r="ID99" i="9"/>
  <c r="EY99" i="9" s="1"/>
  <c r="KO95" i="9"/>
  <c r="KO102" i="9"/>
  <c r="KO90" i="9"/>
  <c r="KO98" i="9"/>
  <c r="KO89" i="9"/>
  <c r="ID89" i="9"/>
  <c r="EY89" i="9" s="1"/>
  <c r="KO88" i="9"/>
  <c r="KO91" i="9"/>
  <c r="AC91" i="9"/>
  <c r="J85" i="8"/>
  <c r="FM90" i="9"/>
  <c r="FM89" i="9"/>
  <c r="FJ90" i="9"/>
  <c r="KO97" i="9"/>
  <c r="KW93" i="9"/>
  <c r="LF93" i="9" s="1"/>
  <c r="FK90" i="9"/>
  <c r="FO96" i="9"/>
  <c r="KW98" i="9"/>
  <c r="LF98" i="9" s="1"/>
  <c r="KW91" i="9"/>
  <c r="LF91" i="9" s="1"/>
  <c r="FP89" i="9"/>
  <c r="FJ89" i="9"/>
  <c r="FO90" i="9"/>
  <c r="KW100" i="9"/>
  <c r="LF100" i="9" s="1"/>
  <c r="KW101" i="9"/>
  <c r="LF101" i="9" s="1"/>
  <c r="FI90" i="9"/>
  <c r="KW102" i="9"/>
  <c r="LF102" i="9" s="1"/>
  <c r="KW99" i="9"/>
  <c r="LF99" i="9" s="1"/>
  <c r="AK90" i="9"/>
  <c r="J90" i="9" s="1"/>
  <c r="KW90" i="9"/>
  <c r="LF90" i="9" s="1"/>
  <c r="KW97" i="9"/>
  <c r="LF97" i="9" s="1"/>
  <c r="KW92" i="9"/>
  <c r="LF92" i="9" s="1"/>
  <c r="KR94" i="9"/>
  <c r="LA94" i="9" s="1"/>
  <c r="KW94" i="9"/>
  <c r="LF94" i="9" s="1"/>
  <c r="KW89" i="9"/>
  <c r="LF89" i="9" s="1"/>
  <c r="KW95" i="9"/>
  <c r="LF95" i="9" s="1"/>
  <c r="KW96" i="9"/>
  <c r="LF96" i="9" s="1"/>
  <c r="ID97" i="9"/>
  <c r="EY97" i="9" s="1"/>
  <c r="ID95" i="9"/>
  <c r="ID96" i="9"/>
  <c r="ID93" i="9"/>
  <c r="EY93" i="9" s="1"/>
  <c r="AE100" i="9"/>
  <c r="D100" i="9" s="1"/>
  <c r="AJ98" i="9"/>
  <c r="I98" i="9" s="1"/>
  <c r="AJ91" i="9"/>
  <c r="I91" i="9" s="1"/>
  <c r="AE93" i="9"/>
  <c r="D93" i="9" s="1"/>
  <c r="AD96" i="9"/>
  <c r="AE89" i="9"/>
  <c r="D89" i="9" s="1"/>
  <c r="AF91" i="9"/>
  <c r="E91" i="9" s="1"/>
  <c r="AE95" i="9"/>
  <c r="D95" i="9" s="1"/>
  <c r="AF93" i="9"/>
  <c r="E93" i="9" s="1"/>
  <c r="AJ94" i="9"/>
  <c r="I94" i="9" s="1"/>
  <c r="AD102" i="9"/>
  <c r="AF95" i="9"/>
  <c r="E95" i="9" s="1"/>
  <c r="AD93" i="9"/>
  <c r="C93" i="9" s="1"/>
  <c r="AJ100" i="9"/>
  <c r="I100" i="9" s="1"/>
  <c r="AE101" i="9"/>
  <c r="D101" i="9" s="1"/>
  <c r="AF92" i="9"/>
  <c r="E92" i="9" s="1"/>
  <c r="AE99" i="9"/>
  <c r="D99" i="9" s="1"/>
  <c r="AH95" i="9"/>
  <c r="G95" i="9" s="1"/>
  <c r="AH91" i="9"/>
  <c r="G91" i="9" s="1"/>
  <c r="AD94" i="9"/>
  <c r="C94" i="9" s="1"/>
  <c r="AH89" i="9"/>
  <c r="G89" i="9" s="1"/>
  <c r="AD91" i="9"/>
  <c r="C91" i="9" s="1"/>
  <c r="AD95" i="9"/>
  <c r="AD101" i="9"/>
  <c r="C101" i="9" s="1"/>
  <c r="AH93" i="9"/>
  <c r="G93" i="9" s="1"/>
  <c r="AD98" i="9"/>
  <c r="AF100" i="9"/>
  <c r="E100" i="9" s="1"/>
  <c r="AH101" i="9"/>
  <c r="G101" i="9" s="1"/>
  <c r="AJ97" i="9"/>
  <c r="I97" i="9" s="1"/>
  <c r="AJ101" i="9"/>
  <c r="I101" i="9" s="1"/>
  <c r="AD89" i="9"/>
  <c r="AJ89" i="9"/>
  <c r="I89" i="9" s="1"/>
  <c r="AD92" i="9"/>
  <c r="AJ102" i="9"/>
  <c r="I102" i="9" s="1"/>
  <c r="AF99" i="9"/>
  <c r="E99" i="9" s="1"/>
  <c r="AD97" i="9"/>
  <c r="C97" i="9" s="1"/>
  <c r="AH97" i="9"/>
  <c r="G97" i="9" s="1"/>
  <c r="AE98" i="9"/>
  <c r="D98" i="9" s="1"/>
  <c r="AE91" i="9"/>
  <c r="D91" i="9" s="1"/>
  <c r="AH94" i="9"/>
  <c r="G94" i="9" s="1"/>
  <c r="AD99" i="9"/>
  <c r="AF97" i="9"/>
  <c r="E97" i="9" s="1"/>
  <c r="AH98" i="9"/>
  <c r="G98" i="9" s="1"/>
  <c r="AH102" i="9"/>
  <c r="G102" i="9" s="1"/>
  <c r="AJ92" i="9"/>
  <c r="I92" i="9" s="1"/>
  <c r="AE96" i="9"/>
  <c r="D96" i="9" s="1"/>
  <c r="AJ96" i="9"/>
  <c r="I96" i="9" s="1"/>
  <c r="AJ93" i="9"/>
  <c r="I93" i="9" s="1"/>
  <c r="AH92" i="9"/>
  <c r="G92" i="9" s="1"/>
  <c r="AF89" i="9"/>
  <c r="E89" i="9" s="1"/>
  <c r="AF102" i="9"/>
  <c r="E102" i="9" s="1"/>
  <c r="AJ95" i="9"/>
  <c r="I95" i="9" s="1"/>
  <c r="AH96" i="9"/>
  <c r="G96" i="9" s="1"/>
  <c r="AD100" i="9"/>
  <c r="C100" i="9" s="1"/>
  <c r="AH90" i="9"/>
  <c r="G90" i="9" s="1"/>
  <c r="AF98" i="9"/>
  <c r="E98" i="9" s="1"/>
  <c r="AE102" i="9"/>
  <c r="D102" i="9" s="1"/>
  <c r="AF96" i="9"/>
  <c r="E96" i="9" s="1"/>
  <c r="AF101" i="9"/>
  <c r="E101" i="9" s="1"/>
  <c r="AH100" i="9"/>
  <c r="G100" i="9" s="1"/>
  <c r="AE97" i="9"/>
  <c r="D97" i="9" s="1"/>
  <c r="AE94" i="9"/>
  <c r="D94" i="9" s="1"/>
  <c r="AE92" i="9"/>
  <c r="D92" i="9" s="1"/>
  <c r="AH99" i="9"/>
  <c r="G99" i="9" s="1"/>
  <c r="AJ99" i="9"/>
  <c r="I99" i="9" s="1"/>
  <c r="IK88" i="9"/>
  <c r="FF88" i="9" s="1"/>
  <c r="FP96" i="9"/>
  <c r="FP98" i="9"/>
  <c r="ID88" i="9"/>
  <c r="FP91" i="9"/>
  <c r="FP100" i="9"/>
  <c r="FK98" i="9"/>
  <c r="FK102" i="9"/>
  <c r="ID98" i="9"/>
  <c r="FI102" i="9"/>
  <c r="FM93" i="9"/>
  <c r="ID100" i="9"/>
  <c r="FK100" i="9"/>
  <c r="AD87" i="11"/>
  <c r="FK95" i="9"/>
  <c r="FM102" i="9"/>
  <c r="FM101" i="9"/>
  <c r="FJ100" i="9"/>
  <c r="FJ91" i="9"/>
  <c r="FM95" i="9"/>
  <c r="FO99" i="9"/>
  <c r="FO101" i="9"/>
  <c r="FP94" i="9"/>
  <c r="FM96" i="9"/>
  <c r="FO102" i="9"/>
  <c r="FK94" i="9"/>
  <c r="FK97" i="9"/>
  <c r="FI101" i="9"/>
  <c r="FO91" i="9"/>
  <c r="FO97" i="9"/>
  <c r="FO94" i="9"/>
  <c r="FI99" i="9"/>
  <c r="FO98" i="9"/>
  <c r="FJ102" i="9"/>
  <c r="FM92" i="9"/>
  <c r="FI91" i="9"/>
  <c r="FJ97" i="9"/>
  <c r="FK91" i="9"/>
  <c r="FJ101" i="9"/>
  <c r="FK101" i="9"/>
  <c r="FI96" i="9"/>
  <c r="FM98" i="9"/>
  <c r="FP101" i="9"/>
  <c r="FO100" i="9"/>
  <c r="FO92" i="9"/>
  <c r="FI98" i="9"/>
  <c r="FI95" i="9"/>
  <c r="FK92" i="9"/>
  <c r="FI92" i="9"/>
  <c r="FP95" i="9"/>
  <c r="FO93" i="9"/>
  <c r="FI97" i="9"/>
  <c r="FM99" i="9"/>
  <c r="FJ93" i="9"/>
  <c r="FP93" i="9"/>
  <c r="FK96" i="9"/>
  <c r="FP97" i="9"/>
  <c r="FI93" i="9"/>
  <c r="FM100" i="9"/>
  <c r="FM94" i="9"/>
  <c r="FM91" i="9"/>
  <c r="FJ95" i="9"/>
  <c r="FK99" i="9"/>
  <c r="FI94" i="9"/>
  <c r="FI100" i="9"/>
  <c r="FP99" i="9"/>
  <c r="FO95" i="9"/>
  <c r="IL88" i="9"/>
  <c r="DP86" i="8"/>
  <c r="II88" i="9"/>
  <c r="IG88" i="9"/>
  <c r="FB88" i="9" s="1"/>
  <c r="FI89" i="9"/>
  <c r="IE88" i="9"/>
  <c r="EZ88" i="9" s="1"/>
  <c r="R85" i="8"/>
  <c r="B85" i="8"/>
  <c r="DI84" i="8"/>
  <c r="DH84" i="8"/>
  <c r="DG84" i="8"/>
  <c r="CY84" i="8"/>
  <c r="R84" i="8" a="1"/>
  <c r="J84" i="8" a="1"/>
  <c r="B84" i="8" a="1"/>
  <c r="O129" i="7"/>
  <c r="DK85" i="8" l="1"/>
  <c r="DJ84" i="8"/>
  <c r="DL84" i="8" s="1"/>
  <c r="KX91" i="9"/>
  <c r="C89" i="9"/>
  <c r="KX92" i="9"/>
  <c r="KX89" i="9"/>
  <c r="KX102" i="9"/>
  <c r="KX88" i="9"/>
  <c r="KX96" i="9"/>
  <c r="KX101" i="9"/>
  <c r="KX90" i="9"/>
  <c r="KP89" i="9"/>
  <c r="KY89" i="9" s="1"/>
  <c r="KX97" i="9"/>
  <c r="KX94" i="9"/>
  <c r="KX98" i="9"/>
  <c r="KX99" i="9"/>
  <c r="KX100" i="9"/>
  <c r="KX93" i="9"/>
  <c r="KX95" i="9"/>
  <c r="CF94" i="10"/>
  <c r="CO94" i="10" s="1"/>
  <c r="B95" i="11" s="1"/>
  <c r="KZ94" i="9"/>
  <c r="DM92" i="8"/>
  <c r="B92" i="9"/>
  <c r="DM91" i="8"/>
  <c r="B91" i="9"/>
  <c r="C98" i="9"/>
  <c r="KP98" i="9"/>
  <c r="KY98" i="9" s="1"/>
  <c r="KP95" i="9"/>
  <c r="KY95" i="9" s="1"/>
  <c r="C95" i="9"/>
  <c r="C96" i="9"/>
  <c r="KP96" i="9"/>
  <c r="KY96" i="9" s="1"/>
  <c r="KP92" i="9"/>
  <c r="KY92" i="9" s="1"/>
  <c r="C99" i="9"/>
  <c r="C92" i="9"/>
  <c r="C102" i="9"/>
  <c r="IF88" i="9"/>
  <c r="FA88" i="9" s="1"/>
  <c r="FJ88" i="9" s="1"/>
  <c r="KP102" i="9"/>
  <c r="KY102" i="9" s="1"/>
  <c r="U99" i="9"/>
  <c r="KP99" i="9"/>
  <c r="KY99" i="9" s="1"/>
  <c r="KZ96" i="9"/>
  <c r="KZ92" i="9"/>
  <c r="DO93" i="8"/>
  <c r="DO95" i="8"/>
  <c r="DO101" i="8"/>
  <c r="DO102" i="8"/>
  <c r="DO99" i="8"/>
  <c r="DO90" i="8"/>
  <c r="DO97" i="8"/>
  <c r="DO96" i="8"/>
  <c r="DO94" i="8"/>
  <c r="DO88" i="8"/>
  <c r="DO89" i="8"/>
  <c r="DO98" i="8"/>
  <c r="DO100" i="8"/>
  <c r="KZ99" i="9"/>
  <c r="KZ98" i="9"/>
  <c r="HE88" i="9"/>
  <c r="KT88" i="9"/>
  <c r="LC88" i="9" s="1"/>
  <c r="KR88" i="9"/>
  <c r="LA88" i="9" s="1"/>
  <c r="KP88" i="9"/>
  <c r="KY88" i="9" s="1"/>
  <c r="FD88" i="9"/>
  <c r="FM88" i="9" s="1"/>
  <c r="FG88" i="9"/>
  <c r="FP88" i="9" s="1"/>
  <c r="KQ88" i="9"/>
  <c r="KV88" i="9"/>
  <c r="LE88" i="9" s="1"/>
  <c r="AR89" i="11"/>
  <c r="AQ89" i="11"/>
  <c r="AK88" i="9"/>
  <c r="J88" i="9" s="1"/>
  <c r="AS89" i="11"/>
  <c r="AO89" i="11"/>
  <c r="EY101" i="9"/>
  <c r="FH101" i="9" s="1"/>
  <c r="EY98" i="9"/>
  <c r="FH98" i="9" s="1"/>
  <c r="J84" i="8"/>
  <c r="FK88" i="9"/>
  <c r="FH93" i="9"/>
  <c r="FH90" i="9"/>
  <c r="FH102" i="9"/>
  <c r="FH92" i="9"/>
  <c r="FH97" i="9"/>
  <c r="FH89" i="9"/>
  <c r="FH99" i="9"/>
  <c r="FH91" i="9"/>
  <c r="FH94" i="9"/>
  <c r="EY100" i="9"/>
  <c r="EY88" i="9"/>
  <c r="FO88" i="9"/>
  <c r="EY95" i="9"/>
  <c r="KW88" i="9"/>
  <c r="LF88" i="9" s="1"/>
  <c r="EY96" i="9"/>
  <c r="AE88" i="9"/>
  <c r="D88" i="9" s="1"/>
  <c r="AJ88" i="9"/>
  <c r="I88" i="9" s="1"/>
  <c r="AH88" i="9"/>
  <c r="G88" i="9" s="1"/>
  <c r="AF88" i="9"/>
  <c r="E88" i="9" s="1"/>
  <c r="AD88" i="9"/>
  <c r="C88" i="9" s="1"/>
  <c r="AD86" i="11"/>
  <c r="DP85" i="8"/>
  <c r="FI88" i="9"/>
  <c r="R84" i="8"/>
  <c r="B84" i="8"/>
  <c r="DI83" i="8"/>
  <c r="DH83" i="8"/>
  <c r="DG83" i="8"/>
  <c r="CY83" i="8"/>
  <c r="R83" i="8" a="1"/>
  <c r="J83" i="8" a="1"/>
  <c r="B83" i="8" a="1"/>
  <c r="O128" i="7"/>
  <c r="DK84" i="8" l="1"/>
  <c r="DJ83" i="8"/>
  <c r="DL83" i="8" s="1"/>
  <c r="KZ88" i="9"/>
  <c r="Q99" i="11"/>
  <c r="Q97" i="11"/>
  <c r="Q103" i="11"/>
  <c r="DO92" i="8"/>
  <c r="Q90" i="11"/>
  <c r="Q98" i="11"/>
  <c r="Q102" i="11"/>
  <c r="K97" i="12"/>
  <c r="T97" i="12" s="1"/>
  <c r="GB97" i="9" s="1"/>
  <c r="GK97" i="9" s="1"/>
  <c r="DO91" i="8"/>
  <c r="Q89" i="11"/>
  <c r="Q91" i="11"/>
  <c r="Q96" i="11"/>
  <c r="Q101" i="11"/>
  <c r="Q95" i="11"/>
  <c r="Q100" i="11"/>
  <c r="Q94" i="11"/>
  <c r="J83" i="8"/>
  <c r="FH88" i="9"/>
  <c r="K88" i="12" s="1"/>
  <c r="T88" i="12" s="1"/>
  <c r="FH100" i="9"/>
  <c r="FH96" i="9"/>
  <c r="FH95" i="9"/>
  <c r="AD85" i="11"/>
  <c r="DP84" i="8"/>
  <c r="R83" i="8"/>
  <c r="B83" i="8"/>
  <c r="DI82" i="8"/>
  <c r="DH82" i="8"/>
  <c r="DG82" i="8"/>
  <c r="CY82" i="8"/>
  <c r="R82" i="8" a="1"/>
  <c r="J82" i="8" a="1"/>
  <c r="B82" i="8" a="1"/>
  <c r="O127" i="7"/>
  <c r="DK83" i="8" l="1"/>
  <c r="DJ82" i="8"/>
  <c r="DL82" i="8" s="1"/>
  <c r="K98" i="12"/>
  <c r="T98" i="12" s="1"/>
  <c r="GB98" i="9" s="1"/>
  <c r="GK98" i="9" s="1"/>
  <c r="K96" i="12"/>
  <c r="T96" i="12" s="1"/>
  <c r="K95" i="12"/>
  <c r="T95" i="12" s="1"/>
  <c r="K100" i="12"/>
  <c r="T100" i="12" s="1"/>
  <c r="K93" i="12"/>
  <c r="T93" i="12" s="1"/>
  <c r="GB93" i="9" s="1"/>
  <c r="K90" i="12"/>
  <c r="T90" i="12" s="1"/>
  <c r="GB90" i="9" s="1"/>
  <c r="GK90" i="9" s="1"/>
  <c r="JR93" i="9"/>
  <c r="AP93" i="9"/>
  <c r="AG93" i="9" s="1"/>
  <c r="F93" i="9" s="1"/>
  <c r="K94" i="12"/>
  <c r="T94" i="12" s="1"/>
  <c r="GB94" i="9" s="1"/>
  <c r="JR99" i="9"/>
  <c r="AP99" i="9"/>
  <c r="AG99" i="9" s="1"/>
  <c r="F99" i="9" s="1"/>
  <c r="K89" i="12"/>
  <c r="T89" i="12" s="1"/>
  <c r="GB89" i="9" s="1"/>
  <c r="GK89" i="9" s="1"/>
  <c r="K99" i="12"/>
  <c r="T99" i="12" s="1"/>
  <c r="GB99" i="9" s="1"/>
  <c r="AP102" i="9"/>
  <c r="AG102" i="9" s="1"/>
  <c r="F102" i="9" s="1"/>
  <c r="JR102" i="9"/>
  <c r="JR95" i="9"/>
  <c r="AP95" i="9"/>
  <c r="AG95" i="9" s="1"/>
  <c r="F95" i="9" s="1"/>
  <c r="JR101" i="9"/>
  <c r="AP101" i="9"/>
  <c r="AG101" i="9" s="1"/>
  <c r="F101" i="9" s="1"/>
  <c r="AP96" i="9"/>
  <c r="AG96" i="9" s="1"/>
  <c r="F96" i="9" s="1"/>
  <c r="JR96" i="9"/>
  <c r="K102" i="12"/>
  <c r="T102" i="12" s="1"/>
  <c r="GB102" i="9" s="1"/>
  <c r="GK102" i="9" s="1"/>
  <c r="JR94" i="9"/>
  <c r="AP94" i="9"/>
  <c r="AG94" i="9" s="1"/>
  <c r="F94" i="9" s="1"/>
  <c r="AP90" i="9"/>
  <c r="AG90" i="9" s="1"/>
  <c r="F90" i="9" s="1"/>
  <c r="JR90" i="9"/>
  <c r="JR97" i="9"/>
  <c r="AP97" i="9"/>
  <c r="AG97" i="9" s="1"/>
  <c r="F97" i="9" s="1"/>
  <c r="AP98" i="9"/>
  <c r="AG98" i="9" s="1"/>
  <c r="F98" i="9" s="1"/>
  <c r="JR98" i="9"/>
  <c r="AP88" i="9"/>
  <c r="AG88" i="9" s="1"/>
  <c r="F88" i="9" s="1"/>
  <c r="JR88" i="9"/>
  <c r="AP89" i="9"/>
  <c r="AG89" i="9" s="1"/>
  <c r="F89" i="9" s="1"/>
  <c r="JR89" i="9"/>
  <c r="JR100" i="9"/>
  <c r="AP100" i="9"/>
  <c r="AG100" i="9" s="1"/>
  <c r="F100" i="9" s="1"/>
  <c r="K101" i="12"/>
  <c r="T101" i="12" s="1"/>
  <c r="GB101" i="9" s="1"/>
  <c r="GT97" i="9"/>
  <c r="IM97" i="9" s="1"/>
  <c r="J82" i="8"/>
  <c r="AD84" i="11"/>
  <c r="DP83" i="8"/>
  <c r="B82" i="8"/>
  <c r="R82" i="8"/>
  <c r="DI81" i="8"/>
  <c r="DH81" i="8"/>
  <c r="DG81" i="8"/>
  <c r="CY81" i="8"/>
  <c r="R81" i="8" a="1"/>
  <c r="J81" i="8" a="1"/>
  <c r="B81" i="8" a="1"/>
  <c r="O126" i="7"/>
  <c r="DK82" i="8" l="1"/>
  <c r="DJ81" i="8"/>
  <c r="DL81" i="8" s="1"/>
  <c r="GK101" i="9"/>
  <c r="GT101" i="9" s="1"/>
  <c r="IM101" i="9" s="1"/>
  <c r="GK93" i="9"/>
  <c r="GT93" i="9" s="1"/>
  <c r="IM93" i="9" s="1"/>
  <c r="GK99" i="9"/>
  <c r="GT99" i="9" s="1"/>
  <c r="IM99" i="9" s="1"/>
  <c r="GK94" i="9"/>
  <c r="GT94" i="9" s="1"/>
  <c r="IM94" i="9" s="1"/>
  <c r="AR89" i="9"/>
  <c r="AI89" i="9" s="1"/>
  <c r="H89" i="9" s="1"/>
  <c r="JT89" i="9"/>
  <c r="ET90" i="9"/>
  <c r="IH90" i="9"/>
  <c r="KS90" i="9"/>
  <c r="AR88" i="9"/>
  <c r="AI88" i="9" s="1"/>
  <c r="H88" i="9" s="1"/>
  <c r="JT88" i="9"/>
  <c r="Q93" i="11"/>
  <c r="K92" i="12"/>
  <c r="T92" i="12" s="1"/>
  <c r="GB92" i="9" s="1"/>
  <c r="JR92" i="9"/>
  <c r="AP92" i="9"/>
  <c r="AG92" i="9" s="1"/>
  <c r="F92" i="9" s="1"/>
  <c r="AR96" i="9"/>
  <c r="AI96" i="9" s="1"/>
  <c r="H96" i="9" s="1"/>
  <c r="JT96" i="9"/>
  <c r="AR95" i="9"/>
  <c r="AI95" i="9" s="1"/>
  <c r="H95" i="9" s="1"/>
  <c r="JT95" i="9"/>
  <c r="Q92" i="11"/>
  <c r="K91" i="12"/>
  <c r="T91" i="12" s="1"/>
  <c r="GB91" i="9" s="1"/>
  <c r="ET94" i="9"/>
  <c r="IH94" i="9"/>
  <c r="KS94" i="9"/>
  <c r="AR100" i="9"/>
  <c r="AI100" i="9" s="1"/>
  <c r="H100" i="9" s="1"/>
  <c r="JT100" i="9"/>
  <c r="ET101" i="9"/>
  <c r="IH101" i="9"/>
  <c r="KS101" i="9"/>
  <c r="ET99" i="9"/>
  <c r="IH99" i="9"/>
  <c r="KS99" i="9"/>
  <c r="ET98" i="9"/>
  <c r="IH98" i="9"/>
  <c r="KS98" i="9"/>
  <c r="JT98" i="9"/>
  <c r="AR98" i="9"/>
  <c r="AI98" i="9" s="1"/>
  <c r="H98" i="9" s="1"/>
  <c r="ET95" i="9"/>
  <c r="IH95" i="9"/>
  <c r="KS95" i="9"/>
  <c r="AR101" i="9"/>
  <c r="AI101" i="9" s="1"/>
  <c r="H101" i="9" s="1"/>
  <c r="JT101" i="9"/>
  <c r="JT99" i="9"/>
  <c r="AR99" i="9"/>
  <c r="AI99" i="9" s="1"/>
  <c r="H99" i="9" s="1"/>
  <c r="ET88" i="9"/>
  <c r="IH88" i="9"/>
  <c r="KS88" i="9"/>
  <c r="ET100" i="9"/>
  <c r="IH100" i="9"/>
  <c r="KS100" i="9"/>
  <c r="JT93" i="9"/>
  <c r="AR93" i="9"/>
  <c r="AI93" i="9" s="1"/>
  <c r="H93" i="9" s="1"/>
  <c r="ET102" i="9"/>
  <c r="IH102" i="9"/>
  <c r="KS102" i="9"/>
  <c r="ET93" i="9"/>
  <c r="IH93" i="9"/>
  <c r="KS93" i="9"/>
  <c r="JR91" i="9"/>
  <c r="AP91" i="9"/>
  <c r="AG91" i="9" s="1"/>
  <c r="F91" i="9" s="1"/>
  <c r="ET89" i="9"/>
  <c r="IH89" i="9"/>
  <c r="KS89" i="9"/>
  <c r="AR97" i="9"/>
  <c r="AI97" i="9" s="1"/>
  <c r="H97" i="9" s="1"/>
  <c r="JT97" i="9"/>
  <c r="AR102" i="9"/>
  <c r="AI102" i="9" s="1"/>
  <c r="H102" i="9" s="1"/>
  <c r="JT102" i="9"/>
  <c r="AR94" i="9"/>
  <c r="AI94" i="9" s="1"/>
  <c r="H94" i="9" s="1"/>
  <c r="JT94" i="9"/>
  <c r="ET97" i="9"/>
  <c r="IH97" i="9"/>
  <c r="KS97" i="9"/>
  <c r="ET96" i="9"/>
  <c r="IH96" i="9"/>
  <c r="KS96" i="9"/>
  <c r="JT90" i="9"/>
  <c r="AR90" i="9"/>
  <c r="AI90" i="9" s="1"/>
  <c r="H90" i="9" s="1"/>
  <c r="GT90" i="9"/>
  <c r="IM90" i="9" s="1"/>
  <c r="GT89" i="9"/>
  <c r="IM89" i="9" s="1"/>
  <c r="GT98" i="9"/>
  <c r="IM98" i="9" s="1"/>
  <c r="GT102" i="9"/>
  <c r="IM102" i="9" s="1"/>
  <c r="GB88" i="9"/>
  <c r="GK88" i="9" s="1"/>
  <c r="GB96" i="9"/>
  <c r="GK96" i="9" s="1"/>
  <c r="GB95" i="9"/>
  <c r="GK95" i="9" s="1"/>
  <c r="GB100" i="9"/>
  <c r="GK100" i="9" s="1"/>
  <c r="J81" i="8"/>
  <c r="AD83" i="11"/>
  <c r="DP82" i="8"/>
  <c r="B81" i="8"/>
  <c r="R81" i="8"/>
  <c r="DI80" i="8"/>
  <c r="DH80" i="8"/>
  <c r="DG80" i="8"/>
  <c r="CY80" i="8"/>
  <c r="R80" i="8" a="1"/>
  <c r="J80" i="8" a="1"/>
  <c r="B80" i="8" a="1"/>
  <c r="O125" i="7"/>
  <c r="DK81" i="8" l="1"/>
  <c r="DJ80" i="8"/>
  <c r="DL80" i="8" s="1"/>
  <c r="GK91" i="9"/>
  <c r="GT91" i="9" s="1"/>
  <c r="IM91" i="9" s="1"/>
  <c r="GK92" i="9"/>
  <c r="GT92" i="9" s="1"/>
  <c r="IM92" i="9" s="1"/>
  <c r="LB97" i="9"/>
  <c r="FC102" i="9"/>
  <c r="FL102" i="9" s="1"/>
  <c r="FC98" i="9"/>
  <c r="FL98" i="9" s="1"/>
  <c r="FC101" i="9"/>
  <c r="FL101" i="9" s="1"/>
  <c r="LB94" i="9"/>
  <c r="FC95" i="9"/>
  <c r="FL95" i="9" s="1"/>
  <c r="LB96" i="9"/>
  <c r="FC93" i="9"/>
  <c r="FL93" i="9" s="1"/>
  <c r="FC99" i="9"/>
  <c r="FL99" i="9" s="1"/>
  <c r="LB95" i="9"/>
  <c r="LB90" i="9"/>
  <c r="ET91" i="9"/>
  <c r="IH91" i="9"/>
  <c r="KS91" i="9"/>
  <c r="EV101" i="9"/>
  <c r="IJ101" i="9"/>
  <c r="KU101" i="9"/>
  <c r="FC97" i="9"/>
  <c r="FL97" i="9" s="1"/>
  <c r="FC89" i="9"/>
  <c r="FL89" i="9" s="1"/>
  <c r="LB88" i="9"/>
  <c r="FC94" i="9"/>
  <c r="FL94" i="9" s="1"/>
  <c r="EV88" i="9"/>
  <c r="IJ88" i="9"/>
  <c r="KU88" i="9"/>
  <c r="FC88" i="9"/>
  <c r="FL88" i="9" s="1"/>
  <c r="EV90" i="9"/>
  <c r="IJ90" i="9"/>
  <c r="KU90" i="9"/>
  <c r="LB93" i="9"/>
  <c r="LB99" i="9"/>
  <c r="EV100" i="9"/>
  <c r="IJ100" i="9"/>
  <c r="KU100" i="9"/>
  <c r="ET92" i="9"/>
  <c r="IH92" i="9"/>
  <c r="KS92" i="9"/>
  <c r="FC90" i="9"/>
  <c r="FL90" i="9" s="1"/>
  <c r="EV94" i="9"/>
  <c r="IJ94" i="9"/>
  <c r="KU94" i="9"/>
  <c r="EV99" i="9"/>
  <c r="IJ99" i="9"/>
  <c r="KU99" i="9"/>
  <c r="EV96" i="9"/>
  <c r="IJ96" i="9"/>
  <c r="KU96" i="9"/>
  <c r="JT92" i="9"/>
  <c r="AR92" i="9"/>
  <c r="AI92" i="9" s="1"/>
  <c r="H92" i="9" s="1"/>
  <c r="EV93" i="9"/>
  <c r="IJ93" i="9"/>
  <c r="KU93" i="9"/>
  <c r="FC96" i="9"/>
  <c r="FL96" i="9" s="1"/>
  <c r="LB100" i="9"/>
  <c r="EV98" i="9"/>
  <c r="IJ98" i="9"/>
  <c r="KU98" i="9"/>
  <c r="EV89" i="9"/>
  <c r="IJ89" i="9"/>
  <c r="KU89" i="9"/>
  <c r="JT91" i="9"/>
  <c r="AR91" i="9"/>
  <c r="AI91" i="9" s="1"/>
  <c r="H91" i="9" s="1"/>
  <c r="EV97" i="9"/>
  <c r="IJ97" i="9"/>
  <c r="KU97" i="9"/>
  <c r="EV102" i="9"/>
  <c r="IJ102" i="9"/>
  <c r="KU102" i="9"/>
  <c r="LB89" i="9"/>
  <c r="LB102" i="9"/>
  <c r="FC100" i="9"/>
  <c r="FL100" i="9" s="1"/>
  <c r="LB98" i="9"/>
  <c r="LB101" i="9"/>
  <c r="EV95" i="9"/>
  <c r="IJ95" i="9"/>
  <c r="KU95" i="9"/>
  <c r="GT100" i="9"/>
  <c r="IM100" i="9" s="1"/>
  <c r="GT95" i="9"/>
  <c r="IM95" i="9" s="1"/>
  <c r="GT88" i="9"/>
  <c r="IM88" i="9" s="1"/>
  <c r="GT96" i="9"/>
  <c r="IM96" i="9" s="1"/>
  <c r="J80" i="8"/>
  <c r="AD82" i="11"/>
  <c r="DP81" i="8"/>
  <c r="B80" i="8"/>
  <c r="R80" i="8"/>
  <c r="DI79" i="8"/>
  <c r="DH79" i="8"/>
  <c r="DG79" i="8"/>
  <c r="CY79" i="8"/>
  <c r="R79" i="8" a="1"/>
  <c r="J79" i="8" a="1"/>
  <c r="B79" i="8" a="1"/>
  <c r="O124" i="7"/>
  <c r="DK80" i="8" l="1"/>
  <c r="DJ79" i="8"/>
  <c r="DL79" i="8" s="1"/>
  <c r="FE97" i="9"/>
  <c r="FN97" i="9" s="1"/>
  <c r="LD93" i="9"/>
  <c r="FE96" i="9"/>
  <c r="FN96" i="9" s="1"/>
  <c r="LD100" i="9"/>
  <c r="LD97" i="9"/>
  <c r="LD96" i="9"/>
  <c r="FE94" i="9"/>
  <c r="FN94" i="9" s="1"/>
  <c r="FE99" i="9"/>
  <c r="FN99" i="9" s="1"/>
  <c r="LD88" i="9"/>
  <c r="LD101" i="9"/>
  <c r="LB91" i="9"/>
  <c r="LB92" i="9"/>
  <c r="LD95" i="9"/>
  <c r="LD102" i="9"/>
  <c r="LD89" i="9"/>
  <c r="LD98" i="9"/>
  <c r="FE93" i="9"/>
  <c r="FN93" i="9" s="1"/>
  <c r="LD94" i="9"/>
  <c r="FE100" i="9"/>
  <c r="FN100" i="9" s="1"/>
  <c r="FE88" i="9"/>
  <c r="FN88" i="9" s="1"/>
  <c r="EV91" i="9"/>
  <c r="IJ91" i="9"/>
  <c r="KU91" i="9"/>
  <c r="FE98" i="9"/>
  <c r="FN98" i="9" s="1"/>
  <c r="LD90" i="9"/>
  <c r="FE101" i="9"/>
  <c r="FN101" i="9" s="1"/>
  <c r="EV92" i="9"/>
  <c r="IJ92" i="9"/>
  <c r="KU92" i="9"/>
  <c r="FE95" i="9"/>
  <c r="FN95" i="9" s="1"/>
  <c r="FE102" i="9"/>
  <c r="FN102" i="9" s="1"/>
  <c r="FE90" i="9"/>
  <c r="FN90" i="9" s="1"/>
  <c r="FE89" i="9"/>
  <c r="FN89" i="9" s="1"/>
  <c r="LD99" i="9"/>
  <c r="FC92" i="9"/>
  <c r="FL92" i="9" s="1"/>
  <c r="FC91" i="9"/>
  <c r="FL91" i="9" s="1"/>
  <c r="J79" i="8"/>
  <c r="AD81" i="11"/>
  <c r="DP80" i="8"/>
  <c r="R79" i="8"/>
  <c r="B79" i="8"/>
  <c r="DI78" i="8"/>
  <c r="DH78" i="8"/>
  <c r="DG78" i="8"/>
  <c r="CY78" i="8"/>
  <c r="CW78" i="8"/>
  <c r="CX78" i="8"/>
  <c r="CZ78" i="8"/>
  <c r="DA78" i="8"/>
  <c r="DB78" i="8"/>
  <c r="DC78" i="8"/>
  <c r="DD78" i="8"/>
  <c r="C78" i="10" s="1"/>
  <c r="DE78" i="8"/>
  <c r="DF78" i="8"/>
  <c r="CW79" i="8"/>
  <c r="CX79" i="8"/>
  <c r="CZ79" i="8"/>
  <c r="DA79" i="8"/>
  <c r="DB79" i="8"/>
  <c r="DC79" i="8"/>
  <c r="DD79" i="8"/>
  <c r="C79" i="10" s="1"/>
  <c r="DE79" i="8"/>
  <c r="DF79" i="8"/>
  <c r="CW80" i="8"/>
  <c r="CX80" i="8"/>
  <c r="CZ80" i="8"/>
  <c r="DA80" i="8"/>
  <c r="DB80" i="8"/>
  <c r="DC80" i="8"/>
  <c r="DD80" i="8"/>
  <c r="C80" i="10" s="1"/>
  <c r="DE80" i="8"/>
  <c r="DF80" i="8"/>
  <c r="CW81" i="8"/>
  <c r="CX81" i="8"/>
  <c r="CZ81" i="8"/>
  <c r="DA81" i="8"/>
  <c r="DB81" i="8"/>
  <c r="DC81" i="8"/>
  <c r="DD81" i="8"/>
  <c r="C81" i="10" s="1"/>
  <c r="DE81" i="8"/>
  <c r="DF81" i="8"/>
  <c r="CW82" i="8"/>
  <c r="CX82" i="8"/>
  <c r="CZ82" i="8"/>
  <c r="DA82" i="8"/>
  <c r="DB82" i="8"/>
  <c r="DC82" i="8"/>
  <c r="DD82" i="8"/>
  <c r="C82" i="10" s="1"/>
  <c r="DE82" i="8"/>
  <c r="DF82" i="8"/>
  <c r="CW83" i="8"/>
  <c r="CX83" i="8"/>
  <c r="CZ83" i="8"/>
  <c r="DA83" i="8"/>
  <c r="DB83" i="8"/>
  <c r="DC83" i="8"/>
  <c r="DD83" i="8"/>
  <c r="C83" i="10" s="1"/>
  <c r="DE83" i="8"/>
  <c r="DF83" i="8"/>
  <c r="CW84" i="8"/>
  <c r="CX84" i="8"/>
  <c r="CZ84" i="8"/>
  <c r="DA84" i="8"/>
  <c r="DB84" i="8"/>
  <c r="DC84" i="8"/>
  <c r="DD84" i="8"/>
  <c r="C84" i="10" s="1"/>
  <c r="DE84" i="8"/>
  <c r="DF84" i="8"/>
  <c r="CW85" i="8"/>
  <c r="CX85" i="8"/>
  <c r="CZ85" i="8"/>
  <c r="DA85" i="8"/>
  <c r="DB85" i="8"/>
  <c r="DC85" i="8"/>
  <c r="DD85" i="8"/>
  <c r="C85" i="10" s="1"/>
  <c r="DE85" i="8"/>
  <c r="DF85" i="8"/>
  <c r="CW86" i="8"/>
  <c r="CX86" i="8"/>
  <c r="CZ86" i="8"/>
  <c r="DA86" i="8"/>
  <c r="DB86" i="8"/>
  <c r="DC86" i="8"/>
  <c r="DD86" i="8"/>
  <c r="C86" i="10" s="1"/>
  <c r="DE86" i="8"/>
  <c r="DF86" i="8"/>
  <c r="CW87" i="8"/>
  <c r="CX87" i="8"/>
  <c r="CZ87" i="8"/>
  <c r="DA87" i="8"/>
  <c r="DB87" i="8"/>
  <c r="DC87" i="8"/>
  <c r="DD87" i="8"/>
  <c r="C87" i="10" s="1"/>
  <c r="DE87" i="8"/>
  <c r="DF87" i="8"/>
  <c r="R78" i="8" a="1"/>
  <c r="J78" i="8" a="1"/>
  <c r="B78" i="8" a="1"/>
  <c r="DK79" i="8" l="1"/>
  <c r="DJ78" i="8"/>
  <c r="DL78" i="8" s="1"/>
  <c r="BD80" i="9"/>
  <c r="IV80" i="9"/>
  <c r="JE80" i="9"/>
  <c r="DN80" i="8"/>
  <c r="K80" i="9"/>
  <c r="T80" i="9" s="1"/>
  <c r="BD81" i="9"/>
  <c r="IV81" i="9"/>
  <c r="JE81" i="9"/>
  <c r="DN81" i="8"/>
  <c r="K81" i="9"/>
  <c r="T81" i="9" s="1"/>
  <c r="BD87" i="9"/>
  <c r="IV87" i="9"/>
  <c r="JE87" i="9"/>
  <c r="DN87" i="8"/>
  <c r="K87" i="9"/>
  <c r="T87" i="9" s="1"/>
  <c r="BD79" i="9"/>
  <c r="IV79" i="9"/>
  <c r="JE79" i="9"/>
  <c r="DN79" i="8"/>
  <c r="K79" i="9"/>
  <c r="T79" i="9" s="1"/>
  <c r="BD85" i="9"/>
  <c r="JE85" i="9"/>
  <c r="DN85" i="8"/>
  <c r="IV85" i="9"/>
  <c r="K85" i="9"/>
  <c r="T85" i="9" s="1"/>
  <c r="BD86" i="9"/>
  <c r="JE86" i="9"/>
  <c r="DN86" i="8"/>
  <c r="IV86" i="9"/>
  <c r="K86" i="9"/>
  <c r="T86" i="9" s="1"/>
  <c r="BD78" i="9"/>
  <c r="JE78" i="9"/>
  <c r="DN78" i="8"/>
  <c r="IV78" i="9"/>
  <c r="K78" i="9"/>
  <c r="T78" i="9" s="1"/>
  <c r="BD83" i="9"/>
  <c r="DN83" i="8"/>
  <c r="IV83" i="9"/>
  <c r="JE83" i="9"/>
  <c r="K83" i="9"/>
  <c r="T83" i="9" s="1"/>
  <c r="BD84" i="9"/>
  <c r="DN84" i="8"/>
  <c r="IV84" i="9"/>
  <c r="JE84" i="9"/>
  <c r="K84" i="9"/>
  <c r="T84" i="9" s="1"/>
  <c r="BD82" i="9"/>
  <c r="DN82" i="8"/>
  <c r="IV82" i="9"/>
  <c r="JE82" i="9"/>
  <c r="K82" i="9"/>
  <c r="T82" i="9" s="1"/>
  <c r="LD92" i="9"/>
  <c r="LD91" i="9"/>
  <c r="FE92" i="9"/>
  <c r="FN92" i="9" s="1"/>
  <c r="FE91" i="9"/>
  <c r="FN91" i="9" s="1"/>
  <c r="B79" i="10"/>
  <c r="AD79" i="10" s="1"/>
  <c r="AC87" i="10"/>
  <c r="W87" i="10"/>
  <c r="X87" i="10"/>
  <c r="Y87" i="10"/>
  <c r="Z87" i="10"/>
  <c r="AA87" i="10"/>
  <c r="AB87" i="10"/>
  <c r="BU87" i="10" s="1"/>
  <c r="V87" i="10"/>
  <c r="DH81" i="9" a="1"/>
  <c r="DH81" i="9" s="1"/>
  <c r="DL81" i="9" a="1"/>
  <c r="DL81" i="9" s="1"/>
  <c r="DM81" i="9" a="1"/>
  <c r="DM81" i="9" s="1"/>
  <c r="DN81" i="9" a="1"/>
  <c r="DN81" i="9" s="1"/>
  <c r="DG81" i="9"/>
  <c r="DI81" i="9" a="1"/>
  <c r="DI81" i="9" s="1"/>
  <c r="DJ81" i="9" a="1"/>
  <c r="DJ81" i="9" s="1"/>
  <c r="DK81" i="9" a="1"/>
  <c r="DK81" i="9" s="1"/>
  <c r="DF81" i="9"/>
  <c r="AC79" i="10"/>
  <c r="W79" i="10"/>
  <c r="X79" i="10"/>
  <c r="Y79" i="10"/>
  <c r="Z79" i="10"/>
  <c r="AA79" i="10"/>
  <c r="AB79" i="10"/>
  <c r="BU79" i="10" s="1"/>
  <c r="V79" i="10"/>
  <c r="B78" i="10"/>
  <c r="DP87" i="9"/>
  <c r="DQ87" i="9"/>
  <c r="DR87" i="9"/>
  <c r="DS87" i="9"/>
  <c r="DT87" i="9"/>
  <c r="DU87" i="9"/>
  <c r="DV87" i="9"/>
  <c r="DW87" i="9"/>
  <c r="DO87" i="9"/>
  <c r="DX87" i="9" s="1"/>
  <c r="AC86" i="10"/>
  <c r="W86" i="10"/>
  <c r="X86" i="10"/>
  <c r="BQ86" i="10" s="1"/>
  <c r="Y86" i="10"/>
  <c r="BR86" i="10" s="1"/>
  <c r="V86" i="10"/>
  <c r="Z86" i="10"/>
  <c r="AA86" i="10"/>
  <c r="AB86" i="10"/>
  <c r="B85" i="10"/>
  <c r="DI80" i="9" a="1"/>
  <c r="DI80" i="9" s="1"/>
  <c r="DL80" i="9" a="1"/>
  <c r="DL80" i="9" s="1"/>
  <c r="DM80" i="9" a="1"/>
  <c r="DM80" i="9" s="1"/>
  <c r="DN80" i="9" a="1"/>
  <c r="DN80" i="9" s="1"/>
  <c r="DG80" i="9"/>
  <c r="DH80" i="9" a="1"/>
  <c r="DH80" i="9" s="1"/>
  <c r="DJ80" i="9" a="1"/>
  <c r="DJ80" i="9" s="1"/>
  <c r="DF80" i="9"/>
  <c r="DK80" i="9" a="1"/>
  <c r="DK80" i="9" s="1"/>
  <c r="DP79" i="9"/>
  <c r="DQ79" i="9"/>
  <c r="DR79" i="9"/>
  <c r="DS79" i="9"/>
  <c r="DT79" i="9"/>
  <c r="DU79" i="9"/>
  <c r="DV79" i="9"/>
  <c r="DW79" i="9"/>
  <c r="DO79" i="9"/>
  <c r="DX79" i="9" s="1"/>
  <c r="AC78" i="10"/>
  <c r="W78" i="10"/>
  <c r="X78" i="10"/>
  <c r="Y78" i="10"/>
  <c r="V78" i="10"/>
  <c r="Z78" i="10"/>
  <c r="AA78" i="10"/>
  <c r="AB78" i="10"/>
  <c r="DH82" i="9" a="1"/>
  <c r="DH82" i="9" s="1"/>
  <c r="DL82" i="9" a="1"/>
  <c r="DL82" i="9" s="1"/>
  <c r="DF82" i="9"/>
  <c r="DM82" i="9" a="1"/>
  <c r="DM82" i="9" s="1"/>
  <c r="DN82" i="9" a="1"/>
  <c r="DN82" i="9" s="1"/>
  <c r="DG82" i="9"/>
  <c r="DI82" i="9" a="1"/>
  <c r="DI82" i="9" s="1"/>
  <c r="DJ82" i="9" a="1"/>
  <c r="DJ82" i="9" s="1"/>
  <c r="DK82" i="9" a="1"/>
  <c r="DK82" i="9" s="1"/>
  <c r="DL87" i="9" a="1"/>
  <c r="DL87" i="9" s="1"/>
  <c r="DG87" i="9"/>
  <c r="DH87" i="9" a="1"/>
  <c r="DH87" i="9" s="1"/>
  <c r="DI87" i="9" a="1"/>
  <c r="DI87" i="9" s="1"/>
  <c r="DJ87" i="9" a="1"/>
  <c r="DJ87" i="9" s="1"/>
  <c r="DF87" i="9"/>
  <c r="DK87" i="9" a="1"/>
  <c r="DK87" i="9" s="1"/>
  <c r="DM87" i="9" a="1"/>
  <c r="DM87" i="9" s="1"/>
  <c r="DN87" i="9" a="1"/>
  <c r="DN87" i="9" s="1"/>
  <c r="DP86" i="9"/>
  <c r="DQ86" i="9"/>
  <c r="DR86" i="9"/>
  <c r="DS86" i="9"/>
  <c r="DT86" i="9"/>
  <c r="DU86" i="9"/>
  <c r="DV86" i="9"/>
  <c r="DW86" i="9"/>
  <c r="DO86" i="9"/>
  <c r="DX86" i="9" s="1"/>
  <c r="AC85" i="10"/>
  <c r="W85" i="10"/>
  <c r="X85" i="10"/>
  <c r="Y85" i="10"/>
  <c r="Z85" i="10"/>
  <c r="AA85" i="10"/>
  <c r="AB85" i="10"/>
  <c r="V85" i="10"/>
  <c r="B84" i="10"/>
  <c r="DI79" i="9" a="1"/>
  <c r="DI79" i="9" s="1"/>
  <c r="DK79" i="9" a="1"/>
  <c r="DK79" i="9" s="1"/>
  <c r="DL79" i="9" a="1"/>
  <c r="DL79" i="9" s="1"/>
  <c r="DM79" i="9" a="1"/>
  <c r="DM79" i="9" s="1"/>
  <c r="DN79" i="9" a="1"/>
  <c r="DN79" i="9" s="1"/>
  <c r="DG79" i="9"/>
  <c r="DF79" i="9"/>
  <c r="DH79" i="9" a="1"/>
  <c r="DH79" i="9" s="1"/>
  <c r="DJ79" i="9" a="1"/>
  <c r="DJ79" i="9" s="1"/>
  <c r="DO78" i="9"/>
  <c r="DX78" i="9" s="1"/>
  <c r="B87" i="10"/>
  <c r="AC80" i="10"/>
  <c r="W80" i="10"/>
  <c r="X80" i="10"/>
  <c r="Y80" i="10"/>
  <c r="V80" i="10"/>
  <c r="Z80" i="10"/>
  <c r="AA80" i="10"/>
  <c r="AB80" i="10"/>
  <c r="DG85" i="9"/>
  <c r="DN85" i="9" a="1"/>
  <c r="DN85" i="9" s="1"/>
  <c r="DH85" i="9" a="1"/>
  <c r="DH85" i="9" s="1"/>
  <c r="DI85" i="9" a="1"/>
  <c r="DI85" i="9" s="1"/>
  <c r="DF85" i="9"/>
  <c r="DJ85" i="9" a="1"/>
  <c r="DJ85" i="9" s="1"/>
  <c r="DK85" i="9" a="1"/>
  <c r="DK85" i="9" s="1"/>
  <c r="DL85" i="9" a="1"/>
  <c r="DL85" i="9" s="1"/>
  <c r="DM85" i="9" a="1"/>
  <c r="DM85" i="9" s="1"/>
  <c r="DP84" i="9"/>
  <c r="DQ84" i="9"/>
  <c r="DR84" i="9"/>
  <c r="DS84" i="9"/>
  <c r="DT84" i="9"/>
  <c r="DU84" i="9"/>
  <c r="DV84" i="9"/>
  <c r="DW84" i="9"/>
  <c r="DO84" i="9"/>
  <c r="DX84" i="9" s="1"/>
  <c r="AC83" i="10"/>
  <c r="W83" i="10"/>
  <c r="X83" i="10"/>
  <c r="Y83" i="10"/>
  <c r="Z83" i="10"/>
  <c r="AA83" i="10"/>
  <c r="AB83" i="10"/>
  <c r="V83" i="10"/>
  <c r="B82" i="10"/>
  <c r="DG86" i="9"/>
  <c r="DH86" i="9" a="1"/>
  <c r="DH86" i="9" s="1"/>
  <c r="DI86" i="9" a="1"/>
  <c r="DI86" i="9" s="1"/>
  <c r="DJ86" i="9" a="1"/>
  <c r="DJ86" i="9" s="1"/>
  <c r="DF86" i="9"/>
  <c r="DK86" i="9" a="1"/>
  <c r="DK86" i="9" s="1"/>
  <c r="DL86" i="9" a="1"/>
  <c r="DL86" i="9" s="1"/>
  <c r="DM86" i="9" a="1"/>
  <c r="DM86" i="9" s="1"/>
  <c r="DN86" i="9" a="1"/>
  <c r="DN86" i="9" s="1"/>
  <c r="AC84" i="10"/>
  <c r="W84" i="10"/>
  <c r="X84" i="10"/>
  <c r="Y84" i="10"/>
  <c r="V84" i="10"/>
  <c r="Z84" i="10"/>
  <c r="AA84" i="10"/>
  <c r="AB84" i="10"/>
  <c r="DG84" i="9"/>
  <c r="DF84" i="9"/>
  <c r="DN84" i="9" a="1"/>
  <c r="DN84" i="9" s="1"/>
  <c r="DH84" i="9" a="1"/>
  <c r="DH84" i="9" s="1"/>
  <c r="DI84" i="9" a="1"/>
  <c r="DI84" i="9" s="1"/>
  <c r="DJ84" i="9" a="1"/>
  <c r="DJ84" i="9" s="1"/>
  <c r="DK84" i="9" a="1"/>
  <c r="DK84" i="9" s="1"/>
  <c r="DL84" i="9" a="1"/>
  <c r="DL84" i="9" s="1"/>
  <c r="DM84" i="9" a="1"/>
  <c r="DM84" i="9" s="1"/>
  <c r="DP83" i="9"/>
  <c r="DQ83" i="9"/>
  <c r="DR83" i="9"/>
  <c r="DS83" i="9"/>
  <c r="DT83" i="9"/>
  <c r="DU83" i="9"/>
  <c r="DV83" i="9"/>
  <c r="DW83" i="9"/>
  <c r="DO83" i="9"/>
  <c r="DX83" i="9" s="1"/>
  <c r="AC82" i="10"/>
  <c r="W82" i="10"/>
  <c r="X82" i="10"/>
  <c r="Y82" i="10"/>
  <c r="V82" i="10"/>
  <c r="Z82" i="10"/>
  <c r="AA82" i="10"/>
  <c r="AB82" i="10"/>
  <c r="B81" i="10"/>
  <c r="AD81" i="10" s="1"/>
  <c r="DP81" i="9"/>
  <c r="DQ81" i="9"/>
  <c r="DR81" i="9"/>
  <c r="DS81" i="9"/>
  <c r="DT81" i="9"/>
  <c r="DU81" i="9"/>
  <c r="DV81" i="9"/>
  <c r="DW81" i="9"/>
  <c r="DO81" i="9"/>
  <c r="EG81" i="9" s="1"/>
  <c r="B86" i="10"/>
  <c r="DP80" i="9"/>
  <c r="DQ80" i="9"/>
  <c r="DR80" i="9"/>
  <c r="DS80" i="9"/>
  <c r="DT80" i="9"/>
  <c r="DU80" i="9"/>
  <c r="DV80" i="9"/>
  <c r="DW80" i="9"/>
  <c r="DO80" i="9"/>
  <c r="DX80" i="9" s="1"/>
  <c r="DP85" i="9"/>
  <c r="DQ85" i="9"/>
  <c r="DR85" i="9"/>
  <c r="DS85" i="9"/>
  <c r="DT85" i="9"/>
  <c r="DU85" i="9"/>
  <c r="DV85" i="9"/>
  <c r="DW85" i="9"/>
  <c r="DO85" i="9"/>
  <c r="EG85" i="9" s="1"/>
  <c r="B83" i="10"/>
  <c r="DF78" i="9"/>
  <c r="DG83" i="9"/>
  <c r="DM83" i="9" a="1"/>
  <c r="DM83" i="9" s="1"/>
  <c r="DN83" i="9" a="1"/>
  <c r="DN83" i="9" s="1"/>
  <c r="DF83" i="9"/>
  <c r="DH83" i="9" a="1"/>
  <c r="DH83" i="9" s="1"/>
  <c r="DI83" i="9" a="1"/>
  <c r="DI83" i="9" s="1"/>
  <c r="DJ83" i="9" a="1"/>
  <c r="DJ83" i="9" s="1"/>
  <c r="DK83" i="9" a="1"/>
  <c r="DK83" i="9" s="1"/>
  <c r="DL83" i="9" a="1"/>
  <c r="DL83" i="9" s="1"/>
  <c r="DP82" i="9"/>
  <c r="DQ82" i="9"/>
  <c r="DR82" i="9"/>
  <c r="DS82" i="9"/>
  <c r="DT82" i="9"/>
  <c r="DU82" i="9"/>
  <c r="DV82" i="9"/>
  <c r="DW82" i="9"/>
  <c r="DO82" i="9"/>
  <c r="EG82" i="9" s="1"/>
  <c r="AC81" i="10"/>
  <c r="W81" i="10"/>
  <c r="X81" i="10"/>
  <c r="Y81" i="10"/>
  <c r="Z81" i="10"/>
  <c r="AA81" i="10"/>
  <c r="AB81" i="10"/>
  <c r="V81" i="10"/>
  <c r="B80" i="10"/>
  <c r="AU80" i="9"/>
  <c r="CW80" i="9"/>
  <c r="AU87" i="9"/>
  <c r="CW87" i="9"/>
  <c r="AU79" i="9"/>
  <c r="CW79" i="9"/>
  <c r="AU78" i="9"/>
  <c r="CW78" i="9"/>
  <c r="AU85" i="9"/>
  <c r="CW85" i="9"/>
  <c r="AU86" i="9"/>
  <c r="CW86" i="9"/>
  <c r="AU84" i="9"/>
  <c r="CW84" i="9"/>
  <c r="AU83" i="9"/>
  <c r="CW83" i="9"/>
  <c r="AU81" i="9"/>
  <c r="CW81" i="9"/>
  <c r="AU82" i="9"/>
  <c r="CW82" i="9"/>
  <c r="J78" i="8"/>
  <c r="AD80" i="11"/>
  <c r="BB80" i="8"/>
  <c r="CN78" i="9"/>
  <c r="CE78" i="9"/>
  <c r="BD80" i="8"/>
  <c r="CN85" i="9"/>
  <c r="CE85" i="9"/>
  <c r="AZ81" i="8"/>
  <c r="BB81" i="8"/>
  <c r="BD81" i="8"/>
  <c r="CN84" i="9"/>
  <c r="CE84" i="9"/>
  <c r="AZ87" i="8"/>
  <c r="BB87" i="8"/>
  <c r="BD87" i="8"/>
  <c r="CN83" i="9"/>
  <c r="CE83" i="9"/>
  <c r="AZ79" i="8"/>
  <c r="CN86" i="9"/>
  <c r="CE86" i="9"/>
  <c r="AZ82" i="8"/>
  <c r="BD82" i="8"/>
  <c r="BB82" i="8"/>
  <c r="CN82" i="9"/>
  <c r="CE82" i="9"/>
  <c r="AZ78" i="8"/>
  <c r="AZ80" i="8"/>
  <c r="AZ85" i="8"/>
  <c r="BB85" i="8"/>
  <c r="BD85" i="8"/>
  <c r="CE81" i="9"/>
  <c r="CN81" i="9"/>
  <c r="CE80" i="9"/>
  <c r="CN80" i="9"/>
  <c r="AZ86" i="8"/>
  <c r="BB86" i="8"/>
  <c r="BD86" i="8"/>
  <c r="AZ84" i="8"/>
  <c r="BB84" i="8"/>
  <c r="BD84" i="8"/>
  <c r="CE87" i="9"/>
  <c r="CN87" i="9"/>
  <c r="AZ83" i="8"/>
  <c r="BB83" i="8"/>
  <c r="BD83" i="8"/>
  <c r="CE79" i="9"/>
  <c r="CN79" i="9"/>
  <c r="DP79" i="8"/>
  <c r="BB79" i="8"/>
  <c r="BD79" i="8"/>
  <c r="BN79" i="8"/>
  <c r="B78" i="8"/>
  <c r="DS78" i="9" s="1"/>
  <c r="R78" i="8"/>
  <c r="BP79" i="8"/>
  <c r="BL79" i="8"/>
  <c r="BH79" i="8"/>
  <c r="BL84" i="8"/>
  <c r="BP84" i="8"/>
  <c r="BH84" i="8"/>
  <c r="BJ84" i="8"/>
  <c r="BF84" i="8"/>
  <c r="BN84" i="8"/>
  <c r="BJ82" i="8"/>
  <c r="BP82" i="8"/>
  <c r="BN82" i="8"/>
  <c r="BH82" i="8"/>
  <c r="BF82" i="8"/>
  <c r="BL82" i="8"/>
  <c r="BJ81" i="8"/>
  <c r="BP81" i="8"/>
  <c r="BH81" i="8"/>
  <c r="BL81" i="8"/>
  <c r="BN81" i="8"/>
  <c r="BF81" i="8"/>
  <c r="BN85" i="8"/>
  <c r="BL85" i="8"/>
  <c r="BP85" i="8"/>
  <c r="BH85" i="8"/>
  <c r="BJ85" i="8"/>
  <c r="BF85" i="8"/>
  <c r="BN80" i="8"/>
  <c r="BP80" i="8"/>
  <c r="BJ80" i="8"/>
  <c r="BL80" i="8"/>
  <c r="BF80" i="8"/>
  <c r="BH80" i="8"/>
  <c r="BJ79" i="8"/>
  <c r="BF83" i="8"/>
  <c r="BH83" i="8"/>
  <c r="BJ83" i="8"/>
  <c r="BN83" i="8"/>
  <c r="BP83" i="8"/>
  <c r="BL83" i="8"/>
  <c r="BJ87" i="8"/>
  <c r="BH87" i="8"/>
  <c r="BF87" i="8"/>
  <c r="BL87" i="8"/>
  <c r="BP87" i="8"/>
  <c r="BN87" i="8"/>
  <c r="BF79" i="8"/>
  <c r="BN86" i="8"/>
  <c r="BL86" i="8"/>
  <c r="BP86" i="8"/>
  <c r="BH86" i="8"/>
  <c r="BJ86" i="8"/>
  <c r="BF86" i="8"/>
  <c r="A78" i="8"/>
  <c r="A79" i="8"/>
  <c r="A80" i="8"/>
  <c r="A81" i="8"/>
  <c r="A82" i="8"/>
  <c r="A83" i="8"/>
  <c r="A84" i="8"/>
  <c r="A85" i="8"/>
  <c r="A86" i="8"/>
  <c r="A87" i="8"/>
  <c r="A88" i="8"/>
  <c r="O123" i="7"/>
  <c r="DI77" i="8"/>
  <c r="DH77" i="8"/>
  <c r="DG77" i="8"/>
  <c r="CY77" i="8"/>
  <c r="R77" i="8" a="1"/>
  <c r="J77" i="8" a="1"/>
  <c r="B77" i="8" a="1"/>
  <c r="DK78" i="8" l="1"/>
  <c r="KF86" i="9"/>
  <c r="KF79" i="9"/>
  <c r="LG78" i="9"/>
  <c r="BV78" i="9" s="1"/>
  <c r="DQ78" i="8" s="1"/>
  <c r="DJ77" i="8"/>
  <c r="DL77" i="8" s="1"/>
  <c r="KF83" i="9"/>
  <c r="KF78" i="9"/>
  <c r="KF80" i="9"/>
  <c r="KF81" i="9"/>
  <c r="AM86" i="10"/>
  <c r="L86" i="10"/>
  <c r="U86" i="10" s="1"/>
  <c r="AM83" i="10"/>
  <c r="L83" i="10"/>
  <c r="U83" i="10" s="1"/>
  <c r="KF82" i="9"/>
  <c r="KF85" i="9"/>
  <c r="LL87" i="9"/>
  <c r="CA87" i="9" s="1"/>
  <c r="O87" i="9" s="1"/>
  <c r="X87" i="9" s="1"/>
  <c r="AM82" i="10"/>
  <c r="L82" i="10"/>
  <c r="AM79" i="10"/>
  <c r="AV79" i="10" s="1"/>
  <c r="L79" i="10"/>
  <c r="U79" i="10" s="1"/>
  <c r="KF87" i="9"/>
  <c r="AM80" i="10"/>
  <c r="L80" i="10"/>
  <c r="U80" i="10" s="1"/>
  <c r="AM87" i="10"/>
  <c r="L87" i="10"/>
  <c r="AM81" i="10"/>
  <c r="AV81" i="10" s="1"/>
  <c r="L81" i="10"/>
  <c r="U81" i="10" s="1"/>
  <c r="AM85" i="10"/>
  <c r="L85" i="10"/>
  <c r="U85" i="10" s="1"/>
  <c r="KF84" i="9"/>
  <c r="AM84" i="10"/>
  <c r="L84" i="10"/>
  <c r="U84" i="10" s="1"/>
  <c r="AM78" i="10"/>
  <c r="L78" i="10"/>
  <c r="U78" i="10" s="1"/>
  <c r="DR82" i="8"/>
  <c r="DS82" i="8"/>
  <c r="DS85" i="8"/>
  <c r="DR85" i="8"/>
  <c r="DR81" i="8"/>
  <c r="DS81" i="8"/>
  <c r="DR83" i="8"/>
  <c r="DS83" i="8"/>
  <c r="DR86" i="8"/>
  <c r="DS86" i="8"/>
  <c r="DS87" i="8"/>
  <c r="DR87" i="8"/>
  <c r="DS84" i="8"/>
  <c r="DR84" i="8"/>
  <c r="DS78" i="8"/>
  <c r="DR78" i="8"/>
  <c r="DR80" i="8"/>
  <c r="DS80" i="8"/>
  <c r="DS79" i="8"/>
  <c r="DR79" i="8"/>
  <c r="LO79" i="9"/>
  <c r="CD79" i="9" s="1"/>
  <c r="R79" i="9" s="1"/>
  <c r="AA79" i="9" s="1"/>
  <c r="EG83" i="9"/>
  <c r="BM83" i="9" s="1"/>
  <c r="AK84" i="11" s="1"/>
  <c r="EG79" i="9"/>
  <c r="LG79" i="9"/>
  <c r="BV79" i="9" s="1"/>
  <c r="DQ79" i="8" s="1"/>
  <c r="AD87" i="10"/>
  <c r="LM87" i="9"/>
  <c r="CB87" i="9" s="1"/>
  <c r="P87" i="9" s="1"/>
  <c r="Y87" i="9" s="1"/>
  <c r="LG83" i="9"/>
  <c r="BV83" i="9" s="1"/>
  <c r="DQ83" i="8" s="1"/>
  <c r="HL81" i="9"/>
  <c r="S81" i="9"/>
  <c r="AB81" i="9" s="1"/>
  <c r="HL86" i="9"/>
  <c r="S86" i="9"/>
  <c r="AB86" i="9" s="1"/>
  <c r="HL85" i="9"/>
  <c r="S85" i="9"/>
  <c r="AB85" i="9" s="1"/>
  <c r="HL84" i="9"/>
  <c r="S84" i="9"/>
  <c r="AB84" i="9" s="1"/>
  <c r="LG85" i="9"/>
  <c r="BV85" i="9" s="1"/>
  <c r="DQ85" i="8" s="1"/>
  <c r="HL80" i="9"/>
  <c r="S80" i="9"/>
  <c r="AB80" i="9" s="1"/>
  <c r="HL82" i="9"/>
  <c r="S82" i="9"/>
  <c r="AB82" i="9" s="1"/>
  <c r="HL83" i="9"/>
  <c r="S83" i="9"/>
  <c r="AB83" i="9" s="1"/>
  <c r="HL79" i="9"/>
  <c r="S79" i="9"/>
  <c r="AB79" i="9" s="1"/>
  <c r="HL87" i="9"/>
  <c r="S87" i="9"/>
  <c r="AB87" i="9" s="1"/>
  <c r="HL78" i="9"/>
  <c r="S78" i="9"/>
  <c r="AB78" i="9" s="1"/>
  <c r="LK87" i="9"/>
  <c r="BZ87" i="9" s="1"/>
  <c r="N87" i="9" s="1"/>
  <c r="W87" i="9" s="1"/>
  <c r="LL86" i="9"/>
  <c r="CA86" i="9" s="1"/>
  <c r="O86" i="9" s="1"/>
  <c r="X86" i="9" s="1"/>
  <c r="LM84" i="9"/>
  <c r="CB84" i="9" s="1"/>
  <c r="P84" i="9" s="1"/>
  <c r="Y84" i="9" s="1"/>
  <c r="LM86" i="9"/>
  <c r="CB86" i="9" s="1"/>
  <c r="P86" i="9" s="1"/>
  <c r="Y86" i="9" s="1"/>
  <c r="LH83" i="9"/>
  <c r="BW83" i="9" s="1"/>
  <c r="HD83" i="9" s="1"/>
  <c r="LH79" i="9"/>
  <c r="BW79" i="9" s="1"/>
  <c r="HD79" i="9" s="1"/>
  <c r="CC81" i="10"/>
  <c r="CB86" i="10"/>
  <c r="CB81" i="10"/>
  <c r="CE82" i="10"/>
  <c r="BZ84" i="10"/>
  <c r="CC83" i="10"/>
  <c r="CD80" i="10"/>
  <c r="CC85" i="10"/>
  <c r="CE78" i="10"/>
  <c r="BX86" i="10"/>
  <c r="BX79" i="10"/>
  <c r="CE87" i="10"/>
  <c r="BY82" i="10"/>
  <c r="CD83" i="10"/>
  <c r="CE79" i="10"/>
  <c r="BY87" i="10"/>
  <c r="CA81" i="10"/>
  <c r="CD82" i="10"/>
  <c r="BY84" i="10"/>
  <c r="CB83" i="10"/>
  <c r="CC80" i="10"/>
  <c r="CB85" i="10"/>
  <c r="CD78" i="10"/>
  <c r="CA86" i="10"/>
  <c r="CJ86" i="10" s="1"/>
  <c r="CS86" i="10" s="1"/>
  <c r="CM79" i="10"/>
  <c r="CV79" i="10" s="1"/>
  <c r="CD79" i="10"/>
  <c r="BX87" i="10"/>
  <c r="CA84" i="10"/>
  <c r="CC82" i="10"/>
  <c r="CE84" i="10"/>
  <c r="CA83" i="10"/>
  <c r="CB80" i="10"/>
  <c r="CA85" i="10"/>
  <c r="CC78" i="10"/>
  <c r="BZ86" i="10"/>
  <c r="CI86" i="10" s="1"/>
  <c r="CR86" i="10" s="1"/>
  <c r="CC79" i="10"/>
  <c r="CD87" i="10"/>
  <c r="CM87" i="10" s="1"/>
  <c r="CV87" i="10" s="1"/>
  <c r="CD85" i="10"/>
  <c r="BY78" i="10"/>
  <c r="BY81" i="10"/>
  <c r="CB82" i="10"/>
  <c r="CD84" i="10"/>
  <c r="BZ83" i="10"/>
  <c r="BX80" i="10"/>
  <c r="BZ85" i="10"/>
  <c r="CB78" i="10"/>
  <c r="BY86" i="10"/>
  <c r="CB79" i="10"/>
  <c r="CC87" i="10"/>
  <c r="CE80" i="10"/>
  <c r="CE81" i="10"/>
  <c r="BX82" i="10"/>
  <c r="LL84" i="9"/>
  <c r="CA84" i="9" s="1"/>
  <c r="O84" i="9" s="1"/>
  <c r="X84" i="9" s="1"/>
  <c r="CC84" i="10"/>
  <c r="BY83" i="10"/>
  <c r="CA80" i="10"/>
  <c r="BY85" i="10"/>
  <c r="BX78" i="10"/>
  <c r="CE86" i="10"/>
  <c r="CA79" i="10"/>
  <c r="CB87" i="10"/>
  <c r="BX81" i="10"/>
  <c r="CA82" i="10"/>
  <c r="CB84" i="10"/>
  <c r="CE83" i="10"/>
  <c r="BZ80" i="10"/>
  <c r="CE85" i="10"/>
  <c r="CA78" i="10"/>
  <c r="CD86" i="10"/>
  <c r="BZ79" i="10"/>
  <c r="CA87" i="10"/>
  <c r="BZ81" i="10"/>
  <c r="CD81" i="10"/>
  <c r="BZ82" i="10"/>
  <c r="BX84" i="10"/>
  <c r="BX83" i="10"/>
  <c r="BY80" i="10"/>
  <c r="BX85" i="10"/>
  <c r="BZ78" i="10"/>
  <c r="CC86" i="10"/>
  <c r="BY79" i="10"/>
  <c r="BZ87" i="10"/>
  <c r="BS81" i="10"/>
  <c r="CK81" i="10" s="1"/>
  <c r="BV82" i="10"/>
  <c r="CN82" i="10" s="1"/>
  <c r="BQ84" i="10"/>
  <c r="BT83" i="10"/>
  <c r="CL83" i="10" s="1"/>
  <c r="BU80" i="10"/>
  <c r="CM80" i="10" s="1"/>
  <c r="BT85" i="10"/>
  <c r="BV78" i="10"/>
  <c r="CN78" i="10" s="1"/>
  <c r="BO86" i="10"/>
  <c r="BO79" i="10"/>
  <c r="CG79" i="10" s="1"/>
  <c r="BV87" i="10"/>
  <c r="BP82" i="10"/>
  <c r="CH82" i="10" s="1"/>
  <c r="BR81" i="10"/>
  <c r="CJ81" i="10" s="1"/>
  <c r="BU82" i="10"/>
  <c r="CM82" i="10" s="1"/>
  <c r="BS83" i="10"/>
  <c r="CK83" i="10" s="1"/>
  <c r="BT80" i="10"/>
  <c r="CL80" i="10" s="1"/>
  <c r="BS85" i="10"/>
  <c r="BU78" i="10"/>
  <c r="CM78" i="10" s="1"/>
  <c r="BO87" i="10"/>
  <c r="BU83" i="10"/>
  <c r="CM83" i="10" s="1"/>
  <c r="BU85" i="10"/>
  <c r="BP87" i="10"/>
  <c r="AD83" i="10"/>
  <c r="BP84" i="10"/>
  <c r="BQ81" i="10"/>
  <c r="CI81" i="10" s="1"/>
  <c r="BT82" i="10"/>
  <c r="CL82" i="10" s="1"/>
  <c r="BV84" i="10"/>
  <c r="BR83" i="10"/>
  <c r="CJ83" i="10" s="1"/>
  <c r="BS80" i="10"/>
  <c r="CK80" i="10" s="1"/>
  <c r="BR85" i="10"/>
  <c r="BT78" i="10"/>
  <c r="CL78" i="10" s="1"/>
  <c r="BT79" i="10"/>
  <c r="CL79" i="10" s="1"/>
  <c r="BP81" i="10"/>
  <c r="CH81" i="10" s="1"/>
  <c r="BS82" i="10"/>
  <c r="CK82" i="10" s="1"/>
  <c r="BU84" i="10"/>
  <c r="BQ83" i="10"/>
  <c r="CI83" i="10" s="1"/>
  <c r="BO80" i="10"/>
  <c r="CG80" i="10" s="1"/>
  <c r="BQ85" i="10"/>
  <c r="BS78" i="10"/>
  <c r="CK78" i="10" s="1"/>
  <c r="BP86" i="10"/>
  <c r="BS79" i="10"/>
  <c r="CK79" i="10" s="1"/>
  <c r="BT87" i="10"/>
  <c r="BV80" i="10"/>
  <c r="CN80" i="10" s="1"/>
  <c r="BV79" i="10"/>
  <c r="CN79" i="10" s="1"/>
  <c r="AD78" i="10"/>
  <c r="BV81" i="10"/>
  <c r="CN81" i="10" s="1"/>
  <c r="BO82" i="10"/>
  <c r="CG82" i="10" s="1"/>
  <c r="BT84" i="10"/>
  <c r="BP83" i="10"/>
  <c r="CH83" i="10" s="1"/>
  <c r="BR80" i="10"/>
  <c r="CJ80" i="10" s="1"/>
  <c r="BP85" i="10"/>
  <c r="BO78" i="10"/>
  <c r="CG78" i="10" s="1"/>
  <c r="BV86" i="10"/>
  <c r="BR79" i="10"/>
  <c r="CJ79" i="10" s="1"/>
  <c r="BS87" i="10"/>
  <c r="BO81" i="10"/>
  <c r="CG81" i="10" s="1"/>
  <c r="BR82" i="10"/>
  <c r="CJ82" i="10" s="1"/>
  <c r="BS84" i="10"/>
  <c r="BV83" i="10"/>
  <c r="CN83" i="10" s="1"/>
  <c r="BQ80" i="10"/>
  <c r="CI80" i="10" s="1"/>
  <c r="BV85" i="10"/>
  <c r="BR78" i="10"/>
  <c r="CJ78" i="10" s="1"/>
  <c r="BU86" i="10"/>
  <c r="BQ79" i="10"/>
  <c r="CI79" i="10" s="1"/>
  <c r="BR87" i="10"/>
  <c r="BT81" i="10"/>
  <c r="CL81" i="10" s="1"/>
  <c r="BR84" i="10"/>
  <c r="BP78" i="10"/>
  <c r="CH78" i="10" s="1"/>
  <c r="BS86" i="10"/>
  <c r="BU81" i="10"/>
  <c r="CM81" i="10" s="1"/>
  <c r="BQ82" i="10"/>
  <c r="CI82" i="10" s="1"/>
  <c r="BO84" i="10"/>
  <c r="BO83" i="10"/>
  <c r="BP80" i="10"/>
  <c r="CH80" i="10" s="1"/>
  <c r="BO85" i="10"/>
  <c r="BQ78" i="10"/>
  <c r="CI78" i="10" s="1"/>
  <c r="BT86" i="10"/>
  <c r="BP79" i="10"/>
  <c r="CH79" i="10" s="1"/>
  <c r="BQ87" i="10"/>
  <c r="LI83" i="9"/>
  <c r="BX83" i="9" s="1"/>
  <c r="L83" i="9" s="1"/>
  <c r="U83" i="9" s="1"/>
  <c r="LN84" i="9"/>
  <c r="CC84" i="9" s="1"/>
  <c r="Q84" i="9" s="1"/>
  <c r="Z84" i="9" s="1"/>
  <c r="LN86" i="9"/>
  <c r="CC86" i="9" s="1"/>
  <c r="Q86" i="9" s="1"/>
  <c r="Z86" i="9" s="1"/>
  <c r="LI79" i="9"/>
  <c r="G80" i="11" s="1"/>
  <c r="LO84" i="9"/>
  <c r="CD84" i="9" s="1"/>
  <c r="R84" i="9" s="1"/>
  <c r="AA84" i="9" s="1"/>
  <c r="LN87" i="9"/>
  <c r="CC87" i="9" s="1"/>
  <c r="Q87" i="9" s="1"/>
  <c r="Z87" i="9" s="1"/>
  <c r="LJ83" i="9"/>
  <c r="BY83" i="9" s="1"/>
  <c r="M83" i="9" s="1"/>
  <c r="V83" i="9" s="1"/>
  <c r="LO86" i="9"/>
  <c r="CD86" i="9" s="1"/>
  <c r="R86" i="9" s="1"/>
  <c r="AA86" i="9" s="1"/>
  <c r="LJ79" i="9"/>
  <c r="BY79" i="9" s="1"/>
  <c r="M79" i="9" s="1"/>
  <c r="V79" i="9" s="1"/>
  <c r="JW81" i="9"/>
  <c r="JW87" i="9"/>
  <c r="JW79" i="9"/>
  <c r="JW83" i="9"/>
  <c r="JW84" i="9"/>
  <c r="JW82" i="9"/>
  <c r="JW86" i="9"/>
  <c r="JW80" i="9"/>
  <c r="JW85" i="9"/>
  <c r="JW78" i="9"/>
  <c r="LO83" i="9"/>
  <c r="CD83" i="9" s="1"/>
  <c r="R83" i="9" s="1"/>
  <c r="AA83" i="9" s="1"/>
  <c r="LK84" i="9"/>
  <c r="BZ84" i="9" s="1"/>
  <c r="N84" i="9" s="1"/>
  <c r="W84" i="9" s="1"/>
  <c r="LI85" i="9"/>
  <c r="BX85" i="9" s="1"/>
  <c r="LO85" i="9"/>
  <c r="CD85" i="9" s="1"/>
  <c r="R85" i="9" s="1"/>
  <c r="AA85" i="9" s="1"/>
  <c r="LH80" i="9"/>
  <c r="BW80" i="9" s="1"/>
  <c r="HD80" i="9" s="1"/>
  <c r="LG80" i="9"/>
  <c r="BV80" i="9" s="1"/>
  <c r="DQ80" i="8" s="1"/>
  <c r="LJ85" i="9"/>
  <c r="BY85" i="9" s="1"/>
  <c r="M85" i="9" s="1"/>
  <c r="V85" i="9" s="1"/>
  <c r="LJ87" i="9"/>
  <c r="BY87" i="9" s="1"/>
  <c r="M87" i="9" s="1"/>
  <c r="V87" i="9" s="1"/>
  <c r="LK80" i="9"/>
  <c r="BZ80" i="9" s="1"/>
  <c r="LG82" i="9"/>
  <c r="BV82" i="9" s="1"/>
  <c r="DQ82" i="8" s="1"/>
  <c r="LG86" i="9"/>
  <c r="BV86" i="9" s="1"/>
  <c r="DQ86" i="8" s="1"/>
  <c r="LK86" i="9"/>
  <c r="BZ86" i="9" s="1"/>
  <c r="LN79" i="9"/>
  <c r="CC79" i="9" s="1"/>
  <c r="LG81" i="9"/>
  <c r="BV81" i="9" s="1"/>
  <c r="DQ81" i="8" s="1"/>
  <c r="LG84" i="9"/>
  <c r="BV84" i="9" s="1"/>
  <c r="DQ84" i="8" s="1"/>
  <c r="LH87" i="9"/>
  <c r="BW87" i="9" s="1"/>
  <c r="HD87" i="9" s="1"/>
  <c r="LG87" i="9"/>
  <c r="BV87" i="9" s="1"/>
  <c r="DQ87" i="8" s="1"/>
  <c r="LN83" i="9"/>
  <c r="CC83" i="9" s="1"/>
  <c r="LO82" i="9"/>
  <c r="CD82" i="9" s="1"/>
  <c r="LH81" i="9"/>
  <c r="BW81" i="9" s="1"/>
  <c r="HD81" i="9" s="1"/>
  <c r="LN81" i="9"/>
  <c r="CC81" i="9" s="1"/>
  <c r="LI87" i="9"/>
  <c r="LN82" i="9"/>
  <c r="CC82" i="9" s="1"/>
  <c r="LI80" i="9"/>
  <c r="LO81" i="9"/>
  <c r="CD81" i="9" s="1"/>
  <c r="LL83" i="9"/>
  <c r="CA83" i="9" s="1"/>
  <c r="LI84" i="9"/>
  <c r="LN85" i="9"/>
  <c r="CC85" i="9" s="1"/>
  <c r="LH85" i="9"/>
  <c r="BW85" i="9" s="1"/>
  <c r="HD85" i="9" s="1"/>
  <c r="LO87" i="9"/>
  <c r="CD87" i="9" s="1"/>
  <c r="LM82" i="9"/>
  <c r="CB82" i="9" s="1"/>
  <c r="LO80" i="9"/>
  <c r="CD80" i="9" s="1"/>
  <c r="LM81" i="9"/>
  <c r="CB81" i="9" s="1"/>
  <c r="LM83" i="9"/>
  <c r="CB83" i="9" s="1"/>
  <c r="LK83" i="9"/>
  <c r="BZ83" i="9" s="1"/>
  <c r="LM85" i="9"/>
  <c r="CB85" i="9" s="1"/>
  <c r="LL82" i="9"/>
  <c r="CA82" i="9" s="1"/>
  <c r="LI82" i="9"/>
  <c r="LN80" i="9"/>
  <c r="CC80" i="9" s="1"/>
  <c r="LI81" i="9"/>
  <c r="LJ86" i="9"/>
  <c r="BY86" i="9" s="1"/>
  <c r="M86" i="9" s="1"/>
  <c r="V86" i="9" s="1"/>
  <c r="LL85" i="9"/>
  <c r="CA85" i="9" s="1"/>
  <c r="LM79" i="9"/>
  <c r="CB79" i="9" s="1"/>
  <c r="LK82" i="9"/>
  <c r="BZ82" i="9" s="1"/>
  <c r="LM80" i="9"/>
  <c r="CB80" i="9" s="1"/>
  <c r="LL81" i="9"/>
  <c r="CA81" i="9" s="1"/>
  <c r="LH84" i="9"/>
  <c r="BW84" i="9" s="1"/>
  <c r="HD84" i="9" s="1"/>
  <c r="LI86" i="9"/>
  <c r="LK85" i="9"/>
  <c r="BZ85" i="9" s="1"/>
  <c r="LL79" i="9"/>
  <c r="CA79" i="9" s="1"/>
  <c r="O79" i="9" s="1"/>
  <c r="X79" i="9" s="1"/>
  <c r="LJ82" i="9"/>
  <c r="BY82" i="9" s="1"/>
  <c r="M82" i="9" s="1"/>
  <c r="V82" i="9" s="1"/>
  <c r="LL80" i="9"/>
  <c r="CA80" i="9" s="1"/>
  <c r="LJ80" i="9"/>
  <c r="BY80" i="9" s="1"/>
  <c r="LK81" i="9"/>
  <c r="BZ81" i="9" s="1"/>
  <c r="N81" i="9" s="1"/>
  <c r="W81" i="9" s="1"/>
  <c r="LJ84" i="9"/>
  <c r="BY84" i="9" s="1"/>
  <c r="M84" i="9" s="1"/>
  <c r="V84" i="9" s="1"/>
  <c r="LH86" i="9"/>
  <c r="BW86" i="9" s="1"/>
  <c r="LK79" i="9"/>
  <c r="BZ79" i="9" s="1"/>
  <c r="LH82" i="9"/>
  <c r="BW82" i="9" s="1"/>
  <c r="HD82" i="9" s="1"/>
  <c r="LJ81" i="9"/>
  <c r="BY81" i="9" s="1"/>
  <c r="DX85" i="9"/>
  <c r="BM85" i="9" s="1"/>
  <c r="AK86" i="11" s="1"/>
  <c r="AD82" i="10"/>
  <c r="AV82" i="10" s="1"/>
  <c r="U82" i="10"/>
  <c r="AD86" i="10"/>
  <c r="EG80" i="9"/>
  <c r="BM80" i="9" s="1"/>
  <c r="AK81" i="11" s="1"/>
  <c r="DX81" i="9"/>
  <c r="BM81" i="9" s="1"/>
  <c r="AK82" i="11" s="1"/>
  <c r="DX82" i="9"/>
  <c r="BM82" i="9" s="1"/>
  <c r="AK83" i="11" s="1"/>
  <c r="AD84" i="10"/>
  <c r="AD85" i="10"/>
  <c r="AD80" i="10"/>
  <c r="EB78" i="9"/>
  <c r="EK78" i="9"/>
  <c r="EM85" i="9"/>
  <c r="ED85" i="9"/>
  <c r="EN83" i="9"/>
  <c r="EE83" i="9"/>
  <c r="AS83" i="9"/>
  <c r="JU83" i="9"/>
  <c r="EW83" i="9" s="1"/>
  <c r="ED84" i="9"/>
  <c r="EM84" i="9"/>
  <c r="DR78" i="9"/>
  <c r="EF86" i="9"/>
  <c r="EO86" i="9"/>
  <c r="JV86" i="9"/>
  <c r="EX86" i="9" s="1"/>
  <c r="EK79" i="9"/>
  <c r="EB79" i="9"/>
  <c r="EH87" i="9"/>
  <c r="DY87" i="9"/>
  <c r="JO87" i="9"/>
  <c r="EQ87" i="9" s="1"/>
  <c r="AM87" i="9"/>
  <c r="EH82" i="9"/>
  <c r="DY82" i="9"/>
  <c r="AM82" i="9"/>
  <c r="JO82" i="9"/>
  <c r="EQ82" i="9" s="1"/>
  <c r="DK78" i="9" a="1"/>
  <c r="DK78" i="9" s="1"/>
  <c r="EN80" i="9"/>
  <c r="EE80" i="9"/>
  <c r="AS80" i="9"/>
  <c r="JU80" i="9"/>
  <c r="EW80" i="9" s="1"/>
  <c r="EA81" i="9"/>
  <c r="EJ81" i="9"/>
  <c r="JQ81" i="9"/>
  <c r="ES81" i="9" s="1"/>
  <c r="AO81" i="9"/>
  <c r="EF82" i="9"/>
  <c r="EO82" i="9"/>
  <c r="JV82" i="9"/>
  <c r="EX82" i="9" s="1"/>
  <c r="DJ78" i="9" a="1"/>
  <c r="DJ78" i="9" s="1"/>
  <c r="LK78" i="9" s="1"/>
  <c r="BZ78" i="9" s="1"/>
  <c r="EL85" i="9"/>
  <c r="EC85" i="9"/>
  <c r="JS85" i="9"/>
  <c r="EU85" i="9" s="1"/>
  <c r="AQ85" i="9"/>
  <c r="EM80" i="9"/>
  <c r="ED80" i="9"/>
  <c r="DZ81" i="9"/>
  <c r="EI81" i="9"/>
  <c r="AN81" i="9"/>
  <c r="JP81" i="9"/>
  <c r="ER81" i="9" s="1"/>
  <c r="EM83" i="9"/>
  <c r="ED83" i="9"/>
  <c r="EC84" i="9"/>
  <c r="EL84" i="9"/>
  <c r="JS84" i="9"/>
  <c r="EU84" i="9" s="1"/>
  <c r="AQ84" i="9"/>
  <c r="DQ78" i="9"/>
  <c r="EN86" i="9"/>
  <c r="EE86" i="9"/>
  <c r="JU86" i="9"/>
  <c r="EW86" i="9" s="1"/>
  <c r="AS86" i="9"/>
  <c r="EJ79" i="9"/>
  <c r="EA79" i="9"/>
  <c r="AO79" i="9"/>
  <c r="JQ79" i="9"/>
  <c r="ES79" i="9" s="1"/>
  <c r="EO87" i="9"/>
  <c r="EF87" i="9"/>
  <c r="JV87" i="9"/>
  <c r="EX87" i="9" s="1"/>
  <c r="EE82" i="9"/>
  <c r="EN82" i="9"/>
  <c r="AS82" i="9"/>
  <c r="JU82" i="9"/>
  <c r="EW82" i="9" s="1"/>
  <c r="DH78" i="9" a="1"/>
  <c r="DH78" i="9" s="1"/>
  <c r="DI78" i="9" a="1"/>
  <c r="DI78" i="9" s="1"/>
  <c r="EB85" i="9"/>
  <c r="EK85" i="9"/>
  <c r="EL80" i="9"/>
  <c r="EC80" i="9"/>
  <c r="JS80" i="9"/>
  <c r="EU80" i="9" s="1"/>
  <c r="AQ80" i="9"/>
  <c r="EH81" i="9"/>
  <c r="DY81" i="9"/>
  <c r="JO81" i="9"/>
  <c r="EQ81" i="9" s="1"/>
  <c r="AM81" i="9"/>
  <c r="EC83" i="9"/>
  <c r="EL83" i="9"/>
  <c r="AQ83" i="9"/>
  <c r="JS83" i="9"/>
  <c r="EU83" i="9" s="1"/>
  <c r="EB84" i="9"/>
  <c r="EK84" i="9"/>
  <c r="DP78" i="9"/>
  <c r="EM86" i="9"/>
  <c r="ED86" i="9"/>
  <c r="DZ79" i="9"/>
  <c r="EI79" i="9"/>
  <c r="JP79" i="9"/>
  <c r="ER79" i="9" s="1"/>
  <c r="AN79" i="9"/>
  <c r="EE87" i="9"/>
  <c r="EN87" i="9"/>
  <c r="JU87" i="9"/>
  <c r="EW87" i="9" s="1"/>
  <c r="AS87" i="9"/>
  <c r="ED82" i="9"/>
  <c r="EM82" i="9"/>
  <c r="DG78" i="9"/>
  <c r="EA85" i="9"/>
  <c r="EJ85" i="9"/>
  <c r="JQ85" i="9"/>
  <c r="ES85" i="9" s="1"/>
  <c r="AO85" i="9"/>
  <c r="EK80" i="9"/>
  <c r="EB80" i="9"/>
  <c r="EF81" i="9"/>
  <c r="EO81" i="9"/>
  <c r="JV81" i="9"/>
  <c r="EX81" i="9" s="1"/>
  <c r="EK83" i="9"/>
  <c r="EB83" i="9"/>
  <c r="EA84" i="9"/>
  <c r="EJ84" i="9"/>
  <c r="JQ84" i="9"/>
  <c r="ES84" i="9" s="1"/>
  <c r="AO84" i="9"/>
  <c r="DW78" i="9"/>
  <c r="EL86" i="9"/>
  <c r="EC86" i="9"/>
  <c r="JS86" i="9"/>
  <c r="EU86" i="9" s="1"/>
  <c r="AQ86" i="9"/>
  <c r="DY79" i="9"/>
  <c r="EH79" i="9"/>
  <c r="AM79" i="9"/>
  <c r="JO79" i="9"/>
  <c r="EQ79" i="9" s="1"/>
  <c r="ED87" i="9"/>
  <c r="EM87" i="9"/>
  <c r="EC82" i="9"/>
  <c r="EL82" i="9"/>
  <c r="AQ82" i="9"/>
  <c r="JS82" i="9"/>
  <c r="EU82" i="9" s="1"/>
  <c r="DZ85" i="9"/>
  <c r="EI85" i="9"/>
  <c r="JP85" i="9"/>
  <c r="ER85" i="9" s="1"/>
  <c r="AN85" i="9"/>
  <c r="EA80" i="9"/>
  <c r="EJ80" i="9"/>
  <c r="AO80" i="9"/>
  <c r="JQ80" i="9"/>
  <c r="ES80" i="9" s="1"/>
  <c r="EN81" i="9"/>
  <c r="EE81" i="9"/>
  <c r="JU81" i="9"/>
  <c r="EW81" i="9" s="1"/>
  <c r="AS81" i="9"/>
  <c r="EJ83" i="9"/>
  <c r="EA83" i="9"/>
  <c r="JQ83" i="9"/>
  <c r="ES83" i="9" s="1"/>
  <c r="AO83" i="9"/>
  <c r="EI84" i="9"/>
  <c r="DZ84" i="9"/>
  <c r="AN84" i="9"/>
  <c r="JP84" i="9"/>
  <c r="ER84" i="9" s="1"/>
  <c r="DV78" i="9"/>
  <c r="EB86" i="9"/>
  <c r="EK86" i="9"/>
  <c r="EO79" i="9"/>
  <c r="EF79" i="9"/>
  <c r="JV79" i="9"/>
  <c r="EX79" i="9" s="1"/>
  <c r="EC87" i="9"/>
  <c r="EL87" i="9"/>
  <c r="HH87" i="9"/>
  <c r="JS87" i="9"/>
  <c r="EU87" i="9" s="1"/>
  <c r="AQ87" i="9"/>
  <c r="EB82" i="9"/>
  <c r="EK82" i="9"/>
  <c r="DN78" i="9" a="1"/>
  <c r="DN78" i="9" s="1"/>
  <c r="EH85" i="9"/>
  <c r="DY85" i="9"/>
  <c r="AM85" i="9"/>
  <c r="JO85" i="9"/>
  <c r="EQ85" i="9" s="1"/>
  <c r="EI80" i="9"/>
  <c r="DZ80" i="9"/>
  <c r="JP80" i="9"/>
  <c r="ER80" i="9" s="1"/>
  <c r="AN80" i="9"/>
  <c r="EM81" i="9"/>
  <c r="ED81" i="9"/>
  <c r="EI83" i="9"/>
  <c r="DZ83" i="9"/>
  <c r="JP83" i="9"/>
  <c r="ER83" i="9" s="1"/>
  <c r="AN83" i="9"/>
  <c r="EH84" i="9"/>
  <c r="DY84" i="9"/>
  <c r="AM84" i="9"/>
  <c r="JO84" i="9"/>
  <c r="EQ84" i="9" s="1"/>
  <c r="DU78" i="9"/>
  <c r="EJ86" i="9"/>
  <c r="EA86" i="9"/>
  <c r="JQ86" i="9"/>
  <c r="ES86" i="9" s="1"/>
  <c r="AO86" i="9"/>
  <c r="EN79" i="9"/>
  <c r="EE79" i="9"/>
  <c r="JU79" i="9"/>
  <c r="EW79" i="9" s="1"/>
  <c r="AS79" i="9"/>
  <c r="EB87" i="9"/>
  <c r="EK87" i="9"/>
  <c r="EA82" i="9"/>
  <c r="EJ82" i="9"/>
  <c r="JQ82" i="9"/>
  <c r="ES82" i="9" s="1"/>
  <c r="AO82" i="9"/>
  <c r="DM78" i="9" a="1"/>
  <c r="DM78" i="9" s="1"/>
  <c r="EF85" i="9"/>
  <c r="EO85" i="9"/>
  <c r="JV85" i="9"/>
  <c r="EX85" i="9" s="1"/>
  <c r="EH80" i="9"/>
  <c r="DY80" i="9"/>
  <c r="JO80" i="9"/>
  <c r="EQ80" i="9" s="1"/>
  <c r="AM80" i="9"/>
  <c r="EL81" i="9"/>
  <c r="EC81" i="9"/>
  <c r="AQ81" i="9"/>
  <c r="JS81" i="9"/>
  <c r="EU81" i="9" s="1"/>
  <c r="EH83" i="9"/>
  <c r="DY83" i="9"/>
  <c r="JO83" i="9"/>
  <c r="EQ83" i="9" s="1"/>
  <c r="AM83" i="9"/>
  <c r="EF84" i="9"/>
  <c r="EO84" i="9"/>
  <c r="JV84" i="9"/>
  <c r="EX84" i="9" s="1"/>
  <c r="DT78" i="9"/>
  <c r="DZ86" i="9"/>
  <c r="EI86" i="9"/>
  <c r="AN86" i="9"/>
  <c r="JP86" i="9"/>
  <c r="ER86" i="9" s="1"/>
  <c r="EM79" i="9"/>
  <c r="ED79" i="9"/>
  <c r="EJ87" i="9"/>
  <c r="EA87" i="9"/>
  <c r="AO87" i="9"/>
  <c r="JQ87" i="9"/>
  <c r="ES87" i="9" s="1"/>
  <c r="DZ82" i="9"/>
  <c r="EI82" i="9"/>
  <c r="JP82" i="9"/>
  <c r="ER82" i="9" s="1"/>
  <c r="AN82" i="9"/>
  <c r="DL78" i="9" a="1"/>
  <c r="DL78" i="9" s="1"/>
  <c r="EN85" i="9"/>
  <c r="EE85" i="9"/>
  <c r="AS85" i="9"/>
  <c r="JU85" i="9"/>
  <c r="EW85" i="9" s="1"/>
  <c r="EO80" i="9"/>
  <c r="EF80" i="9"/>
  <c r="JV80" i="9"/>
  <c r="EX80" i="9" s="1"/>
  <c r="EB81" i="9"/>
  <c r="EK81" i="9"/>
  <c r="EO83" i="9"/>
  <c r="EF83" i="9"/>
  <c r="JV83" i="9"/>
  <c r="EX83" i="9" s="1"/>
  <c r="EE84" i="9"/>
  <c r="EN84" i="9"/>
  <c r="JU84" i="9"/>
  <c r="EW84" i="9" s="1"/>
  <c r="AS84" i="9"/>
  <c r="EH86" i="9"/>
  <c r="DY86" i="9"/>
  <c r="AM86" i="9"/>
  <c r="JO86" i="9"/>
  <c r="EQ86" i="9" s="1"/>
  <c r="EL79" i="9"/>
  <c r="EC79" i="9"/>
  <c r="JS79" i="9"/>
  <c r="EU79" i="9" s="1"/>
  <c r="AQ79" i="9"/>
  <c r="DZ87" i="9"/>
  <c r="EI87" i="9"/>
  <c r="JP87" i="9"/>
  <c r="ER87" i="9" s="1"/>
  <c r="AN87" i="9"/>
  <c r="A82" i="9"/>
  <c r="A82" i="12"/>
  <c r="A81" i="9"/>
  <c r="A81" i="12"/>
  <c r="BM79" i="9"/>
  <c r="AK80" i="11" s="1"/>
  <c r="A83" i="9"/>
  <c r="A83" i="12"/>
  <c r="A87" i="9"/>
  <c r="A87" i="12"/>
  <c r="A88" i="9"/>
  <c r="A88" i="12"/>
  <c r="A79" i="9"/>
  <c r="A79" i="12"/>
  <c r="A86" i="9"/>
  <c r="A86" i="12"/>
  <c r="A78" i="9"/>
  <c r="A78" i="12"/>
  <c r="A80" i="9"/>
  <c r="A80" i="12"/>
  <c r="A85" i="9"/>
  <c r="A85" i="12"/>
  <c r="A84" i="9"/>
  <c r="A84" i="12"/>
  <c r="AT82" i="9"/>
  <c r="AT87" i="9"/>
  <c r="AT83" i="9"/>
  <c r="AT86" i="9"/>
  <c r="AT85" i="9"/>
  <c r="AT79" i="9"/>
  <c r="AT84" i="9"/>
  <c r="AT81" i="9"/>
  <c r="AT80" i="9"/>
  <c r="BP78" i="8"/>
  <c r="J77" i="8"/>
  <c r="EG87" i="9"/>
  <c r="BM87" i="9" s="1"/>
  <c r="AK88" i="11" s="1"/>
  <c r="BL78" i="8"/>
  <c r="AD79" i="11"/>
  <c r="EG86" i="9"/>
  <c r="BM86" i="9" s="1"/>
  <c r="AK87" i="11" s="1"/>
  <c r="L85" i="11"/>
  <c r="L80" i="11"/>
  <c r="L84" i="11"/>
  <c r="L81" i="11"/>
  <c r="L83" i="11"/>
  <c r="L87" i="11"/>
  <c r="L79" i="11"/>
  <c r="L88" i="11"/>
  <c r="EG84" i="9"/>
  <c r="BM84" i="9" s="1"/>
  <c r="AK85" i="11" s="1"/>
  <c r="L82" i="11"/>
  <c r="L86" i="11"/>
  <c r="EG78" i="9"/>
  <c r="DP78" i="8"/>
  <c r="BF78" i="8"/>
  <c r="BB78" i="8"/>
  <c r="BD78" i="8"/>
  <c r="BN78" i="8"/>
  <c r="BH78" i="8"/>
  <c r="BJ78" i="8"/>
  <c r="B77" i="8"/>
  <c r="R77" i="8"/>
  <c r="DI76" i="8"/>
  <c r="DH76" i="8"/>
  <c r="DG76" i="8"/>
  <c r="CY76" i="8"/>
  <c r="R76" i="8" a="1"/>
  <c r="J76" i="8" a="1"/>
  <c r="B76" i="8" a="1"/>
  <c r="DK77" i="8" l="1"/>
  <c r="AV86" i="10"/>
  <c r="AV87" i="10"/>
  <c r="BE81" i="10"/>
  <c r="BN81" i="10" s="1"/>
  <c r="CF81" i="10" s="1"/>
  <c r="AV85" i="10"/>
  <c r="AV83" i="10"/>
  <c r="DJ76" i="8"/>
  <c r="DL76" i="8" s="1"/>
  <c r="BE83" i="10"/>
  <c r="BN83" i="10" s="1"/>
  <c r="CF83" i="10" s="1"/>
  <c r="BE87" i="10"/>
  <c r="U87" i="10"/>
  <c r="BW87" i="10" s="1"/>
  <c r="DT86" i="8"/>
  <c r="BE79" i="10"/>
  <c r="BN79" i="10" s="1"/>
  <c r="CF79" i="10" s="1"/>
  <c r="AV78" i="10"/>
  <c r="CG83" i="10"/>
  <c r="CP83" i="10" s="1"/>
  <c r="DT79" i="8"/>
  <c r="DT85" i="8"/>
  <c r="HI86" i="9"/>
  <c r="DT83" i="8"/>
  <c r="DT84" i="8"/>
  <c r="HK83" i="9"/>
  <c r="HK79" i="9"/>
  <c r="BX79" i="9"/>
  <c r="L79" i="9" s="1"/>
  <c r="U79" i="9" s="1"/>
  <c r="DT82" i="8"/>
  <c r="AV80" i="10"/>
  <c r="DT87" i="8"/>
  <c r="DT81" i="8"/>
  <c r="DT80" i="8"/>
  <c r="DT78" i="8"/>
  <c r="CN85" i="10"/>
  <c r="CW85" i="10" s="1"/>
  <c r="CN86" i="10"/>
  <c r="CW86" i="10" s="1"/>
  <c r="CG87" i="10"/>
  <c r="CP87" i="10" s="1"/>
  <c r="CH84" i="10"/>
  <c r="CQ84" i="10" s="1"/>
  <c r="CM86" i="10"/>
  <c r="CV86" i="10" s="1"/>
  <c r="CK87" i="10"/>
  <c r="CT87" i="10" s="1"/>
  <c r="CI85" i="10"/>
  <c r="CR85" i="10" s="1"/>
  <c r="CI84" i="10"/>
  <c r="CR84" i="10" s="1"/>
  <c r="CJ84" i="10"/>
  <c r="CS84" i="10" s="1"/>
  <c r="CN87" i="10"/>
  <c r="CW87" i="10" s="1"/>
  <c r="CI87" i="10"/>
  <c r="CR87" i="10" s="1"/>
  <c r="CM84" i="10"/>
  <c r="CV84" i="10" s="1"/>
  <c r="CG86" i="10"/>
  <c r="CP86" i="10" s="1"/>
  <c r="CK86" i="10"/>
  <c r="CT86" i="10" s="1"/>
  <c r="CH85" i="10"/>
  <c r="CQ85" i="10" s="1"/>
  <c r="CL87" i="10"/>
  <c r="CU87" i="10" s="1"/>
  <c r="CJ85" i="10"/>
  <c r="CS85" i="10" s="1"/>
  <c r="CG84" i="10"/>
  <c r="CP84" i="10" s="1"/>
  <c r="CL86" i="10"/>
  <c r="CU86" i="10" s="1"/>
  <c r="CK84" i="10"/>
  <c r="CT84" i="10" s="1"/>
  <c r="CH87" i="10"/>
  <c r="CQ87" i="10" s="1"/>
  <c r="CL85" i="10"/>
  <c r="CU85" i="10" s="1"/>
  <c r="CJ87" i="10"/>
  <c r="CS87" i="10" s="1"/>
  <c r="CH86" i="10"/>
  <c r="CQ86" i="10" s="1"/>
  <c r="CG85" i="10"/>
  <c r="CP85" i="10" s="1"/>
  <c r="CL84" i="10"/>
  <c r="CU84" i="10" s="1"/>
  <c r="CM85" i="10"/>
  <c r="CV85" i="10" s="1"/>
  <c r="CK85" i="10"/>
  <c r="CT85" i="10" s="1"/>
  <c r="HG84" i="9"/>
  <c r="HG87" i="9"/>
  <c r="CN84" i="10"/>
  <c r="CW84" i="10" s="1"/>
  <c r="HI87" i="9"/>
  <c r="HH84" i="9"/>
  <c r="HF86" i="9"/>
  <c r="HI84" i="9"/>
  <c r="G84" i="11"/>
  <c r="HH86" i="9"/>
  <c r="BW82" i="10"/>
  <c r="BW79" i="10"/>
  <c r="BW78" i="10"/>
  <c r="BW81" i="10"/>
  <c r="BW80" i="10"/>
  <c r="BW83" i="10"/>
  <c r="BW84" i="10"/>
  <c r="BW86" i="10"/>
  <c r="BW85" i="10"/>
  <c r="G86" i="11"/>
  <c r="HJ84" i="9"/>
  <c r="HG81" i="9"/>
  <c r="HJ87" i="9"/>
  <c r="HF87" i="9"/>
  <c r="HK84" i="9"/>
  <c r="HF85" i="9"/>
  <c r="HJ86" i="9"/>
  <c r="HF84" i="9"/>
  <c r="BE78" i="10"/>
  <c r="BN78" i="10" s="1"/>
  <c r="CF78" i="10" s="1"/>
  <c r="BE82" i="10"/>
  <c r="BN82" i="10" s="1"/>
  <c r="CF82" i="10" s="1"/>
  <c r="CS82" i="10"/>
  <c r="CQ83" i="10"/>
  <c r="CS81" i="10"/>
  <c r="CU83" i="10"/>
  <c r="CR78" i="10"/>
  <c r="CW79" i="10"/>
  <c r="CR83" i="10"/>
  <c r="CT80" i="10"/>
  <c r="CR81" i="10"/>
  <c r="CV83" i="10"/>
  <c r="CQ78" i="10"/>
  <c r="CR79" i="10"/>
  <c r="CR80" i="10"/>
  <c r="CP81" i="10"/>
  <c r="CP78" i="10"/>
  <c r="CU80" i="10"/>
  <c r="CQ82" i="10"/>
  <c r="CW78" i="10"/>
  <c r="CR82" i="10"/>
  <c r="CW80" i="10"/>
  <c r="CT78" i="10"/>
  <c r="CU79" i="10"/>
  <c r="CS83" i="10"/>
  <c r="CU82" i="10"/>
  <c r="CW83" i="10"/>
  <c r="CP82" i="10"/>
  <c r="CT83" i="10"/>
  <c r="CW82" i="10"/>
  <c r="CQ79" i="10"/>
  <c r="CQ80" i="10"/>
  <c r="CV81" i="10"/>
  <c r="CT82" i="10"/>
  <c r="CU78" i="10"/>
  <c r="CU81" i="10"/>
  <c r="CS78" i="10"/>
  <c r="CS79" i="10"/>
  <c r="CS80" i="10"/>
  <c r="CW81" i="10"/>
  <c r="CT79" i="10"/>
  <c r="CP80" i="10"/>
  <c r="CQ81" i="10"/>
  <c r="CV78" i="10"/>
  <c r="CV82" i="10"/>
  <c r="CP79" i="10"/>
  <c r="CV80" i="10"/>
  <c r="CT81" i="10"/>
  <c r="HF82" i="9"/>
  <c r="HH79" i="9"/>
  <c r="HF79" i="9"/>
  <c r="HG83" i="9"/>
  <c r="N83" i="9"/>
  <c r="W83" i="9" s="1"/>
  <c r="HJ81" i="9"/>
  <c r="Q81" i="9"/>
  <c r="Z81" i="9" s="1"/>
  <c r="HH85" i="9"/>
  <c r="O85" i="9"/>
  <c r="X85" i="9" s="1"/>
  <c r="HH83" i="9"/>
  <c r="O83" i="9"/>
  <c r="X83" i="9" s="1"/>
  <c r="HI79" i="9"/>
  <c r="P79" i="9"/>
  <c r="Y79" i="9" s="1"/>
  <c r="HG80" i="9"/>
  <c r="N80" i="9"/>
  <c r="W80" i="9" s="1"/>
  <c r="HF80" i="9"/>
  <c r="M80" i="9"/>
  <c r="V80" i="9" s="1"/>
  <c r="HJ80" i="9"/>
  <c r="Q80" i="9"/>
  <c r="Z80" i="9" s="1"/>
  <c r="HI81" i="9"/>
  <c r="P81" i="9"/>
  <c r="Y81" i="9" s="1"/>
  <c r="HK81" i="9"/>
  <c r="R81" i="9"/>
  <c r="AA81" i="9" s="1"/>
  <c r="HK82" i="9"/>
  <c r="R82" i="9"/>
  <c r="AA82" i="9" s="1"/>
  <c r="HJ79" i="9"/>
  <c r="Q79" i="9"/>
  <c r="Z79" i="9" s="1"/>
  <c r="HJ85" i="9"/>
  <c r="Q85" i="9"/>
  <c r="Z85" i="9" s="1"/>
  <c r="HK85" i="9"/>
  <c r="HF83" i="9"/>
  <c r="HK86" i="9"/>
  <c r="HH80" i="9"/>
  <c r="O80" i="9"/>
  <c r="X80" i="9" s="1"/>
  <c r="HH81" i="9"/>
  <c r="O81" i="9"/>
  <c r="X81" i="9" s="1"/>
  <c r="HK80" i="9"/>
  <c r="R80" i="9"/>
  <c r="AA80" i="9" s="1"/>
  <c r="HJ83" i="9"/>
  <c r="Q83" i="9"/>
  <c r="Z83" i="9" s="1"/>
  <c r="HG86" i="9"/>
  <c r="N86" i="9"/>
  <c r="W86" i="9" s="1"/>
  <c r="HG79" i="9"/>
  <c r="N79" i="9"/>
  <c r="W79" i="9" s="1"/>
  <c r="HE85" i="9"/>
  <c r="L85" i="9"/>
  <c r="U85" i="9" s="1"/>
  <c r="HG78" i="9"/>
  <c r="N78" i="9"/>
  <c r="W78" i="9" s="1"/>
  <c r="HF81" i="9"/>
  <c r="M81" i="9"/>
  <c r="V81" i="9" s="1"/>
  <c r="HI80" i="9"/>
  <c r="P80" i="9"/>
  <c r="Y80" i="9" s="1"/>
  <c r="HH82" i="9"/>
  <c r="O82" i="9"/>
  <c r="X82" i="9" s="1"/>
  <c r="HI82" i="9"/>
  <c r="P82" i="9"/>
  <c r="Y82" i="9" s="1"/>
  <c r="HJ82" i="9"/>
  <c r="Q82" i="9"/>
  <c r="Z82" i="9" s="1"/>
  <c r="HG85" i="9"/>
  <c r="N85" i="9"/>
  <c r="W85" i="9" s="1"/>
  <c r="HI83" i="9"/>
  <c r="P83" i="9"/>
  <c r="Y83" i="9" s="1"/>
  <c r="HG82" i="9"/>
  <c r="N82" i="9"/>
  <c r="W82" i="9" s="1"/>
  <c r="HI85" i="9"/>
  <c r="P85" i="9"/>
  <c r="Y85" i="9" s="1"/>
  <c r="HK87" i="9"/>
  <c r="R87" i="9"/>
  <c r="AA87" i="9" s="1"/>
  <c r="LO78" i="9"/>
  <c r="CD78" i="9" s="1"/>
  <c r="LM78" i="9"/>
  <c r="CB78" i="9" s="1"/>
  <c r="P78" i="9" s="1"/>
  <c r="Y78" i="9" s="1"/>
  <c r="LI78" i="9"/>
  <c r="G79" i="11" s="1"/>
  <c r="HE83" i="9"/>
  <c r="BX86" i="9"/>
  <c r="G87" i="11"/>
  <c r="BX82" i="9"/>
  <c r="IF82" i="9" s="1"/>
  <c r="FA82" i="9" s="1"/>
  <c r="G83" i="11"/>
  <c r="HD86" i="9"/>
  <c r="BX80" i="9"/>
  <c r="L80" i="9" s="1"/>
  <c r="U80" i="9" s="1"/>
  <c r="G81" i="11"/>
  <c r="LL78" i="9"/>
  <c r="CA78" i="9" s="1"/>
  <c r="BX87" i="9"/>
  <c r="G88" i="11"/>
  <c r="LN78" i="9"/>
  <c r="CC78" i="9" s="1"/>
  <c r="Q78" i="9" s="1"/>
  <c r="Z78" i="9" s="1"/>
  <c r="LJ78" i="9"/>
  <c r="BY78" i="9" s="1"/>
  <c r="M78" i="9" s="1"/>
  <c r="V78" i="9" s="1"/>
  <c r="BX81" i="9"/>
  <c r="G82" i="11"/>
  <c r="LH78" i="9"/>
  <c r="BW78" i="9" s="1"/>
  <c r="HD78" i="9" s="1"/>
  <c r="BX84" i="9"/>
  <c r="IF84" i="9" s="1"/>
  <c r="FA84" i="9" s="1"/>
  <c r="G85" i="11"/>
  <c r="BE84" i="10"/>
  <c r="BN84" i="10" s="1"/>
  <c r="CF84" i="10" s="1"/>
  <c r="BE86" i="10"/>
  <c r="BN86" i="10" s="1"/>
  <c r="BQ84" i="9"/>
  <c r="AO85" i="11" s="1"/>
  <c r="BU87" i="9"/>
  <c r="AS88" i="11" s="1"/>
  <c r="AV84" i="10"/>
  <c r="BE85" i="10"/>
  <c r="BN85" i="10" s="1"/>
  <c r="HC84" i="9"/>
  <c r="BR80" i="9"/>
  <c r="AP81" i="11" s="1"/>
  <c r="HC87" i="9"/>
  <c r="HC82" i="9"/>
  <c r="BE80" i="10"/>
  <c r="BN80" i="10" s="1"/>
  <c r="CF80" i="10" s="1"/>
  <c r="HC79" i="9"/>
  <c r="IG80" i="9"/>
  <c r="FB80" i="9" s="1"/>
  <c r="FK80" i="9" s="1"/>
  <c r="HC86" i="9"/>
  <c r="HC81" i="9"/>
  <c r="HC80" i="9"/>
  <c r="HC78" i="9"/>
  <c r="HC85" i="9"/>
  <c r="HC83" i="9"/>
  <c r="AL80" i="9"/>
  <c r="AC80" i="9" s="1"/>
  <c r="BP82" i="9"/>
  <c r="AN83" i="11" s="1"/>
  <c r="EF78" i="9"/>
  <c r="EO78" i="9"/>
  <c r="JV78" i="9"/>
  <c r="EX78" i="9" s="1"/>
  <c r="EN78" i="9"/>
  <c r="EE78" i="9"/>
  <c r="JU78" i="9"/>
  <c r="EW78" i="9" s="1"/>
  <c r="AS78" i="9"/>
  <c r="EA78" i="9"/>
  <c r="EJ78" i="9"/>
  <c r="JQ78" i="9"/>
  <c r="ES78" i="9" s="1"/>
  <c r="AO78" i="9"/>
  <c r="ED78" i="9"/>
  <c r="EM78" i="9"/>
  <c r="DZ78" i="9"/>
  <c r="EI78" i="9"/>
  <c r="AN78" i="9"/>
  <c r="JP78" i="9"/>
  <c r="ER78" i="9" s="1"/>
  <c r="IE80" i="9"/>
  <c r="EZ80" i="9" s="1"/>
  <c r="FI80" i="9" s="1"/>
  <c r="EC78" i="9"/>
  <c r="EL78" i="9"/>
  <c r="JS78" i="9"/>
  <c r="EU78" i="9" s="1"/>
  <c r="AQ78" i="9"/>
  <c r="EH78" i="9"/>
  <c r="DY78" i="9"/>
  <c r="AM78" i="9"/>
  <c r="JO78" i="9"/>
  <c r="EQ78" i="9" s="1"/>
  <c r="BO79" i="9"/>
  <c r="AM80" i="11" s="1"/>
  <c r="BU86" i="9"/>
  <c r="AS87" i="11" s="1"/>
  <c r="BP83" i="9"/>
  <c r="AN84" i="11" s="1"/>
  <c r="BS87" i="9"/>
  <c r="AQ88" i="11" s="1"/>
  <c r="BR84" i="9"/>
  <c r="AP85" i="11" s="1"/>
  <c r="BQ83" i="9"/>
  <c r="AO84" i="11" s="1"/>
  <c r="BQ87" i="9"/>
  <c r="AO88" i="11" s="1"/>
  <c r="BN81" i="9"/>
  <c r="AL84" i="9"/>
  <c r="AC84" i="9" s="1"/>
  <c r="AL83" i="9"/>
  <c r="AC83" i="9" s="1"/>
  <c r="BP81" i="9"/>
  <c r="AN82" i="11" s="1"/>
  <c r="BS85" i="9"/>
  <c r="AQ86" i="11" s="1"/>
  <c r="BN79" i="9"/>
  <c r="AL80" i="11" s="1"/>
  <c r="BQ85" i="9"/>
  <c r="AO86" i="11" s="1"/>
  <c r="AL81" i="9"/>
  <c r="AC81" i="9" s="1"/>
  <c r="BT85" i="9"/>
  <c r="AR86" i="11" s="1"/>
  <c r="BU80" i="9"/>
  <c r="BU83" i="9"/>
  <c r="BU84" i="9"/>
  <c r="BU85" i="9"/>
  <c r="AS86" i="11" s="1"/>
  <c r="IL80" i="9"/>
  <c r="AL86" i="9"/>
  <c r="AC86" i="9" s="1"/>
  <c r="BM78" i="9"/>
  <c r="AK79" i="11" s="1"/>
  <c r="BO86" i="9"/>
  <c r="AM87" i="11" s="1"/>
  <c r="BS81" i="9"/>
  <c r="BS84" i="9"/>
  <c r="AL85" i="9"/>
  <c r="AC85" i="9" s="1"/>
  <c r="AL79" i="9"/>
  <c r="AC79" i="9" s="1"/>
  <c r="BR87" i="9"/>
  <c r="AP88" i="11" s="1"/>
  <c r="BR86" i="9"/>
  <c r="AL82" i="9"/>
  <c r="AC82" i="9" s="1"/>
  <c r="BQ79" i="9"/>
  <c r="AO80" i="11" s="1"/>
  <c r="AL78" i="9"/>
  <c r="AL87" i="9"/>
  <c r="AC87" i="9" s="1"/>
  <c r="BO81" i="9"/>
  <c r="AM82" i="11" s="1"/>
  <c r="BS82" i="9"/>
  <c r="AQ83" i="11" s="1"/>
  <c r="BR83" i="9"/>
  <c r="AP84" i="11" s="1"/>
  <c r="BU82" i="9"/>
  <c r="BR85" i="9"/>
  <c r="BS83" i="9"/>
  <c r="BN82" i="9"/>
  <c r="BT79" i="9"/>
  <c r="AR80" i="11" s="1"/>
  <c r="BT87" i="9"/>
  <c r="BP84" i="9"/>
  <c r="BR82" i="9"/>
  <c r="AP83" i="11" s="1"/>
  <c r="BQ81" i="9"/>
  <c r="BQ82" i="9"/>
  <c r="BR81" i="9"/>
  <c r="AP82" i="11" s="1"/>
  <c r="BN85" i="9"/>
  <c r="BT86" i="9"/>
  <c r="AR87" i="11" s="1"/>
  <c r="BO82" i="9"/>
  <c r="AM83" i="11" s="1"/>
  <c r="BU81" i="9"/>
  <c r="BP86" i="9"/>
  <c r="AN87" i="11" s="1"/>
  <c r="BO83" i="9"/>
  <c r="AM84" i="11" s="1"/>
  <c r="BN84" i="9"/>
  <c r="BN83" i="9"/>
  <c r="BO80" i="9"/>
  <c r="BS80" i="9"/>
  <c r="BT80" i="9"/>
  <c r="BR79" i="9"/>
  <c r="AP80" i="11" s="1"/>
  <c r="BP79" i="9"/>
  <c r="AN80" i="11" s="1"/>
  <c r="AT78" i="9"/>
  <c r="BU79" i="9"/>
  <c r="AS80" i="11" s="1"/>
  <c r="BO87" i="9"/>
  <c r="BT82" i="9"/>
  <c r="BN87" i="9"/>
  <c r="BO85" i="9"/>
  <c r="BP80" i="9"/>
  <c r="BO84" i="9"/>
  <c r="BT84" i="9"/>
  <c r="AR85" i="11" s="1"/>
  <c r="BS86" i="9"/>
  <c r="AQ87" i="11" s="1"/>
  <c r="BT83" i="9"/>
  <c r="BQ80" i="9"/>
  <c r="BS79" i="9"/>
  <c r="BQ86" i="9"/>
  <c r="BT81" i="9"/>
  <c r="AR82" i="11" s="1"/>
  <c r="BP87" i="9"/>
  <c r="AN88" i="11" s="1"/>
  <c r="BN86" i="9"/>
  <c r="BP85" i="9"/>
  <c r="BN80" i="9"/>
  <c r="JN85" i="9"/>
  <c r="EP85" i="9" s="1"/>
  <c r="J76" i="8"/>
  <c r="JN82" i="9"/>
  <c r="EP82" i="9" s="1"/>
  <c r="JN86" i="9"/>
  <c r="EP86" i="9" s="1"/>
  <c r="JN78" i="9"/>
  <c r="EP78" i="9" s="1"/>
  <c r="JN83" i="9"/>
  <c r="EP83" i="9" s="1"/>
  <c r="IK80" i="9"/>
  <c r="JN87" i="9"/>
  <c r="EP87" i="9" s="1"/>
  <c r="JN79" i="9"/>
  <c r="EP79" i="9" s="1"/>
  <c r="IK87" i="9"/>
  <c r="FF87" i="9" s="1"/>
  <c r="IL86" i="9"/>
  <c r="FG86" i="9" s="1"/>
  <c r="AD78" i="11"/>
  <c r="IG81" i="9"/>
  <c r="JN81" i="9"/>
  <c r="EP81" i="9" s="1"/>
  <c r="II80" i="9"/>
  <c r="FD80" i="9" s="1"/>
  <c r="IF85" i="9"/>
  <c r="FA85" i="9" s="1"/>
  <c r="JN80" i="9"/>
  <c r="EP80" i="9" s="1"/>
  <c r="IK84" i="9"/>
  <c r="FF84" i="9" s="1"/>
  <c r="JN84" i="9"/>
  <c r="EP84" i="9" s="1"/>
  <c r="IL85" i="9"/>
  <c r="FG85" i="9" s="1"/>
  <c r="II84" i="9"/>
  <c r="FD84" i="9" s="1"/>
  <c r="II85" i="9"/>
  <c r="FD85" i="9" s="1"/>
  <c r="IL83" i="9"/>
  <c r="FG83" i="9" s="1"/>
  <c r="II86" i="9"/>
  <c r="FD86" i="9" s="1"/>
  <c r="IK85" i="9"/>
  <c r="FF85" i="9" s="1"/>
  <c r="IE87" i="9"/>
  <c r="EZ87" i="9" s="1"/>
  <c r="IG87" i="9"/>
  <c r="FB87" i="9" s="1"/>
  <c r="IL87" i="9"/>
  <c r="FG87" i="9" s="1"/>
  <c r="II82" i="9"/>
  <c r="FD82" i="9" s="1"/>
  <c r="IE85" i="9"/>
  <c r="EZ85" i="9" s="1"/>
  <c r="IK83" i="9"/>
  <c r="FF83" i="9" s="1"/>
  <c r="IL81" i="9"/>
  <c r="FG81" i="9" s="1"/>
  <c r="IK81" i="9"/>
  <c r="FF81" i="9" s="1"/>
  <c r="IF83" i="9"/>
  <c r="FA83" i="9" s="1"/>
  <c r="IL84" i="9"/>
  <c r="FG84" i="9" s="1"/>
  <c r="IE81" i="9"/>
  <c r="EZ81" i="9" s="1"/>
  <c r="IG82" i="9"/>
  <c r="FB82" i="9" s="1"/>
  <c r="IG84" i="9"/>
  <c r="FB84" i="9" s="1"/>
  <c r="II81" i="9"/>
  <c r="FD81" i="9" s="1"/>
  <c r="IE84" i="9"/>
  <c r="EZ84" i="9" s="1"/>
  <c r="IK86" i="9"/>
  <c r="FF86" i="9" s="1"/>
  <c r="IE82" i="9"/>
  <c r="EZ82" i="9" s="1"/>
  <c r="IE83" i="9"/>
  <c r="EZ83" i="9" s="1"/>
  <c r="IE86" i="9"/>
  <c r="EZ86" i="9" s="1"/>
  <c r="IK82" i="9"/>
  <c r="FF82" i="9" s="1"/>
  <c r="II83" i="9"/>
  <c r="FD83" i="9" s="1"/>
  <c r="IG85" i="9"/>
  <c r="FB85" i="9" s="1"/>
  <c r="II87" i="9"/>
  <c r="FD87" i="9" s="1"/>
  <c r="IG83" i="9"/>
  <c r="FB83" i="9" s="1"/>
  <c r="IL82" i="9"/>
  <c r="FG82" i="9" s="1"/>
  <c r="IG86" i="9"/>
  <c r="FB86" i="9" s="1"/>
  <c r="IK79" i="9"/>
  <c r="FF79" i="9" s="1"/>
  <c r="DP77" i="8"/>
  <c r="IL79" i="9"/>
  <c r="IG79" i="9"/>
  <c r="FB79" i="9" s="1"/>
  <c r="II79" i="9"/>
  <c r="FD79" i="9" s="1"/>
  <c r="IE79" i="9"/>
  <c r="EZ79" i="9" s="1"/>
  <c r="B76" i="8"/>
  <c r="R76" i="8"/>
  <c r="DI75" i="8"/>
  <c r="DH75" i="8"/>
  <c r="DG75" i="8"/>
  <c r="CY75" i="8"/>
  <c r="R75" i="8" a="1"/>
  <c r="J75" i="8" a="1"/>
  <c r="B75" i="8" a="1"/>
  <c r="DK76" i="8" l="1"/>
  <c r="BN87" i="10"/>
  <c r="DJ75" i="8"/>
  <c r="DL75" i="8" s="1"/>
  <c r="HE79" i="9"/>
  <c r="IF79" i="9"/>
  <c r="FA79" i="9" s="1"/>
  <c r="FJ79" i="9" s="1"/>
  <c r="CF87" i="10"/>
  <c r="CO87" i="10" s="1"/>
  <c r="B88" i="11" s="1"/>
  <c r="CF85" i="10"/>
  <c r="CO85" i="10" s="1"/>
  <c r="B86" i="11" s="1"/>
  <c r="CF86" i="10"/>
  <c r="CO86" i="10" s="1"/>
  <c r="B87" i="11" s="1"/>
  <c r="DM82" i="8"/>
  <c r="B82" i="9"/>
  <c r="DM81" i="8"/>
  <c r="B81" i="9"/>
  <c r="DM86" i="8"/>
  <c r="B86" i="9"/>
  <c r="DM80" i="8"/>
  <c r="B80" i="9"/>
  <c r="DM84" i="8"/>
  <c r="B84" i="9"/>
  <c r="DM79" i="8"/>
  <c r="B79" i="9"/>
  <c r="DM85" i="8"/>
  <c r="B85" i="9"/>
  <c r="DM87" i="8"/>
  <c r="B87" i="9"/>
  <c r="DM83" i="8"/>
  <c r="B83" i="9"/>
  <c r="IF80" i="9"/>
  <c r="FA80" i="9" s="1"/>
  <c r="FJ80" i="9" s="1"/>
  <c r="HJ78" i="9"/>
  <c r="HI78" i="9"/>
  <c r="CO84" i="10"/>
  <c r="B85" i="11" s="1"/>
  <c r="CO83" i="10"/>
  <c r="B84" i="11" s="1"/>
  <c r="CO80" i="10"/>
  <c r="B81" i="11" s="1"/>
  <c r="CO79" i="10"/>
  <c r="B80" i="11" s="1"/>
  <c r="CO81" i="10"/>
  <c r="B82" i="11" s="1"/>
  <c r="CO78" i="10"/>
  <c r="B79" i="11" s="1"/>
  <c r="CO82" i="10"/>
  <c r="B83" i="11" s="1"/>
  <c r="IF81" i="9"/>
  <c r="FA81" i="9" s="1"/>
  <c r="FJ81" i="9" s="1"/>
  <c r="L81" i="9"/>
  <c r="U81" i="9" s="1"/>
  <c r="HE86" i="9"/>
  <c r="L86" i="9"/>
  <c r="U86" i="9" s="1"/>
  <c r="HH78" i="9"/>
  <c r="O78" i="9"/>
  <c r="X78" i="9" s="1"/>
  <c r="HF78" i="9"/>
  <c r="IF87" i="9"/>
  <c r="FA87" i="9" s="1"/>
  <c r="FJ87" i="9" s="1"/>
  <c r="L87" i="9"/>
  <c r="U87" i="9" s="1"/>
  <c r="HE82" i="9"/>
  <c r="L82" i="9"/>
  <c r="U82" i="9" s="1"/>
  <c r="HK78" i="9"/>
  <c r="R78" i="9"/>
  <c r="AA78" i="9" s="1"/>
  <c r="HE84" i="9"/>
  <c r="L84" i="9"/>
  <c r="U84" i="9" s="1"/>
  <c r="BX78" i="9"/>
  <c r="IF86" i="9"/>
  <c r="FA86" i="9" s="1"/>
  <c r="FJ86" i="9" s="1"/>
  <c r="KR82" i="9"/>
  <c r="LA82" i="9" s="1"/>
  <c r="HE80" i="9"/>
  <c r="KT84" i="9"/>
  <c r="LC84" i="9" s="1"/>
  <c r="HE87" i="9"/>
  <c r="HE81" i="9"/>
  <c r="AK87" i="9"/>
  <c r="J87" i="9" s="1"/>
  <c r="KT80" i="9"/>
  <c r="LC80" i="9" s="1"/>
  <c r="KQ79" i="9"/>
  <c r="KZ79" i="9" s="1"/>
  <c r="KQ86" i="9"/>
  <c r="KT79" i="9"/>
  <c r="LC79" i="9" s="1"/>
  <c r="AH80" i="9"/>
  <c r="G80" i="9" s="1"/>
  <c r="KP79" i="9"/>
  <c r="KY79" i="9" s="1"/>
  <c r="KV81" i="9"/>
  <c r="LE81" i="9" s="1"/>
  <c r="AK86" i="9"/>
  <c r="J86" i="9" s="1"/>
  <c r="KT81" i="9"/>
  <c r="LC81" i="9" s="1"/>
  <c r="KR81" i="9"/>
  <c r="LA81" i="9" s="1"/>
  <c r="KQ82" i="9"/>
  <c r="KZ82" i="9" s="1"/>
  <c r="KV86" i="9"/>
  <c r="LE86" i="9" s="1"/>
  <c r="KV79" i="9"/>
  <c r="LE79" i="9" s="1"/>
  <c r="KR83" i="9"/>
  <c r="LA83" i="9" s="1"/>
  <c r="AK85" i="9"/>
  <c r="J85" i="9" s="1"/>
  <c r="AC78" i="9"/>
  <c r="KR86" i="9"/>
  <c r="LA86" i="9" s="1"/>
  <c r="KR79" i="9"/>
  <c r="LA79" i="9" s="1"/>
  <c r="KQ83" i="9"/>
  <c r="KZ83" i="9" s="1"/>
  <c r="FG79" i="9"/>
  <c r="FP79" i="9" s="1"/>
  <c r="FB81" i="9"/>
  <c r="FK81" i="9" s="1"/>
  <c r="FG80" i="9"/>
  <c r="FP80" i="9" s="1"/>
  <c r="FF80" i="9"/>
  <c r="FO80" i="9" s="1"/>
  <c r="AK81" i="9"/>
  <c r="J81" i="9" s="1"/>
  <c r="AS82" i="11"/>
  <c r="AL82" i="11"/>
  <c r="KR87" i="9"/>
  <c r="LA87" i="9" s="1"/>
  <c r="KT82" i="9"/>
  <c r="LC82" i="9" s="1"/>
  <c r="KV85" i="9"/>
  <c r="LE85" i="9" s="1"/>
  <c r="KR85" i="9"/>
  <c r="LA85" i="9" s="1"/>
  <c r="AN86" i="11"/>
  <c r="KV83" i="9"/>
  <c r="LE83" i="9" s="1"/>
  <c r="AR84" i="11"/>
  <c r="KQ87" i="9"/>
  <c r="AM88" i="11"/>
  <c r="KV80" i="9"/>
  <c r="LE80" i="9" s="1"/>
  <c r="AR81" i="11"/>
  <c r="KR84" i="9"/>
  <c r="LA84" i="9" s="1"/>
  <c r="AN85" i="11"/>
  <c r="AK82" i="9"/>
  <c r="J82" i="9" s="1"/>
  <c r="AS83" i="11"/>
  <c r="KT86" i="9"/>
  <c r="LC86" i="9" s="1"/>
  <c r="AP87" i="11"/>
  <c r="AO81" i="11"/>
  <c r="AD86" i="9"/>
  <c r="AL87" i="11"/>
  <c r="AQ81" i="11"/>
  <c r="KV87" i="9"/>
  <c r="LE87" i="9" s="1"/>
  <c r="AR88" i="11"/>
  <c r="KP80" i="9"/>
  <c r="KY80" i="9" s="1"/>
  <c r="AL81" i="11"/>
  <c r="KQ80" i="9"/>
  <c r="AM81" i="11"/>
  <c r="KQ84" i="9"/>
  <c r="KZ84" i="9" s="1"/>
  <c r="AM85" i="11"/>
  <c r="KP83" i="9"/>
  <c r="KY83" i="9" s="1"/>
  <c r="AL84" i="11"/>
  <c r="AD85" i="9"/>
  <c r="C85" i="9" s="1"/>
  <c r="AL86" i="11"/>
  <c r="AK79" i="9"/>
  <c r="J79" i="9" s="1"/>
  <c r="KR80" i="9"/>
  <c r="LA80" i="9" s="1"/>
  <c r="AN81" i="11"/>
  <c r="AL83" i="11"/>
  <c r="AQ85" i="11"/>
  <c r="AK84" i="9"/>
  <c r="J84" i="9" s="1"/>
  <c r="AS85" i="11"/>
  <c r="AO87" i="11"/>
  <c r="AL85" i="11"/>
  <c r="KQ81" i="9"/>
  <c r="KT87" i="9"/>
  <c r="LC87" i="9" s="1"/>
  <c r="KT83" i="9"/>
  <c r="LC83" i="9" s="1"/>
  <c r="AQ80" i="11"/>
  <c r="KQ85" i="9"/>
  <c r="KZ85" i="9" s="1"/>
  <c r="AM86" i="11"/>
  <c r="AO83" i="11"/>
  <c r="AQ84" i="11"/>
  <c r="AQ82" i="11"/>
  <c r="AK83" i="9"/>
  <c r="J83" i="9" s="1"/>
  <c r="AS84" i="11"/>
  <c r="KV82" i="9"/>
  <c r="LE82" i="9" s="1"/>
  <c r="AR83" i="11"/>
  <c r="KV84" i="9"/>
  <c r="LE84" i="9" s="1"/>
  <c r="AL88" i="11"/>
  <c r="AO82" i="11"/>
  <c r="KT85" i="9"/>
  <c r="LC85" i="9" s="1"/>
  <c r="AP86" i="11"/>
  <c r="KW80" i="9"/>
  <c r="LF80" i="9" s="1"/>
  <c r="AS81" i="11"/>
  <c r="BP78" i="9"/>
  <c r="ID85" i="9"/>
  <c r="EY85" i="9" s="1"/>
  <c r="BN78" i="9"/>
  <c r="AL79" i="11" s="1"/>
  <c r="AJ80" i="9"/>
  <c r="I80" i="9" s="1"/>
  <c r="BO78" i="9"/>
  <c r="BQ78" i="9"/>
  <c r="AO79" i="11" s="1"/>
  <c r="BS78" i="9"/>
  <c r="ID86" i="9"/>
  <c r="EY86" i="9" s="1"/>
  <c r="KO85" i="9"/>
  <c r="BR78" i="9"/>
  <c r="BU78" i="9"/>
  <c r="BT78" i="9"/>
  <c r="AD80" i="9"/>
  <c r="C80" i="9" s="1"/>
  <c r="KO79" i="9"/>
  <c r="KO82" i="9"/>
  <c r="ID82" i="9"/>
  <c r="EY82" i="9" s="1"/>
  <c r="KO80" i="9"/>
  <c r="KO83" i="9"/>
  <c r="ID79" i="9"/>
  <c r="EY79" i="9" s="1"/>
  <c r="KO78" i="9"/>
  <c r="KO81" i="9"/>
  <c r="KO86" i="9"/>
  <c r="KO84" i="9"/>
  <c r="AK80" i="9"/>
  <c r="J80" i="9" s="1"/>
  <c r="FP86" i="9"/>
  <c r="FM79" i="9"/>
  <c r="FO87" i="9"/>
  <c r="J75" i="8"/>
  <c r="FJ85" i="9"/>
  <c r="KW81" i="9"/>
  <c r="LF81" i="9" s="1"/>
  <c r="KP85" i="9"/>
  <c r="KY85" i="9" s="1"/>
  <c r="KW87" i="9"/>
  <c r="LF87" i="9" s="1"/>
  <c r="KW85" i="9"/>
  <c r="LF85" i="9" s="1"/>
  <c r="FO84" i="9"/>
  <c r="KW82" i="9"/>
  <c r="LF82" i="9" s="1"/>
  <c r="KW83" i="9"/>
  <c r="LF83" i="9" s="1"/>
  <c r="FK83" i="9"/>
  <c r="ID78" i="9"/>
  <c r="EY78" i="9" s="1"/>
  <c r="FM80" i="9"/>
  <c r="KO87" i="9"/>
  <c r="FP82" i="9"/>
  <c r="FO81" i="9"/>
  <c r="FJ84" i="9"/>
  <c r="FK79" i="9"/>
  <c r="KW79" i="9"/>
  <c r="LF79" i="9" s="1"/>
  <c r="KW84" i="9"/>
  <c r="LF84" i="9" s="1"/>
  <c r="KW86" i="9"/>
  <c r="LF86" i="9" s="1"/>
  <c r="FO79" i="9"/>
  <c r="FP85" i="9"/>
  <c r="ID83" i="9"/>
  <c r="ID87" i="9"/>
  <c r="EY87" i="9" s="1"/>
  <c r="ID81" i="9"/>
  <c r="ID84" i="9"/>
  <c r="AF83" i="9"/>
  <c r="E83" i="9" s="1"/>
  <c r="AF86" i="9"/>
  <c r="E86" i="9" s="1"/>
  <c r="AJ87" i="9"/>
  <c r="I87" i="9" s="1"/>
  <c r="AF79" i="9"/>
  <c r="E79" i="9" s="1"/>
  <c r="AH79" i="9"/>
  <c r="G79" i="9" s="1"/>
  <c r="AH81" i="9"/>
  <c r="G81" i="9" s="1"/>
  <c r="AD81" i="9"/>
  <c r="AF82" i="9"/>
  <c r="E82" i="9" s="1"/>
  <c r="AD84" i="9"/>
  <c r="AE79" i="9"/>
  <c r="D79" i="9" s="1"/>
  <c r="AJ79" i="9"/>
  <c r="I79" i="9" s="1"/>
  <c r="AF81" i="9"/>
  <c r="E81" i="9" s="1"/>
  <c r="AE82" i="9"/>
  <c r="D82" i="9" s="1"/>
  <c r="AD83" i="9"/>
  <c r="C83" i="9" s="1"/>
  <c r="AE80" i="9"/>
  <c r="D80" i="9" s="1"/>
  <c r="AJ82" i="9"/>
  <c r="I82" i="9" s="1"/>
  <c r="AE87" i="9"/>
  <c r="D87" i="9" s="1"/>
  <c r="AH83" i="9"/>
  <c r="G83" i="9" s="1"/>
  <c r="AJ84" i="9"/>
  <c r="I84" i="9" s="1"/>
  <c r="AH85" i="9"/>
  <c r="G85" i="9" s="1"/>
  <c r="AE81" i="9"/>
  <c r="D81" i="9" s="1"/>
  <c r="AH82" i="9"/>
  <c r="G82" i="9" s="1"/>
  <c r="AE84" i="9"/>
  <c r="D84" i="9" s="1"/>
  <c r="AE83" i="9"/>
  <c r="D83" i="9" s="1"/>
  <c r="AJ83" i="9"/>
  <c r="I83" i="9" s="1"/>
  <c r="AJ81" i="9"/>
  <c r="I81" i="9" s="1"/>
  <c r="AF80" i="9"/>
  <c r="E80" i="9" s="1"/>
  <c r="AE85" i="9"/>
  <c r="D85" i="9" s="1"/>
  <c r="AF85" i="9"/>
  <c r="E85" i="9" s="1"/>
  <c r="AD82" i="9"/>
  <c r="AD87" i="9"/>
  <c r="AD79" i="9"/>
  <c r="C79" i="9" s="1"/>
  <c r="AF87" i="9"/>
  <c r="E87" i="9" s="1"/>
  <c r="AH87" i="9"/>
  <c r="G87" i="9" s="1"/>
  <c r="AH86" i="9"/>
  <c r="G86" i="9" s="1"/>
  <c r="AH84" i="9"/>
  <c r="G84" i="9" s="1"/>
  <c r="AF84" i="9"/>
  <c r="E84" i="9" s="1"/>
  <c r="AJ86" i="9"/>
  <c r="I86" i="9" s="1"/>
  <c r="AJ85" i="9"/>
  <c r="I85" i="9" s="1"/>
  <c r="AE86" i="9"/>
  <c r="D86" i="9" s="1"/>
  <c r="FI81" i="9"/>
  <c r="ID80" i="9"/>
  <c r="FP81" i="9"/>
  <c r="AD77" i="11"/>
  <c r="FM81" i="9"/>
  <c r="FP87" i="9"/>
  <c r="FO85" i="9"/>
  <c r="FP84" i="9"/>
  <c r="FK84" i="9"/>
  <c r="FJ83" i="9"/>
  <c r="FM86" i="9"/>
  <c r="FM84" i="9"/>
  <c r="FM83" i="9"/>
  <c r="FI83" i="9"/>
  <c r="FM82" i="9"/>
  <c r="FI87" i="9"/>
  <c r="FI84" i="9"/>
  <c r="FM87" i="9"/>
  <c r="FO82" i="9"/>
  <c r="FP83" i="9"/>
  <c r="FI86" i="9"/>
  <c r="FO83" i="9"/>
  <c r="FK82" i="9"/>
  <c r="FI85" i="9"/>
  <c r="FM85" i="9"/>
  <c r="FI82" i="9"/>
  <c r="FK86" i="9"/>
  <c r="FK85" i="9"/>
  <c r="FO86" i="9"/>
  <c r="FJ82" i="9"/>
  <c r="FK87" i="9"/>
  <c r="IG78" i="9"/>
  <c r="FB78" i="9" s="1"/>
  <c r="DP76" i="8"/>
  <c r="IL78" i="9"/>
  <c r="FG78" i="9" s="1"/>
  <c r="II78" i="9"/>
  <c r="IK78" i="9"/>
  <c r="FF78" i="9" s="1"/>
  <c r="FI79" i="9"/>
  <c r="IE78" i="9"/>
  <c r="EZ78" i="9" s="1"/>
  <c r="R75" i="8"/>
  <c r="B75" i="8"/>
  <c r="DI74" i="8"/>
  <c r="DJ74" i="8" s="1"/>
  <c r="DL74" i="8" s="1"/>
  <c r="DH74" i="8"/>
  <c r="DG74" i="8"/>
  <c r="CY74" i="8"/>
  <c r="R74" i="8" a="1"/>
  <c r="J74" i="8" a="1"/>
  <c r="B74" i="8" a="1"/>
  <c r="DK75" i="8" l="1"/>
  <c r="DK74" i="8"/>
  <c r="KX79" i="9"/>
  <c r="KX86" i="9"/>
  <c r="KX87" i="9"/>
  <c r="KX83" i="9"/>
  <c r="C81" i="9"/>
  <c r="KX80" i="9"/>
  <c r="KX85" i="9"/>
  <c r="KX84" i="9"/>
  <c r="KX82" i="9"/>
  <c r="KX81" i="9"/>
  <c r="KX78" i="9"/>
  <c r="KP81" i="9"/>
  <c r="KY81" i="9" s="1"/>
  <c r="KZ80" i="9"/>
  <c r="KP84" i="9"/>
  <c r="KY84" i="9" s="1"/>
  <c r="C84" i="9"/>
  <c r="C87" i="9"/>
  <c r="DM78" i="8"/>
  <c r="B78" i="9"/>
  <c r="C86" i="9"/>
  <c r="KP86" i="9"/>
  <c r="KY86" i="9" s="1"/>
  <c r="KZ81" i="9"/>
  <c r="KP82" i="9"/>
  <c r="KY82" i="9" s="1"/>
  <c r="KP87" i="9"/>
  <c r="KY87" i="9" s="1"/>
  <c r="C82" i="9"/>
  <c r="KZ87" i="9"/>
  <c r="HE78" i="9"/>
  <c r="L78" i="9"/>
  <c r="U78" i="9" s="1"/>
  <c r="IF78" i="9"/>
  <c r="FA78" i="9" s="1"/>
  <c r="FJ78" i="9" s="1"/>
  <c r="KZ86" i="9"/>
  <c r="DO83" i="8"/>
  <c r="DO80" i="8"/>
  <c r="DO85" i="8"/>
  <c r="DO86" i="8"/>
  <c r="DO81" i="8"/>
  <c r="DO87" i="8"/>
  <c r="DO84" i="8"/>
  <c r="DO79" i="8"/>
  <c r="DO82" i="8"/>
  <c r="FD78" i="9"/>
  <c r="FM78" i="9" s="1"/>
  <c r="KQ78" i="9"/>
  <c r="AM79" i="11"/>
  <c r="KV78" i="9"/>
  <c r="LE78" i="9" s="1"/>
  <c r="AR79" i="11"/>
  <c r="AK78" i="9"/>
  <c r="J78" i="9" s="1"/>
  <c r="AS79" i="11"/>
  <c r="AQ79" i="11"/>
  <c r="KT78" i="9"/>
  <c r="LC78" i="9" s="1"/>
  <c r="AP79" i="11"/>
  <c r="KR78" i="9"/>
  <c r="LA78" i="9" s="1"/>
  <c r="AN79" i="11"/>
  <c r="J74" i="8"/>
  <c r="FH85" i="9"/>
  <c r="FH78" i="9"/>
  <c r="FH86" i="9"/>
  <c r="FH79" i="9"/>
  <c r="FH87" i="9"/>
  <c r="FH82" i="9"/>
  <c r="KW78" i="9"/>
  <c r="LF78" i="9" s="1"/>
  <c r="EY84" i="9"/>
  <c r="FK78" i="9"/>
  <c r="FP78" i="9"/>
  <c r="FO78" i="9"/>
  <c r="EY81" i="9"/>
  <c r="EY83" i="9"/>
  <c r="EY80" i="9"/>
  <c r="AF78" i="9"/>
  <c r="E78" i="9" s="1"/>
  <c r="AE78" i="9"/>
  <c r="D78" i="9" s="1"/>
  <c r="AD78" i="9"/>
  <c r="AJ78" i="9"/>
  <c r="I78" i="9" s="1"/>
  <c r="AH78" i="9"/>
  <c r="G78" i="9" s="1"/>
  <c r="AD76" i="11"/>
  <c r="DP75" i="8"/>
  <c r="FI78" i="9"/>
  <c r="R74" i="8"/>
  <c r="B74" i="8"/>
  <c r="DI73" i="8"/>
  <c r="DH73" i="8"/>
  <c r="DG73" i="8"/>
  <c r="CY73" i="8"/>
  <c r="R73" i="8" a="1"/>
  <c r="J73" i="8" a="1"/>
  <c r="B73" i="8" a="1"/>
  <c r="DJ73" i="8" l="1"/>
  <c r="DL73" i="8" s="1"/>
  <c r="C78" i="9"/>
  <c r="KZ78" i="9"/>
  <c r="KP78" i="9"/>
  <c r="KY78" i="9" s="1"/>
  <c r="Q80" i="11"/>
  <c r="Q87" i="11"/>
  <c r="Q85" i="11"/>
  <c r="Q86" i="11"/>
  <c r="K79" i="12"/>
  <c r="T79" i="12" s="1"/>
  <c r="K86" i="12"/>
  <c r="T86" i="12" s="1"/>
  <c r="DO78" i="8"/>
  <c r="Q88" i="11"/>
  <c r="Q81" i="11"/>
  <c r="Q83" i="11"/>
  <c r="Q82" i="11"/>
  <c r="Q84" i="11"/>
  <c r="J73" i="8"/>
  <c r="FH84" i="9"/>
  <c r="K84" i="12" s="1"/>
  <c r="T84" i="12" s="1"/>
  <c r="FH83" i="9"/>
  <c r="FH80" i="9"/>
  <c r="K80" i="12" s="1"/>
  <c r="T80" i="12" s="1"/>
  <c r="FH81" i="9"/>
  <c r="AD75" i="11"/>
  <c r="DP74" i="8"/>
  <c r="R73" i="8"/>
  <c r="B73" i="8"/>
  <c r="DI72" i="8"/>
  <c r="DH72" i="8"/>
  <c r="DG72" i="8"/>
  <c r="CY72" i="8"/>
  <c r="R72" i="8" a="1"/>
  <c r="J72" i="8" a="1"/>
  <c r="B72" i="8" a="1"/>
  <c r="DK73" i="8" l="1"/>
  <c r="DJ72" i="8"/>
  <c r="DL72" i="8" s="1"/>
  <c r="K83" i="12"/>
  <c r="T83" i="12" s="1"/>
  <c r="K87" i="12"/>
  <c r="T87" i="12" s="1"/>
  <c r="GB87" i="9" s="1"/>
  <c r="GK87" i="9" s="1"/>
  <c r="K85" i="12"/>
  <c r="T85" i="12" s="1"/>
  <c r="GB85" i="9" s="1"/>
  <c r="GK85" i="9" s="1"/>
  <c r="K81" i="12"/>
  <c r="T81" i="12" s="1"/>
  <c r="AP82" i="9"/>
  <c r="AG82" i="9" s="1"/>
  <c r="F82" i="9" s="1"/>
  <c r="JR82" i="9"/>
  <c r="JR80" i="9"/>
  <c r="AP80" i="9"/>
  <c r="AG80" i="9" s="1"/>
  <c r="F80" i="9" s="1"/>
  <c r="K82" i="12"/>
  <c r="T82" i="12" s="1"/>
  <c r="GB82" i="9" s="1"/>
  <c r="GK82" i="9" s="1"/>
  <c r="AP83" i="9"/>
  <c r="AG83" i="9" s="1"/>
  <c r="F83" i="9" s="1"/>
  <c r="JR83" i="9"/>
  <c r="JR87" i="9"/>
  <c r="AP87" i="9"/>
  <c r="AG87" i="9" s="1"/>
  <c r="F87" i="9" s="1"/>
  <c r="AP85" i="9"/>
  <c r="AG85" i="9" s="1"/>
  <c r="F85" i="9" s="1"/>
  <c r="JR85" i="9"/>
  <c r="JR86" i="9"/>
  <c r="AP86" i="9"/>
  <c r="AG86" i="9" s="1"/>
  <c r="F86" i="9" s="1"/>
  <c r="JR81" i="9"/>
  <c r="AP81" i="9"/>
  <c r="AG81" i="9" s="1"/>
  <c r="F81" i="9" s="1"/>
  <c r="JR84" i="9"/>
  <c r="AP84" i="9"/>
  <c r="AG84" i="9" s="1"/>
  <c r="F84" i="9" s="1"/>
  <c r="AP79" i="9"/>
  <c r="AG79" i="9" s="1"/>
  <c r="F79" i="9" s="1"/>
  <c r="JR79" i="9"/>
  <c r="GB86" i="9"/>
  <c r="GK86" i="9" s="1"/>
  <c r="GB79" i="9"/>
  <c r="GK79" i="9" s="1"/>
  <c r="J72" i="8"/>
  <c r="AD74" i="11"/>
  <c r="DP73" i="8"/>
  <c r="B72" i="8"/>
  <c r="R72" i="8"/>
  <c r="DI71" i="8"/>
  <c r="DH71" i="8"/>
  <c r="DG71" i="8"/>
  <c r="CY71" i="8"/>
  <c r="R71" i="8" a="1"/>
  <c r="J71" i="8" a="1"/>
  <c r="B71" i="8" a="1"/>
  <c r="DK72" i="8" l="1"/>
  <c r="DJ71" i="8"/>
  <c r="DL71" i="8" s="1"/>
  <c r="AR81" i="9"/>
  <c r="AI81" i="9" s="1"/>
  <c r="H81" i="9" s="1"/>
  <c r="JT81" i="9"/>
  <c r="ET87" i="9"/>
  <c r="IH87" i="9"/>
  <c r="KS87" i="9"/>
  <c r="JT79" i="9"/>
  <c r="AR79" i="9"/>
  <c r="AI79" i="9" s="1"/>
  <c r="H79" i="9" s="1"/>
  <c r="JT86" i="9"/>
  <c r="AR86" i="9"/>
  <c r="AI86" i="9" s="1"/>
  <c r="H86" i="9" s="1"/>
  <c r="AP78" i="9"/>
  <c r="AG78" i="9" s="1"/>
  <c r="F78" i="9" s="1"/>
  <c r="JR78" i="9"/>
  <c r="ET79" i="9"/>
  <c r="IH79" i="9"/>
  <c r="KS79" i="9"/>
  <c r="AR87" i="9"/>
  <c r="AI87" i="9" s="1"/>
  <c r="H87" i="9" s="1"/>
  <c r="JT87" i="9"/>
  <c r="ET83" i="9"/>
  <c r="IH83" i="9"/>
  <c r="KS83" i="9"/>
  <c r="JT82" i="9"/>
  <c r="AR82" i="9"/>
  <c r="AI82" i="9" s="1"/>
  <c r="H82" i="9" s="1"/>
  <c r="JT83" i="9"/>
  <c r="AR83" i="9"/>
  <c r="AI83" i="9" s="1"/>
  <c r="H83" i="9" s="1"/>
  <c r="ET80" i="9"/>
  <c r="IH80" i="9"/>
  <c r="KS80" i="9"/>
  <c r="Q79" i="11"/>
  <c r="K78" i="12"/>
  <c r="T78" i="12" s="1"/>
  <c r="GB78" i="9" s="1"/>
  <c r="JT80" i="9"/>
  <c r="AR80" i="9"/>
  <c r="AI80" i="9" s="1"/>
  <c r="H80" i="9" s="1"/>
  <c r="ET84" i="9"/>
  <c r="IH84" i="9"/>
  <c r="KS84" i="9"/>
  <c r="ET86" i="9"/>
  <c r="IH86" i="9"/>
  <c r="KS86" i="9"/>
  <c r="AR84" i="9"/>
  <c r="AI84" i="9" s="1"/>
  <c r="H84" i="9" s="1"/>
  <c r="JT84" i="9"/>
  <c r="ET82" i="9"/>
  <c r="IH82" i="9"/>
  <c r="KS82" i="9"/>
  <c r="ET81" i="9"/>
  <c r="IH81" i="9"/>
  <c r="KS81" i="9"/>
  <c r="AR85" i="9"/>
  <c r="AI85" i="9" s="1"/>
  <c r="H85" i="9" s="1"/>
  <c r="JT85" i="9"/>
  <c r="ET85" i="9"/>
  <c r="IH85" i="9"/>
  <c r="KS85" i="9"/>
  <c r="GT87" i="9"/>
  <c r="IM87" i="9" s="1"/>
  <c r="GT79" i="9"/>
  <c r="IM79" i="9" s="1"/>
  <c r="GT86" i="9"/>
  <c r="IM86" i="9" s="1"/>
  <c r="GT82" i="9"/>
  <c r="IM82" i="9" s="1"/>
  <c r="GT85" i="9"/>
  <c r="IM85" i="9" s="1"/>
  <c r="GB84" i="9"/>
  <c r="GK84" i="9" s="1"/>
  <c r="GB80" i="9"/>
  <c r="GK80" i="9" s="1"/>
  <c r="GB81" i="9"/>
  <c r="GK81" i="9" s="1"/>
  <c r="GB83" i="9"/>
  <c r="GK83" i="9" s="1"/>
  <c r="J71" i="8"/>
  <c r="AD73" i="11"/>
  <c r="DP72" i="8"/>
  <c r="R71" i="8"/>
  <c r="B71" i="8"/>
  <c r="DI70" i="8"/>
  <c r="DH70" i="8"/>
  <c r="DG70" i="8"/>
  <c r="CY70" i="8"/>
  <c r="R70" i="8" a="1"/>
  <c r="J70" i="8" a="1"/>
  <c r="B70" i="8" a="1"/>
  <c r="DK71" i="8" l="1"/>
  <c r="DJ70" i="8"/>
  <c r="DL70" i="8" s="1"/>
  <c r="GK78" i="9"/>
  <c r="GT78" i="9" s="1"/>
  <c r="IM78" i="9" s="1"/>
  <c r="LB81" i="9"/>
  <c r="LB86" i="9"/>
  <c r="FC85" i="9"/>
  <c r="FL85" i="9" s="1"/>
  <c r="LB79" i="9"/>
  <c r="FC80" i="9"/>
  <c r="FL80" i="9" s="1"/>
  <c r="LB83" i="9"/>
  <c r="LB87" i="9"/>
  <c r="FC83" i="9"/>
  <c r="FL83" i="9" s="1"/>
  <c r="LB82" i="9"/>
  <c r="LB84" i="9"/>
  <c r="FC82" i="9"/>
  <c r="FL82" i="9" s="1"/>
  <c r="FC84" i="9"/>
  <c r="FL84" i="9" s="1"/>
  <c r="LB80" i="9"/>
  <c r="EV82" i="9"/>
  <c r="IJ82" i="9"/>
  <c r="KU82" i="9"/>
  <c r="EV79" i="9"/>
  <c r="IJ79" i="9"/>
  <c r="KU79" i="9"/>
  <c r="AR78" i="9"/>
  <c r="AI78" i="9" s="1"/>
  <c r="H78" i="9" s="1"/>
  <c r="JT78" i="9"/>
  <c r="ET78" i="9"/>
  <c r="IH78" i="9"/>
  <c r="KS78" i="9"/>
  <c r="EV85" i="9"/>
  <c r="IJ85" i="9"/>
  <c r="KU85" i="9"/>
  <c r="EV84" i="9"/>
  <c r="IJ84" i="9"/>
  <c r="KU84" i="9"/>
  <c r="FC87" i="9"/>
  <c r="FL87" i="9" s="1"/>
  <c r="EV83" i="9"/>
  <c r="IJ83" i="9"/>
  <c r="KU83" i="9"/>
  <c r="EV87" i="9"/>
  <c r="IJ87" i="9"/>
  <c r="KU87" i="9"/>
  <c r="LB85" i="9"/>
  <c r="FC81" i="9"/>
  <c r="FL81" i="9" s="1"/>
  <c r="FC86" i="9"/>
  <c r="FL86" i="9" s="1"/>
  <c r="EV80" i="9"/>
  <c r="IJ80" i="9"/>
  <c r="KU80" i="9"/>
  <c r="EV86" i="9"/>
  <c r="IJ86" i="9"/>
  <c r="KU86" i="9"/>
  <c r="EV81" i="9"/>
  <c r="IJ81" i="9"/>
  <c r="KU81" i="9"/>
  <c r="FC79" i="9"/>
  <c r="FL79" i="9" s="1"/>
  <c r="GT83" i="9"/>
  <c r="IM83" i="9" s="1"/>
  <c r="GT81" i="9"/>
  <c r="IM81" i="9" s="1"/>
  <c r="GT80" i="9"/>
  <c r="IM80" i="9" s="1"/>
  <c r="GT84" i="9"/>
  <c r="IM84" i="9" s="1"/>
  <c r="J70" i="8"/>
  <c r="AD72" i="11"/>
  <c r="DP71" i="8"/>
  <c r="B70" i="8"/>
  <c r="R70" i="8"/>
  <c r="DI69" i="8"/>
  <c r="DH69" i="8"/>
  <c r="DG69" i="8"/>
  <c r="CY69" i="8"/>
  <c r="R69" i="8" a="1"/>
  <c r="J69" i="8" a="1"/>
  <c r="B69" i="8" a="1"/>
  <c r="DK70" i="8" l="1"/>
  <c r="DJ69" i="8"/>
  <c r="DL69" i="8" s="1"/>
  <c r="LD84" i="9"/>
  <c r="LB78" i="9"/>
  <c r="LD86" i="9"/>
  <c r="LD83" i="9"/>
  <c r="LD82" i="9"/>
  <c r="LD81" i="9"/>
  <c r="LD87" i="9"/>
  <c r="FC78" i="9"/>
  <c r="FL78" i="9" s="1"/>
  <c r="FE82" i="9"/>
  <c r="FN82" i="9" s="1"/>
  <c r="LD80" i="9"/>
  <c r="FE85" i="9"/>
  <c r="FN85" i="9" s="1"/>
  <c r="FE79" i="9"/>
  <c r="FN79" i="9" s="1"/>
  <c r="FE81" i="9"/>
  <c r="FN81" i="9" s="1"/>
  <c r="FE87" i="9"/>
  <c r="FN87" i="9" s="1"/>
  <c r="FE84" i="9"/>
  <c r="FN84" i="9" s="1"/>
  <c r="EV78" i="9"/>
  <c r="IJ78" i="9"/>
  <c r="KU78" i="9"/>
  <c r="FE86" i="9"/>
  <c r="FN86" i="9" s="1"/>
  <c r="FE80" i="9"/>
  <c r="FN80" i="9" s="1"/>
  <c r="FE83" i="9"/>
  <c r="FN83" i="9" s="1"/>
  <c r="LD85" i="9"/>
  <c r="LD79" i="9"/>
  <c r="J69" i="8"/>
  <c r="AD71" i="11"/>
  <c r="DP70" i="8"/>
  <c r="R69" i="8"/>
  <c r="B69" i="8"/>
  <c r="DI68" i="8"/>
  <c r="DH68" i="8"/>
  <c r="DG68" i="8"/>
  <c r="CY68" i="8"/>
  <c r="R68" i="8" a="1"/>
  <c r="J68" i="8" a="1"/>
  <c r="B68" i="8" a="1"/>
  <c r="DK69" i="8" l="1"/>
  <c r="DJ68" i="8"/>
  <c r="DL68" i="8" s="1"/>
  <c r="LD78" i="9"/>
  <c r="FE78" i="9"/>
  <c r="FN78" i="9" s="1"/>
  <c r="J68" i="8"/>
  <c r="AD70" i="11"/>
  <c r="DP69" i="8"/>
  <c r="R68" i="8"/>
  <c r="B68" i="8"/>
  <c r="DI67" i="8"/>
  <c r="DH67" i="8"/>
  <c r="DG67" i="8"/>
  <c r="CY67" i="8"/>
  <c r="R67" i="8" a="1"/>
  <c r="J67" i="8" a="1"/>
  <c r="B67" i="8" a="1"/>
  <c r="DK68" i="8" l="1"/>
  <c r="DJ67" i="8"/>
  <c r="DL67" i="8" s="1"/>
  <c r="J67" i="8"/>
  <c r="AD69" i="11"/>
  <c r="DP68" i="8"/>
  <c r="LX68" i="9" s="1"/>
  <c r="R67" i="8"/>
  <c r="B67" i="8"/>
  <c r="DI66" i="8"/>
  <c r="DH66" i="8"/>
  <c r="DG66" i="8"/>
  <c r="CW73" i="8"/>
  <c r="CX73" i="8"/>
  <c r="CZ73" i="8"/>
  <c r="DA73" i="8"/>
  <c r="DB73" i="8"/>
  <c r="DC73" i="8"/>
  <c r="DD73" i="8"/>
  <c r="C73" i="10" s="1"/>
  <c r="DE73" i="8"/>
  <c r="DF73" i="8"/>
  <c r="CW74" i="8"/>
  <c r="CX74" i="8"/>
  <c r="CZ74" i="8"/>
  <c r="DA74" i="8"/>
  <c r="DB74" i="8"/>
  <c r="DC74" i="8"/>
  <c r="DD74" i="8"/>
  <c r="C74" i="10" s="1"/>
  <c r="DE74" i="8"/>
  <c r="DF74" i="8"/>
  <c r="CW75" i="8"/>
  <c r="CX75" i="8"/>
  <c r="CZ75" i="8"/>
  <c r="DA75" i="8"/>
  <c r="DB75" i="8"/>
  <c r="DC75" i="8"/>
  <c r="DD75" i="8"/>
  <c r="C75" i="10" s="1"/>
  <c r="DE75" i="8"/>
  <c r="DF75" i="8"/>
  <c r="CW76" i="8"/>
  <c r="CX76" i="8"/>
  <c r="CZ76" i="8"/>
  <c r="DA76" i="8"/>
  <c r="DB76" i="8"/>
  <c r="DC76" i="8"/>
  <c r="DD76" i="8"/>
  <c r="C76" i="10" s="1"/>
  <c r="DE76" i="8"/>
  <c r="DF76" i="8"/>
  <c r="CW77" i="8"/>
  <c r="CX77" i="8"/>
  <c r="CZ77" i="8"/>
  <c r="DA77" i="8"/>
  <c r="DB77" i="8"/>
  <c r="DC77" i="8"/>
  <c r="DD77" i="8"/>
  <c r="C77" i="10" s="1"/>
  <c r="DE77" i="8"/>
  <c r="DF77" i="8"/>
  <c r="A72" i="8"/>
  <c r="A73" i="8"/>
  <c r="A74" i="8"/>
  <c r="A75" i="8"/>
  <c r="A76" i="8"/>
  <c r="A77" i="8"/>
  <c r="CY66" i="8"/>
  <c r="R66" i="8" a="1"/>
  <c r="J66" i="8" a="1"/>
  <c r="B66" i="8" a="1"/>
  <c r="DK67" i="8" l="1"/>
  <c r="DJ66" i="8"/>
  <c r="DL66" i="8" s="1"/>
  <c r="BD77" i="9"/>
  <c r="JE77" i="9"/>
  <c r="DN77" i="8"/>
  <c r="IV77" i="9"/>
  <c r="K77" i="9"/>
  <c r="T77" i="9" s="1"/>
  <c r="BD76" i="9"/>
  <c r="DN76" i="8"/>
  <c r="JE76" i="9"/>
  <c r="IV76" i="9"/>
  <c r="K76" i="9"/>
  <c r="T76" i="9" s="1"/>
  <c r="BD75" i="9"/>
  <c r="DN75" i="8"/>
  <c r="IV75" i="9"/>
  <c r="JE75" i="9"/>
  <c r="K75" i="9"/>
  <c r="T75" i="9" s="1"/>
  <c r="BD74" i="9"/>
  <c r="DN74" i="8"/>
  <c r="IV74" i="9"/>
  <c r="JE74" i="9"/>
  <c r="K74" i="9"/>
  <c r="T74" i="9" s="1"/>
  <c r="BD73" i="9"/>
  <c r="IV73" i="9"/>
  <c r="JE73" i="9"/>
  <c r="DN73" i="8"/>
  <c r="K73" i="9"/>
  <c r="T73" i="9" s="1"/>
  <c r="DJ76" i="9" a="1"/>
  <c r="DJ76" i="9" s="1"/>
  <c r="DF76" i="9"/>
  <c r="DH76" i="9" a="1"/>
  <c r="DH76" i="9" s="1"/>
  <c r="DI76" i="9" a="1"/>
  <c r="DI76" i="9" s="1"/>
  <c r="DK76" i="9" a="1"/>
  <c r="DK76" i="9" s="1"/>
  <c r="DL76" i="9" a="1"/>
  <c r="DL76" i="9" s="1"/>
  <c r="DM76" i="9" a="1"/>
  <c r="DM76" i="9" s="1"/>
  <c r="DN76" i="9" a="1"/>
  <c r="DN76" i="9" s="1"/>
  <c r="DG76" i="9"/>
  <c r="AC74" i="10"/>
  <c r="BV74" i="10" s="1"/>
  <c r="W74" i="10"/>
  <c r="X74" i="10"/>
  <c r="Y74" i="10"/>
  <c r="V74" i="10"/>
  <c r="Z74" i="10"/>
  <c r="AA74" i="10"/>
  <c r="AB74" i="10"/>
  <c r="BU74" i="10" s="1"/>
  <c r="DJ75" i="9" a="1"/>
  <c r="DJ75" i="9" s="1"/>
  <c r="DG75" i="9"/>
  <c r="DH75" i="9" a="1"/>
  <c r="DH75" i="9" s="1"/>
  <c r="DI75" i="9" a="1"/>
  <c r="DI75" i="9" s="1"/>
  <c r="DF75" i="9"/>
  <c r="DK75" i="9" a="1"/>
  <c r="DK75" i="9" s="1"/>
  <c r="DL75" i="9" a="1"/>
  <c r="DL75" i="9" s="1"/>
  <c r="DM75" i="9" a="1"/>
  <c r="DM75" i="9" s="1"/>
  <c r="DN75" i="9" a="1"/>
  <c r="DN75" i="9" s="1"/>
  <c r="DP74" i="9"/>
  <c r="DQ74" i="9"/>
  <c r="DR74" i="9"/>
  <c r="DS74" i="9"/>
  <c r="DT74" i="9"/>
  <c r="DU74" i="9"/>
  <c r="DV74" i="9"/>
  <c r="DW74" i="9"/>
  <c r="DO74" i="9"/>
  <c r="DX74" i="9" s="1"/>
  <c r="AC73" i="10"/>
  <c r="W73" i="10"/>
  <c r="X73" i="10"/>
  <c r="Y73" i="10"/>
  <c r="Z73" i="10"/>
  <c r="AA73" i="10"/>
  <c r="BT73" i="10" s="1"/>
  <c r="AB73" i="10"/>
  <c r="BU73" i="10" s="1"/>
  <c r="V73" i="10"/>
  <c r="BO73" i="10" s="1"/>
  <c r="DI77" i="9" a="1"/>
  <c r="DI77" i="9" s="1"/>
  <c r="DH77" i="9" a="1"/>
  <c r="DH77" i="9" s="1"/>
  <c r="DJ77" i="9" a="1"/>
  <c r="DJ77" i="9" s="1"/>
  <c r="DK77" i="9" a="1"/>
  <c r="DK77" i="9" s="1"/>
  <c r="DL77" i="9" a="1"/>
  <c r="DL77" i="9" s="1"/>
  <c r="DF77" i="9"/>
  <c r="DM77" i="9" a="1"/>
  <c r="DM77" i="9" s="1"/>
  <c r="DN77" i="9" a="1"/>
  <c r="DN77" i="9" s="1"/>
  <c r="DG77" i="9"/>
  <c r="B74" i="10"/>
  <c r="DJ74" i="9" a="1"/>
  <c r="DJ74" i="9" s="1"/>
  <c r="DG74" i="9"/>
  <c r="DF74" i="9"/>
  <c r="DH74" i="9" a="1"/>
  <c r="DH74" i="9" s="1"/>
  <c r="DI74" i="9" a="1"/>
  <c r="DI74" i="9" s="1"/>
  <c r="DK74" i="9" a="1"/>
  <c r="DK74" i="9" s="1"/>
  <c r="DL74" i="9" a="1"/>
  <c r="DL74" i="9" s="1"/>
  <c r="DM74" i="9" a="1"/>
  <c r="DM74" i="9" s="1"/>
  <c r="DN74" i="9" a="1"/>
  <c r="DN74" i="9" s="1"/>
  <c r="DP73" i="9"/>
  <c r="DQ73" i="9"/>
  <c r="DR73" i="9"/>
  <c r="DS73" i="9"/>
  <c r="DT73" i="9"/>
  <c r="DU73" i="9"/>
  <c r="DV73" i="9"/>
  <c r="DW73" i="9"/>
  <c r="DO73" i="9"/>
  <c r="DX73" i="9" s="1"/>
  <c r="DJ73" i="9" a="1"/>
  <c r="DJ73" i="9" s="1"/>
  <c r="DN73" i="9" a="1"/>
  <c r="DN73" i="9" s="1"/>
  <c r="DF73" i="9"/>
  <c r="DG73" i="9"/>
  <c r="DH73" i="9" a="1"/>
  <c r="DH73" i="9" s="1"/>
  <c r="DI73" i="9" a="1"/>
  <c r="DI73" i="9" s="1"/>
  <c r="DK73" i="9" a="1"/>
  <c r="DK73" i="9" s="1"/>
  <c r="DL73" i="9" a="1"/>
  <c r="DL73" i="9" s="1"/>
  <c r="DM73" i="9" a="1"/>
  <c r="DM73" i="9" s="1"/>
  <c r="DP76" i="9"/>
  <c r="DQ76" i="9"/>
  <c r="DR76" i="9"/>
  <c r="DS76" i="9"/>
  <c r="DT76" i="9"/>
  <c r="DU76" i="9"/>
  <c r="DV76" i="9"/>
  <c r="DW76" i="9"/>
  <c r="DO76" i="9"/>
  <c r="DX76" i="9" s="1"/>
  <c r="AC75" i="10"/>
  <c r="W75" i="10"/>
  <c r="X75" i="10"/>
  <c r="Y75" i="10"/>
  <c r="Z75" i="10"/>
  <c r="AA75" i="10"/>
  <c r="AB75" i="10"/>
  <c r="V75" i="10"/>
  <c r="DP75" i="9"/>
  <c r="DQ75" i="9"/>
  <c r="DR75" i="9"/>
  <c r="DS75" i="9"/>
  <c r="DT75" i="9"/>
  <c r="DU75" i="9"/>
  <c r="DV75" i="9"/>
  <c r="DW75" i="9"/>
  <c r="DO75" i="9"/>
  <c r="DX75" i="9" s="1"/>
  <c r="B73" i="10"/>
  <c r="AD73" i="10" s="1"/>
  <c r="B77" i="10"/>
  <c r="AC77" i="10"/>
  <c r="W77" i="10"/>
  <c r="X77" i="10"/>
  <c r="Y77" i="10"/>
  <c r="Z77" i="10"/>
  <c r="AA77" i="10"/>
  <c r="AB77" i="10"/>
  <c r="V77" i="10"/>
  <c r="B76" i="10"/>
  <c r="DP77" i="9"/>
  <c r="DQ77" i="9"/>
  <c r="DR77" i="9"/>
  <c r="DS77" i="9"/>
  <c r="DT77" i="9"/>
  <c r="DU77" i="9"/>
  <c r="DV77" i="9"/>
  <c r="DW77" i="9"/>
  <c r="DO77" i="9"/>
  <c r="DX77" i="9" s="1"/>
  <c r="AC76" i="10"/>
  <c r="W76" i="10"/>
  <c r="X76" i="10"/>
  <c r="Y76" i="10"/>
  <c r="V76" i="10"/>
  <c r="Z76" i="10"/>
  <c r="AA76" i="10"/>
  <c r="AB76" i="10"/>
  <c r="B75" i="10"/>
  <c r="A77" i="9"/>
  <c r="A77" i="12"/>
  <c r="AU75" i="9"/>
  <c r="CW75" i="9"/>
  <c r="AU74" i="9"/>
  <c r="CW74" i="9"/>
  <c r="A76" i="9"/>
  <c r="A76" i="12"/>
  <c r="A75" i="9"/>
  <c r="A75" i="12"/>
  <c r="AU73" i="9"/>
  <c r="CW73" i="9"/>
  <c r="AU77" i="9"/>
  <c r="CW77" i="9"/>
  <c r="A74" i="9"/>
  <c r="A74" i="12"/>
  <c r="AU76" i="9"/>
  <c r="CW76" i="9"/>
  <c r="A73" i="9"/>
  <c r="A73" i="12"/>
  <c r="A72" i="9"/>
  <c r="A72" i="12"/>
  <c r="J66" i="8"/>
  <c r="AD68" i="11"/>
  <c r="CN74" i="9"/>
  <c r="CE74" i="9"/>
  <c r="AZ77" i="8"/>
  <c r="BD77" i="8"/>
  <c r="BB77" i="8"/>
  <c r="CE73" i="9"/>
  <c r="CN73" i="9"/>
  <c r="AZ75" i="8"/>
  <c r="BB75" i="8"/>
  <c r="BD75" i="8"/>
  <c r="AZ74" i="8"/>
  <c r="BB74" i="8"/>
  <c r="BD74" i="8"/>
  <c r="AZ76" i="8"/>
  <c r="BB76" i="8"/>
  <c r="BD76" i="8"/>
  <c r="CN77" i="9"/>
  <c r="CE77" i="9"/>
  <c r="AZ73" i="8"/>
  <c r="BB73" i="8"/>
  <c r="BD73" i="8"/>
  <c r="CN76" i="9"/>
  <c r="CE76" i="9"/>
  <c r="CN75" i="9"/>
  <c r="CE75" i="9"/>
  <c r="DP67" i="8"/>
  <c r="LX67" i="9" s="1"/>
  <c r="B66" i="8"/>
  <c r="R66" i="8"/>
  <c r="BL73" i="8"/>
  <c r="BP73" i="8"/>
  <c r="BF73" i="8"/>
  <c r="BH73" i="8"/>
  <c r="BJ73" i="8"/>
  <c r="BN73" i="8"/>
  <c r="BH77" i="8"/>
  <c r="BJ77" i="8"/>
  <c r="BF77" i="8"/>
  <c r="BN77" i="8"/>
  <c r="BL77" i="8"/>
  <c r="BP77" i="8"/>
  <c r="BH76" i="8"/>
  <c r="BJ76" i="8"/>
  <c r="BF76" i="8"/>
  <c r="BN76" i="8"/>
  <c r="BL76" i="8"/>
  <c r="BP76" i="8"/>
  <c r="BF75" i="8"/>
  <c r="BN75" i="8"/>
  <c r="BH75" i="8"/>
  <c r="BJ75" i="8"/>
  <c r="BL75" i="8"/>
  <c r="BP75" i="8"/>
  <c r="BP74" i="8"/>
  <c r="BJ74" i="8"/>
  <c r="BN74" i="8"/>
  <c r="BL74" i="8"/>
  <c r="BF74" i="8"/>
  <c r="BH74" i="8"/>
  <c r="DI65" i="8"/>
  <c r="DH65" i="8"/>
  <c r="DG65" i="8"/>
  <c r="CY65" i="8"/>
  <c r="R65" i="8" a="1"/>
  <c r="J65" i="8" a="1"/>
  <c r="B65" i="8" a="1"/>
  <c r="DK66" i="8" l="1"/>
  <c r="DJ65" i="8"/>
  <c r="DL65" i="8" s="1"/>
  <c r="LO74" i="9"/>
  <c r="CD74" i="9" s="1"/>
  <c r="R74" i="9" s="1"/>
  <c r="AA74" i="9" s="1"/>
  <c r="KF77" i="9"/>
  <c r="KF74" i="9"/>
  <c r="KF73" i="9"/>
  <c r="AM75" i="10"/>
  <c r="L75" i="10"/>
  <c r="U75" i="10" s="1"/>
  <c r="KF75" i="9"/>
  <c r="AM77" i="10"/>
  <c r="L77" i="10"/>
  <c r="U77" i="10" s="1"/>
  <c r="AM73" i="10"/>
  <c r="AV73" i="10" s="1"/>
  <c r="L73" i="10"/>
  <c r="U73" i="10" s="1"/>
  <c r="AM76" i="10"/>
  <c r="L76" i="10"/>
  <c r="U76" i="10" s="1"/>
  <c r="AM74" i="10"/>
  <c r="L74" i="10"/>
  <c r="U74" i="10" s="1"/>
  <c r="KF76" i="9"/>
  <c r="DR73" i="8"/>
  <c r="DS73" i="8"/>
  <c r="DR75" i="8"/>
  <c r="DS75" i="8"/>
  <c r="DS77" i="8"/>
  <c r="DR77" i="8"/>
  <c r="DR74" i="8"/>
  <c r="DS74" i="8"/>
  <c r="DS76" i="8"/>
  <c r="DR76" i="8"/>
  <c r="LL73" i="9"/>
  <c r="CA73" i="9" s="1"/>
  <c r="O73" i="9" s="1"/>
  <c r="X73" i="9" s="1"/>
  <c r="HL76" i="9"/>
  <c r="S76" i="9"/>
  <c r="AB76" i="9" s="1"/>
  <c r="HL73" i="9"/>
  <c r="S73" i="9"/>
  <c r="AB73" i="9" s="1"/>
  <c r="LH74" i="9"/>
  <c r="BW74" i="9" s="1"/>
  <c r="HD74" i="9" s="1"/>
  <c r="HL77" i="9"/>
  <c r="S77" i="9"/>
  <c r="AB77" i="9" s="1"/>
  <c r="HL75" i="9"/>
  <c r="S75" i="9"/>
  <c r="AB75" i="9" s="1"/>
  <c r="EG77" i="9"/>
  <c r="BM77" i="9" s="1"/>
  <c r="AK78" i="11" s="1"/>
  <c r="HL74" i="9"/>
  <c r="S74" i="9"/>
  <c r="AB74" i="9" s="1"/>
  <c r="LG74" i="9"/>
  <c r="BV74" i="9" s="1"/>
  <c r="DQ74" i="8" s="1"/>
  <c r="LJ73" i="9"/>
  <c r="BY73" i="9" s="1"/>
  <c r="M73" i="9" s="1"/>
  <c r="V73" i="9" s="1"/>
  <c r="CB76" i="10"/>
  <c r="BX76" i="10"/>
  <c r="BX77" i="10"/>
  <c r="CB75" i="10"/>
  <c r="CA73" i="10"/>
  <c r="CB74" i="10"/>
  <c r="CC74" i="10"/>
  <c r="CA76" i="10"/>
  <c r="CD77" i="10"/>
  <c r="CA75" i="10"/>
  <c r="BZ73" i="10"/>
  <c r="BX74" i="10"/>
  <c r="CE77" i="10"/>
  <c r="BZ75" i="10"/>
  <c r="CI75" i="10" s="1"/>
  <c r="LI73" i="9"/>
  <c r="BX73" i="9" s="1"/>
  <c r="BY73" i="10"/>
  <c r="CA74" i="10"/>
  <c r="CB73" i="10"/>
  <c r="CC77" i="10"/>
  <c r="BY76" i="10"/>
  <c r="CB77" i="10"/>
  <c r="BY75" i="10"/>
  <c r="CH75" i="10" s="1"/>
  <c r="CE73" i="10"/>
  <c r="BZ74" i="10"/>
  <c r="CC75" i="10"/>
  <c r="BZ76" i="10"/>
  <c r="CE76" i="10"/>
  <c r="CA77" i="10"/>
  <c r="CE75" i="10"/>
  <c r="BX73" i="10"/>
  <c r="CG73" i="10" s="1"/>
  <c r="CP73" i="10" s="1"/>
  <c r="BY74" i="10"/>
  <c r="CD76" i="10"/>
  <c r="BZ77" i="10"/>
  <c r="BX75" i="10"/>
  <c r="CD73" i="10"/>
  <c r="CM73" i="10" s="1"/>
  <c r="CV73" i="10" s="1"/>
  <c r="CE74" i="10"/>
  <c r="CN74" i="10" s="1"/>
  <c r="CW74" i="10" s="1"/>
  <c r="CC76" i="10"/>
  <c r="BY77" i="10"/>
  <c r="CH77" i="10" s="1"/>
  <c r="CD75" i="10"/>
  <c r="CC73" i="10"/>
  <c r="CL73" i="10" s="1"/>
  <c r="CU73" i="10" s="1"/>
  <c r="CD74" i="10"/>
  <c r="CM74" i="10" s="1"/>
  <c r="CV74" i="10" s="1"/>
  <c r="BS76" i="10"/>
  <c r="BT75" i="10"/>
  <c r="BS73" i="10"/>
  <c r="BT74" i="10"/>
  <c r="BO76" i="10"/>
  <c r="BO77" i="10"/>
  <c r="BS75" i="10"/>
  <c r="BR73" i="10"/>
  <c r="BS74" i="10"/>
  <c r="BR75" i="10"/>
  <c r="BQ73" i="10"/>
  <c r="BO74" i="10"/>
  <c r="BV77" i="10"/>
  <c r="BQ75" i="10"/>
  <c r="BP73" i="10"/>
  <c r="BR74" i="10"/>
  <c r="BR76" i="10"/>
  <c r="BP76" i="10"/>
  <c r="BS77" i="10"/>
  <c r="BP75" i="10"/>
  <c r="BV73" i="10"/>
  <c r="BQ74" i="10"/>
  <c r="BT77" i="10"/>
  <c r="BV76" i="10"/>
  <c r="BR77" i="10"/>
  <c r="BV75" i="10"/>
  <c r="BP74" i="10"/>
  <c r="BU77" i="10"/>
  <c r="BQ76" i="10"/>
  <c r="BU76" i="10"/>
  <c r="BQ77" i="10"/>
  <c r="BO75" i="10"/>
  <c r="BT76" i="10"/>
  <c r="BP77" i="10"/>
  <c r="BU75" i="10"/>
  <c r="JW76" i="9"/>
  <c r="JW75" i="9"/>
  <c r="JW74" i="9"/>
  <c r="JW77" i="9"/>
  <c r="JW73" i="9"/>
  <c r="LI74" i="9"/>
  <c r="BX74" i="9" s="1"/>
  <c r="LM74" i="9"/>
  <c r="CB74" i="9" s="1"/>
  <c r="P74" i="9" s="1"/>
  <c r="Y74" i="9" s="1"/>
  <c r="LN74" i="9"/>
  <c r="CC74" i="9" s="1"/>
  <c r="Q74" i="9" s="1"/>
  <c r="Z74" i="9" s="1"/>
  <c r="LG75" i="9"/>
  <c r="BV75" i="9" s="1"/>
  <c r="DQ75" i="8" s="1"/>
  <c r="AD74" i="10"/>
  <c r="LK74" i="9"/>
  <c r="BZ74" i="9" s="1"/>
  <c r="LL77" i="9"/>
  <c r="CA77" i="9" s="1"/>
  <c r="LN76" i="9"/>
  <c r="CC76" i="9" s="1"/>
  <c r="LG73" i="9"/>
  <c r="BV73" i="9" s="1"/>
  <c r="DQ73" i="8" s="1"/>
  <c r="LG76" i="9"/>
  <c r="BV76" i="9" s="1"/>
  <c r="DQ76" i="8" s="1"/>
  <c r="LG77" i="9"/>
  <c r="BV77" i="9" s="1"/>
  <c r="DQ77" i="8" s="1"/>
  <c r="LK77" i="9"/>
  <c r="BZ77" i="9" s="1"/>
  <c r="LM76" i="9"/>
  <c r="CB76" i="9" s="1"/>
  <c r="LI77" i="9"/>
  <c r="LJ75" i="9"/>
  <c r="BY75" i="9" s="1"/>
  <c r="LL76" i="9"/>
  <c r="CA76" i="9" s="1"/>
  <c r="LL75" i="9"/>
  <c r="CA75" i="9" s="1"/>
  <c r="O75" i="9" s="1"/>
  <c r="X75" i="9" s="1"/>
  <c r="LH73" i="9"/>
  <c r="BW73" i="9" s="1"/>
  <c r="HD73" i="9" s="1"/>
  <c r="LL74" i="9"/>
  <c r="CA74" i="9" s="1"/>
  <c r="LH77" i="9"/>
  <c r="BW77" i="9" s="1"/>
  <c r="HD77" i="9" s="1"/>
  <c r="LJ77" i="9"/>
  <c r="BY77" i="9" s="1"/>
  <c r="LI75" i="9"/>
  <c r="LJ76" i="9"/>
  <c r="BY76" i="9" s="1"/>
  <c r="LJ74" i="9"/>
  <c r="BY74" i="9" s="1"/>
  <c r="M74" i="9" s="1"/>
  <c r="V74" i="9" s="1"/>
  <c r="LO77" i="9"/>
  <c r="CD77" i="9" s="1"/>
  <c r="LH75" i="9"/>
  <c r="BW75" i="9" s="1"/>
  <c r="HD75" i="9" s="1"/>
  <c r="LI76" i="9"/>
  <c r="LO73" i="9"/>
  <c r="CD73" i="9" s="1"/>
  <c r="LN77" i="9"/>
  <c r="CC77" i="9" s="1"/>
  <c r="Q77" i="9" s="1"/>
  <c r="Z77" i="9" s="1"/>
  <c r="LO75" i="9"/>
  <c r="CD75" i="9" s="1"/>
  <c r="LK75" i="9"/>
  <c r="BZ75" i="9" s="1"/>
  <c r="LN73" i="9"/>
  <c r="CC73" i="9" s="1"/>
  <c r="LK73" i="9"/>
  <c r="BZ73" i="9" s="1"/>
  <c r="LN75" i="9"/>
  <c r="CC75" i="9" s="1"/>
  <c r="LH76" i="9"/>
  <c r="BW76" i="9" s="1"/>
  <c r="HD76" i="9" s="1"/>
  <c r="LK76" i="9"/>
  <c r="BZ76" i="9" s="1"/>
  <c r="LM73" i="9"/>
  <c r="CB73" i="9" s="1"/>
  <c r="LM77" i="9"/>
  <c r="CB77" i="9" s="1"/>
  <c r="LM75" i="9"/>
  <c r="CB75" i="9" s="1"/>
  <c r="LO76" i="9"/>
  <c r="CD76" i="9" s="1"/>
  <c r="R76" i="9" s="1"/>
  <c r="AA76" i="9" s="1"/>
  <c r="AD76" i="10"/>
  <c r="AD75" i="10"/>
  <c r="AD77" i="10"/>
  <c r="EE73" i="9"/>
  <c r="EN73" i="9"/>
  <c r="JU73" i="9"/>
  <c r="EW73" i="9" s="1"/>
  <c r="AS73" i="9"/>
  <c r="EI77" i="9"/>
  <c r="DZ77" i="9"/>
  <c r="JP77" i="9"/>
  <c r="ER77" i="9" s="1"/>
  <c r="AN77" i="9"/>
  <c r="DZ75" i="9"/>
  <c r="EI75" i="9"/>
  <c r="JP75" i="9"/>
  <c r="ER75" i="9" s="1"/>
  <c r="AN75" i="9"/>
  <c r="EK76" i="9"/>
  <c r="EB76" i="9"/>
  <c r="ED73" i="9"/>
  <c r="EM73" i="9"/>
  <c r="EK74" i="9"/>
  <c r="EB74" i="9"/>
  <c r="EL76" i="9"/>
  <c r="EC76" i="9"/>
  <c r="AQ76" i="9"/>
  <c r="JS76" i="9"/>
  <c r="EU76" i="9" s="1"/>
  <c r="DY77" i="9"/>
  <c r="EH77" i="9"/>
  <c r="AM77" i="9"/>
  <c r="JO77" i="9"/>
  <c r="EQ77" i="9" s="1"/>
  <c r="EH75" i="9"/>
  <c r="DY75" i="9"/>
  <c r="JO75" i="9"/>
  <c r="EQ75" i="9" s="1"/>
  <c r="AM75" i="9"/>
  <c r="EJ76" i="9"/>
  <c r="EA76" i="9"/>
  <c r="AO76" i="9"/>
  <c r="JQ76" i="9"/>
  <c r="ES76" i="9" s="1"/>
  <c r="EL73" i="9"/>
  <c r="EC73" i="9"/>
  <c r="JS73" i="9"/>
  <c r="EU73" i="9" s="1"/>
  <c r="AQ73" i="9"/>
  <c r="EJ74" i="9"/>
  <c r="EA74" i="9"/>
  <c r="JQ74" i="9"/>
  <c r="ES74" i="9" s="1"/>
  <c r="AO74" i="9"/>
  <c r="EJ77" i="9"/>
  <c r="EA77" i="9"/>
  <c r="AO77" i="9"/>
  <c r="JQ77" i="9"/>
  <c r="ES77" i="9" s="1"/>
  <c r="EA75" i="9"/>
  <c r="EJ75" i="9"/>
  <c r="AO75" i="9"/>
  <c r="JQ75" i="9"/>
  <c r="ES75" i="9" s="1"/>
  <c r="EF77" i="9"/>
  <c r="EO77" i="9"/>
  <c r="JV77" i="9"/>
  <c r="EX77" i="9" s="1"/>
  <c r="EO75" i="9"/>
  <c r="EF75" i="9"/>
  <c r="JV75" i="9"/>
  <c r="EX75" i="9" s="1"/>
  <c r="EI76" i="9"/>
  <c r="DZ76" i="9"/>
  <c r="AN76" i="9"/>
  <c r="JP76" i="9"/>
  <c r="ER76" i="9" s="1"/>
  <c r="EK73" i="9"/>
  <c r="EB73" i="9"/>
  <c r="EI74" i="9"/>
  <c r="DZ74" i="9"/>
  <c r="JP74" i="9"/>
  <c r="ER74" i="9" s="1"/>
  <c r="AN74" i="9"/>
  <c r="EC74" i="9"/>
  <c r="EL74" i="9"/>
  <c r="AQ74" i="9"/>
  <c r="JS74" i="9"/>
  <c r="EU74" i="9" s="1"/>
  <c r="EE77" i="9"/>
  <c r="EN77" i="9"/>
  <c r="JU77" i="9"/>
  <c r="EW77" i="9" s="1"/>
  <c r="AS77" i="9"/>
  <c r="EN75" i="9"/>
  <c r="EE75" i="9"/>
  <c r="AS75" i="9"/>
  <c r="JU75" i="9"/>
  <c r="EW75" i="9" s="1"/>
  <c r="DY76" i="9"/>
  <c r="EH76" i="9"/>
  <c r="AM76" i="9"/>
  <c r="JO76" i="9"/>
  <c r="EQ76" i="9" s="1"/>
  <c r="EA73" i="9"/>
  <c r="EJ73" i="9"/>
  <c r="AO73" i="9"/>
  <c r="JQ73" i="9"/>
  <c r="ES73" i="9" s="1"/>
  <c r="EH74" i="9"/>
  <c r="DY74" i="9"/>
  <c r="AM74" i="9"/>
  <c r="JO74" i="9"/>
  <c r="EQ74" i="9" s="1"/>
  <c r="EM77" i="9"/>
  <c r="ED77" i="9"/>
  <c r="EM75" i="9"/>
  <c r="ED75" i="9"/>
  <c r="EO76" i="9"/>
  <c r="EF76" i="9"/>
  <c r="JV76" i="9"/>
  <c r="EX76" i="9" s="1"/>
  <c r="EI73" i="9"/>
  <c r="DZ73" i="9"/>
  <c r="AN73" i="9"/>
  <c r="JP73" i="9"/>
  <c r="ER73" i="9" s="1"/>
  <c r="EF74" i="9"/>
  <c r="EO74" i="9"/>
  <c r="HK74" i="9"/>
  <c r="JV74" i="9"/>
  <c r="EX74" i="9" s="1"/>
  <c r="EL77" i="9"/>
  <c r="EC77" i="9"/>
  <c r="AQ77" i="9"/>
  <c r="JS77" i="9"/>
  <c r="EU77" i="9" s="1"/>
  <c r="EL75" i="9"/>
  <c r="EC75" i="9"/>
  <c r="JS75" i="9"/>
  <c r="EU75" i="9" s="1"/>
  <c r="AQ75" i="9"/>
  <c r="EN76" i="9"/>
  <c r="EE76" i="9"/>
  <c r="AS76" i="9"/>
  <c r="JU76" i="9"/>
  <c r="EW76" i="9" s="1"/>
  <c r="DY73" i="9"/>
  <c r="EH73" i="9"/>
  <c r="AM73" i="9"/>
  <c r="JO73" i="9"/>
  <c r="EQ73" i="9" s="1"/>
  <c r="EE74" i="9"/>
  <c r="EN74" i="9"/>
  <c r="JU74" i="9"/>
  <c r="EW74" i="9" s="1"/>
  <c r="AS74" i="9"/>
  <c r="EK77" i="9"/>
  <c r="EB77" i="9"/>
  <c r="EB75" i="9"/>
  <c r="EK75" i="9"/>
  <c r="EM76" i="9"/>
  <c r="ED76" i="9"/>
  <c r="EO73" i="9"/>
  <c r="EF73" i="9"/>
  <c r="JV73" i="9"/>
  <c r="EX73" i="9" s="1"/>
  <c r="ED74" i="9"/>
  <c r="EM74" i="9"/>
  <c r="AT74" i="9"/>
  <c r="AT73" i="9"/>
  <c r="AT76" i="9"/>
  <c r="AT75" i="9"/>
  <c r="AT77" i="9"/>
  <c r="J65" i="8"/>
  <c r="AD67" i="11"/>
  <c r="L77" i="11"/>
  <c r="L74" i="11"/>
  <c r="L76" i="11"/>
  <c r="EG75" i="9"/>
  <c r="BM75" i="9" s="1"/>
  <c r="AK76" i="11" s="1"/>
  <c r="EG73" i="9"/>
  <c r="BM73" i="9" s="1"/>
  <c r="AK74" i="11" s="1"/>
  <c r="EG76" i="9"/>
  <c r="BM76" i="9" s="1"/>
  <c r="AK77" i="11" s="1"/>
  <c r="L75" i="11"/>
  <c r="L78" i="11"/>
  <c r="EG74" i="9"/>
  <c r="DP66" i="8"/>
  <c r="LX66" i="9" s="1"/>
  <c r="R65" i="8"/>
  <c r="B65" i="8"/>
  <c r="DI64" i="8"/>
  <c r="DH64" i="8"/>
  <c r="DG64" i="8"/>
  <c r="CY64" i="8"/>
  <c r="R64" i="8" a="1"/>
  <c r="J64" i="8" a="1"/>
  <c r="B64" i="8" a="1"/>
  <c r="AV74" i="10" l="1"/>
  <c r="DK65" i="8"/>
  <c r="AV76" i="10"/>
  <c r="AV75" i="10"/>
  <c r="DJ64" i="8"/>
  <c r="DL64" i="8" s="1"/>
  <c r="DT76" i="8"/>
  <c r="DT75" i="8"/>
  <c r="DT73" i="8"/>
  <c r="DT74" i="8"/>
  <c r="DT77" i="8"/>
  <c r="CK74" i="10"/>
  <c r="CT74" i="10" s="1"/>
  <c r="CL76" i="10"/>
  <c r="CU76" i="10" s="1"/>
  <c r="CN75" i="10"/>
  <c r="CW75" i="10" s="1"/>
  <c r="CK77" i="10"/>
  <c r="CT77" i="10" s="1"/>
  <c r="CN77" i="10"/>
  <c r="CW77" i="10" s="1"/>
  <c r="CJ73" i="10"/>
  <c r="CS73" i="10" s="1"/>
  <c r="CJ77" i="10"/>
  <c r="CS77" i="10" s="1"/>
  <c r="CH76" i="10"/>
  <c r="CQ76" i="10" s="1"/>
  <c r="CG74" i="10"/>
  <c r="CP74" i="10" s="1"/>
  <c r="CK75" i="10"/>
  <c r="CT75" i="10" s="1"/>
  <c r="CN76" i="10"/>
  <c r="CW76" i="10" s="1"/>
  <c r="CL77" i="10"/>
  <c r="CU77" i="10" s="1"/>
  <c r="CI73" i="10"/>
  <c r="CR73" i="10" s="1"/>
  <c r="CG77" i="10"/>
  <c r="CP77" i="10" s="1"/>
  <c r="CG75" i="10"/>
  <c r="CP75" i="10" s="1"/>
  <c r="CI76" i="10"/>
  <c r="CR76" i="10" s="1"/>
  <c r="CK73" i="10"/>
  <c r="CT73" i="10" s="1"/>
  <c r="CJ75" i="10"/>
  <c r="CS75" i="10" s="1"/>
  <c r="CG76" i="10"/>
  <c r="CP76" i="10" s="1"/>
  <c r="CI77" i="10"/>
  <c r="CR77" i="10" s="1"/>
  <c r="CL75" i="10"/>
  <c r="CU75" i="10" s="1"/>
  <c r="CJ74" i="10"/>
  <c r="CS74" i="10" s="1"/>
  <c r="CM77" i="10"/>
  <c r="CV77" i="10" s="1"/>
  <c r="CK76" i="10"/>
  <c r="CT76" i="10" s="1"/>
  <c r="CM76" i="10"/>
  <c r="CV76" i="10" s="1"/>
  <c r="CI74" i="10"/>
  <c r="CR74" i="10" s="1"/>
  <c r="CH73" i="10"/>
  <c r="CQ73" i="10" s="1"/>
  <c r="CJ76" i="10"/>
  <c r="CS76" i="10" s="1"/>
  <c r="CM75" i="10"/>
  <c r="CV75" i="10" s="1"/>
  <c r="CH74" i="10"/>
  <c r="CQ74" i="10" s="1"/>
  <c r="CN73" i="10"/>
  <c r="CW73" i="10" s="1"/>
  <c r="CL74" i="10"/>
  <c r="CU74" i="10" s="1"/>
  <c r="HF74" i="9"/>
  <c r="HH75" i="9"/>
  <c r="HH73" i="9"/>
  <c r="HF73" i="9"/>
  <c r="G74" i="11"/>
  <c r="BW76" i="10"/>
  <c r="BE76" i="10"/>
  <c r="BN76" i="10" s="1"/>
  <c r="BW74" i="10"/>
  <c r="BW77" i="10"/>
  <c r="BW73" i="10"/>
  <c r="BW75" i="10"/>
  <c r="BE77" i="10"/>
  <c r="BN77" i="10" s="1"/>
  <c r="HK76" i="9"/>
  <c r="CQ77" i="10"/>
  <c r="CQ75" i="10"/>
  <c r="BE74" i="10"/>
  <c r="BN74" i="10" s="1"/>
  <c r="CR75" i="10"/>
  <c r="HJ77" i="9"/>
  <c r="HI74" i="9"/>
  <c r="HJ74" i="9"/>
  <c r="L74" i="9"/>
  <c r="U74" i="9" s="1"/>
  <c r="HE74" i="9"/>
  <c r="HG76" i="9"/>
  <c r="N76" i="9"/>
  <c r="W76" i="9" s="1"/>
  <c r="G75" i="11"/>
  <c r="HF77" i="9"/>
  <c r="M77" i="9"/>
  <c r="V77" i="9" s="1"/>
  <c r="HJ76" i="9"/>
  <c r="Q76" i="9"/>
  <c r="Z76" i="9" s="1"/>
  <c r="HJ75" i="9"/>
  <c r="Q75" i="9"/>
  <c r="Z75" i="9" s="1"/>
  <c r="HK73" i="9"/>
  <c r="R73" i="9"/>
  <c r="AA73" i="9" s="1"/>
  <c r="HE73" i="9"/>
  <c r="L73" i="9"/>
  <c r="U73" i="9" s="1"/>
  <c r="HH77" i="9"/>
  <c r="O77" i="9"/>
  <c r="X77" i="9" s="1"/>
  <c r="HG73" i="9"/>
  <c r="N73" i="9"/>
  <c r="W73" i="9" s="1"/>
  <c r="HH74" i="9"/>
  <c r="O74" i="9"/>
  <c r="X74" i="9" s="1"/>
  <c r="HI76" i="9"/>
  <c r="P76" i="9"/>
  <c r="Y76" i="9" s="1"/>
  <c r="HG74" i="9"/>
  <c r="N74" i="9"/>
  <c r="W74" i="9" s="1"/>
  <c r="HJ73" i="9"/>
  <c r="Q73" i="9"/>
  <c r="Z73" i="9" s="1"/>
  <c r="HG77" i="9"/>
  <c r="N77" i="9"/>
  <c r="W77" i="9" s="1"/>
  <c r="HI75" i="9"/>
  <c r="P75" i="9"/>
  <c r="Y75" i="9" s="1"/>
  <c r="HG75" i="9"/>
  <c r="N75" i="9"/>
  <c r="W75" i="9" s="1"/>
  <c r="HK77" i="9"/>
  <c r="R77" i="9"/>
  <c r="AA77" i="9" s="1"/>
  <c r="HI77" i="9"/>
  <c r="P77" i="9"/>
  <c r="Y77" i="9" s="1"/>
  <c r="HK75" i="9"/>
  <c r="R75" i="9"/>
  <c r="AA75" i="9" s="1"/>
  <c r="HH76" i="9"/>
  <c r="O76" i="9"/>
  <c r="X76" i="9" s="1"/>
  <c r="HI73" i="9"/>
  <c r="P73" i="9"/>
  <c r="Y73" i="9" s="1"/>
  <c r="HF76" i="9"/>
  <c r="M76" i="9"/>
  <c r="V76" i="9" s="1"/>
  <c r="HF75" i="9"/>
  <c r="M75" i="9"/>
  <c r="V75" i="9" s="1"/>
  <c r="BE73" i="10"/>
  <c r="BN73" i="10" s="1"/>
  <c r="AL75" i="9"/>
  <c r="AC75" i="9" s="1"/>
  <c r="BX75" i="9"/>
  <c r="G76" i="11"/>
  <c r="BX77" i="9"/>
  <c r="G78" i="11"/>
  <c r="BX76" i="9"/>
  <c r="G77" i="11"/>
  <c r="AV77" i="10"/>
  <c r="HC74" i="9"/>
  <c r="HC73" i="9"/>
  <c r="BE75" i="10"/>
  <c r="BN75" i="10" s="1"/>
  <c r="HC77" i="9"/>
  <c r="HC76" i="9"/>
  <c r="HC75" i="9"/>
  <c r="BU75" i="9"/>
  <c r="BN75" i="9"/>
  <c r="BR73" i="9"/>
  <c r="AP74" i="11" s="1"/>
  <c r="BR76" i="9"/>
  <c r="AP77" i="11" s="1"/>
  <c r="BO75" i="9"/>
  <c r="AM76" i="11" s="1"/>
  <c r="BO76" i="9"/>
  <c r="AL74" i="9"/>
  <c r="BU74" i="9"/>
  <c r="BP73" i="9"/>
  <c r="BQ75" i="9"/>
  <c r="BP77" i="9"/>
  <c r="AN78" i="11" s="1"/>
  <c r="BS74" i="9"/>
  <c r="AQ75" i="11" s="1"/>
  <c r="BQ73" i="9"/>
  <c r="AO74" i="11" s="1"/>
  <c r="BT77" i="9"/>
  <c r="BP75" i="9"/>
  <c r="BN73" i="9"/>
  <c r="AL74" i="11" s="1"/>
  <c r="AL76" i="9"/>
  <c r="BM74" i="9"/>
  <c r="AL73" i="9"/>
  <c r="AC73" i="9" s="1"/>
  <c r="AL77" i="9"/>
  <c r="AC77" i="9" s="1"/>
  <c r="BO74" i="9"/>
  <c r="AM75" i="11" s="1"/>
  <c r="BT75" i="9"/>
  <c r="BU76" i="9"/>
  <c r="BT74" i="9"/>
  <c r="BS77" i="9"/>
  <c r="BS76" i="9"/>
  <c r="BS73" i="9"/>
  <c r="AQ74" i="11" s="1"/>
  <c r="BU77" i="9"/>
  <c r="BO73" i="9"/>
  <c r="AM74" i="11" s="1"/>
  <c r="BR75" i="9"/>
  <c r="BS75" i="9"/>
  <c r="BN76" i="9"/>
  <c r="BQ76" i="9"/>
  <c r="BQ74" i="9"/>
  <c r="BR77" i="9"/>
  <c r="AP78" i="11" s="1"/>
  <c r="BP76" i="9"/>
  <c r="BO77" i="9"/>
  <c r="BN74" i="9"/>
  <c r="BR74" i="9"/>
  <c r="BP74" i="9"/>
  <c r="BU73" i="9"/>
  <c r="BQ77" i="9"/>
  <c r="BT76" i="9"/>
  <c r="BN77" i="9"/>
  <c r="BT73" i="9"/>
  <c r="JN74" i="9"/>
  <c r="EP74" i="9" s="1"/>
  <c r="J64" i="8"/>
  <c r="JN77" i="9"/>
  <c r="IL76" i="9"/>
  <c r="FG76" i="9" s="1"/>
  <c r="JN75" i="9"/>
  <c r="EP75" i="9" s="1"/>
  <c r="JN73" i="9"/>
  <c r="EP73" i="9" s="1"/>
  <c r="JN76" i="9"/>
  <c r="EP76" i="9" s="1"/>
  <c r="AD66" i="11"/>
  <c r="IK75" i="9"/>
  <c r="FF75" i="9" s="1"/>
  <c r="IG77" i="9"/>
  <c r="FB77" i="9" s="1"/>
  <c r="IE77" i="9"/>
  <c r="EZ77" i="9" s="1"/>
  <c r="IK76" i="9"/>
  <c r="FF76" i="9" s="1"/>
  <c r="IE76" i="9"/>
  <c r="EZ76" i="9" s="1"/>
  <c r="IK77" i="9"/>
  <c r="FF77" i="9" s="1"/>
  <c r="IF74" i="9"/>
  <c r="FA74" i="9" s="1"/>
  <c r="II77" i="9"/>
  <c r="FD77" i="9" s="1"/>
  <c r="IL74" i="9"/>
  <c r="FG74" i="9" s="1"/>
  <c r="II73" i="9"/>
  <c r="FD73" i="9" s="1"/>
  <c r="IG73" i="9"/>
  <c r="FB73" i="9" s="1"/>
  <c r="IG75" i="9"/>
  <c r="FB75" i="9" s="1"/>
  <c r="IE74" i="9"/>
  <c r="EZ74" i="9" s="1"/>
  <c r="IK73" i="9"/>
  <c r="FF73" i="9" s="1"/>
  <c r="IL77" i="9"/>
  <c r="FG77" i="9" s="1"/>
  <c r="II74" i="9"/>
  <c r="FD74" i="9" s="1"/>
  <c r="IF73" i="9"/>
  <c r="FA73" i="9" s="1"/>
  <c r="IL73" i="9"/>
  <c r="FG73" i="9" s="1"/>
  <c r="IG76" i="9"/>
  <c r="II76" i="9"/>
  <c r="FD76" i="9" s="1"/>
  <c r="IE75" i="9"/>
  <c r="EZ75" i="9" s="1"/>
  <c r="IE73" i="9"/>
  <c r="EZ73" i="9" s="1"/>
  <c r="IK74" i="9"/>
  <c r="FF74" i="9" s="1"/>
  <c r="IL75" i="9"/>
  <c r="FG75" i="9" s="1"/>
  <c r="II75" i="9"/>
  <c r="FD75" i="9" s="1"/>
  <c r="IG74" i="9"/>
  <c r="FB74" i="9" s="1"/>
  <c r="DP65" i="8"/>
  <c r="LX65" i="9" s="1"/>
  <c r="B64" i="8"/>
  <c r="R64" i="8"/>
  <c r="DI63" i="8"/>
  <c r="DH63" i="8"/>
  <c r="DG63" i="8"/>
  <c r="CY63" i="8"/>
  <c r="R63" i="8" a="1"/>
  <c r="J63" i="8" a="1"/>
  <c r="B63" i="8" a="1"/>
  <c r="DK64" i="8" l="1"/>
  <c r="DJ63" i="8"/>
  <c r="DL63" i="8" s="1"/>
  <c r="CF76" i="10"/>
  <c r="CO76" i="10" s="1"/>
  <c r="B77" i="11" s="1"/>
  <c r="CF75" i="10"/>
  <c r="CO75" i="10" s="1"/>
  <c r="B76" i="11" s="1"/>
  <c r="CF73" i="10"/>
  <c r="CO73" i="10" s="1"/>
  <c r="B74" i="11" s="1"/>
  <c r="CF77" i="10"/>
  <c r="CO77" i="10" s="1"/>
  <c r="B78" i="11" s="1"/>
  <c r="DM75" i="8"/>
  <c r="B75" i="9"/>
  <c r="DM77" i="8"/>
  <c r="B77" i="9"/>
  <c r="DM73" i="8"/>
  <c r="B73" i="9"/>
  <c r="CF74" i="10"/>
  <c r="CO74" i="10" s="1"/>
  <c r="B75" i="11" s="1"/>
  <c r="KT73" i="9"/>
  <c r="LC73" i="9" s="1"/>
  <c r="HE76" i="9"/>
  <c r="L76" i="9"/>
  <c r="U76" i="9" s="1"/>
  <c r="HE77" i="9"/>
  <c r="L77" i="9"/>
  <c r="U77" i="9" s="1"/>
  <c r="IF77" i="9"/>
  <c r="FA77" i="9" s="1"/>
  <c r="FJ77" i="9" s="1"/>
  <c r="HE75" i="9"/>
  <c r="L75" i="9"/>
  <c r="U75" i="9" s="1"/>
  <c r="IF75" i="9"/>
  <c r="FA75" i="9" s="1"/>
  <c r="FJ75" i="9" s="1"/>
  <c r="IF76" i="9"/>
  <c r="FA76" i="9" s="1"/>
  <c r="FJ76" i="9" s="1"/>
  <c r="KT76" i="9"/>
  <c r="LC76" i="9" s="1"/>
  <c r="KR77" i="9"/>
  <c r="LA77" i="9" s="1"/>
  <c r="KQ75" i="9"/>
  <c r="KQ74" i="9"/>
  <c r="KZ74" i="9" s="1"/>
  <c r="AC74" i="9"/>
  <c r="AK75" i="11"/>
  <c r="FB76" i="9"/>
  <c r="FK76" i="9" s="1"/>
  <c r="KR75" i="9"/>
  <c r="LA75" i="9" s="1"/>
  <c r="AN76" i="11"/>
  <c r="KV73" i="9"/>
  <c r="LE73" i="9" s="1"/>
  <c r="AR74" i="11"/>
  <c r="KQ77" i="9"/>
  <c r="AM78" i="11"/>
  <c r="KP73" i="9"/>
  <c r="KY73" i="9" s="1"/>
  <c r="AL78" i="11"/>
  <c r="KR76" i="9"/>
  <c r="LA76" i="9" s="1"/>
  <c r="AN77" i="11"/>
  <c r="AK77" i="9"/>
  <c r="J77" i="9" s="1"/>
  <c r="AS78" i="11"/>
  <c r="KV77" i="9"/>
  <c r="LE77" i="9" s="1"/>
  <c r="AR78" i="11"/>
  <c r="KQ76" i="9"/>
  <c r="AM77" i="11"/>
  <c r="KV75" i="9"/>
  <c r="LE75" i="9" s="1"/>
  <c r="AR76" i="11"/>
  <c r="AQ78" i="11"/>
  <c r="AO75" i="11"/>
  <c r="AK73" i="9"/>
  <c r="J73" i="9" s="1"/>
  <c r="AS74" i="11"/>
  <c r="KQ73" i="9"/>
  <c r="KZ73" i="9" s="1"/>
  <c r="KR74" i="9"/>
  <c r="LA74" i="9" s="1"/>
  <c r="AN75" i="11"/>
  <c r="AL77" i="11"/>
  <c r="KV74" i="9"/>
  <c r="LE74" i="9" s="1"/>
  <c r="AR75" i="11"/>
  <c r="AO76" i="11"/>
  <c r="AL76" i="11"/>
  <c r="KP74" i="9"/>
  <c r="KY74" i="9" s="1"/>
  <c r="AL75" i="11"/>
  <c r="KT75" i="9"/>
  <c r="LC75" i="9" s="1"/>
  <c r="AP76" i="11"/>
  <c r="AK74" i="9"/>
  <c r="J74" i="9" s="1"/>
  <c r="AS75" i="11"/>
  <c r="KV76" i="9"/>
  <c r="LE76" i="9" s="1"/>
  <c r="AR77" i="11"/>
  <c r="AO78" i="11"/>
  <c r="AQ77" i="11"/>
  <c r="AO77" i="11"/>
  <c r="KT77" i="9"/>
  <c r="LC77" i="9" s="1"/>
  <c r="KT74" i="9"/>
  <c r="LC74" i="9" s="1"/>
  <c r="AP75" i="11"/>
  <c r="AQ76" i="11"/>
  <c r="AK76" i="9"/>
  <c r="J76" i="9" s="1"/>
  <c r="AS77" i="11"/>
  <c r="KR73" i="9"/>
  <c r="LA73" i="9" s="1"/>
  <c r="AN74" i="11"/>
  <c r="AK75" i="9"/>
  <c r="J75" i="9" s="1"/>
  <c r="AS76" i="11"/>
  <c r="ID74" i="9"/>
  <c r="EY74" i="9" s="1"/>
  <c r="ID77" i="9"/>
  <c r="EP77" i="9"/>
  <c r="KO74" i="9"/>
  <c r="KO75" i="9"/>
  <c r="KO77" i="9"/>
  <c r="ID73" i="9"/>
  <c r="ID75" i="9"/>
  <c r="EY75" i="9" s="1"/>
  <c r="AC76" i="9"/>
  <c r="J63" i="8"/>
  <c r="KW73" i="9"/>
  <c r="LF73" i="9" s="1"/>
  <c r="KO73" i="9"/>
  <c r="KO76" i="9"/>
  <c r="FO73" i="9"/>
  <c r="KW74" i="9"/>
  <c r="LF74" i="9" s="1"/>
  <c r="FP76" i="9"/>
  <c r="KW77" i="9"/>
  <c r="LF77" i="9" s="1"/>
  <c r="KW75" i="9"/>
  <c r="LF75" i="9" s="1"/>
  <c r="KW76" i="9"/>
  <c r="LF76" i="9" s="1"/>
  <c r="AE73" i="9"/>
  <c r="D73" i="9" s="1"/>
  <c r="AH75" i="9"/>
  <c r="G75" i="9" s="1"/>
  <c r="AF77" i="9"/>
  <c r="E77" i="9" s="1"/>
  <c r="AJ77" i="9"/>
  <c r="I77" i="9" s="1"/>
  <c r="AD76" i="9"/>
  <c r="AF76" i="9"/>
  <c r="E76" i="9" s="1"/>
  <c r="AD73" i="9"/>
  <c r="C73" i="9" s="1"/>
  <c r="AD77" i="9"/>
  <c r="AH73" i="9"/>
  <c r="G73" i="9" s="1"/>
  <c r="AJ73" i="9"/>
  <c r="I73" i="9" s="1"/>
  <c r="AH76" i="9"/>
  <c r="G76" i="9" s="1"/>
  <c r="AJ74" i="9"/>
  <c r="I74" i="9" s="1"/>
  <c r="AH74" i="9"/>
  <c r="G74" i="9" s="1"/>
  <c r="AF75" i="9"/>
  <c r="E75" i="9" s="1"/>
  <c r="AE77" i="9"/>
  <c r="D77" i="9" s="1"/>
  <c r="AE75" i="9"/>
  <c r="D75" i="9" s="1"/>
  <c r="AE76" i="9"/>
  <c r="D76" i="9" s="1"/>
  <c r="AJ76" i="9"/>
  <c r="I76" i="9" s="1"/>
  <c r="AD75" i="9"/>
  <c r="AF74" i="9"/>
  <c r="E74" i="9" s="1"/>
  <c r="AE74" i="9"/>
  <c r="D74" i="9" s="1"/>
  <c r="AD74" i="9"/>
  <c r="C74" i="9" s="1"/>
  <c r="AJ75" i="9"/>
  <c r="I75" i="9" s="1"/>
  <c r="AF73" i="9"/>
  <c r="E73" i="9" s="1"/>
  <c r="AH77" i="9"/>
  <c r="G77" i="9" s="1"/>
  <c r="FM73" i="9"/>
  <c r="ID76" i="9"/>
  <c r="FK74" i="9"/>
  <c r="FI76" i="9"/>
  <c r="FO76" i="9"/>
  <c r="FP75" i="9"/>
  <c r="FK73" i="9"/>
  <c r="AD65" i="11"/>
  <c r="FI74" i="9"/>
  <c r="FK77" i="9"/>
  <c r="FM75" i="9"/>
  <c r="FO74" i="9"/>
  <c r="FJ73" i="9"/>
  <c r="FP74" i="9"/>
  <c r="FJ74" i="9"/>
  <c r="FO75" i="9"/>
  <c r="FI73" i="9"/>
  <c r="FM74" i="9"/>
  <c r="FM77" i="9"/>
  <c r="FO77" i="9"/>
  <c r="FI75" i="9"/>
  <c r="FP77" i="9"/>
  <c r="FK75" i="9"/>
  <c r="FI77" i="9"/>
  <c r="FM76" i="9"/>
  <c r="FP73" i="9"/>
  <c r="DP64" i="8"/>
  <c r="LX64" i="9" s="1"/>
  <c r="R63" i="8"/>
  <c r="B63" i="8"/>
  <c r="DI62" i="8"/>
  <c r="DH62" i="8"/>
  <c r="DG62" i="8"/>
  <c r="CY62" i="8"/>
  <c r="R62" i="8" a="1"/>
  <c r="J62" i="8" a="1"/>
  <c r="B62" i="8" a="1"/>
  <c r="DK63" i="8" l="1"/>
  <c r="KX74" i="9"/>
  <c r="DJ62" i="8"/>
  <c r="DL62" i="8" s="1"/>
  <c r="KX73" i="9"/>
  <c r="KX77" i="9"/>
  <c r="KX75" i="9"/>
  <c r="KX76" i="9"/>
  <c r="C77" i="9"/>
  <c r="C75" i="9"/>
  <c r="C76" i="9"/>
  <c r="KP76" i="9"/>
  <c r="KY76" i="9" s="1"/>
  <c r="KZ75" i="9"/>
  <c r="DM76" i="8"/>
  <c r="B76" i="9"/>
  <c r="DM74" i="8"/>
  <c r="B74" i="9"/>
  <c r="KZ77" i="9"/>
  <c r="KP75" i="9"/>
  <c r="KY75" i="9" s="1"/>
  <c r="KP77" i="9"/>
  <c r="KY77" i="9" s="1"/>
  <c r="KZ76" i="9"/>
  <c r="DO75" i="8"/>
  <c r="DO73" i="8"/>
  <c r="DO77" i="8"/>
  <c r="EY77" i="9"/>
  <c r="FH77" i="9" s="1"/>
  <c r="EY73" i="9"/>
  <c r="FH73" i="9" s="1"/>
  <c r="J62" i="8"/>
  <c r="FH75" i="9"/>
  <c r="FH74" i="9"/>
  <c r="EY76" i="9"/>
  <c r="AD64" i="11"/>
  <c r="DP63" i="8"/>
  <c r="LX63" i="9" s="1"/>
  <c r="B62" i="8"/>
  <c r="R62" i="8"/>
  <c r="DI61" i="8"/>
  <c r="DH61" i="8"/>
  <c r="DG61" i="8"/>
  <c r="CY61" i="8"/>
  <c r="B61" i="8" a="1"/>
  <c r="DK62" i="8" l="1"/>
  <c r="DJ61" i="8"/>
  <c r="DL61" i="8" s="1"/>
  <c r="Q78" i="11"/>
  <c r="Q74" i="11"/>
  <c r="K77" i="12"/>
  <c r="T77" i="12" s="1"/>
  <c r="DO74" i="8"/>
  <c r="Q76" i="11"/>
  <c r="DO76" i="8"/>
  <c r="FH76" i="9"/>
  <c r="AD63" i="11"/>
  <c r="DP62" i="8"/>
  <c r="LX62" i="9" s="1"/>
  <c r="B61" i="8"/>
  <c r="DI60" i="8"/>
  <c r="DH60" i="8"/>
  <c r="DG60" i="8"/>
  <c r="CY60" i="8"/>
  <c r="R60" i="8" a="1"/>
  <c r="J60" i="8" a="1"/>
  <c r="B60" i="8" a="1"/>
  <c r="DK61" i="8" l="1"/>
  <c r="DJ60" i="8"/>
  <c r="DL60" i="8" s="1"/>
  <c r="K73" i="12"/>
  <c r="T73" i="12" s="1"/>
  <c r="GB73" i="9" s="1"/>
  <c r="GK73" i="9" s="1"/>
  <c r="AP73" i="9"/>
  <c r="AG73" i="9" s="1"/>
  <c r="F73" i="9" s="1"/>
  <c r="JR73" i="9"/>
  <c r="K75" i="12"/>
  <c r="T75" i="12" s="1"/>
  <c r="GB75" i="9" s="1"/>
  <c r="GK75" i="9" s="1"/>
  <c r="K76" i="12"/>
  <c r="T76" i="12" s="1"/>
  <c r="AP75" i="9"/>
  <c r="AG75" i="9" s="1"/>
  <c r="F75" i="9" s="1"/>
  <c r="JR75" i="9"/>
  <c r="JR77" i="9"/>
  <c r="AP77" i="9"/>
  <c r="AG77" i="9" s="1"/>
  <c r="F77" i="9" s="1"/>
  <c r="Q77" i="11"/>
  <c r="GB77" i="9"/>
  <c r="GK77" i="9" s="1"/>
  <c r="J60" i="8"/>
  <c r="B60" i="8"/>
  <c r="R60" i="8"/>
  <c r="DI59" i="8"/>
  <c r="DH59" i="8"/>
  <c r="DG59" i="8"/>
  <c r="CY59" i="8"/>
  <c r="R59" i="8" a="1"/>
  <c r="J59" i="8" a="1"/>
  <c r="B59" i="8" a="1"/>
  <c r="DJ59" i="8" l="1"/>
  <c r="DL59" i="8" s="1"/>
  <c r="DK60" i="8"/>
  <c r="Q75" i="11"/>
  <c r="K74" i="12"/>
  <c r="T74" i="12" s="1"/>
  <c r="GB74" i="9" s="1"/>
  <c r="AR73" i="9"/>
  <c r="AI73" i="9" s="1"/>
  <c r="H73" i="9" s="1"/>
  <c r="JT73" i="9"/>
  <c r="JR74" i="9"/>
  <c r="AP74" i="9"/>
  <c r="AG74" i="9" s="1"/>
  <c r="F74" i="9" s="1"/>
  <c r="AR75" i="9"/>
  <c r="AI75" i="9" s="1"/>
  <c r="H75" i="9" s="1"/>
  <c r="JT75" i="9"/>
  <c r="JR76" i="9"/>
  <c r="AP76" i="9"/>
  <c r="AG76" i="9" s="1"/>
  <c r="F76" i="9" s="1"/>
  <c r="ET73" i="9"/>
  <c r="IH73" i="9"/>
  <c r="KS73" i="9"/>
  <c r="ET77" i="9"/>
  <c r="IH77" i="9"/>
  <c r="KS77" i="9"/>
  <c r="JT77" i="9"/>
  <c r="AR77" i="9"/>
  <c r="AI77" i="9" s="1"/>
  <c r="H77" i="9" s="1"/>
  <c r="ET75" i="9"/>
  <c r="IH75" i="9"/>
  <c r="KS75" i="9"/>
  <c r="GT77" i="9"/>
  <c r="IM77" i="9" s="1"/>
  <c r="GT75" i="9"/>
  <c r="IM75" i="9" s="1"/>
  <c r="GT73" i="9"/>
  <c r="IM73" i="9" s="1"/>
  <c r="GB76" i="9"/>
  <c r="GK76" i="9" s="1"/>
  <c r="J59" i="8"/>
  <c r="AD61" i="11"/>
  <c r="DP60" i="8"/>
  <c r="LX60" i="9" s="1"/>
  <c r="B59" i="8"/>
  <c r="R59" i="8"/>
  <c r="DI58" i="8"/>
  <c r="DH58" i="8"/>
  <c r="DG58" i="8"/>
  <c r="CY58" i="8"/>
  <c r="R58" i="8" a="1"/>
  <c r="J58" i="8" a="1"/>
  <c r="B58" i="8" a="1"/>
  <c r="DK59" i="8" l="1"/>
  <c r="DJ58" i="8"/>
  <c r="DL58" i="8" s="1"/>
  <c r="DK58" i="8"/>
  <c r="GK74" i="9"/>
  <c r="GT74" i="9" s="1"/>
  <c r="IM74" i="9" s="1"/>
  <c r="LB77" i="9"/>
  <c r="LB75" i="9"/>
  <c r="FC77" i="9"/>
  <c r="FL77" i="9" s="1"/>
  <c r="FC73" i="9"/>
  <c r="FL73" i="9" s="1"/>
  <c r="EV75" i="9"/>
  <c r="IJ75" i="9"/>
  <c r="KU75" i="9"/>
  <c r="JT74" i="9"/>
  <c r="AR74" i="9"/>
  <c r="AI74" i="9" s="1"/>
  <c r="H74" i="9" s="1"/>
  <c r="ET74" i="9"/>
  <c r="IH74" i="9"/>
  <c r="KS74" i="9"/>
  <c r="JT76" i="9"/>
  <c r="AR76" i="9"/>
  <c r="AI76" i="9" s="1"/>
  <c r="H76" i="9" s="1"/>
  <c r="FC75" i="9"/>
  <c r="FL75" i="9" s="1"/>
  <c r="EV73" i="9"/>
  <c r="IJ73" i="9"/>
  <c r="KU73" i="9"/>
  <c r="LB73" i="9"/>
  <c r="ET76" i="9"/>
  <c r="IH76" i="9"/>
  <c r="KS76" i="9"/>
  <c r="EV77" i="9"/>
  <c r="IJ77" i="9"/>
  <c r="KU77" i="9"/>
  <c r="GT76" i="9"/>
  <c r="IM76" i="9" s="1"/>
  <c r="J58" i="8"/>
  <c r="AD60" i="11"/>
  <c r="DP59" i="8"/>
  <c r="LX59" i="9" s="1"/>
  <c r="R58" i="8"/>
  <c r="B58" i="8"/>
  <c r="DI57" i="8"/>
  <c r="DH57" i="8"/>
  <c r="DG57" i="8"/>
  <c r="CY57" i="8"/>
  <c r="R57" i="8" a="1"/>
  <c r="J57" i="8" a="1"/>
  <c r="B57" i="8" a="1"/>
  <c r="DJ57" i="8" l="1"/>
  <c r="DL57" i="8" s="1"/>
  <c r="LB76" i="9"/>
  <c r="FE77" i="9"/>
  <c r="FN77" i="9" s="1"/>
  <c r="FE73" i="9"/>
  <c r="FN73" i="9" s="1"/>
  <c r="FC74" i="9"/>
  <c r="FL74" i="9" s="1"/>
  <c r="LD75" i="9"/>
  <c r="LD77" i="9"/>
  <c r="FC76" i="9"/>
  <c r="FL76" i="9" s="1"/>
  <c r="EV76" i="9"/>
  <c r="IJ76" i="9"/>
  <c r="KU76" i="9"/>
  <c r="EV74" i="9"/>
  <c r="IJ74" i="9"/>
  <c r="KU74" i="9"/>
  <c r="LD73" i="9"/>
  <c r="LB74" i="9"/>
  <c r="FE75" i="9"/>
  <c r="FN75" i="9" s="1"/>
  <c r="J57" i="8"/>
  <c r="AD59" i="11"/>
  <c r="DP58" i="8"/>
  <c r="LX58" i="9" s="1"/>
  <c r="B57" i="8"/>
  <c r="R57" i="8"/>
  <c r="DI56" i="8"/>
  <c r="DH56" i="8"/>
  <c r="DG56" i="8"/>
  <c r="CY56" i="8"/>
  <c r="R56" i="8" a="1"/>
  <c r="J56" i="8" a="1"/>
  <c r="B56" i="8" a="1"/>
  <c r="DK57" i="8" l="1"/>
  <c r="DJ56" i="8"/>
  <c r="DL56" i="8" s="1"/>
  <c r="LD74" i="9"/>
  <c r="FE76" i="9"/>
  <c r="FN76" i="9" s="1"/>
  <c r="LD76" i="9"/>
  <c r="FE74" i="9"/>
  <c r="FN74" i="9" s="1"/>
  <c r="J56" i="8"/>
  <c r="AD58" i="11"/>
  <c r="DP57" i="8"/>
  <c r="MD57" i="9" s="1"/>
  <c r="R56" i="8"/>
  <c r="B56" i="8"/>
  <c r="DK56" i="8" l="1"/>
  <c r="AD57" i="11"/>
  <c r="DP56" i="8"/>
  <c r="MD56" i="9" s="1"/>
  <c r="DI54" i="8"/>
  <c r="DH54" i="8"/>
  <c r="DG54" i="8"/>
  <c r="CY54" i="8"/>
  <c r="B54" i="8" a="1"/>
  <c r="DJ54" i="8" l="1"/>
  <c r="DL54" i="8" s="1"/>
  <c r="DP55" i="8"/>
  <c r="MD55" i="9" s="1"/>
  <c r="AD56" i="11"/>
  <c r="B54" i="8"/>
  <c r="DI53" i="8"/>
  <c r="DH53" i="8"/>
  <c r="DG53" i="8"/>
  <c r="CY53" i="8"/>
  <c r="R53" i="8" a="1"/>
  <c r="J53" i="8" a="1"/>
  <c r="B53" i="8" a="1"/>
  <c r="DK54" i="8" l="1"/>
  <c r="DJ53" i="8"/>
  <c r="DL53" i="8" s="1"/>
  <c r="J53" i="8"/>
  <c r="R53" i="8"/>
  <c r="B53" i="8"/>
  <c r="DI52" i="8"/>
  <c r="DH52" i="8"/>
  <c r="DG52" i="8"/>
  <c r="CY52" i="8"/>
  <c r="R52" i="8" a="1"/>
  <c r="J52" i="8" a="1"/>
  <c r="B52" i="8" a="1"/>
  <c r="DK53" i="8" l="1"/>
  <c r="DJ52" i="8"/>
  <c r="DL52" i="8" s="1"/>
  <c r="J52" i="8"/>
  <c r="AD54" i="11"/>
  <c r="DP53" i="8"/>
  <c r="MD53" i="9" s="1"/>
  <c r="B52" i="8"/>
  <c r="R52" i="8"/>
  <c r="DI51" i="8"/>
  <c r="DH51" i="8"/>
  <c r="DG51" i="8"/>
  <c r="CY51" i="8"/>
  <c r="R51" i="8" a="1"/>
  <c r="J51" i="8" a="1"/>
  <c r="B51" i="8" a="1"/>
  <c r="DK52" i="8" l="1"/>
  <c r="DJ51" i="8"/>
  <c r="DL51" i="8" s="1"/>
  <c r="J51" i="8"/>
  <c r="AD53" i="11"/>
  <c r="DP52" i="8"/>
  <c r="MD52" i="9" s="1"/>
  <c r="B51" i="8"/>
  <c r="R51" i="8"/>
  <c r="DI50" i="8"/>
  <c r="DH50" i="8"/>
  <c r="DG50" i="8"/>
  <c r="CY50" i="8"/>
  <c r="R50" i="8" a="1"/>
  <c r="J50" i="8" a="1"/>
  <c r="B50" i="8" a="1"/>
  <c r="DK51" i="8" l="1"/>
  <c r="DJ50" i="8"/>
  <c r="DL50" i="8" s="1"/>
  <c r="J50" i="8"/>
  <c r="AD52" i="11"/>
  <c r="DP51" i="8"/>
  <c r="MD51" i="9" s="1"/>
  <c r="B50" i="8"/>
  <c r="R50" i="8"/>
  <c r="DI49" i="8"/>
  <c r="DH49" i="8"/>
  <c r="DG49" i="8"/>
  <c r="CY49" i="8"/>
  <c r="R49" i="8" a="1"/>
  <c r="J49" i="8" a="1"/>
  <c r="B49" i="8" a="1"/>
  <c r="DK50" i="8" l="1"/>
  <c r="DJ49" i="8"/>
  <c r="DL49" i="8" s="1"/>
  <c r="J49" i="8"/>
  <c r="AD51" i="11"/>
  <c r="DP50" i="8"/>
  <c r="MD50" i="9" s="1"/>
  <c r="B49" i="8"/>
  <c r="R49" i="8"/>
  <c r="O118" i="7"/>
  <c r="O119" i="7"/>
  <c r="O120" i="7"/>
  <c r="O121" i="7"/>
  <c r="O122" i="7"/>
  <c r="CW3" i="8"/>
  <c r="CW4" i="8"/>
  <c r="CW5" i="8"/>
  <c r="CW6" i="8"/>
  <c r="CW7" i="8"/>
  <c r="CW8" i="8"/>
  <c r="CW9" i="8"/>
  <c r="CW10" i="8"/>
  <c r="CW11" i="8"/>
  <c r="CW12" i="8"/>
  <c r="CW13" i="8"/>
  <c r="CW14" i="8"/>
  <c r="CW15" i="8"/>
  <c r="CW16" i="8"/>
  <c r="CW17" i="8"/>
  <c r="CW18" i="8"/>
  <c r="CW19" i="8"/>
  <c r="CW20" i="8"/>
  <c r="CW21" i="8"/>
  <c r="CW22" i="8"/>
  <c r="CW23" i="8"/>
  <c r="CW24" i="8"/>
  <c r="CW25" i="8"/>
  <c r="CW26" i="8"/>
  <c r="CW27" i="8"/>
  <c r="CW28" i="8"/>
  <c r="CW29" i="8"/>
  <c r="CW30" i="8"/>
  <c r="CW31" i="8"/>
  <c r="CW32" i="8"/>
  <c r="CW33" i="8"/>
  <c r="CW34" i="8"/>
  <c r="CW35" i="8"/>
  <c r="CW36" i="8"/>
  <c r="CW37" i="8"/>
  <c r="CW38" i="8"/>
  <c r="CW39" i="8"/>
  <c r="CW40" i="8"/>
  <c r="CW41" i="8"/>
  <c r="CW42" i="8"/>
  <c r="CW43" i="8"/>
  <c r="CW44" i="8"/>
  <c r="CW45" i="8"/>
  <c r="CW46" i="8"/>
  <c r="CW47" i="8"/>
  <c r="CW48" i="8"/>
  <c r="CW49" i="8"/>
  <c r="CW50" i="8"/>
  <c r="CW51" i="8"/>
  <c r="CW52" i="8"/>
  <c r="CW53" i="8"/>
  <c r="CW54" i="8"/>
  <c r="CW55" i="8"/>
  <c r="CW56" i="8"/>
  <c r="CW57" i="8"/>
  <c r="CW58" i="8"/>
  <c r="CW59" i="8"/>
  <c r="CW60" i="8"/>
  <c r="CW61" i="8"/>
  <c r="CW62" i="8"/>
  <c r="CW63" i="8"/>
  <c r="CW64" i="8"/>
  <c r="CW65" i="8"/>
  <c r="CW66" i="8"/>
  <c r="CW67" i="8"/>
  <c r="CW68" i="8"/>
  <c r="CW69" i="8"/>
  <c r="CW70" i="8"/>
  <c r="CW71" i="8"/>
  <c r="CW72" i="8"/>
  <c r="CW2" i="8"/>
  <c r="DC70" i="8"/>
  <c r="O94" i="7"/>
  <c r="Q94" i="7"/>
  <c r="O95" i="7"/>
  <c r="Q95" i="7"/>
  <c r="O96" i="7"/>
  <c r="Q96" i="7"/>
  <c r="O97" i="7"/>
  <c r="Q97" i="7"/>
  <c r="O98" i="7"/>
  <c r="Q98" i="7"/>
  <c r="O99" i="7"/>
  <c r="Q99" i="7"/>
  <c r="O100" i="7"/>
  <c r="Q100" i="7"/>
  <c r="O101" i="7"/>
  <c r="Q101" i="7"/>
  <c r="O102" i="7"/>
  <c r="Q102" i="7"/>
  <c r="O103" i="7"/>
  <c r="Q103" i="7"/>
  <c r="O104" i="7"/>
  <c r="Q104" i="7"/>
  <c r="CZ70" i="8"/>
  <c r="CX70" i="8"/>
  <c r="DA70" i="8"/>
  <c r="DB70" i="8"/>
  <c r="DD70" i="8"/>
  <c r="C70" i="10" s="1"/>
  <c r="DE70" i="8"/>
  <c r="DF70" i="8"/>
  <c r="A70" i="8"/>
  <c r="Q115" i="7"/>
  <c r="O115" i="7"/>
  <c r="DK49" i="8" l="1"/>
  <c r="BD70" i="9"/>
  <c r="JE70" i="9"/>
  <c r="IV70" i="9"/>
  <c r="DN70" i="8"/>
  <c r="K70" i="9"/>
  <c r="T70" i="9" s="1"/>
  <c r="AR29" i="10"/>
  <c r="AS29" i="10"/>
  <c r="AU29" i="10"/>
  <c r="AO29" i="10"/>
  <c r="AP29" i="10"/>
  <c r="AQ29" i="10"/>
  <c r="AT29" i="10"/>
  <c r="DP70" i="9"/>
  <c r="DQ70" i="9"/>
  <c r="DR70" i="9"/>
  <c r="DS70" i="9"/>
  <c r="DT70" i="9"/>
  <c r="DU70" i="9"/>
  <c r="DV70" i="9"/>
  <c r="DW70" i="9"/>
  <c r="DO70" i="9"/>
  <c r="EG70" i="9" s="1"/>
  <c r="B70" i="10"/>
  <c r="DL70" i="9" a="1"/>
  <c r="DL70" i="9" s="1"/>
  <c r="DM70" i="9" a="1"/>
  <c r="DM70" i="9" s="1"/>
  <c r="DN70" i="9" a="1"/>
  <c r="DN70" i="9" s="1"/>
  <c r="DG70" i="9"/>
  <c r="DH70" i="9" a="1"/>
  <c r="DH70" i="9" s="1"/>
  <c r="DI70" i="9" a="1"/>
  <c r="DI70" i="9" s="1"/>
  <c r="DJ70" i="9" a="1"/>
  <c r="DJ70" i="9" s="1"/>
  <c r="DF70" i="9"/>
  <c r="DK70" i="9" a="1"/>
  <c r="DK70" i="9" s="1"/>
  <c r="AC70" i="10"/>
  <c r="W70" i="10"/>
  <c r="X70" i="10"/>
  <c r="Y70" i="10"/>
  <c r="V70" i="10"/>
  <c r="Z70" i="10"/>
  <c r="AA70" i="10"/>
  <c r="AB70" i="10"/>
  <c r="AU70" i="9"/>
  <c r="CW70" i="9"/>
  <c r="AG29" i="10"/>
  <c r="AH29" i="10"/>
  <c r="AI29" i="10"/>
  <c r="AJ29" i="10"/>
  <c r="AK29" i="10"/>
  <c r="AL29" i="10"/>
  <c r="AF29" i="10"/>
  <c r="A70" i="9"/>
  <c r="A70" i="12"/>
  <c r="AD50" i="11"/>
  <c r="CN70" i="9"/>
  <c r="CE70" i="9"/>
  <c r="AZ70" i="8"/>
  <c r="BD70" i="8"/>
  <c r="BB70" i="8"/>
  <c r="DP49" i="8"/>
  <c r="MD49" i="9" s="1"/>
  <c r="BJ70" i="8"/>
  <c r="BN70" i="8"/>
  <c r="BF70" i="8"/>
  <c r="BH70" i="8"/>
  <c r="BL70" i="8"/>
  <c r="BP70" i="8"/>
  <c r="CX66" i="8"/>
  <c r="CZ66" i="8"/>
  <c r="DA66" i="8"/>
  <c r="DB66" i="8"/>
  <c r="DC66" i="8"/>
  <c r="DD66" i="8"/>
  <c r="C66" i="10" s="1"/>
  <c r="DE66" i="8"/>
  <c r="DF66" i="8"/>
  <c r="A66" i="8"/>
  <c r="Q111" i="7"/>
  <c r="O111" i="7"/>
  <c r="KF70" i="9" l="1"/>
  <c r="AM70" i="10"/>
  <c r="L70" i="10"/>
  <c r="U70" i="10" s="1"/>
  <c r="DS70" i="8"/>
  <c r="DR70" i="8"/>
  <c r="LK70" i="9"/>
  <c r="BZ70" i="9" s="1"/>
  <c r="N70" i="9" s="1"/>
  <c r="W70" i="9" s="1"/>
  <c r="LL70" i="9"/>
  <c r="CA70" i="9" s="1"/>
  <c r="O70" i="9" s="1"/>
  <c r="X70" i="9" s="1"/>
  <c r="BD66" i="9"/>
  <c r="DN66" i="8"/>
  <c r="IV66" i="9"/>
  <c r="JE66" i="9"/>
  <c r="K66" i="9"/>
  <c r="T66" i="9" s="1"/>
  <c r="HL70" i="9"/>
  <c r="S70" i="9"/>
  <c r="AB70" i="9" s="1"/>
  <c r="LM70" i="9"/>
  <c r="CB70" i="9" s="1"/>
  <c r="P70" i="9" s="1"/>
  <c r="Y70" i="9" s="1"/>
  <c r="CB70" i="10"/>
  <c r="BX70" i="10"/>
  <c r="CA70" i="10"/>
  <c r="BZ70" i="10"/>
  <c r="BY70" i="10"/>
  <c r="CE70" i="10"/>
  <c r="CD70" i="10"/>
  <c r="CC70" i="10"/>
  <c r="BS70" i="10"/>
  <c r="BR70" i="10"/>
  <c r="BO70" i="10"/>
  <c r="BQ70" i="10"/>
  <c r="BP70" i="10"/>
  <c r="BV70" i="10"/>
  <c r="BU70" i="10"/>
  <c r="BT70" i="10"/>
  <c r="JW70" i="9"/>
  <c r="BB29" i="10"/>
  <c r="LG70" i="9"/>
  <c r="BV70" i="9" s="1"/>
  <c r="DQ70" i="8" s="1"/>
  <c r="LJ70" i="9"/>
  <c r="BY70" i="9" s="1"/>
  <c r="M70" i="9" s="1"/>
  <c r="V70" i="9" s="1"/>
  <c r="LN70" i="9"/>
  <c r="CC70" i="9" s="1"/>
  <c r="LO70" i="9"/>
  <c r="CD70" i="9" s="1"/>
  <c r="LI70" i="9"/>
  <c r="LH70" i="9"/>
  <c r="BW70" i="9" s="1"/>
  <c r="HD70" i="9" s="1"/>
  <c r="BJ29" i="10"/>
  <c r="BG29" i="10"/>
  <c r="BC29" i="10"/>
  <c r="DX70" i="9"/>
  <c r="BM70" i="9" s="1"/>
  <c r="AK71" i="11" s="1"/>
  <c r="EO70" i="9"/>
  <c r="EF70" i="9"/>
  <c r="JV70" i="9"/>
  <c r="EX70" i="9" s="1"/>
  <c r="EN70" i="9"/>
  <c r="EE70" i="9"/>
  <c r="JU70" i="9"/>
  <c r="EW70" i="9" s="1"/>
  <c r="AS70" i="9"/>
  <c r="DY70" i="9"/>
  <c r="EH70" i="9"/>
  <c r="JO70" i="9"/>
  <c r="EQ70" i="9" s="1"/>
  <c r="AM70" i="9"/>
  <c r="B66" i="10"/>
  <c r="AD66" i="10" s="1"/>
  <c r="EM70" i="9"/>
  <c r="ED70" i="9"/>
  <c r="DZ70" i="9"/>
  <c r="EI70" i="9"/>
  <c r="AN70" i="9"/>
  <c r="JP70" i="9"/>
  <c r="ER70" i="9" s="1"/>
  <c r="AC66" i="10"/>
  <c r="W66" i="10"/>
  <c r="X66" i="10"/>
  <c r="Y66" i="10"/>
  <c r="V66" i="10"/>
  <c r="Z66" i="10"/>
  <c r="AA66" i="10"/>
  <c r="AB66" i="10"/>
  <c r="EC70" i="9"/>
  <c r="EL70" i="9"/>
  <c r="AQ70" i="9"/>
  <c r="JS70" i="9"/>
  <c r="EU70" i="9" s="1"/>
  <c r="DP66" i="9"/>
  <c r="DQ66" i="9"/>
  <c r="DR66" i="9"/>
  <c r="DS66" i="9"/>
  <c r="DT66" i="9"/>
  <c r="DU66" i="9"/>
  <c r="DV66" i="9"/>
  <c r="DW66" i="9"/>
  <c r="DO66" i="9"/>
  <c r="DX66" i="9" s="1"/>
  <c r="AD70" i="10"/>
  <c r="EB70" i="9"/>
  <c r="EK70" i="9"/>
  <c r="DK66" i="9" a="1"/>
  <c r="DK66" i="9" s="1"/>
  <c r="DN66" i="9" a="1"/>
  <c r="DN66" i="9" s="1"/>
  <c r="DG66" i="9"/>
  <c r="DH66" i="9" a="1"/>
  <c r="DH66" i="9" s="1"/>
  <c r="DF66" i="9"/>
  <c r="DI66" i="9" a="1"/>
  <c r="DI66" i="9" s="1"/>
  <c r="DJ66" i="9" a="1"/>
  <c r="DJ66" i="9" s="1"/>
  <c r="DL66" i="9" a="1"/>
  <c r="DL66" i="9" s="1"/>
  <c r="DM66" i="9" a="1"/>
  <c r="DM66" i="9" s="1"/>
  <c r="BD29" i="10"/>
  <c r="AN29" i="10"/>
  <c r="EA70" i="9"/>
  <c r="EJ70" i="9"/>
  <c r="AO70" i="9"/>
  <c r="JQ70" i="9"/>
  <c r="ES70" i="9" s="1"/>
  <c r="AX29" i="10"/>
  <c r="BI29" i="10"/>
  <c r="A66" i="9"/>
  <c r="A66" i="12"/>
  <c r="BH29" i="10"/>
  <c r="AU66" i="9"/>
  <c r="CW66" i="9"/>
  <c r="BM29" i="10"/>
  <c r="BL29" i="10"/>
  <c r="BA29" i="10"/>
  <c r="BK29" i="10"/>
  <c r="AZ29" i="10"/>
  <c r="AE29" i="10"/>
  <c r="AY29" i="10"/>
  <c r="AT70" i="9"/>
  <c r="AZ66" i="8"/>
  <c r="BD66" i="8"/>
  <c r="BB66" i="8"/>
  <c r="CN66" i="9"/>
  <c r="CE66" i="9"/>
  <c r="L71" i="11"/>
  <c r="BN66" i="8"/>
  <c r="BL66" i="8"/>
  <c r="BP66" i="8"/>
  <c r="BF66" i="8"/>
  <c r="BH66" i="8"/>
  <c r="BJ66" i="8"/>
  <c r="CX61" i="8"/>
  <c r="CZ61" i="8"/>
  <c r="DA61" i="8"/>
  <c r="DB61" i="8"/>
  <c r="DC61" i="8"/>
  <c r="DD61" i="8"/>
  <c r="C61" i="10" s="1"/>
  <c r="DE61" i="8"/>
  <c r="DF61" i="8"/>
  <c r="R61" i="8" a="1"/>
  <c r="R61" i="8" s="1"/>
  <c r="J61" i="8" a="1"/>
  <c r="J61" i="8" s="1"/>
  <c r="A61" i="8"/>
  <c r="O106" i="7"/>
  <c r="Q106" i="7"/>
  <c r="HH70" i="9" l="1"/>
  <c r="KF66" i="9"/>
  <c r="AM66" i="10"/>
  <c r="AV66" i="10" s="1"/>
  <c r="L66" i="10"/>
  <c r="U66" i="10" s="1"/>
  <c r="AV70" i="10"/>
  <c r="DT70" i="8"/>
  <c r="LK66" i="9"/>
  <c r="BZ66" i="9" s="1"/>
  <c r="N66" i="9" s="1"/>
  <c r="W66" i="9" s="1"/>
  <c r="DR66" i="8"/>
  <c r="DS66" i="8"/>
  <c r="CH70" i="10"/>
  <c r="CQ70" i="10" s="1"/>
  <c r="CN70" i="10"/>
  <c r="CW70" i="10" s="1"/>
  <c r="CI70" i="10"/>
  <c r="CR70" i="10" s="1"/>
  <c r="CJ70" i="10"/>
  <c r="CS70" i="10" s="1"/>
  <c r="CG70" i="10"/>
  <c r="CP70" i="10" s="1"/>
  <c r="CK70" i="10"/>
  <c r="CT70" i="10" s="1"/>
  <c r="CL70" i="10"/>
  <c r="CU70" i="10" s="1"/>
  <c r="CM70" i="10"/>
  <c r="CV70" i="10" s="1"/>
  <c r="HG70" i="9"/>
  <c r="BD61" i="9"/>
  <c r="JE61" i="9"/>
  <c r="DN61" i="8"/>
  <c r="IV61" i="9"/>
  <c r="K61" i="9"/>
  <c r="T61" i="9" s="1"/>
  <c r="BW70" i="10"/>
  <c r="HL66" i="9"/>
  <c r="S66" i="9"/>
  <c r="AB66" i="9" s="1"/>
  <c r="HI70" i="9"/>
  <c r="CD66" i="10"/>
  <c r="CC66" i="10"/>
  <c r="CB66" i="10"/>
  <c r="BX66" i="10"/>
  <c r="CA66" i="10"/>
  <c r="HF70" i="9"/>
  <c r="BY66" i="10"/>
  <c r="CE66" i="10"/>
  <c r="BZ66" i="10"/>
  <c r="BT66" i="10"/>
  <c r="BO66" i="10"/>
  <c r="BS66" i="10"/>
  <c r="BR66" i="10"/>
  <c r="BQ66" i="10"/>
  <c r="BV66" i="10"/>
  <c r="BP66" i="10"/>
  <c r="BU66" i="10"/>
  <c r="HK70" i="9"/>
  <c r="R70" i="9"/>
  <c r="AA70" i="9" s="1"/>
  <c r="HJ70" i="9"/>
  <c r="Q70" i="9"/>
  <c r="Z70" i="9" s="1"/>
  <c r="JW66" i="9"/>
  <c r="LO66" i="9"/>
  <c r="CD66" i="9" s="1"/>
  <c r="R66" i="9" s="1"/>
  <c r="AA66" i="9" s="1"/>
  <c r="LM66" i="9"/>
  <c r="CB66" i="9" s="1"/>
  <c r="P66" i="9" s="1"/>
  <c r="Y66" i="9" s="1"/>
  <c r="LL66" i="9"/>
  <c r="CA66" i="9" s="1"/>
  <c r="LG66" i="9"/>
  <c r="BV66" i="9" s="1"/>
  <c r="DQ66" i="8" s="1"/>
  <c r="LI66" i="9"/>
  <c r="BX66" i="9" s="1"/>
  <c r="LH66" i="9"/>
  <c r="BW66" i="9" s="1"/>
  <c r="HD66" i="9" s="1"/>
  <c r="LN66" i="9"/>
  <c r="CC66" i="9" s="1"/>
  <c r="LJ66" i="9"/>
  <c r="BY66" i="9" s="1"/>
  <c r="M66" i="9" s="1"/>
  <c r="V66" i="9" s="1"/>
  <c r="BX70" i="9"/>
  <c r="IF70" i="9" s="1"/>
  <c r="FA70" i="9" s="1"/>
  <c r="G71" i="11"/>
  <c r="BS70" i="9"/>
  <c r="AQ71" i="11" s="1"/>
  <c r="BE70" i="10"/>
  <c r="BN70" i="10" s="1"/>
  <c r="HC70" i="9"/>
  <c r="AW29" i="10"/>
  <c r="EB66" i="9"/>
  <c r="EK66" i="9"/>
  <c r="EC66" i="9"/>
  <c r="EL66" i="9"/>
  <c r="AQ66" i="9"/>
  <c r="JS66" i="9"/>
  <c r="EU66" i="9" s="1"/>
  <c r="EJ66" i="9"/>
  <c r="EA66" i="9"/>
  <c r="JQ66" i="9"/>
  <c r="ES66" i="9" s="1"/>
  <c r="AO66" i="9"/>
  <c r="EI66" i="9"/>
  <c r="DZ66" i="9"/>
  <c r="JP66" i="9"/>
  <c r="ER66" i="9" s="1"/>
  <c r="AN66" i="9"/>
  <c r="EH66" i="9"/>
  <c r="DY66" i="9"/>
  <c r="AM66" i="9"/>
  <c r="JO66" i="9"/>
  <c r="EQ66" i="9" s="1"/>
  <c r="EO66" i="9"/>
  <c r="EF66" i="9"/>
  <c r="JV66" i="9"/>
  <c r="EX66" i="9" s="1"/>
  <c r="B61" i="10"/>
  <c r="AC61" i="10"/>
  <c r="V61" i="10"/>
  <c r="W61" i="10"/>
  <c r="X61" i="10"/>
  <c r="Y61" i="10"/>
  <c r="Z61" i="10"/>
  <c r="AA61" i="10"/>
  <c r="AB61" i="10"/>
  <c r="EE66" i="9"/>
  <c r="EN66" i="9"/>
  <c r="JU66" i="9"/>
  <c r="EW66" i="9" s="1"/>
  <c r="AS66" i="9"/>
  <c r="DK61" i="9" a="1"/>
  <c r="DK61" i="9" s="1"/>
  <c r="DI61" i="9" a="1"/>
  <c r="DI61" i="9" s="1"/>
  <c r="DJ61" i="9" a="1"/>
  <c r="DJ61" i="9" s="1"/>
  <c r="DL61" i="9" a="1"/>
  <c r="DL61" i="9" s="1"/>
  <c r="DM61" i="9" a="1"/>
  <c r="DM61" i="9" s="1"/>
  <c r="DN61" i="9" a="1"/>
  <c r="DN61" i="9" s="1"/>
  <c r="DF61" i="9"/>
  <c r="DG61" i="9"/>
  <c r="DH61" i="9" a="1"/>
  <c r="DH61" i="9" s="1"/>
  <c r="DP61" i="9"/>
  <c r="DQ61" i="9"/>
  <c r="DR61" i="9"/>
  <c r="DS61" i="9"/>
  <c r="DT61" i="9"/>
  <c r="DU61" i="9"/>
  <c r="DV61" i="9"/>
  <c r="DW61" i="9"/>
  <c r="DO61" i="9"/>
  <c r="DX61" i="9" s="1"/>
  <c r="ED66" i="9"/>
  <c r="EM66" i="9"/>
  <c r="AU61" i="9"/>
  <c r="CW61" i="9"/>
  <c r="BT70" i="9"/>
  <c r="BF29" i="10"/>
  <c r="BN70" i="9"/>
  <c r="AL71" i="11" s="1"/>
  <c r="A61" i="9"/>
  <c r="A61" i="12"/>
  <c r="BU70" i="9"/>
  <c r="BQ70" i="9"/>
  <c r="AL70" i="9"/>
  <c r="AC70" i="9" s="1"/>
  <c r="AT66" i="9"/>
  <c r="BP70" i="9"/>
  <c r="BO70" i="9"/>
  <c r="BR70" i="9"/>
  <c r="EG66" i="9"/>
  <c r="BM66" i="9" s="1"/>
  <c r="AK67" i="11" s="1"/>
  <c r="JN70" i="9"/>
  <c r="EP70" i="9" s="1"/>
  <c r="IG70" i="9"/>
  <c r="FB70" i="9" s="1"/>
  <c r="IK70" i="9"/>
  <c r="FF70" i="9" s="1"/>
  <c r="AD62" i="11"/>
  <c r="DP61" i="8"/>
  <c r="LX61" i="9" s="1"/>
  <c r="IL70" i="9"/>
  <c r="FG70" i="9" s="1"/>
  <c r="AZ61" i="8"/>
  <c r="BD61" i="8"/>
  <c r="BB61" i="8"/>
  <c r="CN61" i="9"/>
  <c r="CE61" i="9"/>
  <c r="L67" i="11"/>
  <c r="IE70" i="9"/>
  <c r="EZ70" i="9" s="1"/>
  <c r="II70" i="9"/>
  <c r="FD70" i="9" s="1"/>
  <c r="BJ61" i="8"/>
  <c r="BH61" i="8"/>
  <c r="BN61" i="8"/>
  <c r="BP61" i="8"/>
  <c r="BF61" i="8"/>
  <c r="BL61" i="8"/>
  <c r="CX59" i="8"/>
  <c r="CZ59" i="8"/>
  <c r="DA59" i="8"/>
  <c r="DB59" i="8"/>
  <c r="DC59" i="8"/>
  <c r="DD59" i="8"/>
  <c r="C59" i="10" s="1"/>
  <c r="DE59" i="8"/>
  <c r="DF59" i="8"/>
  <c r="A59" i="8"/>
  <c r="BE66" i="10" l="1"/>
  <c r="AM61" i="10"/>
  <c r="L61" i="10"/>
  <c r="KF61" i="9"/>
  <c r="HG66" i="9"/>
  <c r="DS61" i="8"/>
  <c r="DR61" i="8"/>
  <c r="DT66" i="8"/>
  <c r="CH66" i="10"/>
  <c r="CQ66" i="10" s="1"/>
  <c r="CJ66" i="10"/>
  <c r="CS66" i="10" s="1"/>
  <c r="CG66" i="10"/>
  <c r="CP66" i="10" s="1"/>
  <c r="CK66" i="10"/>
  <c r="CT66" i="10" s="1"/>
  <c r="CL66" i="10"/>
  <c r="CU66" i="10" s="1"/>
  <c r="CI66" i="10"/>
  <c r="CR66" i="10" s="1"/>
  <c r="CM66" i="10"/>
  <c r="CV66" i="10" s="1"/>
  <c r="CN66" i="10"/>
  <c r="CW66" i="10" s="1"/>
  <c r="HI66" i="9"/>
  <c r="BD59" i="9"/>
  <c r="DN59" i="8"/>
  <c r="IV59" i="9"/>
  <c r="JE59" i="9"/>
  <c r="K59" i="9"/>
  <c r="T59" i="9" s="1"/>
  <c r="HL61" i="9"/>
  <c r="S61" i="9"/>
  <c r="AB61" i="9" s="1"/>
  <c r="DM70" i="8"/>
  <c r="B70" i="9"/>
  <c r="CF70" i="10"/>
  <c r="CO70" i="10" s="1"/>
  <c r="B71" i="11" s="1"/>
  <c r="BW66" i="10"/>
  <c r="BZ61" i="10"/>
  <c r="BY61" i="10"/>
  <c r="BX61" i="10"/>
  <c r="CE61" i="10"/>
  <c r="CD61" i="10"/>
  <c r="CB61" i="10"/>
  <c r="CA61" i="10"/>
  <c r="CC61" i="10"/>
  <c r="BP61" i="10"/>
  <c r="BO61" i="10"/>
  <c r="BV61" i="10"/>
  <c r="BU61" i="10"/>
  <c r="BT61" i="10"/>
  <c r="BQ61" i="10"/>
  <c r="BS61" i="10"/>
  <c r="BR61" i="10"/>
  <c r="HK66" i="9"/>
  <c r="HE70" i="9"/>
  <c r="L70" i="9"/>
  <c r="U70" i="9" s="1"/>
  <c r="HJ66" i="9"/>
  <c r="Q66" i="9"/>
  <c r="Z66" i="9" s="1"/>
  <c r="HH66" i="9"/>
  <c r="O66" i="9"/>
  <c r="X66" i="9" s="1"/>
  <c r="HE66" i="9"/>
  <c r="L66" i="9"/>
  <c r="U66" i="9" s="1"/>
  <c r="G67" i="11"/>
  <c r="JW61" i="9"/>
  <c r="LI61" i="9"/>
  <c r="BX61" i="9" s="1"/>
  <c r="L61" i="9" s="1"/>
  <c r="U61" i="9" s="1"/>
  <c r="AD61" i="10"/>
  <c r="HF66" i="9"/>
  <c r="LG61" i="9"/>
  <c r="BV61" i="9" s="1"/>
  <c r="DQ61" i="8" s="1"/>
  <c r="LH61" i="9"/>
  <c r="BW61" i="9" s="1"/>
  <c r="HD61" i="9" s="1"/>
  <c r="LN61" i="9"/>
  <c r="CC61" i="9" s="1"/>
  <c r="LO61" i="9"/>
  <c r="CD61" i="9" s="1"/>
  <c r="LM61" i="9"/>
  <c r="CB61" i="9" s="1"/>
  <c r="LK61" i="9"/>
  <c r="BZ61" i="9" s="1"/>
  <c r="N61" i="9" s="1"/>
  <c r="W61" i="9" s="1"/>
  <c r="LJ61" i="9"/>
  <c r="BY61" i="9" s="1"/>
  <c r="LL61" i="9"/>
  <c r="CA61" i="9" s="1"/>
  <c r="U61" i="10"/>
  <c r="HC66" i="9"/>
  <c r="EH61" i="9"/>
  <c r="DY61" i="9"/>
  <c r="AM61" i="9"/>
  <c r="JO61" i="9"/>
  <c r="EQ61" i="9" s="1"/>
  <c r="EO61" i="9"/>
  <c r="EF61" i="9"/>
  <c r="JV61" i="9"/>
  <c r="EX61" i="9" s="1"/>
  <c r="AC59" i="10"/>
  <c r="V59" i="10"/>
  <c r="W59" i="10"/>
  <c r="X59" i="10"/>
  <c r="Y59" i="10"/>
  <c r="Z59" i="10"/>
  <c r="AA59" i="10"/>
  <c r="AB59" i="10"/>
  <c r="EN61" i="9"/>
  <c r="EE61" i="9"/>
  <c r="JU61" i="9"/>
  <c r="EW61" i="9" s="1"/>
  <c r="AS61" i="9"/>
  <c r="EI61" i="9"/>
  <c r="DZ61" i="9"/>
  <c r="JP61" i="9"/>
  <c r="ER61" i="9" s="1"/>
  <c r="AN61" i="9"/>
  <c r="EM61" i="9"/>
  <c r="ED61" i="9"/>
  <c r="EL61" i="9"/>
  <c r="EC61" i="9"/>
  <c r="JS61" i="9"/>
  <c r="EU61" i="9" s="1"/>
  <c r="AQ61" i="9"/>
  <c r="B59" i="10"/>
  <c r="EB61" i="9"/>
  <c r="EK61" i="9"/>
  <c r="DP59" i="9"/>
  <c r="DQ59" i="9"/>
  <c r="DR59" i="9"/>
  <c r="DS59" i="9"/>
  <c r="DT59" i="9"/>
  <c r="DU59" i="9"/>
  <c r="DV59" i="9"/>
  <c r="DW59" i="9"/>
  <c r="DO59" i="9"/>
  <c r="EG59" i="9" s="1"/>
  <c r="DL59" i="9" a="1"/>
  <c r="DL59" i="9" s="1"/>
  <c r="DH59" i="9" a="1"/>
  <c r="DH59" i="9" s="1"/>
  <c r="DI59" i="9" a="1"/>
  <c r="DI59" i="9" s="1"/>
  <c r="DJ59" i="9" a="1"/>
  <c r="DJ59" i="9" s="1"/>
  <c r="DK59" i="9" a="1"/>
  <c r="DK59" i="9" s="1"/>
  <c r="DM59" i="9" a="1"/>
  <c r="DM59" i="9" s="1"/>
  <c r="LN59" i="9" s="1"/>
  <c r="CC59" i="9" s="1"/>
  <c r="Q59" i="9" s="1"/>
  <c r="Z59" i="9" s="1"/>
  <c r="DF59" i="9"/>
  <c r="DN59" i="9" a="1"/>
  <c r="DN59" i="9" s="1"/>
  <c r="DG59" i="9"/>
  <c r="EA61" i="9"/>
  <c r="EJ61" i="9"/>
  <c r="AO61" i="9"/>
  <c r="JQ61" i="9"/>
  <c r="ES61" i="9" s="1"/>
  <c r="KV70" i="9"/>
  <c r="LE70" i="9" s="1"/>
  <c r="AR71" i="11"/>
  <c r="KQ70" i="9"/>
  <c r="KZ70" i="9" s="1"/>
  <c r="AM71" i="11"/>
  <c r="AO71" i="11"/>
  <c r="AK70" i="9"/>
  <c r="J70" i="9" s="1"/>
  <c r="AS71" i="11"/>
  <c r="KR70" i="9"/>
  <c r="LA70" i="9" s="1"/>
  <c r="AN71" i="11"/>
  <c r="KT70" i="9"/>
  <c r="LC70" i="9" s="1"/>
  <c r="AP71" i="11"/>
  <c r="A59" i="9"/>
  <c r="A59" i="12"/>
  <c r="AU59" i="9"/>
  <c r="CW59" i="9"/>
  <c r="BS66" i="9"/>
  <c r="AL66" i="9"/>
  <c r="AC66" i="9" s="1"/>
  <c r="BQ66" i="9"/>
  <c r="AO67" i="11" s="1"/>
  <c r="BP66" i="9"/>
  <c r="BU66" i="9"/>
  <c r="BO66" i="9"/>
  <c r="BT66" i="9"/>
  <c r="BN66" i="9"/>
  <c r="AT61" i="9"/>
  <c r="BR66" i="9"/>
  <c r="KO70" i="9"/>
  <c r="FJ70" i="9"/>
  <c r="KW70" i="9"/>
  <c r="LF70" i="9" s="1"/>
  <c r="JN66" i="9"/>
  <c r="EP66" i="9" s="1"/>
  <c r="AD70" i="9"/>
  <c r="AE70" i="9"/>
  <c r="D70" i="9" s="1"/>
  <c r="AJ70" i="9"/>
  <c r="I70" i="9" s="1"/>
  <c r="AH70" i="9"/>
  <c r="G70" i="9" s="1"/>
  <c r="AF70" i="9"/>
  <c r="E70" i="9" s="1"/>
  <c r="EG61" i="9"/>
  <c r="BM61" i="9" s="1"/>
  <c r="AK62" i="11" s="1"/>
  <c r="ID70" i="9"/>
  <c r="EY70" i="9" s="1"/>
  <c r="FM70" i="9"/>
  <c r="FK70" i="9"/>
  <c r="BN66" i="10"/>
  <c r="FP70" i="9"/>
  <c r="IE66" i="9"/>
  <c r="EZ66" i="9" s="1"/>
  <c r="FI70" i="9"/>
  <c r="FO70" i="9"/>
  <c r="IK66" i="9"/>
  <c r="FF66" i="9" s="1"/>
  <c r="CN59" i="9"/>
  <c r="CE59" i="9"/>
  <c r="AZ59" i="8"/>
  <c r="BD59" i="8"/>
  <c r="BB59" i="8"/>
  <c r="IG66" i="9"/>
  <c r="FB66" i="9" s="1"/>
  <c r="L62" i="11"/>
  <c r="IL66" i="9"/>
  <c r="FG66" i="9" s="1"/>
  <c r="IF66" i="9"/>
  <c r="FA66" i="9" s="1"/>
  <c r="II66" i="9"/>
  <c r="FD66" i="9" s="1"/>
  <c r="BN59" i="8"/>
  <c r="BL59" i="8"/>
  <c r="BP59" i="8"/>
  <c r="BH59" i="8"/>
  <c r="BJ59" i="8"/>
  <c r="BF59" i="8"/>
  <c r="CX56" i="8"/>
  <c r="CZ56" i="8"/>
  <c r="DA56" i="8"/>
  <c r="DB56" i="8"/>
  <c r="DC56" i="8"/>
  <c r="DD56" i="8"/>
  <c r="C56" i="10" s="1"/>
  <c r="DE56" i="8"/>
  <c r="DF56" i="8"/>
  <c r="A56" i="8"/>
  <c r="KF59" i="9" l="1"/>
  <c r="DT61" i="8"/>
  <c r="KX70" i="9"/>
  <c r="AM59" i="10"/>
  <c r="L59" i="10"/>
  <c r="U59" i="10" s="1"/>
  <c r="AV61" i="10"/>
  <c r="DR59" i="8"/>
  <c r="DS59" i="8"/>
  <c r="CN61" i="10"/>
  <c r="CW61" i="10" s="1"/>
  <c r="CG61" i="10"/>
  <c r="CP61" i="10" s="1"/>
  <c r="CK61" i="10"/>
  <c r="CT61" i="10" s="1"/>
  <c r="CJ61" i="10"/>
  <c r="CS61" i="10" s="1"/>
  <c r="CL61" i="10"/>
  <c r="CU61" i="10" s="1"/>
  <c r="CH61" i="10"/>
  <c r="CQ61" i="10" s="1"/>
  <c r="CI61" i="10"/>
  <c r="CR61" i="10" s="1"/>
  <c r="CM61" i="10"/>
  <c r="CV61" i="10" s="1"/>
  <c r="CF66" i="10"/>
  <c r="CO66" i="10" s="1"/>
  <c r="B67" i="11" s="1"/>
  <c r="AD59" i="10"/>
  <c r="BD56" i="9"/>
  <c r="IV56" i="9"/>
  <c r="JE56" i="9"/>
  <c r="DN56" i="8"/>
  <c r="K56" i="9"/>
  <c r="T56" i="9" s="1"/>
  <c r="HL59" i="9"/>
  <c r="S59" i="9"/>
  <c r="AB59" i="9" s="1"/>
  <c r="DM66" i="8"/>
  <c r="B66" i="9"/>
  <c r="BW61" i="10"/>
  <c r="KP70" i="9"/>
  <c r="KY70" i="9" s="1"/>
  <c r="C70" i="9"/>
  <c r="CB59" i="10"/>
  <c r="CA59" i="10"/>
  <c r="BZ59" i="10"/>
  <c r="BY59" i="10"/>
  <c r="BX59" i="10"/>
  <c r="CG59" i="10" s="1"/>
  <c r="CE59" i="10"/>
  <c r="CD59" i="10"/>
  <c r="CC59" i="10"/>
  <c r="CL59" i="10" s="1"/>
  <c r="BR59" i="10"/>
  <c r="BT59" i="10"/>
  <c r="BP59" i="10"/>
  <c r="BU59" i="10"/>
  <c r="BS59" i="10"/>
  <c r="BQ59" i="10"/>
  <c r="BO59" i="10"/>
  <c r="BV59" i="10"/>
  <c r="HG61" i="9"/>
  <c r="LI59" i="9"/>
  <c r="BX59" i="9" s="1"/>
  <c r="HH61" i="9"/>
  <c r="O61" i="9"/>
  <c r="X61" i="9" s="1"/>
  <c r="HF61" i="9"/>
  <c r="M61" i="9"/>
  <c r="V61" i="9" s="1"/>
  <c r="HI61" i="9"/>
  <c r="P61" i="9"/>
  <c r="Y61" i="9" s="1"/>
  <c r="HK61" i="9"/>
  <c r="R61" i="9"/>
  <c r="AA61" i="9" s="1"/>
  <c r="HJ61" i="9"/>
  <c r="Q61" i="9"/>
  <c r="Z61" i="9" s="1"/>
  <c r="LK59" i="9"/>
  <c r="BZ59" i="9" s="1"/>
  <c r="N59" i="9" s="1"/>
  <c r="W59" i="9" s="1"/>
  <c r="G62" i="11"/>
  <c r="JW59" i="9"/>
  <c r="DO70" i="8"/>
  <c r="LG59" i="9"/>
  <c r="BV59" i="9" s="1"/>
  <c r="DQ59" i="8" s="1"/>
  <c r="LJ59" i="9"/>
  <c r="BY59" i="9" s="1"/>
  <c r="HE61" i="9"/>
  <c r="LL59" i="9"/>
  <c r="CA59" i="9" s="1"/>
  <c r="O59" i="9" s="1"/>
  <c r="X59" i="9" s="1"/>
  <c r="LH59" i="9"/>
  <c r="BW59" i="9" s="1"/>
  <c r="HD59" i="9" s="1"/>
  <c r="LM59" i="9"/>
  <c r="CB59" i="9" s="1"/>
  <c r="LO59" i="9"/>
  <c r="CD59" i="9" s="1"/>
  <c r="BE61" i="10"/>
  <c r="BN61" i="10" s="1"/>
  <c r="HC61" i="9"/>
  <c r="EB59" i="9"/>
  <c r="EK59" i="9"/>
  <c r="DQ56" i="9"/>
  <c r="DU56" i="9"/>
  <c r="DR56" i="9"/>
  <c r="DV56" i="9"/>
  <c r="DP56" i="9"/>
  <c r="DS56" i="9"/>
  <c r="DT56" i="9"/>
  <c r="DW56" i="9"/>
  <c r="DO56" i="9"/>
  <c r="DX56" i="9" s="1"/>
  <c r="EJ59" i="9"/>
  <c r="EA59" i="9"/>
  <c r="AO59" i="9"/>
  <c r="JQ59" i="9"/>
  <c r="ES59" i="9" s="1"/>
  <c r="AC56" i="10"/>
  <c r="V56" i="10"/>
  <c r="W56" i="10"/>
  <c r="X56" i="10"/>
  <c r="Y56" i="10"/>
  <c r="Z56" i="10"/>
  <c r="AA56" i="10"/>
  <c r="AB56" i="10"/>
  <c r="DG56" i="9"/>
  <c r="DN56" i="9" a="1"/>
  <c r="DN56" i="9" s="1"/>
  <c r="DH56" i="9" a="1"/>
  <c r="DH56" i="9" s="1"/>
  <c r="DI56" i="9" a="1"/>
  <c r="DI56" i="9" s="1"/>
  <c r="DF56" i="9"/>
  <c r="DJ56" i="9" a="1"/>
  <c r="DJ56" i="9" s="1"/>
  <c r="DK56" i="9" a="1"/>
  <c r="DK56" i="9" s="1"/>
  <c r="DL56" i="9" a="1"/>
  <c r="DL56" i="9" s="1"/>
  <c r="DM56" i="9" a="1"/>
  <c r="DM56" i="9" s="1"/>
  <c r="DZ59" i="9"/>
  <c r="EI59" i="9"/>
  <c r="JP59" i="9"/>
  <c r="ER59" i="9" s="1"/>
  <c r="AN59" i="9"/>
  <c r="EH59" i="9"/>
  <c r="DY59" i="9"/>
  <c r="AM59" i="9"/>
  <c r="JO59" i="9"/>
  <c r="EQ59" i="9" s="1"/>
  <c r="DX59" i="9"/>
  <c r="BM59" i="9" s="1"/>
  <c r="AK60" i="11" s="1"/>
  <c r="EF59" i="9"/>
  <c r="EO59" i="9"/>
  <c r="JV59" i="9"/>
  <c r="EX59" i="9" s="1"/>
  <c r="B56" i="10"/>
  <c r="EN59" i="9"/>
  <c r="EE59" i="9"/>
  <c r="JU59" i="9"/>
  <c r="EW59" i="9" s="1"/>
  <c r="AS59" i="9"/>
  <c r="HJ59" i="9"/>
  <c r="ED59" i="9"/>
  <c r="EM59" i="9"/>
  <c r="EC59" i="9"/>
  <c r="EL59" i="9"/>
  <c r="JS59" i="9"/>
  <c r="EU59" i="9" s="1"/>
  <c r="AQ59" i="9"/>
  <c r="KT66" i="9"/>
  <c r="LC66" i="9" s="1"/>
  <c r="AP67" i="11"/>
  <c r="KQ66" i="9"/>
  <c r="KZ66" i="9" s="1"/>
  <c r="AM67" i="11"/>
  <c r="AQ67" i="11"/>
  <c r="AK66" i="9"/>
  <c r="J66" i="9" s="1"/>
  <c r="AS67" i="11"/>
  <c r="KR66" i="9"/>
  <c r="LA66" i="9" s="1"/>
  <c r="AN67" i="11"/>
  <c r="KP66" i="9"/>
  <c r="KY66" i="9" s="1"/>
  <c r="AL67" i="11"/>
  <c r="KV66" i="9"/>
  <c r="LE66" i="9" s="1"/>
  <c r="AR67" i="11"/>
  <c r="AL61" i="9"/>
  <c r="AC61" i="9" s="1"/>
  <c r="BP61" i="9"/>
  <c r="BN61" i="9"/>
  <c r="AL62" i="11" s="1"/>
  <c r="AU56" i="9"/>
  <c r="CW56" i="9"/>
  <c r="A56" i="9"/>
  <c r="A56" i="12"/>
  <c r="BO61" i="9"/>
  <c r="AT59" i="9"/>
  <c r="BU61" i="9"/>
  <c r="BT61" i="9"/>
  <c r="BS61" i="9"/>
  <c r="BQ61" i="9"/>
  <c r="BR61" i="9"/>
  <c r="KO66" i="9"/>
  <c r="ID66" i="9"/>
  <c r="FH70" i="9"/>
  <c r="KW66" i="9"/>
  <c r="LF66" i="9" s="1"/>
  <c r="JN61" i="9"/>
  <c r="AF66" i="9"/>
  <c r="E66" i="9" s="1"/>
  <c r="AJ66" i="9"/>
  <c r="I66" i="9" s="1"/>
  <c r="AH66" i="9"/>
  <c r="G66" i="9" s="1"/>
  <c r="AD66" i="9"/>
  <c r="C66" i="9" s="1"/>
  <c r="AE66" i="9"/>
  <c r="D66" i="9" s="1"/>
  <c r="FI66" i="9"/>
  <c r="FM66" i="9"/>
  <c r="FK66" i="9"/>
  <c r="FO66" i="9"/>
  <c r="IF61" i="9"/>
  <c r="FA61" i="9" s="1"/>
  <c r="II61" i="9"/>
  <c r="FD61" i="9" s="1"/>
  <c r="IL61" i="9"/>
  <c r="FG61" i="9" s="1"/>
  <c r="AZ56" i="8"/>
  <c r="BD56" i="8"/>
  <c r="BB56" i="8"/>
  <c r="FJ66" i="9"/>
  <c r="FP66" i="9"/>
  <c r="IG61" i="9"/>
  <c r="FB61" i="9" s="1"/>
  <c r="IK61" i="9"/>
  <c r="FF61" i="9" s="1"/>
  <c r="IE61" i="9"/>
  <c r="EZ61" i="9" s="1"/>
  <c r="CE56" i="9"/>
  <c r="CN56" i="9"/>
  <c r="L60" i="11"/>
  <c r="BL56" i="8"/>
  <c r="BJ56" i="8"/>
  <c r="BH56" i="8"/>
  <c r="BN56" i="8"/>
  <c r="BF56" i="8"/>
  <c r="BP56" i="8"/>
  <c r="CX50" i="8"/>
  <c r="CZ50" i="8"/>
  <c r="DA50" i="8"/>
  <c r="DB50" i="8"/>
  <c r="DC50" i="8"/>
  <c r="DD50" i="8"/>
  <c r="C50" i="10" s="1"/>
  <c r="DE50" i="8"/>
  <c r="DF50" i="8"/>
  <c r="A50" i="8"/>
  <c r="KX66" i="9" l="1"/>
  <c r="BE59" i="10"/>
  <c r="BN59" i="10" s="1"/>
  <c r="AV59" i="10"/>
  <c r="KF56" i="9"/>
  <c r="AM56" i="10"/>
  <c r="L56" i="10"/>
  <c r="U56" i="10" s="1"/>
  <c r="BH50" i="8"/>
  <c r="DR56" i="8"/>
  <c r="DS56" i="8"/>
  <c r="DT59" i="8"/>
  <c r="CH59" i="10"/>
  <c r="CQ59" i="10" s="1"/>
  <c r="CI59" i="10"/>
  <c r="CR59" i="10" s="1"/>
  <c r="CJ59" i="10"/>
  <c r="CS59" i="10" s="1"/>
  <c r="CK59" i="10"/>
  <c r="CT59" i="10" s="1"/>
  <c r="CM59" i="10"/>
  <c r="CV59" i="10" s="1"/>
  <c r="CN59" i="10"/>
  <c r="CW59" i="10" s="1"/>
  <c r="CF61" i="10"/>
  <c r="CO61" i="10" s="1"/>
  <c r="B62" i="11" s="1"/>
  <c r="AD56" i="10"/>
  <c r="BD50" i="9"/>
  <c r="DN50" i="8"/>
  <c r="IV50" i="9"/>
  <c r="JE50" i="9"/>
  <c r="K50" i="9"/>
  <c r="T50" i="9" s="1"/>
  <c r="BW59" i="10"/>
  <c r="HL56" i="9"/>
  <c r="S56" i="9"/>
  <c r="AB56" i="9" s="1"/>
  <c r="DM61" i="8"/>
  <c r="B61" i="9"/>
  <c r="BZ56" i="10"/>
  <c r="HH59" i="9"/>
  <c r="BY56" i="10"/>
  <c r="HG59" i="9"/>
  <c r="BX56" i="10"/>
  <c r="LH56" i="9"/>
  <c r="BW56" i="9" s="1"/>
  <c r="HD56" i="9" s="1"/>
  <c r="CE56" i="10"/>
  <c r="CD56" i="10"/>
  <c r="CC56" i="10"/>
  <c r="CB56" i="10"/>
  <c r="CA56" i="10"/>
  <c r="BR56" i="10"/>
  <c r="CJ56" i="10" s="1"/>
  <c r="BQ56" i="10"/>
  <c r="CI56" i="10" s="1"/>
  <c r="CU59" i="10"/>
  <c r="BO56" i="10"/>
  <c r="CG56" i="10" s="1"/>
  <c r="BP56" i="10"/>
  <c r="CH56" i="10" s="1"/>
  <c r="BV56" i="10"/>
  <c r="CN56" i="10" s="1"/>
  <c r="BU56" i="10"/>
  <c r="CM56" i="10" s="1"/>
  <c r="CP59" i="10"/>
  <c r="BT56" i="10"/>
  <c r="CL56" i="10" s="1"/>
  <c r="BS56" i="10"/>
  <c r="CK56" i="10" s="1"/>
  <c r="G60" i="11"/>
  <c r="LI56" i="9"/>
  <c r="BX56" i="9" s="1"/>
  <c r="L56" i="9" s="1"/>
  <c r="U56" i="9" s="1"/>
  <c r="HI59" i="9"/>
  <c r="P59" i="9"/>
  <c r="Y59" i="9" s="1"/>
  <c r="HE59" i="9"/>
  <c r="L59" i="9"/>
  <c r="U59" i="9" s="1"/>
  <c r="HF59" i="9"/>
  <c r="M59" i="9"/>
  <c r="V59" i="9" s="1"/>
  <c r="HK59" i="9"/>
  <c r="R59" i="9"/>
  <c r="AA59" i="9" s="1"/>
  <c r="JW56" i="9"/>
  <c r="DO66" i="8"/>
  <c r="K70" i="12"/>
  <c r="T70" i="12" s="1"/>
  <c r="LO56" i="9"/>
  <c r="CD56" i="9" s="1"/>
  <c r="R56" i="9" s="1"/>
  <c r="AA56" i="9" s="1"/>
  <c r="LN56" i="9"/>
  <c r="CC56" i="9" s="1"/>
  <c r="LK56" i="9"/>
  <c r="BZ56" i="9" s="1"/>
  <c r="LL56" i="9"/>
  <c r="CA56" i="9" s="1"/>
  <c r="LG56" i="9"/>
  <c r="BV56" i="9" s="1"/>
  <c r="DQ56" i="8" s="1"/>
  <c r="LJ56" i="9"/>
  <c r="BY56" i="9" s="1"/>
  <c r="LM56" i="9"/>
  <c r="CB56" i="9" s="1"/>
  <c r="P56" i="9" s="1"/>
  <c r="Y56" i="9" s="1"/>
  <c r="HC59" i="9"/>
  <c r="KP61" i="9"/>
  <c r="KY61" i="9" s="1"/>
  <c r="EJ56" i="9"/>
  <c r="EA56" i="9"/>
  <c r="AO56" i="9"/>
  <c r="JQ56" i="9"/>
  <c r="ES56" i="9" s="1"/>
  <c r="ED56" i="9"/>
  <c r="EM56" i="9"/>
  <c r="EI56" i="9"/>
  <c r="DZ56" i="9"/>
  <c r="AN56" i="9"/>
  <c r="JP56" i="9"/>
  <c r="ER56" i="9" s="1"/>
  <c r="B50" i="10"/>
  <c r="AC50" i="10"/>
  <c r="V50" i="10"/>
  <c r="W50" i="10"/>
  <c r="X50" i="10"/>
  <c r="Y50" i="10"/>
  <c r="Z50" i="10"/>
  <c r="AA50" i="10"/>
  <c r="AB50" i="10"/>
  <c r="EO56" i="9"/>
  <c r="EF56" i="9"/>
  <c r="JV56" i="9"/>
  <c r="EX56" i="9" s="1"/>
  <c r="EL56" i="9"/>
  <c r="EC56" i="9"/>
  <c r="AQ56" i="9"/>
  <c r="JS56" i="9"/>
  <c r="EU56" i="9" s="1"/>
  <c r="DP50" i="9"/>
  <c r="DV50" i="9"/>
  <c r="DR50" i="9"/>
  <c r="DS50" i="9"/>
  <c r="DT50" i="9"/>
  <c r="DU50" i="9"/>
  <c r="DW50" i="9"/>
  <c r="DQ50" i="9"/>
  <c r="DO50" i="9"/>
  <c r="DX50" i="9" s="1"/>
  <c r="DI50" i="9" a="1"/>
  <c r="DI50" i="9" s="1"/>
  <c r="DM50" i="9" a="1"/>
  <c r="DM50" i="9" s="1"/>
  <c r="DN50" i="9" a="1"/>
  <c r="DN50" i="9" s="1"/>
  <c r="DG50" i="9"/>
  <c r="DH50" i="9" a="1"/>
  <c r="DH50" i="9" s="1"/>
  <c r="DF50" i="9"/>
  <c r="DJ50" i="9" a="1"/>
  <c r="DJ50" i="9" s="1"/>
  <c r="DK50" i="9" a="1"/>
  <c r="DK50" i="9" s="1"/>
  <c r="DL50" i="9" a="1"/>
  <c r="DL50" i="9" s="1"/>
  <c r="EB56" i="9"/>
  <c r="EK56" i="9"/>
  <c r="EH56" i="9"/>
  <c r="DY56" i="9"/>
  <c r="JO56" i="9"/>
  <c r="EQ56" i="9" s="1"/>
  <c r="AM56" i="9"/>
  <c r="EN56" i="9"/>
  <c r="EE56" i="9"/>
  <c r="JU56" i="9"/>
  <c r="EW56" i="9" s="1"/>
  <c r="AS56" i="9"/>
  <c r="KR61" i="9"/>
  <c r="LA61" i="9" s="1"/>
  <c r="AN62" i="11"/>
  <c r="AO62" i="11"/>
  <c r="KQ61" i="9"/>
  <c r="KZ61" i="9" s="1"/>
  <c r="AM62" i="11"/>
  <c r="KT61" i="9"/>
  <c r="LC61" i="9" s="1"/>
  <c r="AP62" i="11"/>
  <c r="KV61" i="9"/>
  <c r="LE61" i="9" s="1"/>
  <c r="AR62" i="11"/>
  <c r="AQ62" i="11"/>
  <c r="AK61" i="9"/>
  <c r="J61" i="9" s="1"/>
  <c r="AS62" i="11"/>
  <c r="A50" i="9"/>
  <c r="A50" i="12"/>
  <c r="AU50" i="9"/>
  <c r="CW50" i="9"/>
  <c r="EG56" i="9"/>
  <c r="BM56" i="9" s="1"/>
  <c r="AK57" i="11" s="1"/>
  <c r="BR59" i="9"/>
  <c r="BO59" i="9"/>
  <c r="AL59" i="9"/>
  <c r="BP59" i="9"/>
  <c r="BN59" i="9"/>
  <c r="AT56" i="9"/>
  <c r="BS59" i="9"/>
  <c r="BT59" i="9"/>
  <c r="BQ59" i="9"/>
  <c r="BU59" i="9"/>
  <c r="JN59" i="9"/>
  <c r="EP59" i="9" s="1"/>
  <c r="ID61" i="9"/>
  <c r="EP61" i="9"/>
  <c r="EY66" i="9"/>
  <c r="FH66" i="9" s="1"/>
  <c r="KO61" i="9"/>
  <c r="KW61" i="9"/>
  <c r="LF61" i="9" s="1"/>
  <c r="AE61" i="9"/>
  <c r="D61" i="9" s="1"/>
  <c r="AH61" i="9"/>
  <c r="G61" i="9" s="1"/>
  <c r="AF61" i="9"/>
  <c r="E61" i="9" s="1"/>
  <c r="AJ61" i="9"/>
  <c r="I61" i="9" s="1"/>
  <c r="AD61" i="9"/>
  <c r="C61" i="9" s="1"/>
  <c r="FO61" i="9"/>
  <c r="FJ61" i="9"/>
  <c r="IK59" i="9"/>
  <c r="FF59" i="9" s="1"/>
  <c r="L57" i="11"/>
  <c r="FK61" i="9"/>
  <c r="FP61" i="9"/>
  <c r="IE59" i="9"/>
  <c r="EZ59" i="9" s="1"/>
  <c r="FM61" i="9"/>
  <c r="AZ50" i="8"/>
  <c r="BB50" i="8"/>
  <c r="BD50" i="8"/>
  <c r="CN50" i="9"/>
  <c r="CE50" i="9"/>
  <c r="IL59" i="9"/>
  <c r="FG59" i="9" s="1"/>
  <c r="IG59" i="9"/>
  <c r="FB59" i="9" s="1"/>
  <c r="FI61" i="9"/>
  <c r="II59" i="9"/>
  <c r="FD59" i="9" s="1"/>
  <c r="IF59" i="9"/>
  <c r="FA59" i="9" s="1"/>
  <c r="BL50" i="8"/>
  <c r="BN50" i="8"/>
  <c r="BF50" i="8"/>
  <c r="BJ50" i="8"/>
  <c r="BP50" i="8"/>
  <c r="CX71" i="8"/>
  <c r="CZ71" i="8"/>
  <c r="DA71" i="8"/>
  <c r="DB71" i="8"/>
  <c r="DC71" i="8"/>
  <c r="DD71" i="8"/>
  <c r="C71" i="10" s="1"/>
  <c r="DE71" i="8"/>
  <c r="DF71" i="8"/>
  <c r="CX72" i="8"/>
  <c r="CZ72" i="8"/>
  <c r="DA72" i="8"/>
  <c r="DB72" i="8"/>
  <c r="DC72" i="8"/>
  <c r="DD72" i="8"/>
  <c r="C72" i="10" s="1"/>
  <c r="DE72" i="8"/>
  <c r="DF72" i="8"/>
  <c r="A71" i="8"/>
  <c r="O117" i="7"/>
  <c r="Q117" i="7"/>
  <c r="Q116" i="7"/>
  <c r="O116" i="7"/>
  <c r="AV56" i="10" l="1"/>
  <c r="KX61" i="9"/>
  <c r="KF50" i="9"/>
  <c r="BE56" i="10"/>
  <c r="AM50" i="10"/>
  <c r="L50" i="10"/>
  <c r="U50" i="10" s="1"/>
  <c r="DS50" i="8"/>
  <c r="DR50" i="8"/>
  <c r="DT56" i="8"/>
  <c r="CF59" i="10"/>
  <c r="CO59" i="10" s="1"/>
  <c r="B60" i="11" s="1"/>
  <c r="BD71" i="9"/>
  <c r="IV71" i="9"/>
  <c r="JE71" i="9"/>
  <c r="DN71" i="8"/>
  <c r="K71" i="9"/>
  <c r="T71" i="9" s="1"/>
  <c r="BD72" i="9"/>
  <c r="IV72" i="9"/>
  <c r="JE72" i="9"/>
  <c r="DN72" i="8"/>
  <c r="K72" i="9"/>
  <c r="T72" i="9" s="1"/>
  <c r="EG50" i="9"/>
  <c r="BM50" i="9" s="1"/>
  <c r="AK51" i="11" s="1"/>
  <c r="LG50" i="9"/>
  <c r="BV50" i="9" s="1"/>
  <c r="DQ50" i="8" s="1"/>
  <c r="HL50" i="9"/>
  <c r="S50" i="9"/>
  <c r="AB50" i="9" s="1"/>
  <c r="BW56" i="10"/>
  <c r="BX50" i="10"/>
  <c r="CE50" i="10"/>
  <c r="BY50" i="10"/>
  <c r="CD50" i="10"/>
  <c r="CC50" i="10"/>
  <c r="CA50" i="10"/>
  <c r="CB50" i="10"/>
  <c r="CK50" i="10" s="1"/>
  <c r="BZ50" i="10"/>
  <c r="BQ50" i="10"/>
  <c r="CP56" i="10"/>
  <c r="CV56" i="10"/>
  <c r="BP50" i="10"/>
  <c r="BS50" i="10"/>
  <c r="BR50" i="10"/>
  <c r="BO50" i="10"/>
  <c r="CT56" i="10"/>
  <c r="CW56" i="10"/>
  <c r="BV50" i="10"/>
  <c r="CR56" i="10"/>
  <c r="CU56" i="10"/>
  <c r="CQ56" i="10"/>
  <c r="BU50" i="10"/>
  <c r="BT50" i="10"/>
  <c r="CS56" i="10"/>
  <c r="HE56" i="9"/>
  <c r="HK56" i="9"/>
  <c r="HJ56" i="9"/>
  <c r="Q56" i="9"/>
  <c r="Z56" i="9" s="1"/>
  <c r="HG56" i="9"/>
  <c r="N56" i="9"/>
  <c r="W56" i="9" s="1"/>
  <c r="HH56" i="9"/>
  <c r="O56" i="9"/>
  <c r="X56" i="9" s="1"/>
  <c r="HF56" i="9"/>
  <c r="M56" i="9"/>
  <c r="V56" i="9" s="1"/>
  <c r="LH50" i="9"/>
  <c r="BW50" i="9" s="1"/>
  <c r="HD50" i="9" s="1"/>
  <c r="JW50" i="9"/>
  <c r="DO61" i="8"/>
  <c r="JR70" i="9"/>
  <c r="AP70" i="9"/>
  <c r="AG70" i="9" s="1"/>
  <c r="F70" i="9" s="1"/>
  <c r="K66" i="12"/>
  <c r="T66" i="12" s="1"/>
  <c r="LM50" i="9"/>
  <c r="CB50" i="9" s="1"/>
  <c r="P50" i="9" s="1"/>
  <c r="Y50" i="9" s="1"/>
  <c r="LJ50" i="9"/>
  <c r="BY50" i="9" s="1"/>
  <c r="M50" i="9" s="1"/>
  <c r="V50" i="9" s="1"/>
  <c r="LK50" i="9"/>
  <c r="BZ50" i="9" s="1"/>
  <c r="LI50" i="9"/>
  <c r="BX50" i="9" s="1"/>
  <c r="HI56" i="9"/>
  <c r="LO50" i="9"/>
  <c r="CD50" i="9" s="1"/>
  <c r="LN50" i="9"/>
  <c r="CC50" i="9" s="1"/>
  <c r="LL50" i="9"/>
  <c r="CA50" i="9" s="1"/>
  <c r="HC56" i="9"/>
  <c r="EK50" i="9"/>
  <c r="EB50" i="9"/>
  <c r="EJ50" i="9"/>
  <c r="EA50" i="9"/>
  <c r="AO50" i="9"/>
  <c r="JQ50" i="9"/>
  <c r="ES50" i="9" s="1"/>
  <c r="EL50" i="9"/>
  <c r="EC50" i="9"/>
  <c r="AQ50" i="9"/>
  <c r="JS50" i="9"/>
  <c r="EU50" i="9" s="1"/>
  <c r="AD50" i="10"/>
  <c r="EE50" i="9"/>
  <c r="EN50" i="9"/>
  <c r="JU50" i="9"/>
  <c r="EW50" i="9" s="1"/>
  <c r="AS50" i="9"/>
  <c r="AC72" i="10"/>
  <c r="W72" i="10"/>
  <c r="X72" i="10"/>
  <c r="Y72" i="10"/>
  <c r="V72" i="10"/>
  <c r="BO72" i="10" s="1"/>
  <c r="Z72" i="10"/>
  <c r="AA72" i="10"/>
  <c r="AB72" i="10"/>
  <c r="EH50" i="9"/>
  <c r="DY50" i="9"/>
  <c r="JO50" i="9"/>
  <c r="EQ50" i="9" s="1"/>
  <c r="AM50" i="9"/>
  <c r="B71" i="10"/>
  <c r="AC71" i="10"/>
  <c r="W71" i="10"/>
  <c r="X71" i="10"/>
  <c r="Y71" i="10"/>
  <c r="Z71" i="10"/>
  <c r="AA71" i="10"/>
  <c r="AB71" i="10"/>
  <c r="V71" i="10"/>
  <c r="DP72" i="9"/>
  <c r="DQ72" i="9"/>
  <c r="DR72" i="9"/>
  <c r="DS72" i="9"/>
  <c r="DT72" i="9"/>
  <c r="DU72" i="9"/>
  <c r="DV72" i="9"/>
  <c r="DW72" i="9"/>
  <c r="DO72" i="9"/>
  <c r="EG72" i="9" s="1"/>
  <c r="DP71" i="9"/>
  <c r="DQ71" i="9"/>
  <c r="DR71" i="9"/>
  <c r="DS71" i="9"/>
  <c r="DT71" i="9"/>
  <c r="DU71" i="9"/>
  <c r="DV71" i="9"/>
  <c r="DW71" i="9"/>
  <c r="DO71" i="9"/>
  <c r="EG71" i="9" s="1"/>
  <c r="EI50" i="9"/>
  <c r="DZ50" i="9"/>
  <c r="AN50" i="9"/>
  <c r="JP50" i="9"/>
  <c r="ER50" i="9" s="1"/>
  <c r="B72" i="10"/>
  <c r="DK72" i="9" a="1"/>
  <c r="DK72" i="9" s="1"/>
  <c r="DN72" i="9" a="1"/>
  <c r="DN72" i="9" s="1"/>
  <c r="DG72" i="9"/>
  <c r="DH72" i="9" a="1"/>
  <c r="DH72" i="9" s="1"/>
  <c r="DI72" i="9" a="1"/>
  <c r="DI72" i="9" s="1"/>
  <c r="DJ72" i="9" a="1"/>
  <c r="DJ72" i="9" s="1"/>
  <c r="DL72" i="9" a="1"/>
  <c r="DL72" i="9" s="1"/>
  <c r="DM72" i="9" a="1"/>
  <c r="DM72" i="9" s="1"/>
  <c r="DF72" i="9"/>
  <c r="DL71" i="9" a="1"/>
  <c r="DL71" i="9" s="1"/>
  <c r="DN71" i="9" a="1"/>
  <c r="DN71" i="9" s="1"/>
  <c r="DG71" i="9"/>
  <c r="DH71" i="9" a="1"/>
  <c r="DH71" i="9" s="1"/>
  <c r="DI71" i="9" a="1"/>
  <c r="DI71" i="9" s="1"/>
  <c r="DJ71" i="9" a="1"/>
  <c r="DJ71" i="9" s="1"/>
  <c r="DK71" i="9" a="1"/>
  <c r="DK71" i="9" s="1"/>
  <c r="DF71" i="9"/>
  <c r="DM71" i="9" a="1"/>
  <c r="DM71" i="9" s="1"/>
  <c r="EF50" i="9"/>
  <c r="EO50" i="9"/>
  <c r="JV50" i="9"/>
  <c r="EX50" i="9" s="1"/>
  <c r="EM50" i="9"/>
  <c r="ED50" i="9"/>
  <c r="KR59" i="9"/>
  <c r="LA59" i="9" s="1"/>
  <c r="AN60" i="11"/>
  <c r="AO60" i="11"/>
  <c r="KV59" i="9"/>
  <c r="LE59" i="9" s="1"/>
  <c r="AR60" i="11"/>
  <c r="AQ60" i="11"/>
  <c r="KQ59" i="9"/>
  <c r="KZ59" i="9" s="1"/>
  <c r="AM60" i="11"/>
  <c r="KT59" i="9"/>
  <c r="LC59" i="9" s="1"/>
  <c r="AP60" i="11"/>
  <c r="KP59" i="9"/>
  <c r="KY59" i="9" s="1"/>
  <c r="AL60" i="11"/>
  <c r="AK59" i="9"/>
  <c r="J59" i="9" s="1"/>
  <c r="AS60" i="11"/>
  <c r="BR56" i="9"/>
  <c r="AP57" i="11" s="1"/>
  <c r="KO59" i="9"/>
  <c r="ID59" i="9"/>
  <c r="EY59" i="9" s="1"/>
  <c r="BT56" i="9"/>
  <c r="AR57" i="11" s="1"/>
  <c r="AC59" i="9"/>
  <c r="A71" i="9"/>
  <c r="A71" i="12"/>
  <c r="AU72" i="9"/>
  <c r="CW72" i="9"/>
  <c r="AU71" i="9"/>
  <c r="CW71" i="9"/>
  <c r="AL56" i="9"/>
  <c r="AC56" i="9" s="1"/>
  <c r="BP56" i="9"/>
  <c r="BN56" i="9"/>
  <c r="BU56" i="9"/>
  <c r="AS57" i="11" s="1"/>
  <c r="BN56" i="10"/>
  <c r="CF56" i="10" s="1"/>
  <c r="BQ56" i="9"/>
  <c r="AT50" i="9"/>
  <c r="BS56" i="9"/>
  <c r="BO56" i="9"/>
  <c r="GB70" i="9"/>
  <c r="GK70" i="9" s="1"/>
  <c r="EY61" i="9"/>
  <c r="FH61" i="9" s="1"/>
  <c r="FJ59" i="9"/>
  <c r="KW59" i="9"/>
  <c r="LF59" i="9" s="1"/>
  <c r="AE59" i="9"/>
  <c r="D59" i="9" s="1"/>
  <c r="AD59" i="9"/>
  <c r="C59" i="9" s="1"/>
  <c r="AF59" i="9"/>
  <c r="E59" i="9" s="1"/>
  <c r="AJ59" i="9"/>
  <c r="I59" i="9" s="1"/>
  <c r="AH59" i="9"/>
  <c r="G59" i="9" s="1"/>
  <c r="JN56" i="9"/>
  <c r="EP56" i="9" s="1"/>
  <c r="FK59" i="9"/>
  <c r="FP59" i="9"/>
  <c r="FM59" i="9"/>
  <c r="FO59" i="9"/>
  <c r="FI59" i="9"/>
  <c r="AZ72" i="8"/>
  <c r="BB72" i="8"/>
  <c r="BD72" i="8"/>
  <c r="IF56" i="9"/>
  <c r="FA56" i="9" s="1"/>
  <c r="IK56" i="9"/>
  <c r="FF56" i="9" s="1"/>
  <c r="IL56" i="9"/>
  <c r="FG56" i="9" s="1"/>
  <c r="CE71" i="9"/>
  <c r="CN71" i="9"/>
  <c r="II56" i="9"/>
  <c r="FD56" i="9" s="1"/>
  <c r="IG56" i="9"/>
  <c r="FB56" i="9" s="1"/>
  <c r="AZ71" i="8"/>
  <c r="BB71" i="8"/>
  <c r="BD71" i="8"/>
  <c r="CE72" i="9"/>
  <c r="CN72" i="9"/>
  <c r="IE56" i="9"/>
  <c r="EZ56" i="9" s="1"/>
  <c r="L51" i="11"/>
  <c r="BL71" i="8"/>
  <c r="BN71" i="8"/>
  <c r="BF71" i="8"/>
  <c r="BH71" i="8"/>
  <c r="BP71" i="8"/>
  <c r="BJ71" i="8"/>
  <c r="BN72" i="8"/>
  <c r="BH72" i="8"/>
  <c r="BL72" i="8"/>
  <c r="BJ72" i="8"/>
  <c r="BP72" i="8"/>
  <c r="BF72" i="8"/>
  <c r="CX68" i="8"/>
  <c r="CZ68" i="8"/>
  <c r="DA68" i="8"/>
  <c r="DB68" i="8"/>
  <c r="DC68" i="8"/>
  <c r="DD68" i="8"/>
  <c r="C68" i="10" s="1"/>
  <c r="DE68" i="8"/>
  <c r="DF68" i="8"/>
  <c r="CX69" i="8"/>
  <c r="CZ69" i="8"/>
  <c r="DA69" i="8"/>
  <c r="DB69" i="8"/>
  <c r="DC69" i="8"/>
  <c r="DD69" i="8"/>
  <c r="C69" i="10" s="1"/>
  <c r="DE69" i="8"/>
  <c r="DF69" i="8"/>
  <c r="A68" i="8"/>
  <c r="A69" i="8"/>
  <c r="KF71" i="9" l="1"/>
  <c r="KF72" i="9"/>
  <c r="LG72" i="9"/>
  <c r="BV72" i="9" s="1"/>
  <c r="DQ72" i="8" s="1"/>
  <c r="AM71" i="10"/>
  <c r="L71" i="10"/>
  <c r="U71" i="10" s="1"/>
  <c r="AM72" i="10"/>
  <c r="L72" i="10"/>
  <c r="U72" i="10" s="1"/>
  <c r="KX59" i="9"/>
  <c r="DS71" i="8"/>
  <c r="DR71" i="8"/>
  <c r="DR72" i="8"/>
  <c r="DS72" i="8"/>
  <c r="DT50" i="8"/>
  <c r="CJ50" i="10"/>
  <c r="CS50" i="10" s="1"/>
  <c r="CL50" i="10"/>
  <c r="CU50" i="10" s="1"/>
  <c r="CM50" i="10"/>
  <c r="CV50" i="10" s="1"/>
  <c r="CH50" i="10"/>
  <c r="CQ50" i="10" s="1"/>
  <c r="CN50" i="10"/>
  <c r="CW50" i="10" s="1"/>
  <c r="CG50" i="10"/>
  <c r="CP50" i="10" s="1"/>
  <c r="CI50" i="10"/>
  <c r="CR50" i="10" s="1"/>
  <c r="LG71" i="9"/>
  <c r="BV71" i="9" s="1"/>
  <c r="DQ71" i="8" s="1"/>
  <c r="AD72" i="10"/>
  <c r="AV72" i="10" s="1"/>
  <c r="BD69" i="9"/>
  <c r="JE69" i="9"/>
  <c r="DN69" i="8"/>
  <c r="IV69" i="9"/>
  <c r="K69" i="9"/>
  <c r="T69" i="9" s="1"/>
  <c r="BD68" i="9"/>
  <c r="JE68" i="9"/>
  <c r="DN68" i="8"/>
  <c r="IV68" i="9"/>
  <c r="K68" i="9"/>
  <c r="T68" i="9" s="1"/>
  <c r="HL72" i="9"/>
  <c r="S72" i="9"/>
  <c r="AB72" i="9" s="1"/>
  <c r="DM56" i="8"/>
  <c r="B56" i="9"/>
  <c r="DM59" i="8"/>
  <c r="B59" i="9"/>
  <c r="BW50" i="10"/>
  <c r="HL71" i="9"/>
  <c r="S71" i="9"/>
  <c r="AB71" i="9" s="1"/>
  <c r="LK71" i="9"/>
  <c r="BZ71" i="9" s="1"/>
  <c r="N71" i="9" s="1"/>
  <c r="W71" i="9" s="1"/>
  <c r="CC72" i="10"/>
  <c r="CL72" i="10" s="1"/>
  <c r="CC71" i="10"/>
  <c r="BX72" i="10"/>
  <c r="CG72" i="10" s="1"/>
  <c r="CP72" i="10" s="1"/>
  <c r="CB71" i="10"/>
  <c r="CA72" i="10"/>
  <c r="BZ71" i="10"/>
  <c r="BY72" i="10"/>
  <c r="CT50" i="10"/>
  <c r="BY71" i="10"/>
  <c r="CE72" i="10"/>
  <c r="CA71" i="10"/>
  <c r="BZ72" i="10"/>
  <c r="CE71" i="10"/>
  <c r="CD72" i="10"/>
  <c r="BX71" i="10"/>
  <c r="CD71" i="10"/>
  <c r="CM71" i="10" s="1"/>
  <c r="CB72" i="10"/>
  <c r="CK72" i="10" s="1"/>
  <c r="BS71" i="10"/>
  <c r="BR71" i="10"/>
  <c r="BQ72" i="10"/>
  <c r="BQ71" i="10"/>
  <c r="BP72" i="10"/>
  <c r="BP71" i="10"/>
  <c r="BV72" i="10"/>
  <c r="BV71" i="10"/>
  <c r="BU72" i="10"/>
  <c r="BR72" i="10"/>
  <c r="CO56" i="10"/>
  <c r="B57" i="11" s="1"/>
  <c r="BO71" i="10"/>
  <c r="BT72" i="10"/>
  <c r="BU71" i="10"/>
  <c r="BS72" i="10"/>
  <c r="BT71" i="10"/>
  <c r="HI50" i="9"/>
  <c r="HK50" i="9"/>
  <c r="R50" i="9"/>
  <c r="AA50" i="9" s="1"/>
  <c r="HF50" i="9"/>
  <c r="HE50" i="9"/>
  <c r="L50" i="9"/>
  <c r="U50" i="9" s="1"/>
  <c r="HH50" i="9"/>
  <c r="O50" i="9"/>
  <c r="X50" i="9" s="1"/>
  <c r="HJ50" i="9"/>
  <c r="Q50" i="9"/>
  <c r="Z50" i="9" s="1"/>
  <c r="LL72" i="9"/>
  <c r="CA72" i="9" s="1"/>
  <c r="O72" i="9" s="1"/>
  <c r="X72" i="9" s="1"/>
  <c r="HG50" i="9"/>
  <c r="N50" i="9"/>
  <c r="W50" i="9" s="1"/>
  <c r="JW72" i="9"/>
  <c r="JW71" i="9"/>
  <c r="AP66" i="9"/>
  <c r="AG66" i="9" s="1"/>
  <c r="F66" i="9" s="1"/>
  <c r="JR66" i="9"/>
  <c r="ET70" i="9"/>
  <c r="IH70" i="9"/>
  <c r="KS70" i="9"/>
  <c r="JT70" i="9"/>
  <c r="AR70" i="9"/>
  <c r="AI70" i="9" s="1"/>
  <c r="H70" i="9" s="1"/>
  <c r="K61" i="12"/>
  <c r="T61" i="12" s="1"/>
  <c r="LN72" i="9"/>
  <c r="CC72" i="9" s="1"/>
  <c r="Q72" i="9" s="1"/>
  <c r="Z72" i="9" s="1"/>
  <c r="LI72" i="9"/>
  <c r="BX72" i="9" s="1"/>
  <c r="LN71" i="9"/>
  <c r="CC71" i="9" s="1"/>
  <c r="Q71" i="9" s="1"/>
  <c r="Z71" i="9" s="1"/>
  <c r="LO72" i="9"/>
  <c r="CD72" i="9" s="1"/>
  <c r="LJ71" i="9"/>
  <c r="BY71" i="9" s="1"/>
  <c r="LK72" i="9"/>
  <c r="BZ72" i="9" s="1"/>
  <c r="N72" i="9" s="1"/>
  <c r="W72" i="9" s="1"/>
  <c r="LH71" i="9"/>
  <c r="BW71" i="9" s="1"/>
  <c r="HD71" i="9" s="1"/>
  <c r="LL71" i="9"/>
  <c r="CA71" i="9" s="1"/>
  <c r="LM71" i="9"/>
  <c r="CB71" i="9" s="1"/>
  <c r="LM72" i="9"/>
  <c r="CB72" i="9" s="1"/>
  <c r="P72" i="9" s="1"/>
  <c r="Y72" i="9" s="1"/>
  <c r="LI71" i="9"/>
  <c r="LJ72" i="9"/>
  <c r="BY72" i="9" s="1"/>
  <c r="M72" i="9" s="1"/>
  <c r="V72" i="9" s="1"/>
  <c r="LO71" i="9"/>
  <c r="CD71" i="9" s="1"/>
  <c r="LH72" i="9"/>
  <c r="DX71" i="9"/>
  <c r="BM71" i="9" s="1"/>
  <c r="AK72" i="11" s="1"/>
  <c r="HC50" i="9"/>
  <c r="AD71" i="10"/>
  <c r="BE50" i="10"/>
  <c r="BN50" i="10" s="1"/>
  <c r="AK56" i="9"/>
  <c r="J56" i="9" s="1"/>
  <c r="DX72" i="9"/>
  <c r="BM72" i="9" s="1"/>
  <c r="AK73" i="11" s="1"/>
  <c r="EN71" i="9"/>
  <c r="EE71" i="9"/>
  <c r="JU71" i="9"/>
  <c r="EW71" i="9" s="1"/>
  <c r="AS71" i="9"/>
  <c r="EO72" i="9"/>
  <c r="EF72" i="9"/>
  <c r="JV72" i="9"/>
  <c r="EX72" i="9" s="1"/>
  <c r="EH72" i="9"/>
  <c r="DY72" i="9"/>
  <c r="JO72" i="9"/>
  <c r="EQ72" i="9" s="1"/>
  <c r="AM72" i="9"/>
  <c r="AV50" i="10"/>
  <c r="EM71" i="9"/>
  <c r="ED71" i="9"/>
  <c r="EN72" i="9"/>
  <c r="EE72" i="9"/>
  <c r="JU72" i="9"/>
  <c r="EW72" i="9" s="1"/>
  <c r="AS72" i="9"/>
  <c r="B69" i="10"/>
  <c r="AD69" i="10" s="1"/>
  <c r="B68" i="10"/>
  <c r="EC71" i="9"/>
  <c r="EL71" i="9"/>
  <c r="AQ71" i="9"/>
  <c r="JS71" i="9"/>
  <c r="EU71" i="9" s="1"/>
  <c r="EM72" i="9"/>
  <c r="ED72" i="9"/>
  <c r="AC68" i="10"/>
  <c r="W68" i="10"/>
  <c r="X68" i="10"/>
  <c r="Y68" i="10"/>
  <c r="V68" i="10"/>
  <c r="Z68" i="10"/>
  <c r="AA68" i="10"/>
  <c r="AB68" i="10"/>
  <c r="EK71" i="9"/>
  <c r="EB71" i="9"/>
  <c r="EL72" i="9"/>
  <c r="EC72" i="9"/>
  <c r="AQ72" i="9"/>
  <c r="JS72" i="9"/>
  <c r="EU72" i="9" s="1"/>
  <c r="AC69" i="10"/>
  <c r="W69" i="10"/>
  <c r="X69" i="10"/>
  <c r="Y69" i="10"/>
  <c r="Z69" i="10"/>
  <c r="AA69" i="10"/>
  <c r="AB69" i="10"/>
  <c r="V69" i="10"/>
  <c r="DP69" i="9"/>
  <c r="DQ69" i="9"/>
  <c r="DR69" i="9"/>
  <c r="DS69" i="9"/>
  <c r="DT69" i="9"/>
  <c r="DU69" i="9"/>
  <c r="DV69" i="9"/>
  <c r="DW69" i="9"/>
  <c r="DO69" i="9"/>
  <c r="DX69" i="9" s="1"/>
  <c r="DP68" i="9"/>
  <c r="DQ68" i="9"/>
  <c r="DR68" i="9"/>
  <c r="DS68" i="9"/>
  <c r="DT68" i="9"/>
  <c r="DU68" i="9"/>
  <c r="DV68" i="9"/>
  <c r="DW68" i="9"/>
  <c r="DO68" i="9"/>
  <c r="DX68" i="9" s="1"/>
  <c r="EJ71" i="9"/>
  <c r="EA71" i="9"/>
  <c r="JQ71" i="9"/>
  <c r="ES71" i="9" s="1"/>
  <c r="AO71" i="9"/>
  <c r="EK72" i="9"/>
  <c r="EB72" i="9"/>
  <c r="EO71" i="9"/>
  <c r="EF71" i="9"/>
  <c r="JV71" i="9"/>
  <c r="EX71" i="9" s="1"/>
  <c r="DZ71" i="9"/>
  <c r="EI71" i="9"/>
  <c r="JP71" i="9"/>
  <c r="ER71" i="9" s="1"/>
  <c r="AN71" i="9"/>
  <c r="EJ72" i="9"/>
  <c r="EA72" i="9"/>
  <c r="JQ72" i="9"/>
  <c r="ES72" i="9" s="1"/>
  <c r="AO72" i="9"/>
  <c r="DM69" i="9" a="1"/>
  <c r="DM69" i="9" s="1"/>
  <c r="DL69" i="9" a="1"/>
  <c r="DL69" i="9" s="1"/>
  <c r="DN69" i="9" a="1"/>
  <c r="DN69" i="9" s="1"/>
  <c r="DG69" i="9"/>
  <c r="DH69" i="9" a="1"/>
  <c r="DH69" i="9" s="1"/>
  <c r="DF69" i="9"/>
  <c r="DI69" i="9" a="1"/>
  <c r="DI69" i="9" s="1"/>
  <c r="DJ69" i="9" a="1"/>
  <c r="DJ69" i="9" s="1"/>
  <c r="DK69" i="9" a="1"/>
  <c r="DK69" i="9" s="1"/>
  <c r="DH68" i="9" a="1"/>
  <c r="DH68" i="9" s="1"/>
  <c r="DN68" i="9" a="1"/>
  <c r="DN68" i="9" s="1"/>
  <c r="DF68" i="9"/>
  <c r="DM68" i="9" a="1"/>
  <c r="DM68" i="9" s="1"/>
  <c r="DG68" i="9"/>
  <c r="DI68" i="9" a="1"/>
  <c r="DI68" i="9" s="1"/>
  <c r="DJ68" i="9" a="1"/>
  <c r="DJ68" i="9" s="1"/>
  <c r="DK68" i="9" a="1"/>
  <c r="DK68" i="9" s="1"/>
  <c r="DL68" i="9" a="1"/>
  <c r="DL68" i="9" s="1"/>
  <c r="DY71" i="9"/>
  <c r="EH71" i="9"/>
  <c r="AM71" i="9"/>
  <c r="JO71" i="9"/>
  <c r="EQ71" i="9" s="1"/>
  <c r="DZ72" i="9"/>
  <c r="EI72" i="9"/>
  <c r="AN72" i="9"/>
  <c r="JP72" i="9"/>
  <c r="ER72" i="9" s="1"/>
  <c r="KT56" i="9"/>
  <c r="LC56" i="9" s="1"/>
  <c r="KV56" i="9"/>
  <c r="LE56" i="9" s="1"/>
  <c r="AO57" i="11"/>
  <c r="KQ56" i="9"/>
  <c r="KZ56" i="9" s="1"/>
  <c r="AM57" i="11"/>
  <c r="KR56" i="9"/>
  <c r="LA56" i="9" s="1"/>
  <c r="AN57" i="11"/>
  <c r="AQ57" i="11"/>
  <c r="KP56" i="9"/>
  <c r="KY56" i="9" s="1"/>
  <c r="AL57" i="11"/>
  <c r="A68" i="9"/>
  <c r="A68" i="12"/>
  <c r="A69" i="9"/>
  <c r="A69" i="12"/>
  <c r="AU69" i="9"/>
  <c r="CW69" i="9"/>
  <c r="AU68" i="9"/>
  <c r="CW68" i="9"/>
  <c r="AL50" i="9"/>
  <c r="AC50" i="9" s="1"/>
  <c r="BQ50" i="9"/>
  <c r="AO51" i="11" s="1"/>
  <c r="BT50" i="9"/>
  <c r="BU50" i="9"/>
  <c r="AS51" i="11" s="1"/>
  <c r="BS50" i="9"/>
  <c r="BO50" i="9"/>
  <c r="BR50" i="9"/>
  <c r="AT71" i="9"/>
  <c r="BP50" i="9"/>
  <c r="BN50" i="9"/>
  <c r="AT72" i="9"/>
  <c r="GT70" i="9"/>
  <c r="IM70" i="9" s="1"/>
  <c r="GB66" i="9"/>
  <c r="GK66" i="9" s="1"/>
  <c r="KO56" i="9"/>
  <c r="FH59" i="9"/>
  <c r="KW56" i="9"/>
  <c r="LF56" i="9" s="1"/>
  <c r="ID56" i="9"/>
  <c r="AF56" i="9"/>
  <c r="E56" i="9" s="1"/>
  <c r="AH56" i="9"/>
  <c r="G56" i="9" s="1"/>
  <c r="AE56" i="9"/>
  <c r="D56" i="9" s="1"/>
  <c r="AD56" i="9"/>
  <c r="C56" i="9" s="1"/>
  <c r="AJ56" i="9"/>
  <c r="I56" i="9" s="1"/>
  <c r="JN50" i="9"/>
  <c r="EP50" i="9" s="1"/>
  <c r="IK50" i="9"/>
  <c r="FI56" i="9"/>
  <c r="FK56" i="9"/>
  <c r="FO56" i="9"/>
  <c r="FJ56" i="9"/>
  <c r="AZ69" i="8"/>
  <c r="BB69" i="8"/>
  <c r="BD69" i="8"/>
  <c r="L72" i="11"/>
  <c r="IE50" i="9"/>
  <c r="EZ50" i="9" s="1"/>
  <c r="AZ68" i="8"/>
  <c r="BD68" i="8"/>
  <c r="BB68" i="8"/>
  <c r="IF50" i="9"/>
  <c r="FM56" i="9"/>
  <c r="IG50" i="9"/>
  <c r="FB50" i="9" s="1"/>
  <c r="II50" i="9"/>
  <c r="FD50" i="9" s="1"/>
  <c r="FP56" i="9"/>
  <c r="IL50" i="9"/>
  <c r="FG50" i="9" s="1"/>
  <c r="CN69" i="9"/>
  <c r="CE69" i="9"/>
  <c r="CN68" i="9"/>
  <c r="CE68" i="9"/>
  <c r="L73" i="11"/>
  <c r="BL69" i="8"/>
  <c r="BF69" i="8"/>
  <c r="BJ69" i="8"/>
  <c r="BP69" i="8"/>
  <c r="BH69" i="8"/>
  <c r="BN69" i="8"/>
  <c r="BN68" i="8"/>
  <c r="BL68" i="8"/>
  <c r="BP68" i="8"/>
  <c r="BF68" i="8"/>
  <c r="BH68" i="8"/>
  <c r="BJ68" i="8"/>
  <c r="CX67" i="8"/>
  <c r="CZ67" i="8"/>
  <c r="DA67" i="8"/>
  <c r="DB67" i="8"/>
  <c r="DC67" i="8"/>
  <c r="DD67" i="8"/>
  <c r="C67" i="10" s="1"/>
  <c r="DE67" i="8"/>
  <c r="DF67" i="8"/>
  <c r="A67" i="8"/>
  <c r="O112" i="7"/>
  <c r="Q112" i="7"/>
  <c r="O113" i="7"/>
  <c r="Q113" i="7"/>
  <c r="O114" i="7"/>
  <c r="Q114" i="7"/>
  <c r="AV71" i="10" l="1"/>
  <c r="BE72" i="10"/>
  <c r="DT72" i="8"/>
  <c r="KX56" i="9"/>
  <c r="KF69" i="9"/>
  <c r="DT71" i="8"/>
  <c r="AM68" i="10"/>
  <c r="L68" i="10"/>
  <c r="U68" i="10" s="1"/>
  <c r="AM69" i="10"/>
  <c r="L69" i="10"/>
  <c r="U69" i="10" s="1"/>
  <c r="BW69" i="10" s="1"/>
  <c r="KF68" i="9"/>
  <c r="HH72" i="9"/>
  <c r="DS69" i="8"/>
  <c r="DR69" i="8"/>
  <c r="DS68" i="8"/>
  <c r="DR68" i="8"/>
  <c r="CN72" i="10"/>
  <c r="CW72" i="10" s="1"/>
  <c r="CL71" i="10"/>
  <c r="CU71" i="10" s="1"/>
  <c r="CH71" i="10"/>
  <c r="CQ71" i="10" s="1"/>
  <c r="CG71" i="10"/>
  <c r="CP71" i="10" s="1"/>
  <c r="CH72" i="10"/>
  <c r="CQ72" i="10" s="1"/>
  <c r="CM72" i="10"/>
  <c r="CV72" i="10" s="1"/>
  <c r="CI71" i="10"/>
  <c r="CR71" i="10" s="1"/>
  <c r="CN71" i="10"/>
  <c r="CW71" i="10" s="1"/>
  <c r="CJ72" i="10"/>
  <c r="CS72" i="10" s="1"/>
  <c r="CI72" i="10"/>
  <c r="CR72" i="10" s="1"/>
  <c r="CK71" i="10"/>
  <c r="CT71" i="10" s="1"/>
  <c r="CJ71" i="10"/>
  <c r="CS71" i="10" s="1"/>
  <c r="BD67" i="9"/>
  <c r="DN67" i="8"/>
  <c r="IV67" i="9"/>
  <c r="JE67" i="9"/>
  <c r="K67" i="9"/>
  <c r="T67" i="9" s="1"/>
  <c r="LK68" i="9"/>
  <c r="BZ68" i="9" s="1"/>
  <c r="N68" i="9" s="1"/>
  <c r="W68" i="9" s="1"/>
  <c r="LG69" i="9"/>
  <c r="BV69" i="9" s="1"/>
  <c r="DQ69" i="8" s="1"/>
  <c r="HF72" i="9"/>
  <c r="HL69" i="9"/>
  <c r="S69" i="9"/>
  <c r="AB69" i="9" s="1"/>
  <c r="CF50" i="10"/>
  <c r="CO50" i="10" s="1"/>
  <c r="B51" i="11" s="1"/>
  <c r="BW71" i="10"/>
  <c r="HL68" i="9"/>
  <c r="S68" i="9"/>
  <c r="AB68" i="9" s="1"/>
  <c r="DM50" i="8"/>
  <c r="B50" i="9"/>
  <c r="BW72" i="10"/>
  <c r="HG72" i="9"/>
  <c r="BN72" i="9"/>
  <c r="AL73" i="11" s="1"/>
  <c r="HG71" i="9"/>
  <c r="HI72" i="9"/>
  <c r="BY69" i="10"/>
  <c r="BY68" i="10"/>
  <c r="CA68" i="10"/>
  <c r="CE69" i="10"/>
  <c r="CE68" i="10"/>
  <c r="CD68" i="10"/>
  <c r="CD69" i="10"/>
  <c r="CC68" i="10"/>
  <c r="CC69" i="10"/>
  <c r="CB68" i="10"/>
  <c r="BX69" i="10"/>
  <c r="CB69" i="10"/>
  <c r="BX68" i="10"/>
  <c r="CA69" i="10"/>
  <c r="BZ69" i="10"/>
  <c r="BZ68" i="10"/>
  <c r="BS69" i="10"/>
  <c r="BO68" i="10"/>
  <c r="BU69" i="10"/>
  <c r="CM69" i="10" s="1"/>
  <c r="BT68" i="10"/>
  <c r="CL68" i="10" s="1"/>
  <c r="BR69" i="10"/>
  <c r="BR68" i="10"/>
  <c r="CV71" i="10"/>
  <c r="BS68" i="10"/>
  <c r="CK68" i="10" s="1"/>
  <c r="BQ69" i="10"/>
  <c r="BQ68" i="10"/>
  <c r="BT69" i="10"/>
  <c r="CT72" i="10"/>
  <c r="BP69" i="10"/>
  <c r="BP68" i="10"/>
  <c r="CU72" i="10"/>
  <c r="BV69" i="10"/>
  <c r="CN69" i="10" s="1"/>
  <c r="BV68" i="10"/>
  <c r="CN68" i="10" s="1"/>
  <c r="BO69" i="10"/>
  <c r="BU68" i="10"/>
  <c r="CM68" i="10" s="1"/>
  <c r="HJ71" i="9"/>
  <c r="HH71" i="9"/>
  <c r="O71" i="9"/>
  <c r="X71" i="9" s="1"/>
  <c r="G73" i="11"/>
  <c r="HF71" i="9"/>
  <c r="M71" i="9"/>
  <c r="V71" i="9" s="1"/>
  <c r="HE72" i="9"/>
  <c r="L72" i="9"/>
  <c r="U72" i="9" s="1"/>
  <c r="HK71" i="9"/>
  <c r="R71" i="9"/>
  <c r="AA71" i="9" s="1"/>
  <c r="HJ72" i="9"/>
  <c r="HI71" i="9"/>
  <c r="P71" i="9"/>
  <c r="Y71" i="9" s="1"/>
  <c r="HK72" i="9"/>
  <c r="R72" i="9"/>
  <c r="AA72" i="9" s="1"/>
  <c r="JW69" i="9"/>
  <c r="JW68" i="9"/>
  <c r="LB70" i="9"/>
  <c r="EV70" i="9"/>
  <c r="IJ70" i="9"/>
  <c r="KU70" i="9"/>
  <c r="JR61" i="9"/>
  <c r="AP61" i="9"/>
  <c r="AG61" i="9" s="1"/>
  <c r="F61" i="9" s="1"/>
  <c r="FC70" i="9"/>
  <c r="FL70" i="9" s="1"/>
  <c r="JT66" i="9"/>
  <c r="AR66" i="9"/>
  <c r="AI66" i="9" s="1"/>
  <c r="H66" i="9" s="1"/>
  <c r="ET66" i="9"/>
  <c r="IH66" i="9"/>
  <c r="KS66" i="9"/>
  <c r="DO56" i="8"/>
  <c r="DO59" i="8"/>
  <c r="LO68" i="9"/>
  <c r="CD68" i="9" s="1"/>
  <c r="LL69" i="9"/>
  <c r="CA69" i="9" s="1"/>
  <c r="LJ69" i="9"/>
  <c r="BY69" i="9" s="1"/>
  <c r="M69" i="9" s="1"/>
  <c r="V69" i="9" s="1"/>
  <c r="LH69" i="9"/>
  <c r="BW69" i="9" s="1"/>
  <c r="HD69" i="9" s="1"/>
  <c r="LM68" i="9"/>
  <c r="CB68" i="9" s="1"/>
  <c r="P68" i="9" s="1"/>
  <c r="Y68" i="9" s="1"/>
  <c r="LI68" i="9"/>
  <c r="BX68" i="9" s="1"/>
  <c r="LN69" i="9"/>
  <c r="CC69" i="9" s="1"/>
  <c r="LH68" i="9"/>
  <c r="BW68" i="9" s="1"/>
  <c r="HD68" i="9" s="1"/>
  <c r="LN68" i="9"/>
  <c r="CC68" i="9" s="1"/>
  <c r="LI69" i="9"/>
  <c r="BX69" i="9" s="1"/>
  <c r="LG68" i="9"/>
  <c r="BV68" i="9" s="1"/>
  <c r="DQ68" i="8" s="1"/>
  <c r="LO69" i="9"/>
  <c r="CD69" i="9" s="1"/>
  <c r="LL68" i="9"/>
  <c r="CA68" i="9" s="1"/>
  <c r="LM69" i="9"/>
  <c r="CB69" i="9" s="1"/>
  <c r="LK69" i="9"/>
  <c r="BZ69" i="9" s="1"/>
  <c r="N69" i="9" s="1"/>
  <c r="W69" i="9" s="1"/>
  <c r="LJ68" i="9"/>
  <c r="BY68" i="9" s="1"/>
  <c r="BX71" i="9"/>
  <c r="G72" i="11"/>
  <c r="BW72" i="9"/>
  <c r="IE72" i="9" s="1"/>
  <c r="EZ72" i="9" s="1"/>
  <c r="Q71" i="11"/>
  <c r="BE71" i="10"/>
  <c r="BN71" i="10" s="1"/>
  <c r="AD68" i="10"/>
  <c r="HC72" i="9"/>
  <c r="HC71" i="9"/>
  <c r="BS71" i="9"/>
  <c r="AQ72" i="11" s="1"/>
  <c r="AL72" i="9"/>
  <c r="AC72" i="9" s="1"/>
  <c r="EA69" i="9"/>
  <c r="EJ69" i="9"/>
  <c r="JQ69" i="9"/>
  <c r="ES69" i="9" s="1"/>
  <c r="AO69" i="9"/>
  <c r="DY68" i="9"/>
  <c r="EH68" i="9"/>
  <c r="JO68" i="9"/>
  <c r="EQ68" i="9" s="1"/>
  <c r="AM68" i="9"/>
  <c r="DZ69" i="9"/>
  <c r="EI69" i="9"/>
  <c r="AN69" i="9"/>
  <c r="JP69" i="9"/>
  <c r="ER69" i="9" s="1"/>
  <c r="EI68" i="9"/>
  <c r="DZ68" i="9"/>
  <c r="AN68" i="9"/>
  <c r="JP68" i="9"/>
  <c r="ER68" i="9" s="1"/>
  <c r="DP67" i="9"/>
  <c r="DQ67" i="9"/>
  <c r="DR67" i="9"/>
  <c r="DS67" i="9"/>
  <c r="DT67" i="9"/>
  <c r="DU67" i="9"/>
  <c r="DV67" i="9"/>
  <c r="DW67" i="9"/>
  <c r="DO67" i="9"/>
  <c r="DX67" i="9" s="1"/>
  <c r="DI67" i="9" a="1"/>
  <c r="DI67" i="9" s="1"/>
  <c r="DM67" i="9" a="1"/>
  <c r="DM67" i="9" s="1"/>
  <c r="DG67" i="9"/>
  <c r="DN67" i="9" a="1"/>
  <c r="DN67" i="9" s="1"/>
  <c r="DH67" i="9" a="1"/>
  <c r="DH67" i="9" s="1"/>
  <c r="DF67" i="9"/>
  <c r="DJ67" i="9" a="1"/>
  <c r="DJ67" i="9" s="1"/>
  <c r="DK67" i="9" a="1"/>
  <c r="DK67" i="9" s="1"/>
  <c r="DL67" i="9" a="1"/>
  <c r="DL67" i="9" s="1"/>
  <c r="EF68" i="9"/>
  <c r="EO68" i="9"/>
  <c r="JV68" i="9"/>
  <c r="EX68" i="9" s="1"/>
  <c r="EH69" i="9"/>
  <c r="DY69" i="9"/>
  <c r="AM69" i="9"/>
  <c r="JO69" i="9"/>
  <c r="EQ69" i="9" s="1"/>
  <c r="EE68" i="9"/>
  <c r="EN68" i="9"/>
  <c r="AS68" i="9"/>
  <c r="JU68" i="9"/>
  <c r="EW68" i="9" s="1"/>
  <c r="EF69" i="9"/>
  <c r="EO69" i="9"/>
  <c r="JV69" i="9"/>
  <c r="EX69" i="9" s="1"/>
  <c r="AC67" i="10"/>
  <c r="W67" i="10"/>
  <c r="X67" i="10"/>
  <c r="Y67" i="10"/>
  <c r="Z67" i="10"/>
  <c r="AA67" i="10"/>
  <c r="AB67" i="10"/>
  <c r="V67" i="10"/>
  <c r="ED68" i="9"/>
  <c r="EM68" i="9"/>
  <c r="EN69" i="9"/>
  <c r="EE69" i="9"/>
  <c r="JU69" i="9"/>
  <c r="EW69" i="9" s="1"/>
  <c r="AS69" i="9"/>
  <c r="EC68" i="9"/>
  <c r="EL68" i="9"/>
  <c r="JS68" i="9"/>
  <c r="EU68" i="9" s="1"/>
  <c r="AQ68" i="9"/>
  <c r="ED69" i="9"/>
  <c r="EM69" i="9"/>
  <c r="EB68" i="9"/>
  <c r="EK68" i="9"/>
  <c r="EC69" i="9"/>
  <c r="EL69" i="9"/>
  <c r="AQ69" i="9"/>
  <c r="JS69" i="9"/>
  <c r="EU69" i="9" s="1"/>
  <c r="B67" i="10"/>
  <c r="EJ68" i="9"/>
  <c r="EA68" i="9"/>
  <c r="AO68" i="9"/>
  <c r="JQ68" i="9"/>
  <c r="ES68" i="9" s="1"/>
  <c r="EB69" i="9"/>
  <c r="EK69" i="9"/>
  <c r="AL71" i="9"/>
  <c r="AC71" i="9" s="1"/>
  <c r="FA50" i="9"/>
  <c r="FJ50" i="9" s="1"/>
  <c r="FF50" i="9"/>
  <c r="FO50" i="9" s="1"/>
  <c r="AQ51" i="11"/>
  <c r="KT50" i="9"/>
  <c r="LC50" i="9" s="1"/>
  <c r="AP51" i="11"/>
  <c r="AK50" i="9"/>
  <c r="J50" i="9" s="1"/>
  <c r="KP50" i="9"/>
  <c r="KY50" i="9" s="1"/>
  <c r="AL51" i="11"/>
  <c r="KR50" i="9"/>
  <c r="LA50" i="9" s="1"/>
  <c r="AN51" i="11"/>
  <c r="KQ50" i="9"/>
  <c r="KZ50" i="9" s="1"/>
  <c r="AM51" i="11"/>
  <c r="KV50" i="9"/>
  <c r="LE50" i="9" s="1"/>
  <c r="AR51" i="11"/>
  <c r="BU72" i="9"/>
  <c r="BS72" i="9"/>
  <c r="AQ73" i="11" s="1"/>
  <c r="BO72" i="9"/>
  <c r="BT72" i="9"/>
  <c r="AR73" i="11" s="1"/>
  <c r="BU71" i="9"/>
  <c r="AS72" i="11" s="1"/>
  <c r="A67" i="9"/>
  <c r="A67" i="12"/>
  <c r="BR72" i="9"/>
  <c r="AU67" i="9"/>
  <c r="CW67" i="9"/>
  <c r="BP72" i="9"/>
  <c r="AN73" i="11" s="1"/>
  <c r="BN72" i="10"/>
  <c r="BO71" i="9"/>
  <c r="BT71" i="9"/>
  <c r="AT68" i="9"/>
  <c r="BQ72" i="9"/>
  <c r="BQ71" i="9"/>
  <c r="BR71" i="9"/>
  <c r="AP72" i="11" s="1"/>
  <c r="BP71" i="9"/>
  <c r="AN72" i="11" s="1"/>
  <c r="BN71" i="9"/>
  <c r="AT69" i="9"/>
  <c r="GT66" i="9"/>
  <c r="IM66" i="9" s="1"/>
  <c r="GB61" i="9"/>
  <c r="GK61" i="9" s="1"/>
  <c r="KO50" i="9"/>
  <c r="KW50" i="9"/>
  <c r="LF50" i="9" s="1"/>
  <c r="EY56" i="9"/>
  <c r="JN72" i="9"/>
  <c r="ID50" i="9"/>
  <c r="EY50" i="9" s="1"/>
  <c r="EG68" i="9"/>
  <c r="BM68" i="9" s="1"/>
  <c r="AK69" i="11" s="1"/>
  <c r="AF50" i="9"/>
  <c r="E50" i="9" s="1"/>
  <c r="AH50" i="9"/>
  <c r="G50" i="9" s="1"/>
  <c r="AD50" i="9"/>
  <c r="C50" i="9" s="1"/>
  <c r="AE50" i="9"/>
  <c r="D50" i="9" s="1"/>
  <c r="AJ50" i="9"/>
  <c r="I50" i="9" s="1"/>
  <c r="EG69" i="9"/>
  <c r="BM69" i="9" s="1"/>
  <c r="AK70" i="11" s="1"/>
  <c r="FI50" i="9"/>
  <c r="JN71" i="9"/>
  <c r="EP71" i="9" s="1"/>
  <c r="IK71" i="9"/>
  <c r="FP50" i="9"/>
  <c r="FK50" i="9"/>
  <c r="IF72" i="9"/>
  <c r="FA72" i="9" s="1"/>
  <c r="IL71" i="9"/>
  <c r="FG71" i="9" s="1"/>
  <c r="IL72" i="9"/>
  <c r="FG72" i="9" s="1"/>
  <c r="CN67" i="9"/>
  <c r="CE67" i="9"/>
  <c r="S67" i="9" s="1"/>
  <c r="AB67" i="9" s="1"/>
  <c r="L70" i="11"/>
  <c r="L69" i="11"/>
  <c r="IG72" i="9"/>
  <c r="FB72" i="9" s="1"/>
  <c r="AZ67" i="8"/>
  <c r="BD67" i="8"/>
  <c r="BB67" i="8"/>
  <c r="II72" i="9"/>
  <c r="FD72" i="9" s="1"/>
  <c r="II71" i="9"/>
  <c r="FD71" i="9" s="1"/>
  <c r="FM50" i="9"/>
  <c r="IG71" i="9"/>
  <c r="FB71" i="9" s="1"/>
  <c r="IK72" i="9"/>
  <c r="FF72" i="9" s="1"/>
  <c r="IE71" i="9"/>
  <c r="EZ71" i="9" s="1"/>
  <c r="BF67" i="8"/>
  <c r="BN67" i="8"/>
  <c r="BL67" i="8"/>
  <c r="BP67" i="8"/>
  <c r="BH67" i="8"/>
  <c r="BJ67" i="8"/>
  <c r="CX65" i="8"/>
  <c r="CZ65" i="8"/>
  <c r="DA65" i="8"/>
  <c r="DB65" i="8"/>
  <c r="DC65" i="8"/>
  <c r="DD65" i="8"/>
  <c r="C65" i="10" s="1"/>
  <c r="DE65" i="8"/>
  <c r="DF65" i="8"/>
  <c r="A65" i="8"/>
  <c r="BE69" i="10" l="1"/>
  <c r="BN69" i="10" s="1"/>
  <c r="CF69" i="10" s="1"/>
  <c r="AV68" i="10"/>
  <c r="DT69" i="8"/>
  <c r="AV69" i="10"/>
  <c r="KF67" i="9"/>
  <c r="KX50" i="9"/>
  <c r="AM67" i="10"/>
  <c r="L67" i="10"/>
  <c r="U67" i="10" s="1"/>
  <c r="CL69" i="10"/>
  <c r="CU69" i="10" s="1"/>
  <c r="DR67" i="8"/>
  <c r="DS67" i="8"/>
  <c r="DT68" i="8"/>
  <c r="CJ68" i="10"/>
  <c r="CS68" i="10" s="1"/>
  <c r="CI69" i="10"/>
  <c r="CR69" i="10" s="1"/>
  <c r="CG69" i="10"/>
  <c r="CP69" i="10" s="1"/>
  <c r="CH68" i="10"/>
  <c r="CQ68" i="10" s="1"/>
  <c r="CH69" i="10"/>
  <c r="CQ69" i="10" s="1"/>
  <c r="CJ69" i="10"/>
  <c r="CS69" i="10" s="1"/>
  <c r="CG68" i="10"/>
  <c r="CP68" i="10" s="1"/>
  <c r="CK69" i="10"/>
  <c r="CT69" i="10" s="1"/>
  <c r="CF72" i="10"/>
  <c r="CO72" i="10" s="1"/>
  <c r="B73" i="11" s="1"/>
  <c r="CI68" i="10"/>
  <c r="CR68" i="10" s="1"/>
  <c r="HG68" i="9"/>
  <c r="BD65" i="9"/>
  <c r="IV65" i="9"/>
  <c r="JE65" i="9"/>
  <c r="DN65" i="8"/>
  <c r="K65" i="9"/>
  <c r="T65" i="9" s="1"/>
  <c r="CF71" i="10"/>
  <c r="CO71" i="10" s="1"/>
  <c r="B72" i="11" s="1"/>
  <c r="BE68" i="10"/>
  <c r="BN68" i="10" s="1"/>
  <c r="CF68" i="10" s="1"/>
  <c r="DM72" i="8"/>
  <c r="B72" i="9"/>
  <c r="BW68" i="10"/>
  <c r="DM71" i="8"/>
  <c r="B71" i="9"/>
  <c r="HF69" i="9"/>
  <c r="CA67" i="10"/>
  <c r="CC67" i="10"/>
  <c r="HI68" i="9"/>
  <c r="BZ67" i="10"/>
  <c r="BY67" i="10"/>
  <c r="CE67" i="10"/>
  <c r="BX67" i="10"/>
  <c r="CD67" i="10"/>
  <c r="CM67" i="10" s="1"/>
  <c r="CB67" i="10"/>
  <c r="CV69" i="10"/>
  <c r="BQ67" i="10"/>
  <c r="BP67" i="10"/>
  <c r="CW68" i="10"/>
  <c r="BV67" i="10"/>
  <c r="BO67" i="10"/>
  <c r="BS67" i="10"/>
  <c r="BR67" i="10"/>
  <c r="BU67" i="10"/>
  <c r="CV68" i="10"/>
  <c r="CW69" i="10"/>
  <c r="BT67" i="10"/>
  <c r="CT68" i="10"/>
  <c r="CU68" i="10"/>
  <c r="KP72" i="9"/>
  <c r="KY72" i="9" s="1"/>
  <c r="HG69" i="9"/>
  <c r="HK68" i="9"/>
  <c r="R68" i="9"/>
  <c r="AA68" i="9" s="1"/>
  <c r="HI69" i="9"/>
  <c r="P69" i="9"/>
  <c r="Y69" i="9" s="1"/>
  <c r="HH69" i="9"/>
  <c r="O69" i="9"/>
  <c r="X69" i="9" s="1"/>
  <c r="HH68" i="9"/>
  <c r="O68" i="9"/>
  <c r="X68" i="9" s="1"/>
  <c r="HJ69" i="9"/>
  <c r="Q69" i="9"/>
  <c r="Z69" i="9" s="1"/>
  <c r="HK69" i="9"/>
  <c r="R69" i="9"/>
  <c r="AA69" i="9" s="1"/>
  <c r="HE68" i="9"/>
  <c r="L68" i="9"/>
  <c r="U68" i="9" s="1"/>
  <c r="HE69" i="9"/>
  <c r="L69" i="9"/>
  <c r="U69" i="9" s="1"/>
  <c r="HF68" i="9"/>
  <c r="M68" i="9"/>
  <c r="V68" i="9" s="1"/>
  <c r="IF71" i="9"/>
  <c r="FA71" i="9" s="1"/>
  <c r="FJ71" i="9" s="1"/>
  <c r="L71" i="9"/>
  <c r="U71" i="9" s="1"/>
  <c r="HJ68" i="9"/>
  <c r="Q68" i="9"/>
  <c r="Z68" i="9" s="1"/>
  <c r="JW67" i="9"/>
  <c r="LB66" i="9"/>
  <c r="FC66" i="9"/>
  <c r="FL66" i="9" s="1"/>
  <c r="LD70" i="9"/>
  <c r="DO50" i="8"/>
  <c r="AR61" i="9"/>
  <c r="AI61" i="9" s="1"/>
  <c r="H61" i="9" s="1"/>
  <c r="JT61" i="9"/>
  <c r="ET61" i="9"/>
  <c r="IH61" i="9"/>
  <c r="KS61" i="9"/>
  <c r="FE70" i="9"/>
  <c r="FN70" i="9" s="1"/>
  <c r="EV66" i="9"/>
  <c r="IJ66" i="9"/>
  <c r="KU66" i="9"/>
  <c r="LO67" i="9"/>
  <c r="CD67" i="9" s="1"/>
  <c r="R67" i="9" s="1"/>
  <c r="AA67" i="9" s="1"/>
  <c r="G69" i="11"/>
  <c r="LJ67" i="9"/>
  <c r="BY67" i="9" s="1"/>
  <c r="M67" i="9" s="1"/>
  <c r="V67" i="9" s="1"/>
  <c r="LM67" i="9"/>
  <c r="CB67" i="9" s="1"/>
  <c r="Q67" i="11"/>
  <c r="G70" i="11"/>
  <c r="LK67" i="9"/>
  <c r="BZ67" i="9" s="1"/>
  <c r="LG67" i="9"/>
  <c r="BV67" i="9" s="1"/>
  <c r="DQ67" i="8" s="1"/>
  <c r="LI67" i="9"/>
  <c r="G68" i="11" s="1"/>
  <c r="LH67" i="9"/>
  <c r="BW67" i="9" s="1"/>
  <c r="HD67" i="9" s="1"/>
  <c r="LN67" i="9"/>
  <c r="CC67" i="9" s="1"/>
  <c r="HD72" i="9"/>
  <c r="HE71" i="9"/>
  <c r="LL67" i="9"/>
  <c r="CA67" i="9" s="1"/>
  <c r="EG67" i="9"/>
  <c r="BM67" i="9" s="1"/>
  <c r="AK68" i="11" s="1"/>
  <c r="HC69" i="9"/>
  <c r="HC68" i="9"/>
  <c r="KR72" i="9"/>
  <c r="LA72" i="9" s="1"/>
  <c r="BQ68" i="9"/>
  <c r="AO69" i="11" s="1"/>
  <c r="KR71" i="9"/>
  <c r="LA71" i="9" s="1"/>
  <c r="AK71" i="9"/>
  <c r="J71" i="9" s="1"/>
  <c r="EA67" i="9"/>
  <c r="EJ67" i="9"/>
  <c r="JQ67" i="9"/>
  <c r="ES67" i="9" s="1"/>
  <c r="AO67" i="9"/>
  <c r="DZ67" i="9"/>
  <c r="EI67" i="9"/>
  <c r="AN67" i="9"/>
  <c r="JP67" i="9"/>
  <c r="ER67" i="9" s="1"/>
  <c r="KV72" i="9"/>
  <c r="LE72" i="9" s="1"/>
  <c r="HL67" i="9"/>
  <c r="DY67" i="9"/>
  <c r="EH67" i="9"/>
  <c r="JO67" i="9"/>
  <c r="EQ67" i="9" s="1"/>
  <c r="AM67" i="9"/>
  <c r="EF67" i="9"/>
  <c r="EO67" i="9"/>
  <c r="JV67" i="9"/>
  <c r="EX67" i="9" s="1"/>
  <c r="B65" i="10"/>
  <c r="AD65" i="10" s="1"/>
  <c r="AC65" i="10"/>
  <c r="W65" i="10"/>
  <c r="X65" i="10"/>
  <c r="Y65" i="10"/>
  <c r="Z65" i="10"/>
  <c r="AA65" i="10"/>
  <c r="AB65" i="10"/>
  <c r="V65" i="10"/>
  <c r="DP65" i="9"/>
  <c r="DQ65" i="9"/>
  <c r="DR65" i="9"/>
  <c r="DS65" i="9"/>
  <c r="DT65" i="9"/>
  <c r="DU65" i="9"/>
  <c r="DV65" i="9"/>
  <c r="DW65" i="9"/>
  <c r="DO65" i="9"/>
  <c r="DX65" i="9" s="1"/>
  <c r="EE67" i="9"/>
  <c r="EN67" i="9"/>
  <c r="JU67" i="9"/>
  <c r="EW67" i="9" s="1"/>
  <c r="AS67" i="9"/>
  <c r="EB67" i="9"/>
  <c r="EK67" i="9"/>
  <c r="AD67" i="10"/>
  <c r="DK65" i="9" a="1"/>
  <c r="DK65" i="9" s="1"/>
  <c r="DN65" i="9" a="1"/>
  <c r="DN65" i="9" s="1"/>
  <c r="DF65" i="9"/>
  <c r="DG65" i="9"/>
  <c r="DH65" i="9" a="1"/>
  <c r="DH65" i="9" s="1"/>
  <c r="DI65" i="9" a="1"/>
  <c r="DI65" i="9" s="1"/>
  <c r="DJ65" i="9" a="1"/>
  <c r="DJ65" i="9" s="1"/>
  <c r="DL65" i="9" a="1"/>
  <c r="DL65" i="9" s="1"/>
  <c r="DM65" i="9" a="1"/>
  <c r="DM65" i="9" s="1"/>
  <c r="ED67" i="9"/>
  <c r="EM67" i="9"/>
  <c r="EC67" i="9"/>
  <c r="EL67" i="9"/>
  <c r="AQ67" i="9"/>
  <c r="JS67" i="9"/>
  <c r="EU67" i="9" s="1"/>
  <c r="FF71" i="9"/>
  <c r="FO71" i="9" s="1"/>
  <c r="KQ72" i="9"/>
  <c r="KZ72" i="9" s="1"/>
  <c r="AM73" i="11"/>
  <c r="KV71" i="9"/>
  <c r="LE71" i="9" s="1"/>
  <c r="AR72" i="11"/>
  <c r="KQ71" i="9"/>
  <c r="AM72" i="11"/>
  <c r="KT72" i="9"/>
  <c r="LC72" i="9" s="1"/>
  <c r="AP73" i="11"/>
  <c r="AK72" i="9"/>
  <c r="J72" i="9" s="1"/>
  <c r="AS73" i="11"/>
  <c r="AO72" i="11"/>
  <c r="KT71" i="9"/>
  <c r="LC71" i="9" s="1"/>
  <c r="AO73" i="11"/>
  <c r="AL72" i="11"/>
  <c r="BO68" i="9"/>
  <c r="AL69" i="9"/>
  <c r="AC69" i="9" s="1"/>
  <c r="BS69" i="9"/>
  <c r="BU69" i="9"/>
  <c r="AS70" i="11" s="1"/>
  <c r="BR69" i="9"/>
  <c r="AP70" i="11" s="1"/>
  <c r="A65" i="9"/>
  <c r="A65" i="12"/>
  <c r="AU65" i="9"/>
  <c r="CW65" i="9"/>
  <c r="BP69" i="9"/>
  <c r="BT68" i="9"/>
  <c r="AL68" i="9"/>
  <c r="AC68" i="9" s="1"/>
  <c r="BO69" i="9"/>
  <c r="AM70" i="11" s="1"/>
  <c r="BQ69" i="9"/>
  <c r="BN68" i="9"/>
  <c r="AL69" i="11" s="1"/>
  <c r="BR68" i="9"/>
  <c r="BT69" i="9"/>
  <c r="AR70" i="11" s="1"/>
  <c r="BP68" i="9"/>
  <c r="BU68" i="9"/>
  <c r="AS69" i="11" s="1"/>
  <c r="AT67" i="9"/>
  <c r="BN69" i="9"/>
  <c r="BS68" i="9"/>
  <c r="AQ69" i="11" s="1"/>
  <c r="GT61" i="9"/>
  <c r="IM61" i="9" s="1"/>
  <c r="ID72" i="9"/>
  <c r="EP72" i="9"/>
  <c r="KO72" i="9"/>
  <c r="KO71" i="9"/>
  <c r="FH50" i="9"/>
  <c r="FH56" i="9"/>
  <c r="K56" i="12" s="1"/>
  <c r="T56" i="12" s="1"/>
  <c r="FM71" i="9"/>
  <c r="KW72" i="9"/>
  <c r="LF72" i="9" s="1"/>
  <c r="KW71" i="9"/>
  <c r="LF71" i="9" s="1"/>
  <c r="ID71" i="9"/>
  <c r="JN68" i="9"/>
  <c r="EP68" i="9" s="1"/>
  <c r="AJ72" i="9"/>
  <c r="I72" i="9" s="1"/>
  <c r="AJ71" i="9"/>
  <c r="I71" i="9" s="1"/>
  <c r="AE71" i="9"/>
  <c r="D71" i="9" s="1"/>
  <c r="AF72" i="9"/>
  <c r="E72" i="9" s="1"/>
  <c r="AD71" i="9"/>
  <c r="AH72" i="9"/>
  <c r="G72" i="9" s="1"/>
  <c r="AD72" i="9"/>
  <c r="C72" i="9" s="1"/>
  <c r="AE72" i="9"/>
  <c r="D72" i="9" s="1"/>
  <c r="AH71" i="9"/>
  <c r="G71" i="9" s="1"/>
  <c r="AF71" i="9"/>
  <c r="E71" i="9" s="1"/>
  <c r="FJ72" i="9"/>
  <c r="FK72" i="9"/>
  <c r="FM72" i="9"/>
  <c r="JN69" i="9"/>
  <c r="EP69" i="9" s="1"/>
  <c r="FP72" i="9"/>
  <c r="IL69" i="9"/>
  <c r="FG69" i="9" s="1"/>
  <c r="FP71" i="9"/>
  <c r="FI72" i="9"/>
  <c r="FI71" i="9"/>
  <c r="II69" i="9"/>
  <c r="FD69" i="9" s="1"/>
  <c r="IG68" i="9"/>
  <c r="FB68" i="9" s="1"/>
  <c r="FO72" i="9"/>
  <c r="IK68" i="9"/>
  <c r="FF68" i="9" s="1"/>
  <c r="IF69" i="9"/>
  <c r="FA69" i="9" s="1"/>
  <c r="L68" i="11"/>
  <c r="AZ65" i="8"/>
  <c r="BB65" i="8"/>
  <c r="BD65" i="8"/>
  <c r="FK71" i="9"/>
  <c r="IK69" i="9"/>
  <c r="FF69" i="9" s="1"/>
  <c r="CE65" i="9"/>
  <c r="CN65" i="9"/>
  <c r="IF68" i="9"/>
  <c r="FA68" i="9" s="1"/>
  <c r="II68" i="9"/>
  <c r="FD68" i="9" s="1"/>
  <c r="IL68" i="9"/>
  <c r="IE69" i="9"/>
  <c r="EZ69" i="9" s="1"/>
  <c r="IE68" i="9"/>
  <c r="EZ68" i="9" s="1"/>
  <c r="IG69" i="9"/>
  <c r="FB69" i="9" s="1"/>
  <c r="BN65" i="8"/>
  <c r="BF65" i="8"/>
  <c r="BH65" i="8"/>
  <c r="BP65" i="8"/>
  <c r="BJ65" i="8"/>
  <c r="BL65" i="8"/>
  <c r="CX64" i="8"/>
  <c r="CZ64" i="8"/>
  <c r="DA64" i="8"/>
  <c r="DB64" i="8"/>
  <c r="DC64" i="8"/>
  <c r="DD64" i="8"/>
  <c r="C64" i="10" s="1"/>
  <c r="DE64" i="8"/>
  <c r="DF64" i="8"/>
  <c r="A64" i="8"/>
  <c r="O110" i="7"/>
  <c r="Q110" i="7"/>
  <c r="Q109" i="7"/>
  <c r="O109" i="7"/>
  <c r="KX71" i="9" l="1"/>
  <c r="DT67" i="8"/>
  <c r="KX72" i="9"/>
  <c r="AM65" i="10"/>
  <c r="AV65" i="10" s="1"/>
  <c r="L65" i="10"/>
  <c r="U65" i="10" s="1"/>
  <c r="KF65" i="9"/>
  <c r="DR65" i="8"/>
  <c r="DS65" i="8"/>
  <c r="CL67" i="10"/>
  <c r="CU67" i="10" s="1"/>
  <c r="CJ67" i="10"/>
  <c r="CS67" i="10" s="1"/>
  <c r="CG67" i="10"/>
  <c r="CP67" i="10" s="1"/>
  <c r="CN67" i="10"/>
  <c r="CW67" i="10" s="1"/>
  <c r="CK67" i="10"/>
  <c r="CT67" i="10" s="1"/>
  <c r="CH67" i="10"/>
  <c r="CQ67" i="10" s="1"/>
  <c r="CI67" i="10"/>
  <c r="CR67" i="10" s="1"/>
  <c r="HF67" i="9"/>
  <c r="BD64" i="9"/>
  <c r="IV64" i="9"/>
  <c r="JE64" i="9"/>
  <c r="DN64" i="8"/>
  <c r="K64" i="9"/>
  <c r="T64" i="9" s="1"/>
  <c r="DM69" i="8"/>
  <c r="B69" i="9"/>
  <c r="BW67" i="10"/>
  <c r="HL65" i="9"/>
  <c r="S65" i="9"/>
  <c r="AB65" i="9" s="1"/>
  <c r="DM68" i="8"/>
  <c r="B68" i="9"/>
  <c r="KZ71" i="9"/>
  <c r="HK67" i="9"/>
  <c r="CE65" i="10"/>
  <c r="CN65" i="10" s="1"/>
  <c r="BX65" i="10"/>
  <c r="CG65" i="10" s="1"/>
  <c r="CD65" i="10"/>
  <c r="CC65" i="10"/>
  <c r="CB65" i="10"/>
  <c r="CA65" i="10"/>
  <c r="BZ65" i="10"/>
  <c r="BY65" i="10"/>
  <c r="CO69" i="10"/>
  <c r="B70" i="11" s="1"/>
  <c r="BR65" i="10"/>
  <c r="BQ65" i="10"/>
  <c r="BP65" i="10"/>
  <c r="CV67" i="10"/>
  <c r="BT65" i="10"/>
  <c r="BS65" i="10"/>
  <c r="BV65" i="10"/>
  <c r="BO65" i="10"/>
  <c r="BU65" i="10"/>
  <c r="CO68" i="10"/>
  <c r="B69" i="11" s="1"/>
  <c r="C71" i="9"/>
  <c r="KP71" i="9"/>
  <c r="KY71" i="9" s="1"/>
  <c r="BX67" i="9"/>
  <c r="L67" i="9" s="1"/>
  <c r="U67" i="9" s="1"/>
  <c r="HJ67" i="9"/>
  <c r="Q67" i="9"/>
  <c r="Z67" i="9" s="1"/>
  <c r="HH67" i="9"/>
  <c r="O67" i="9"/>
  <c r="X67" i="9" s="1"/>
  <c r="HG67" i="9"/>
  <c r="N67" i="9"/>
  <c r="W67" i="9" s="1"/>
  <c r="HI67" i="9"/>
  <c r="P67" i="9"/>
  <c r="Y67" i="9" s="1"/>
  <c r="JW65" i="9"/>
  <c r="LD66" i="9"/>
  <c r="JR59" i="9"/>
  <c r="AP59" i="9"/>
  <c r="AG59" i="9" s="1"/>
  <c r="F59" i="9" s="1"/>
  <c r="DO72" i="8"/>
  <c r="Q60" i="11"/>
  <c r="K59" i="12"/>
  <c r="T59" i="12" s="1"/>
  <c r="GB59" i="9" s="1"/>
  <c r="FE66" i="9"/>
  <c r="FN66" i="9" s="1"/>
  <c r="AP56" i="9"/>
  <c r="AG56" i="9" s="1"/>
  <c r="F56" i="9" s="1"/>
  <c r="JR56" i="9"/>
  <c r="LB61" i="9"/>
  <c r="FC61" i="9"/>
  <c r="FL61" i="9" s="1"/>
  <c r="Q51" i="11"/>
  <c r="DO71" i="8"/>
  <c r="EV61" i="9"/>
  <c r="IJ61" i="9"/>
  <c r="KU61" i="9"/>
  <c r="LN65" i="9"/>
  <c r="CC65" i="9" s="1"/>
  <c r="Q65" i="9" s="1"/>
  <c r="Z65" i="9" s="1"/>
  <c r="LM65" i="9"/>
  <c r="CB65" i="9" s="1"/>
  <c r="LO65" i="9"/>
  <c r="CD65" i="9" s="1"/>
  <c r="R65" i="9" s="1"/>
  <c r="AA65" i="9" s="1"/>
  <c r="LJ65" i="9"/>
  <c r="BY65" i="9" s="1"/>
  <c r="LI65" i="9"/>
  <c r="BX65" i="9" s="1"/>
  <c r="L65" i="9" s="1"/>
  <c r="U65" i="9" s="1"/>
  <c r="LH65" i="9"/>
  <c r="BW65" i="9" s="1"/>
  <c r="HD65" i="9" s="1"/>
  <c r="LG65" i="9"/>
  <c r="BV65" i="9" s="1"/>
  <c r="DQ65" i="8" s="1"/>
  <c r="LL65" i="9"/>
  <c r="CA65" i="9" s="1"/>
  <c r="LK65" i="9"/>
  <c r="BZ65" i="9" s="1"/>
  <c r="EY72" i="9"/>
  <c r="FH72" i="9" s="1"/>
  <c r="BE67" i="10"/>
  <c r="BN67" i="10" s="1"/>
  <c r="KQ69" i="9"/>
  <c r="KZ69" i="9" s="1"/>
  <c r="AK69" i="9"/>
  <c r="J69" i="9" s="1"/>
  <c r="HC67" i="9"/>
  <c r="AK68" i="9"/>
  <c r="J68" i="9" s="1"/>
  <c r="KT69" i="9"/>
  <c r="LC69" i="9" s="1"/>
  <c r="EA65" i="9"/>
  <c r="EJ65" i="9"/>
  <c r="JQ65" i="9"/>
  <c r="ES65" i="9" s="1"/>
  <c r="AO65" i="9"/>
  <c r="AV67" i="10"/>
  <c r="EI65" i="9"/>
  <c r="DZ65" i="9"/>
  <c r="JP65" i="9"/>
  <c r="ER65" i="9" s="1"/>
  <c r="AN65" i="9"/>
  <c r="AC64" i="10"/>
  <c r="W64" i="10"/>
  <c r="X64" i="10"/>
  <c r="Y64" i="10"/>
  <c r="V64" i="10"/>
  <c r="Z64" i="10"/>
  <c r="AA64" i="10"/>
  <c r="AB64" i="10"/>
  <c r="DY65" i="9"/>
  <c r="EH65" i="9"/>
  <c r="AM65" i="9"/>
  <c r="JO65" i="9"/>
  <c r="EQ65" i="9" s="1"/>
  <c r="B64" i="10"/>
  <c r="DP64" i="9"/>
  <c r="DQ64" i="9"/>
  <c r="DR64" i="9"/>
  <c r="DS64" i="9"/>
  <c r="DT64" i="9"/>
  <c r="DU64" i="9"/>
  <c r="DV64" i="9"/>
  <c r="DW64" i="9"/>
  <c r="DO64" i="9"/>
  <c r="DX64" i="9" s="1"/>
  <c r="EO65" i="9"/>
  <c r="EF65" i="9"/>
  <c r="JV65" i="9"/>
  <c r="EX65" i="9" s="1"/>
  <c r="DK64" i="9" a="1"/>
  <c r="DK64" i="9" s="1"/>
  <c r="DM64" i="9" a="1"/>
  <c r="DM64" i="9" s="1"/>
  <c r="DF64" i="9"/>
  <c r="DN64" i="9" a="1"/>
  <c r="DN64" i="9" s="1"/>
  <c r="DG64" i="9"/>
  <c r="DH64" i="9" a="1"/>
  <c r="DH64" i="9" s="1"/>
  <c r="DI64" i="9" a="1"/>
  <c r="DI64" i="9" s="1"/>
  <c r="DJ64" i="9" a="1"/>
  <c r="DJ64" i="9" s="1"/>
  <c r="DL64" i="9" a="1"/>
  <c r="DL64" i="9" s="1"/>
  <c r="EE65" i="9"/>
  <c r="EN65" i="9"/>
  <c r="JU65" i="9"/>
  <c r="EW65" i="9" s="1"/>
  <c r="AS65" i="9"/>
  <c r="EK65" i="9"/>
  <c r="EB65" i="9"/>
  <c r="ED65" i="9"/>
  <c r="EM65" i="9"/>
  <c r="AL67" i="9"/>
  <c r="AC67" i="9" s="1"/>
  <c r="EL65" i="9"/>
  <c r="EC65" i="9"/>
  <c r="AQ65" i="9"/>
  <c r="JS65" i="9"/>
  <c r="EU65" i="9" s="1"/>
  <c r="KP68" i="9"/>
  <c r="KY68" i="9" s="1"/>
  <c r="FG68" i="9"/>
  <c r="FP68" i="9" s="1"/>
  <c r="KV69" i="9"/>
  <c r="LE69" i="9" s="1"/>
  <c r="AO70" i="11"/>
  <c r="KR68" i="9"/>
  <c r="LA68" i="9" s="1"/>
  <c r="AN69" i="11"/>
  <c r="KR69" i="9"/>
  <c r="LA69" i="9" s="1"/>
  <c r="AN70" i="11"/>
  <c r="KP69" i="9"/>
  <c r="KY69" i="9" s="1"/>
  <c r="AL70" i="11"/>
  <c r="AQ70" i="11"/>
  <c r="KT68" i="9"/>
  <c r="LC68" i="9" s="1"/>
  <c r="AP69" i="11"/>
  <c r="KQ68" i="9"/>
  <c r="KZ68" i="9" s="1"/>
  <c r="AM69" i="11"/>
  <c r="KV68" i="9"/>
  <c r="LE68" i="9" s="1"/>
  <c r="AR69" i="11"/>
  <c r="BN67" i="9"/>
  <c r="AL68" i="11" s="1"/>
  <c r="A64" i="9"/>
  <c r="A64" i="12"/>
  <c r="AU64" i="9"/>
  <c r="CW64" i="9"/>
  <c r="BR67" i="9"/>
  <c r="AP68" i="11" s="1"/>
  <c r="BS67" i="9"/>
  <c r="BU67" i="9"/>
  <c r="BP67" i="9"/>
  <c r="AT65" i="9"/>
  <c r="BT67" i="9"/>
  <c r="BQ67" i="9"/>
  <c r="BO67" i="9"/>
  <c r="AM68" i="11" s="1"/>
  <c r="ID68" i="9"/>
  <c r="EY68" i="9" s="1"/>
  <c r="KO68" i="9"/>
  <c r="JN67" i="9"/>
  <c r="KO69" i="9"/>
  <c r="EY71" i="9"/>
  <c r="FP69" i="9"/>
  <c r="KW68" i="9"/>
  <c r="LF68" i="9" s="1"/>
  <c r="KW69" i="9"/>
  <c r="LF69" i="9" s="1"/>
  <c r="EG65" i="9"/>
  <c r="ID69" i="9"/>
  <c r="EY69" i="9" s="1"/>
  <c r="AH69" i="9"/>
  <c r="G69" i="9" s="1"/>
  <c r="AD69" i="9"/>
  <c r="C69" i="9" s="1"/>
  <c r="AE69" i="9"/>
  <c r="D69" i="9" s="1"/>
  <c r="AH68" i="9"/>
  <c r="G68" i="9" s="1"/>
  <c r="AE68" i="9"/>
  <c r="D68" i="9" s="1"/>
  <c r="AJ69" i="9"/>
  <c r="I69" i="9" s="1"/>
  <c r="AD68" i="9"/>
  <c r="C68" i="9" s="1"/>
  <c r="AF69" i="9"/>
  <c r="E69" i="9" s="1"/>
  <c r="AJ68" i="9"/>
  <c r="I68" i="9" s="1"/>
  <c r="AF68" i="9"/>
  <c r="E68" i="9" s="1"/>
  <c r="FJ68" i="9"/>
  <c r="FK69" i="9"/>
  <c r="FK68" i="9"/>
  <c r="IK67" i="9"/>
  <c r="FO68" i="9"/>
  <c r="L66" i="11"/>
  <c r="FJ69" i="9"/>
  <c r="CE64" i="9"/>
  <c r="CN64" i="9"/>
  <c r="FI68" i="9"/>
  <c r="IG67" i="9"/>
  <c r="FB67" i="9" s="1"/>
  <c r="FM68" i="9"/>
  <c r="IE67" i="9"/>
  <c r="EZ67" i="9" s="1"/>
  <c r="FO69" i="9"/>
  <c r="II67" i="9"/>
  <c r="FD67" i="9" s="1"/>
  <c r="FM69" i="9"/>
  <c r="IL67" i="9"/>
  <c r="FG67" i="9" s="1"/>
  <c r="AZ64" i="8"/>
  <c r="BB64" i="8"/>
  <c r="BD64" i="8"/>
  <c r="FI69" i="9"/>
  <c r="BH64" i="8"/>
  <c r="BN64" i="8"/>
  <c r="BL64" i="8"/>
  <c r="BJ64" i="8"/>
  <c r="BP64" i="8"/>
  <c r="BF64" i="8"/>
  <c r="CX63" i="8"/>
  <c r="CZ63" i="8"/>
  <c r="DA63" i="8"/>
  <c r="DB63" i="8"/>
  <c r="DC63" i="8"/>
  <c r="DD63" i="8"/>
  <c r="C63" i="10" s="1"/>
  <c r="DE63" i="8"/>
  <c r="DF63" i="8"/>
  <c r="A63" i="8"/>
  <c r="Q108" i="7"/>
  <c r="O108" i="7"/>
  <c r="BE65" i="10" l="1"/>
  <c r="BN65" i="10" s="1"/>
  <c r="KF64" i="9"/>
  <c r="HJ65" i="9"/>
  <c r="LM64" i="9"/>
  <c r="CB64" i="9" s="1"/>
  <c r="P64" i="9" s="1"/>
  <c r="Y64" i="9" s="1"/>
  <c r="AM64" i="10"/>
  <c r="L64" i="10"/>
  <c r="U64" i="10" s="1"/>
  <c r="KX69" i="9"/>
  <c r="KX68" i="9"/>
  <c r="HK65" i="9"/>
  <c r="GK59" i="9"/>
  <c r="GT59" i="9" s="1"/>
  <c r="IM59" i="9" s="1"/>
  <c r="DR64" i="8"/>
  <c r="DS64" i="8"/>
  <c r="DT65" i="8"/>
  <c r="CJ65" i="10"/>
  <c r="CS65" i="10" s="1"/>
  <c r="CH65" i="10"/>
  <c r="CQ65" i="10" s="1"/>
  <c r="CI65" i="10"/>
  <c r="CR65" i="10" s="1"/>
  <c r="CK65" i="10"/>
  <c r="CT65" i="10" s="1"/>
  <c r="CL65" i="10"/>
  <c r="CU65" i="10" s="1"/>
  <c r="CM65" i="10"/>
  <c r="CV65" i="10" s="1"/>
  <c r="BD63" i="9"/>
  <c r="IV63" i="9"/>
  <c r="JE63" i="9"/>
  <c r="DN63" i="8"/>
  <c r="K63" i="9"/>
  <c r="T63" i="9" s="1"/>
  <c r="CF67" i="10"/>
  <c r="CO67" i="10" s="1"/>
  <c r="B68" i="11" s="1"/>
  <c r="DM67" i="8"/>
  <c r="B67" i="9"/>
  <c r="BW65" i="10"/>
  <c r="HL64" i="9"/>
  <c r="S64" i="9"/>
  <c r="AB64" i="9" s="1"/>
  <c r="LN64" i="9"/>
  <c r="CC64" i="9" s="1"/>
  <c r="Q64" i="9" s="1"/>
  <c r="Z64" i="9" s="1"/>
  <c r="IF67" i="9"/>
  <c r="FA67" i="9" s="1"/>
  <c r="FJ67" i="9" s="1"/>
  <c r="HE67" i="9"/>
  <c r="CB64" i="10"/>
  <c r="BX64" i="10"/>
  <c r="CG64" i="10" s="1"/>
  <c r="CA64" i="10"/>
  <c r="BZ64" i="10"/>
  <c r="BY64" i="10"/>
  <c r="CE64" i="10"/>
  <c r="CW65" i="10"/>
  <c r="CD64" i="10"/>
  <c r="CM64" i="10" s="1"/>
  <c r="CC64" i="10"/>
  <c r="CL64" i="10" s="1"/>
  <c r="BO64" i="10"/>
  <c r="BR64" i="10"/>
  <c r="BQ64" i="10"/>
  <c r="BV64" i="10"/>
  <c r="CP65" i="10"/>
  <c r="BS64" i="10"/>
  <c r="BU64" i="10"/>
  <c r="BP64" i="10"/>
  <c r="BT64" i="10"/>
  <c r="LI64" i="9"/>
  <c r="BX64" i="9" s="1"/>
  <c r="G66" i="11"/>
  <c r="HF65" i="9"/>
  <c r="M65" i="9"/>
  <c r="V65" i="9" s="1"/>
  <c r="HG65" i="9"/>
  <c r="N65" i="9"/>
  <c r="W65" i="9" s="1"/>
  <c r="HI65" i="9"/>
  <c r="P65" i="9"/>
  <c r="Y65" i="9" s="1"/>
  <c r="HH65" i="9"/>
  <c r="O65" i="9"/>
  <c r="X65" i="9" s="1"/>
  <c r="JW64" i="9"/>
  <c r="LD61" i="9"/>
  <c r="K50" i="12"/>
  <c r="T50" i="12" s="1"/>
  <c r="GB50" i="9" s="1"/>
  <c r="GK50" i="9" s="1"/>
  <c r="AR56" i="9"/>
  <c r="AI56" i="9" s="1"/>
  <c r="H56" i="9" s="1"/>
  <c r="JT56" i="9"/>
  <c r="DO68" i="8"/>
  <c r="JR50" i="9"/>
  <c r="AP50" i="9"/>
  <c r="AG50" i="9" s="1"/>
  <c r="F50" i="9" s="1"/>
  <c r="DO69" i="8"/>
  <c r="FE61" i="9"/>
  <c r="FN61" i="9" s="1"/>
  <c r="Q73" i="11"/>
  <c r="AR59" i="9"/>
  <c r="AI59" i="9" s="1"/>
  <c r="H59" i="9" s="1"/>
  <c r="JT59" i="9"/>
  <c r="Q72" i="11"/>
  <c r="ET56" i="9"/>
  <c r="IH56" i="9"/>
  <c r="KS56" i="9"/>
  <c r="ET59" i="9"/>
  <c r="IH59" i="9"/>
  <c r="KS59" i="9"/>
  <c r="LG64" i="9"/>
  <c r="BV64" i="9" s="1"/>
  <c r="DQ64" i="8" s="1"/>
  <c r="LK64" i="9"/>
  <c r="BZ64" i="9" s="1"/>
  <c r="N64" i="9" s="1"/>
  <c r="W64" i="9" s="1"/>
  <c r="LH64" i="9"/>
  <c r="BW64" i="9" s="1"/>
  <c r="HD64" i="9" s="1"/>
  <c r="HE65" i="9"/>
  <c r="LL64" i="9"/>
  <c r="CA64" i="9" s="1"/>
  <c r="LJ64" i="9"/>
  <c r="BY64" i="9" s="1"/>
  <c r="LO64" i="9"/>
  <c r="CD64" i="9" s="1"/>
  <c r="KT67" i="9"/>
  <c r="LC67" i="9" s="1"/>
  <c r="AD64" i="10"/>
  <c r="BR65" i="9"/>
  <c r="AP66" i="11" s="1"/>
  <c r="HC65" i="9"/>
  <c r="KP67" i="9"/>
  <c r="KY67" i="9" s="1"/>
  <c r="DP63" i="9"/>
  <c r="DQ63" i="9"/>
  <c r="DR63" i="9"/>
  <c r="DS63" i="9"/>
  <c r="DT63" i="9"/>
  <c r="DU63" i="9"/>
  <c r="DV63" i="9"/>
  <c r="DW63" i="9"/>
  <c r="DO63" i="9"/>
  <c r="EG63" i="9" s="1"/>
  <c r="EA64" i="9"/>
  <c r="EJ64" i="9"/>
  <c r="JQ64" i="9"/>
  <c r="ES64" i="9" s="1"/>
  <c r="AO64" i="9"/>
  <c r="EL64" i="9"/>
  <c r="EC64" i="9"/>
  <c r="AQ64" i="9"/>
  <c r="JS64" i="9"/>
  <c r="EU64" i="9" s="1"/>
  <c r="EB64" i="9"/>
  <c r="EK64" i="9"/>
  <c r="DK63" i="9" a="1"/>
  <c r="DK63" i="9" s="1"/>
  <c r="DL63" i="9" a="1"/>
  <c r="DL63" i="9" s="1"/>
  <c r="DM63" i="9" a="1"/>
  <c r="DM63" i="9" s="1"/>
  <c r="DN63" i="9" a="1"/>
  <c r="DN63" i="9" s="1"/>
  <c r="DG63" i="9"/>
  <c r="DH63" i="9" a="1"/>
  <c r="DH63" i="9" s="1"/>
  <c r="DI63" i="9" a="1"/>
  <c r="DI63" i="9" s="1"/>
  <c r="DF63" i="9"/>
  <c r="DJ63" i="9" a="1"/>
  <c r="DJ63" i="9" s="1"/>
  <c r="DZ64" i="9"/>
  <c r="EI64" i="9"/>
  <c r="AN64" i="9"/>
  <c r="JP64" i="9"/>
  <c r="ER64" i="9" s="1"/>
  <c r="EH64" i="9"/>
  <c r="DY64" i="9"/>
  <c r="AM64" i="9"/>
  <c r="JO64" i="9"/>
  <c r="EQ64" i="9" s="1"/>
  <c r="EF64" i="9"/>
  <c r="EO64" i="9"/>
  <c r="JV64" i="9"/>
  <c r="EX64" i="9" s="1"/>
  <c r="B63" i="10"/>
  <c r="AC63" i="10"/>
  <c r="W63" i="10"/>
  <c r="X63" i="10"/>
  <c r="Y63" i="10"/>
  <c r="Z63" i="10"/>
  <c r="AA63" i="10"/>
  <c r="AB63" i="10"/>
  <c r="V63" i="10"/>
  <c r="EN64" i="9"/>
  <c r="EE64" i="9"/>
  <c r="JU64" i="9"/>
  <c r="EW64" i="9" s="1"/>
  <c r="AS64" i="9"/>
  <c r="EM64" i="9"/>
  <c r="ED64" i="9"/>
  <c r="HI64" i="9"/>
  <c r="KQ67" i="9"/>
  <c r="FF67" i="9"/>
  <c r="FO67" i="9" s="1"/>
  <c r="AQ68" i="11"/>
  <c r="AO68" i="11"/>
  <c r="KV67" i="9"/>
  <c r="LE67" i="9" s="1"/>
  <c r="AR68" i="11"/>
  <c r="KR67" i="9"/>
  <c r="LA67" i="9" s="1"/>
  <c r="AN68" i="11"/>
  <c r="AK67" i="9"/>
  <c r="J67" i="9" s="1"/>
  <c r="AS68" i="11"/>
  <c r="BT65" i="9"/>
  <c r="AR66" i="11" s="1"/>
  <c r="BP65" i="9"/>
  <c r="A63" i="9"/>
  <c r="A63" i="12"/>
  <c r="AU63" i="9"/>
  <c r="CW63" i="9"/>
  <c r="BN65" i="9"/>
  <c r="AL66" i="11" s="1"/>
  <c r="AL65" i="9"/>
  <c r="BM65" i="9"/>
  <c r="AK66" i="11" s="1"/>
  <c r="BS65" i="9"/>
  <c r="AQ66" i="11" s="1"/>
  <c r="BQ65" i="9"/>
  <c r="AO66" i="11" s="1"/>
  <c r="AT64" i="9"/>
  <c r="BO65" i="9"/>
  <c r="AM66" i="11" s="1"/>
  <c r="BU65" i="9"/>
  <c r="GB56" i="9"/>
  <c r="GK56" i="9" s="1"/>
  <c r="ID67" i="9"/>
  <c r="EP67" i="9"/>
  <c r="KO67" i="9"/>
  <c r="FH68" i="9"/>
  <c r="FH71" i="9"/>
  <c r="K71" i="12" s="1"/>
  <c r="T71" i="12" s="1"/>
  <c r="FH69" i="9"/>
  <c r="KW67" i="9"/>
  <c r="LF67" i="9" s="1"/>
  <c r="AF67" i="9"/>
  <c r="E67" i="9" s="1"/>
  <c r="AH67" i="9"/>
  <c r="G67" i="9" s="1"/>
  <c r="AJ67" i="9"/>
  <c r="I67" i="9" s="1"/>
  <c r="AD67" i="9"/>
  <c r="C67" i="9" s="1"/>
  <c r="AE67" i="9"/>
  <c r="D67" i="9" s="1"/>
  <c r="JN65" i="9"/>
  <c r="EP65" i="9" s="1"/>
  <c r="FP67" i="9"/>
  <c r="FM67" i="9"/>
  <c r="II65" i="9"/>
  <c r="FD65" i="9" s="1"/>
  <c r="FK67" i="9"/>
  <c r="IE65" i="9"/>
  <c r="EZ65" i="9" s="1"/>
  <c r="IL65" i="9"/>
  <c r="FG65" i="9" s="1"/>
  <c r="IK65" i="9"/>
  <c r="FF65" i="9" s="1"/>
  <c r="AZ63" i="8"/>
  <c r="BB63" i="8"/>
  <c r="BD63" i="8"/>
  <c r="L65" i="11"/>
  <c r="IG65" i="9"/>
  <c r="FB65" i="9" s="1"/>
  <c r="CE63" i="9"/>
  <c r="CN63" i="9"/>
  <c r="IF65" i="9"/>
  <c r="FA65" i="9" s="1"/>
  <c r="FI67" i="9"/>
  <c r="EG64" i="9"/>
  <c r="BM64" i="9" s="1"/>
  <c r="AK65" i="11" s="1"/>
  <c r="BJ63" i="8"/>
  <c r="BF63" i="8"/>
  <c r="BP63" i="8"/>
  <c r="BH63" i="8"/>
  <c r="BL63" i="8"/>
  <c r="BN63" i="8"/>
  <c r="CX62" i="8"/>
  <c r="CZ62" i="8"/>
  <c r="DA62" i="8"/>
  <c r="DB62" i="8"/>
  <c r="DC62" i="8"/>
  <c r="DD62" i="8"/>
  <c r="C62" i="10" s="1"/>
  <c r="DE62" i="8"/>
  <c r="DF62" i="8"/>
  <c r="A62" i="8"/>
  <c r="Q107" i="7"/>
  <c r="O107" i="7"/>
  <c r="CF65" i="10" l="1"/>
  <c r="CO65" i="10" s="1"/>
  <c r="B66" i="11" s="1"/>
  <c r="KF63" i="9"/>
  <c r="AV64" i="10"/>
  <c r="AM63" i="10"/>
  <c r="L63" i="10"/>
  <c r="U63" i="10" s="1"/>
  <c r="KZ67" i="9"/>
  <c r="KX67" i="9"/>
  <c r="DS63" i="8"/>
  <c r="DR63" i="8"/>
  <c r="DT64" i="8"/>
  <c r="CI64" i="10"/>
  <c r="CR64" i="10" s="1"/>
  <c r="CJ64" i="10"/>
  <c r="CS64" i="10" s="1"/>
  <c r="CK64" i="10"/>
  <c r="CT64" i="10" s="1"/>
  <c r="CN64" i="10"/>
  <c r="CW64" i="10" s="1"/>
  <c r="CH64" i="10"/>
  <c r="CQ64" i="10" s="1"/>
  <c r="HJ64" i="9"/>
  <c r="BD62" i="9"/>
  <c r="JE62" i="9"/>
  <c r="IV62" i="9"/>
  <c r="DN62" i="8"/>
  <c r="K62" i="9"/>
  <c r="T62" i="9" s="1"/>
  <c r="BW64" i="10"/>
  <c r="HL63" i="9"/>
  <c r="S63" i="9"/>
  <c r="AB63" i="9" s="1"/>
  <c r="CE63" i="10"/>
  <c r="BX63" i="10"/>
  <c r="CD63" i="10"/>
  <c r="CP64" i="10"/>
  <c r="CC63" i="10"/>
  <c r="CB63" i="10"/>
  <c r="CA63" i="10"/>
  <c r="BZ63" i="10"/>
  <c r="BY63" i="10"/>
  <c r="BT63" i="10"/>
  <c r="BR63" i="10"/>
  <c r="CV64" i="10"/>
  <c r="BS63" i="10"/>
  <c r="BQ63" i="10"/>
  <c r="BP63" i="10"/>
  <c r="BV63" i="10"/>
  <c r="BO63" i="10"/>
  <c r="CU64" i="10"/>
  <c r="BU63" i="10"/>
  <c r="G65" i="11"/>
  <c r="HE64" i="9"/>
  <c r="L64" i="9"/>
  <c r="U64" i="9" s="1"/>
  <c r="HF64" i="9"/>
  <c r="M64" i="9"/>
  <c r="V64" i="9" s="1"/>
  <c r="HH64" i="9"/>
  <c r="O64" i="9"/>
  <c r="X64" i="9" s="1"/>
  <c r="HG64" i="9"/>
  <c r="HK64" i="9"/>
  <c r="R64" i="9"/>
  <c r="AA64" i="9" s="1"/>
  <c r="JW63" i="9"/>
  <c r="LB59" i="9"/>
  <c r="LB56" i="9"/>
  <c r="FC56" i="9"/>
  <c r="FL56" i="9" s="1"/>
  <c r="FC59" i="9"/>
  <c r="FL59" i="9" s="1"/>
  <c r="AP71" i="9"/>
  <c r="AG71" i="9" s="1"/>
  <c r="F71" i="9" s="1"/>
  <c r="JR71" i="9"/>
  <c r="Q70" i="11"/>
  <c r="DO67" i="8"/>
  <c r="K72" i="12"/>
  <c r="T72" i="12" s="1"/>
  <c r="GB72" i="9" s="1"/>
  <c r="GK72" i="9" s="1"/>
  <c r="EV59" i="9"/>
  <c r="IJ59" i="9"/>
  <c r="KU59" i="9"/>
  <c r="JR72" i="9"/>
  <c r="AP72" i="9"/>
  <c r="AG72" i="9" s="1"/>
  <c r="F72" i="9" s="1"/>
  <c r="Q69" i="11"/>
  <c r="JT50" i="9"/>
  <c r="AR50" i="9"/>
  <c r="AI50" i="9" s="1"/>
  <c r="H50" i="9" s="1"/>
  <c r="ET50" i="9"/>
  <c r="IH50" i="9"/>
  <c r="KS50" i="9"/>
  <c r="EV56" i="9"/>
  <c r="IJ56" i="9"/>
  <c r="KU56" i="9"/>
  <c r="LN63" i="9"/>
  <c r="CC63" i="9" s="1"/>
  <c r="Q63" i="9" s="1"/>
  <c r="Z63" i="9" s="1"/>
  <c r="LO63" i="9"/>
  <c r="CD63" i="9" s="1"/>
  <c r="LM63" i="9"/>
  <c r="CB63" i="9" s="1"/>
  <c r="P63" i="9" s="1"/>
  <c r="Y63" i="9" s="1"/>
  <c r="LG63" i="9"/>
  <c r="BV63" i="9" s="1"/>
  <c r="DQ63" i="8" s="1"/>
  <c r="LI63" i="9"/>
  <c r="G64" i="11" s="1"/>
  <c r="LJ63" i="9"/>
  <c r="BY63" i="9" s="1"/>
  <c r="LH63" i="9"/>
  <c r="BW63" i="9" s="1"/>
  <c r="HD63" i="9" s="1"/>
  <c r="LK63" i="9"/>
  <c r="BZ63" i="9" s="1"/>
  <c r="LL63" i="9"/>
  <c r="CA63" i="9" s="1"/>
  <c r="O63" i="9" s="1"/>
  <c r="X63" i="9" s="1"/>
  <c r="KT65" i="9"/>
  <c r="LC65" i="9" s="1"/>
  <c r="DX63" i="9"/>
  <c r="BM63" i="9" s="1"/>
  <c r="AK64" i="11" s="1"/>
  <c r="BE64" i="10"/>
  <c r="BN64" i="10" s="1"/>
  <c r="HC64" i="9"/>
  <c r="BQ64" i="9"/>
  <c r="AO65" i="11" s="1"/>
  <c r="ED63" i="9"/>
  <c r="EM63" i="9"/>
  <c r="DK62" i="9" a="1"/>
  <c r="DK62" i="9" s="1"/>
  <c r="DJ62" i="9" a="1"/>
  <c r="DJ62" i="9" s="1"/>
  <c r="DL62" i="9" a="1"/>
  <c r="DL62" i="9" s="1"/>
  <c r="DM62" i="9" a="1"/>
  <c r="DM62" i="9" s="1"/>
  <c r="DN62" i="9" a="1"/>
  <c r="DN62" i="9" s="1"/>
  <c r="DG62" i="9"/>
  <c r="DH62" i="9" a="1"/>
  <c r="DH62" i="9" s="1"/>
  <c r="DF62" i="9"/>
  <c r="DI62" i="9" a="1"/>
  <c r="DI62" i="9" s="1"/>
  <c r="EE63" i="9"/>
  <c r="EN63" i="9"/>
  <c r="AS63" i="9"/>
  <c r="JU63" i="9"/>
  <c r="EW63" i="9" s="1"/>
  <c r="EC63" i="9"/>
  <c r="EL63" i="9"/>
  <c r="JS63" i="9"/>
  <c r="EU63" i="9" s="1"/>
  <c r="AQ63" i="9"/>
  <c r="EB63" i="9"/>
  <c r="EK63" i="9"/>
  <c r="B62" i="10"/>
  <c r="AD63" i="10"/>
  <c r="AV63" i="10" s="1"/>
  <c r="EA63" i="9"/>
  <c r="EJ63" i="9"/>
  <c r="AO63" i="9"/>
  <c r="JQ63" i="9"/>
  <c r="ES63" i="9" s="1"/>
  <c r="EO63" i="9"/>
  <c r="EF63" i="9"/>
  <c r="JV63" i="9"/>
  <c r="EX63" i="9" s="1"/>
  <c r="DZ63" i="9"/>
  <c r="EI63" i="9"/>
  <c r="JP63" i="9"/>
  <c r="ER63" i="9" s="1"/>
  <c r="AN63" i="9"/>
  <c r="AC62" i="10"/>
  <c r="W62" i="10"/>
  <c r="X62" i="10"/>
  <c r="Y62" i="10"/>
  <c r="V62" i="10"/>
  <c r="Z62" i="10"/>
  <c r="AA62" i="10"/>
  <c r="AB62" i="10"/>
  <c r="DP62" i="9"/>
  <c r="DQ62" i="9"/>
  <c r="DR62" i="9"/>
  <c r="DS62" i="9"/>
  <c r="DT62" i="9"/>
  <c r="DU62" i="9"/>
  <c r="DV62" i="9"/>
  <c r="DW62" i="9"/>
  <c r="DO62" i="9"/>
  <c r="DX62" i="9" s="1"/>
  <c r="EH63" i="9"/>
  <c r="DY63" i="9"/>
  <c r="JO63" i="9"/>
  <c r="EQ63" i="9" s="1"/>
  <c r="AM63" i="9"/>
  <c r="KV65" i="9"/>
  <c r="LE65" i="9" s="1"/>
  <c r="KP65" i="9"/>
  <c r="KY65" i="9" s="1"/>
  <c r="AK65" i="9"/>
  <c r="J65" i="9" s="1"/>
  <c r="AS66" i="11"/>
  <c r="KR65" i="9"/>
  <c r="LA65" i="9" s="1"/>
  <c r="AN66" i="11"/>
  <c r="KQ65" i="9"/>
  <c r="KZ65" i="9" s="1"/>
  <c r="BT64" i="9"/>
  <c r="AR65" i="11" s="1"/>
  <c r="A62" i="9"/>
  <c r="A62" i="12"/>
  <c r="AU62" i="9"/>
  <c r="CW62" i="9"/>
  <c r="EY67" i="9"/>
  <c r="FH67" i="9" s="1"/>
  <c r="AC65" i="9"/>
  <c r="BS64" i="9"/>
  <c r="BO64" i="9"/>
  <c r="AM65" i="11" s="1"/>
  <c r="AL64" i="9"/>
  <c r="AC64" i="9" s="1"/>
  <c r="BR64" i="9"/>
  <c r="AP65" i="11" s="1"/>
  <c r="BN64" i="9"/>
  <c r="AL65" i="11" s="1"/>
  <c r="AT63" i="9"/>
  <c r="BU64" i="9"/>
  <c r="AS65" i="11" s="1"/>
  <c r="BP64" i="9"/>
  <c r="GT50" i="9"/>
  <c r="IM50" i="9" s="1"/>
  <c r="GT56" i="9"/>
  <c r="IM56" i="9" s="1"/>
  <c r="KO65" i="9"/>
  <c r="KW65" i="9"/>
  <c r="LF65" i="9" s="1"/>
  <c r="FJ65" i="9"/>
  <c r="AE65" i="9"/>
  <c r="D65" i="9" s="1"/>
  <c r="AH65" i="9"/>
  <c r="G65" i="9" s="1"/>
  <c r="AD65" i="9"/>
  <c r="C65" i="9" s="1"/>
  <c r="AJ65" i="9"/>
  <c r="I65" i="9" s="1"/>
  <c r="AF65" i="9"/>
  <c r="E65" i="9" s="1"/>
  <c r="ID65" i="9"/>
  <c r="JN64" i="9"/>
  <c r="EP64" i="9" s="1"/>
  <c r="FP65" i="9"/>
  <c r="FI65" i="9"/>
  <c r="FO65" i="9"/>
  <c r="II64" i="9"/>
  <c r="FD64" i="9" s="1"/>
  <c r="FM65" i="9"/>
  <c r="IE64" i="9"/>
  <c r="EZ64" i="9" s="1"/>
  <c r="L64" i="11"/>
  <c r="IL64" i="9"/>
  <c r="FG64" i="9" s="1"/>
  <c r="CN62" i="9"/>
  <c r="CE62" i="9"/>
  <c r="IK64" i="9"/>
  <c r="FF64" i="9" s="1"/>
  <c r="IG64" i="9"/>
  <c r="AZ62" i="8"/>
  <c r="BD62" i="8"/>
  <c r="BB62" i="8"/>
  <c r="FK65" i="9"/>
  <c r="IF64" i="9"/>
  <c r="FA64" i="9" s="1"/>
  <c r="BL62" i="8"/>
  <c r="BN62" i="8"/>
  <c r="BF62" i="8"/>
  <c r="BH62" i="8"/>
  <c r="BJ62" i="8"/>
  <c r="BP62" i="8"/>
  <c r="CX60" i="8"/>
  <c r="CZ60" i="8"/>
  <c r="DA60" i="8"/>
  <c r="DB60" i="8"/>
  <c r="DC60" i="8"/>
  <c r="DD60" i="8"/>
  <c r="C60" i="10" s="1"/>
  <c r="DE60" i="8"/>
  <c r="DF60" i="8"/>
  <c r="A60" i="8"/>
  <c r="Q105" i="7"/>
  <c r="O105" i="7"/>
  <c r="DT63" i="8" l="1"/>
  <c r="KF62" i="9"/>
  <c r="AM62" i="10"/>
  <c r="L62" i="10"/>
  <c r="U62" i="10" s="1"/>
  <c r="KX65" i="9"/>
  <c r="DS62" i="8"/>
  <c r="DR62" i="8"/>
  <c r="CK63" i="10"/>
  <c r="CT63" i="10" s="1"/>
  <c r="CH63" i="10"/>
  <c r="CQ63" i="10" s="1"/>
  <c r="CL63" i="10"/>
  <c r="CU63" i="10" s="1"/>
  <c r="CM63" i="10"/>
  <c r="CV63" i="10" s="1"/>
  <c r="CI63" i="10"/>
  <c r="CR63" i="10" s="1"/>
  <c r="CG63" i="10"/>
  <c r="CP63" i="10" s="1"/>
  <c r="CJ63" i="10"/>
  <c r="CS63" i="10" s="1"/>
  <c r="CN63" i="10"/>
  <c r="CW63" i="10" s="1"/>
  <c r="BD60" i="9"/>
  <c r="DN60" i="8"/>
  <c r="IV60" i="9"/>
  <c r="JE60" i="9"/>
  <c r="K60" i="9"/>
  <c r="T60" i="9" s="1"/>
  <c r="CF64" i="10"/>
  <c r="CO64" i="10" s="1"/>
  <c r="B65" i="11" s="1"/>
  <c r="DM64" i="8"/>
  <c r="B64" i="9"/>
  <c r="HL62" i="9"/>
  <c r="S62" i="9"/>
  <c r="AB62" i="9" s="1"/>
  <c r="DM65" i="8"/>
  <c r="B65" i="9"/>
  <c r="BW63" i="10"/>
  <c r="BZ62" i="10"/>
  <c r="BY62" i="10"/>
  <c r="CE62" i="10"/>
  <c r="CN62" i="10" s="1"/>
  <c r="CC62" i="10"/>
  <c r="CD62" i="10"/>
  <c r="BX62" i="10"/>
  <c r="CB62" i="10"/>
  <c r="CA62" i="10"/>
  <c r="BO62" i="10"/>
  <c r="BS62" i="10"/>
  <c r="BR62" i="10"/>
  <c r="BP62" i="10"/>
  <c r="BV62" i="10"/>
  <c r="BT62" i="10"/>
  <c r="BQ62" i="10"/>
  <c r="BU62" i="10"/>
  <c r="HJ63" i="9"/>
  <c r="HI63" i="9"/>
  <c r="HF63" i="9"/>
  <c r="M63" i="9"/>
  <c r="V63" i="9" s="1"/>
  <c r="HH63" i="9"/>
  <c r="HK63" i="9"/>
  <c r="R63" i="9"/>
  <c r="AA63" i="9" s="1"/>
  <c r="HG63" i="9"/>
  <c r="N63" i="9"/>
  <c r="W63" i="9" s="1"/>
  <c r="JW62" i="9"/>
  <c r="K69" i="12"/>
  <c r="T69" i="12" s="1"/>
  <c r="GB69" i="9" s="1"/>
  <c r="GK69" i="9" s="1"/>
  <c r="LD56" i="9"/>
  <c r="FE56" i="9"/>
  <c r="FN56" i="9" s="1"/>
  <c r="K68" i="12"/>
  <c r="T68" i="12" s="1"/>
  <c r="GB68" i="9" s="1"/>
  <c r="GK68" i="9" s="1"/>
  <c r="LB50" i="9"/>
  <c r="FE59" i="9"/>
  <c r="FN59" i="9" s="1"/>
  <c r="JT72" i="9"/>
  <c r="AR72" i="9"/>
  <c r="AI72" i="9" s="1"/>
  <c r="H72" i="9" s="1"/>
  <c r="AP68" i="9"/>
  <c r="AG68" i="9" s="1"/>
  <c r="F68" i="9" s="1"/>
  <c r="JR68" i="9"/>
  <c r="AR71" i="9"/>
  <c r="AI71" i="9" s="1"/>
  <c r="H71" i="9" s="1"/>
  <c r="JT71" i="9"/>
  <c r="ET71" i="9"/>
  <c r="IH71" i="9"/>
  <c r="KS71" i="9"/>
  <c r="ET72" i="9"/>
  <c r="IH72" i="9"/>
  <c r="KS72" i="9"/>
  <c r="EV50" i="9"/>
  <c r="IJ50" i="9"/>
  <c r="KU50" i="9"/>
  <c r="FC50" i="9"/>
  <c r="FL50" i="9" s="1"/>
  <c r="LD59" i="9"/>
  <c r="Q68" i="11"/>
  <c r="JR69" i="9"/>
  <c r="AP69" i="9"/>
  <c r="AG69" i="9" s="1"/>
  <c r="F69" i="9" s="1"/>
  <c r="BX63" i="9"/>
  <c r="IF63" i="9" s="1"/>
  <c r="FA63" i="9" s="1"/>
  <c r="Q62" i="11"/>
  <c r="LG62" i="9"/>
  <c r="BV62" i="9" s="1"/>
  <c r="DQ62" i="8" s="1"/>
  <c r="LI62" i="9"/>
  <c r="BX62" i="9" s="1"/>
  <c r="LH62" i="9"/>
  <c r="BW62" i="9" s="1"/>
  <c r="HD62" i="9" s="1"/>
  <c r="LO62" i="9"/>
  <c r="CD62" i="9" s="1"/>
  <c r="LN62" i="9"/>
  <c r="CC62" i="9" s="1"/>
  <c r="LM62" i="9"/>
  <c r="CB62" i="9" s="1"/>
  <c r="LK62" i="9"/>
  <c r="BZ62" i="9" s="1"/>
  <c r="LJ62" i="9"/>
  <c r="BY62" i="9" s="1"/>
  <c r="LL62" i="9"/>
  <c r="CA62" i="9" s="1"/>
  <c r="HC63" i="9"/>
  <c r="KQ64" i="9"/>
  <c r="KZ64" i="9" s="1"/>
  <c r="EL62" i="9"/>
  <c r="EC62" i="9"/>
  <c r="JS62" i="9"/>
  <c r="EU62" i="9" s="1"/>
  <c r="AQ62" i="9"/>
  <c r="EK62" i="9"/>
  <c r="EB62" i="9"/>
  <c r="EM62" i="9"/>
  <c r="ED62" i="9"/>
  <c r="DK60" i="9" a="1"/>
  <c r="DK60" i="9" s="1"/>
  <c r="DF60" i="9"/>
  <c r="DI60" i="9" a="1"/>
  <c r="DI60" i="9" s="1"/>
  <c r="DJ60" i="9" a="1"/>
  <c r="DJ60" i="9" s="1"/>
  <c r="DL60" i="9" a="1"/>
  <c r="DL60" i="9" s="1"/>
  <c r="DM60" i="9" a="1"/>
  <c r="DM60" i="9" s="1"/>
  <c r="DN60" i="9" a="1"/>
  <c r="DN60" i="9" s="1"/>
  <c r="DG60" i="9"/>
  <c r="DH60" i="9" a="1"/>
  <c r="DH60" i="9" s="1"/>
  <c r="EJ62" i="9"/>
  <c r="EA62" i="9"/>
  <c r="JQ62" i="9"/>
  <c r="ES62" i="9" s="1"/>
  <c r="AO62" i="9"/>
  <c r="EE62" i="9"/>
  <c r="EN62" i="9"/>
  <c r="JU62" i="9"/>
  <c r="EW62" i="9" s="1"/>
  <c r="AS62" i="9"/>
  <c r="AC60" i="10"/>
  <c r="V60" i="10"/>
  <c r="W60" i="10"/>
  <c r="X60" i="10"/>
  <c r="Y60" i="10"/>
  <c r="AB60" i="10"/>
  <c r="Z60" i="10"/>
  <c r="AA60" i="10"/>
  <c r="DP60" i="9"/>
  <c r="DQ60" i="9"/>
  <c r="DR60" i="9"/>
  <c r="DS60" i="9"/>
  <c r="DT60" i="9"/>
  <c r="DU60" i="9"/>
  <c r="DV60" i="9"/>
  <c r="DW60" i="9"/>
  <c r="DO60" i="9"/>
  <c r="DX60" i="9" s="1"/>
  <c r="AD62" i="10"/>
  <c r="BE63" i="10"/>
  <c r="BN63" i="10" s="1"/>
  <c r="EI62" i="9"/>
  <c r="DZ62" i="9"/>
  <c r="AN62" i="9"/>
  <c r="JP62" i="9"/>
  <c r="ER62" i="9" s="1"/>
  <c r="EH62" i="9"/>
  <c r="DY62" i="9"/>
  <c r="AM62" i="9"/>
  <c r="JO62" i="9"/>
  <c r="EQ62" i="9" s="1"/>
  <c r="B60" i="10"/>
  <c r="EO62" i="9"/>
  <c r="EF62" i="9"/>
  <c r="JV62" i="9"/>
  <c r="EX62" i="9" s="1"/>
  <c r="AL63" i="9"/>
  <c r="AC63" i="9" s="1"/>
  <c r="FB64" i="9"/>
  <c r="FK64" i="9" s="1"/>
  <c r="KV64" i="9"/>
  <c r="LE64" i="9" s="1"/>
  <c r="KP64" i="9"/>
  <c r="KY64" i="9" s="1"/>
  <c r="AK64" i="9"/>
  <c r="J64" i="9" s="1"/>
  <c r="AQ65" i="11"/>
  <c r="KT64" i="9"/>
  <c r="LC64" i="9" s="1"/>
  <c r="KR64" i="9"/>
  <c r="LA64" i="9" s="1"/>
  <c r="AN65" i="11"/>
  <c r="BQ63" i="9"/>
  <c r="A60" i="9"/>
  <c r="A60" i="12"/>
  <c r="AU60" i="9"/>
  <c r="CW60" i="9"/>
  <c r="BS63" i="9"/>
  <c r="BN63" i="9"/>
  <c r="BU63" i="9"/>
  <c r="BR63" i="9"/>
  <c r="BP63" i="9"/>
  <c r="BO63" i="9"/>
  <c r="AT62" i="9"/>
  <c r="BT63" i="9"/>
  <c r="GT72" i="9"/>
  <c r="IM72" i="9" s="1"/>
  <c r="GB71" i="9"/>
  <c r="GK71" i="9" s="1"/>
  <c r="KO64" i="9"/>
  <c r="FM64" i="9"/>
  <c r="KW64" i="9"/>
  <c r="LF64" i="9" s="1"/>
  <c r="JN63" i="9"/>
  <c r="EY65" i="9"/>
  <c r="ID64" i="9"/>
  <c r="AF64" i="9"/>
  <c r="E64" i="9" s="1"/>
  <c r="AJ64" i="9"/>
  <c r="I64" i="9" s="1"/>
  <c r="AD64" i="9"/>
  <c r="C64" i="9" s="1"/>
  <c r="AH64" i="9"/>
  <c r="G64" i="9" s="1"/>
  <c r="AE64" i="9"/>
  <c r="D64" i="9" s="1"/>
  <c r="FP64" i="9"/>
  <c r="FI64" i="9"/>
  <c r="FJ64" i="9"/>
  <c r="IL63" i="9"/>
  <c r="FG63" i="9" s="1"/>
  <c r="CN60" i="9"/>
  <c r="CE60" i="9"/>
  <c r="L63" i="11"/>
  <c r="FO64" i="9"/>
  <c r="AZ60" i="8"/>
  <c r="BB60" i="8"/>
  <c r="BD60" i="8"/>
  <c r="EG62" i="9"/>
  <c r="BM62" i="9" s="1"/>
  <c r="AK63" i="11" s="1"/>
  <c r="IK63" i="9"/>
  <c r="FF63" i="9" s="1"/>
  <c r="IG63" i="9"/>
  <c r="FB63" i="9" s="1"/>
  <c r="IE63" i="9"/>
  <c r="EZ63" i="9" s="1"/>
  <c r="II63" i="9"/>
  <c r="FD63" i="9" s="1"/>
  <c r="BN60" i="8"/>
  <c r="BF60" i="8"/>
  <c r="BH60" i="8"/>
  <c r="BL60" i="8"/>
  <c r="BP60" i="8"/>
  <c r="BJ60" i="8"/>
  <c r="DH3" i="8"/>
  <c r="DI3" i="8"/>
  <c r="CX58" i="8"/>
  <c r="CZ58" i="8"/>
  <c r="DA58" i="8"/>
  <c r="DB58" i="8"/>
  <c r="DC58" i="8"/>
  <c r="DD58" i="8"/>
  <c r="C58" i="10" s="1"/>
  <c r="DE58" i="8"/>
  <c r="DF58" i="8"/>
  <c r="DT62" i="8" l="1"/>
  <c r="KX64" i="9"/>
  <c r="KF60" i="9"/>
  <c r="AV62" i="10"/>
  <c r="AM60" i="10"/>
  <c r="L60" i="10"/>
  <c r="U60" i="10" s="1"/>
  <c r="DS60" i="8"/>
  <c r="DR60" i="8"/>
  <c r="CM62" i="10"/>
  <c r="CV62" i="10" s="1"/>
  <c r="CL62" i="10"/>
  <c r="CU62" i="10" s="1"/>
  <c r="CH62" i="10"/>
  <c r="CQ62" i="10" s="1"/>
  <c r="CI62" i="10"/>
  <c r="CR62" i="10" s="1"/>
  <c r="CJ62" i="10"/>
  <c r="CS62" i="10" s="1"/>
  <c r="CK62" i="10"/>
  <c r="CT62" i="10" s="1"/>
  <c r="CG62" i="10"/>
  <c r="CP62" i="10" s="1"/>
  <c r="BD58" i="9"/>
  <c r="DN58" i="8"/>
  <c r="IV58" i="9"/>
  <c r="JE58" i="9"/>
  <c r="K58" i="9"/>
  <c r="T58" i="9" s="1"/>
  <c r="BW62" i="10"/>
  <c r="CF63" i="10"/>
  <c r="CO63" i="10" s="1"/>
  <c r="B64" i="11" s="1"/>
  <c r="HL60" i="9"/>
  <c r="S60" i="9"/>
  <c r="AB60" i="9" s="1"/>
  <c r="DM63" i="8"/>
  <c r="B63" i="9"/>
  <c r="BZ60" i="10"/>
  <c r="BY60" i="10"/>
  <c r="CH60" i="10" s="1"/>
  <c r="BX60" i="10"/>
  <c r="CE60" i="10"/>
  <c r="CC60" i="10"/>
  <c r="CL60" i="10" s="1"/>
  <c r="CB60" i="10"/>
  <c r="CD60" i="10"/>
  <c r="CA60" i="10"/>
  <c r="BQ60" i="10"/>
  <c r="BP60" i="10"/>
  <c r="CW62" i="10"/>
  <c r="BO60" i="10"/>
  <c r="BV60" i="10"/>
  <c r="BT60" i="10"/>
  <c r="BS60" i="10"/>
  <c r="BU60" i="10"/>
  <c r="BR60" i="10"/>
  <c r="HE62" i="9"/>
  <c r="L62" i="9"/>
  <c r="U62" i="9" s="1"/>
  <c r="HF62" i="9"/>
  <c r="M62" i="9"/>
  <c r="V62" i="9" s="1"/>
  <c r="HG62" i="9"/>
  <c r="N62" i="9"/>
  <c r="W62" i="9" s="1"/>
  <c r="HH62" i="9"/>
  <c r="O62" i="9"/>
  <c r="X62" i="9" s="1"/>
  <c r="HI62" i="9"/>
  <c r="P62" i="9"/>
  <c r="Y62" i="9" s="1"/>
  <c r="HE63" i="9"/>
  <c r="L63" i="9"/>
  <c r="U63" i="9" s="1"/>
  <c r="HJ62" i="9"/>
  <c r="Q62" i="9"/>
  <c r="Z62" i="9" s="1"/>
  <c r="HK62" i="9"/>
  <c r="R62" i="9"/>
  <c r="AA62" i="9" s="1"/>
  <c r="JW60" i="9"/>
  <c r="LB72" i="9"/>
  <c r="LD50" i="9"/>
  <c r="FE50" i="9"/>
  <c r="FN50" i="9" s="1"/>
  <c r="FC72" i="9"/>
  <c r="FL72" i="9" s="1"/>
  <c r="LB71" i="9"/>
  <c r="ET68" i="9"/>
  <c r="IH68" i="9"/>
  <c r="KS68" i="9"/>
  <c r="JR67" i="9"/>
  <c r="AP67" i="9"/>
  <c r="AG67" i="9" s="1"/>
  <c r="F67" i="9" s="1"/>
  <c r="JT69" i="9"/>
  <c r="AR69" i="9"/>
  <c r="AI69" i="9" s="1"/>
  <c r="H69" i="9" s="1"/>
  <c r="FC71" i="9"/>
  <c r="FL71" i="9" s="1"/>
  <c r="DO64" i="8"/>
  <c r="EV72" i="9"/>
  <c r="IJ72" i="9"/>
  <c r="KU72" i="9"/>
  <c r="EV71" i="9"/>
  <c r="IJ71" i="9"/>
  <c r="KU71" i="9"/>
  <c r="DO65" i="8"/>
  <c r="ET69" i="9"/>
  <c r="IH69" i="9"/>
  <c r="KS69" i="9"/>
  <c r="K67" i="12"/>
  <c r="T67" i="12" s="1"/>
  <c r="GB67" i="9" s="1"/>
  <c r="GK67" i="9" s="1"/>
  <c r="JT68" i="9"/>
  <c r="AR68" i="9"/>
  <c r="AI68" i="9" s="1"/>
  <c r="H68" i="9" s="1"/>
  <c r="G63" i="11"/>
  <c r="LG60" i="9"/>
  <c r="BV60" i="9" s="1"/>
  <c r="DQ60" i="8" s="1"/>
  <c r="LJ60" i="9"/>
  <c r="BY60" i="9" s="1"/>
  <c r="LI60" i="9"/>
  <c r="LL60" i="9"/>
  <c r="CA60" i="9" s="1"/>
  <c r="LH60" i="9"/>
  <c r="BW60" i="9" s="1"/>
  <c r="HD60" i="9" s="1"/>
  <c r="LO60" i="9"/>
  <c r="CD60" i="9" s="1"/>
  <c r="LN60" i="9"/>
  <c r="CC60" i="9" s="1"/>
  <c r="LM60" i="9"/>
  <c r="CB60" i="9" s="1"/>
  <c r="LK60" i="9"/>
  <c r="BZ60" i="9" s="1"/>
  <c r="BR62" i="9"/>
  <c r="AP63" i="11" s="1"/>
  <c r="HC62" i="9"/>
  <c r="BE62" i="10"/>
  <c r="BN62" i="10" s="1"/>
  <c r="EB60" i="9"/>
  <c r="EK60" i="9"/>
  <c r="EJ60" i="9"/>
  <c r="EA60" i="9"/>
  <c r="JQ60" i="9"/>
  <c r="ES60" i="9" s="1"/>
  <c r="AO60" i="9"/>
  <c r="B58" i="10"/>
  <c r="DZ60" i="9"/>
  <c r="EI60" i="9"/>
  <c r="AN60" i="9"/>
  <c r="JP60" i="9"/>
  <c r="ER60" i="9" s="1"/>
  <c r="AC58" i="10"/>
  <c r="V58" i="10"/>
  <c r="W58" i="10"/>
  <c r="X58" i="10"/>
  <c r="Y58" i="10"/>
  <c r="AA58" i="10"/>
  <c r="AB58" i="10"/>
  <c r="Z58" i="10"/>
  <c r="DL58" i="9" a="1"/>
  <c r="DL58" i="9" s="1"/>
  <c r="DH58" i="9" a="1"/>
  <c r="DH58" i="9" s="1"/>
  <c r="DI58" i="9" a="1"/>
  <c r="DI58" i="9" s="1"/>
  <c r="DJ58" i="9" a="1"/>
  <c r="DJ58" i="9" s="1"/>
  <c r="DK58" i="9" a="1"/>
  <c r="DK58" i="9" s="1"/>
  <c r="DF58" i="9"/>
  <c r="DM58" i="9" a="1"/>
  <c r="DM58" i="9" s="1"/>
  <c r="DN58" i="9" a="1"/>
  <c r="DN58" i="9" s="1"/>
  <c r="DG58" i="9"/>
  <c r="DY60" i="9"/>
  <c r="EH60" i="9"/>
  <c r="JO60" i="9"/>
  <c r="EQ60" i="9" s="1"/>
  <c r="AM60" i="9"/>
  <c r="EC60" i="9"/>
  <c r="EL60" i="9"/>
  <c r="JS60" i="9"/>
  <c r="EU60" i="9" s="1"/>
  <c r="AQ60" i="9"/>
  <c r="DP58" i="9"/>
  <c r="DQ58" i="9"/>
  <c r="DR58" i="9"/>
  <c r="DS58" i="9"/>
  <c r="DT58" i="9"/>
  <c r="DU58" i="9"/>
  <c r="DV58" i="9"/>
  <c r="DW58" i="9"/>
  <c r="DO58" i="9"/>
  <c r="DX58" i="9" s="1"/>
  <c r="AD60" i="10"/>
  <c r="EO60" i="9"/>
  <c r="EF60" i="9"/>
  <c r="JV60" i="9"/>
  <c r="EX60" i="9" s="1"/>
  <c r="EN60" i="9"/>
  <c r="EE60" i="9"/>
  <c r="AS60" i="9"/>
  <c r="JU60" i="9"/>
  <c r="EW60" i="9" s="1"/>
  <c r="ED60" i="9"/>
  <c r="EM60" i="9"/>
  <c r="AK63" i="9"/>
  <c r="J63" i="9" s="1"/>
  <c r="AS64" i="11"/>
  <c r="KV63" i="9"/>
  <c r="LE63" i="9" s="1"/>
  <c r="AR64" i="11"/>
  <c r="AO64" i="11"/>
  <c r="KT63" i="9"/>
  <c r="LC63" i="9" s="1"/>
  <c r="AP64" i="11"/>
  <c r="KQ63" i="9"/>
  <c r="KZ63" i="9" s="1"/>
  <c r="AM64" i="11"/>
  <c r="AL64" i="11"/>
  <c r="KR63" i="9"/>
  <c r="LA63" i="9" s="1"/>
  <c r="AN64" i="11"/>
  <c r="AQ64" i="11"/>
  <c r="AL62" i="9"/>
  <c r="AU58" i="9"/>
  <c r="CW58" i="9"/>
  <c r="BU62" i="9"/>
  <c r="BS62" i="9"/>
  <c r="AQ63" i="11" s="1"/>
  <c r="BN62" i="9"/>
  <c r="AT60" i="9"/>
  <c r="BQ62" i="9"/>
  <c r="BP62" i="9"/>
  <c r="BO62" i="9"/>
  <c r="AM63" i="11" s="1"/>
  <c r="BT62" i="9"/>
  <c r="GT71" i="9"/>
  <c r="IM71" i="9" s="1"/>
  <c r="GT69" i="9"/>
  <c r="IM69" i="9" s="1"/>
  <c r="GT68" i="9"/>
  <c r="IM68" i="9" s="1"/>
  <c r="ID63" i="9"/>
  <c r="EP63" i="9"/>
  <c r="EY64" i="9"/>
  <c r="FH64" i="9" s="1"/>
  <c r="KO63" i="9"/>
  <c r="FH65" i="9"/>
  <c r="KW63" i="9"/>
  <c r="LF63" i="9" s="1"/>
  <c r="AH63" i="9"/>
  <c r="G63" i="9" s="1"/>
  <c r="AE63" i="9"/>
  <c r="D63" i="9" s="1"/>
  <c r="AD63" i="9"/>
  <c r="AJ63" i="9"/>
  <c r="I63" i="9" s="1"/>
  <c r="AF63" i="9"/>
  <c r="E63" i="9" s="1"/>
  <c r="FO63" i="9"/>
  <c r="JN62" i="9"/>
  <c r="EP62" i="9" s="1"/>
  <c r="FP63" i="9"/>
  <c r="IK62" i="9"/>
  <c r="FK63" i="9"/>
  <c r="EG60" i="9"/>
  <c r="BM60" i="9" s="1"/>
  <c r="AK61" i="11" s="1"/>
  <c r="IG62" i="9"/>
  <c r="FB62" i="9" s="1"/>
  <c r="IF62" i="9"/>
  <c r="FA62" i="9" s="1"/>
  <c r="FI63" i="9"/>
  <c r="IL62" i="9"/>
  <c r="FG62" i="9" s="1"/>
  <c r="CN58" i="9"/>
  <c r="CE58" i="9"/>
  <c r="FM63" i="9"/>
  <c r="AZ58" i="8"/>
  <c r="BB58" i="8"/>
  <c r="BD58" i="8"/>
  <c r="FJ63" i="9"/>
  <c r="L61" i="11"/>
  <c r="II62" i="9"/>
  <c r="FD62" i="9" s="1"/>
  <c r="IE62" i="9"/>
  <c r="EZ62" i="9" s="1"/>
  <c r="BN58" i="8"/>
  <c r="BL58" i="8"/>
  <c r="BP58" i="8"/>
  <c r="BH58" i="8"/>
  <c r="BJ58" i="8"/>
  <c r="BF58" i="8"/>
  <c r="CX57" i="8"/>
  <c r="CZ57" i="8"/>
  <c r="DA57" i="8"/>
  <c r="DB57" i="8"/>
  <c r="DC57" i="8"/>
  <c r="DD57" i="8"/>
  <c r="C57" i="10" s="1"/>
  <c r="DE57" i="8"/>
  <c r="DF57" i="8"/>
  <c r="A57" i="8"/>
  <c r="A58" i="8"/>
  <c r="AV60" i="10" l="1"/>
  <c r="KF58" i="9"/>
  <c r="KX63" i="9"/>
  <c r="AM58" i="10"/>
  <c r="L58" i="10"/>
  <c r="U58" i="10" s="1"/>
  <c r="EG58" i="9"/>
  <c r="BM58" i="9" s="1"/>
  <c r="AK59" i="11" s="1"/>
  <c r="DS58" i="8"/>
  <c r="DR58" i="8"/>
  <c r="DT60" i="8"/>
  <c r="CN60" i="10"/>
  <c r="CW60" i="10" s="1"/>
  <c r="CG60" i="10"/>
  <c r="CJ60" i="10"/>
  <c r="CS60" i="10" s="1"/>
  <c r="CI60" i="10"/>
  <c r="CR60" i="10" s="1"/>
  <c r="CM60" i="10"/>
  <c r="CV60" i="10" s="1"/>
  <c r="CK60" i="10"/>
  <c r="CT60" i="10" s="1"/>
  <c r="C63" i="9"/>
  <c r="BD57" i="9"/>
  <c r="IV57" i="9"/>
  <c r="JE57" i="9"/>
  <c r="DN57" i="8"/>
  <c r="K57" i="9"/>
  <c r="T57" i="9" s="1"/>
  <c r="HL58" i="9"/>
  <c r="S58" i="9"/>
  <c r="AB58" i="9" s="1"/>
  <c r="CF62" i="10"/>
  <c r="CO62" i="10" s="1"/>
  <c r="B63" i="11" s="1"/>
  <c r="BW60" i="10"/>
  <c r="KP63" i="9"/>
  <c r="KY63" i="9" s="1"/>
  <c r="CP60" i="10"/>
  <c r="BX58" i="10"/>
  <c r="CE58" i="10"/>
  <c r="CU60" i="10"/>
  <c r="CB58" i="10"/>
  <c r="CD58" i="10"/>
  <c r="CM58" i="10" s="1"/>
  <c r="CC58" i="10"/>
  <c r="CA58" i="10"/>
  <c r="CQ60" i="10"/>
  <c r="BZ58" i="10"/>
  <c r="BY58" i="10"/>
  <c r="BO58" i="10"/>
  <c r="BS58" i="10"/>
  <c r="BU58" i="10"/>
  <c r="BV58" i="10"/>
  <c r="BT58" i="10"/>
  <c r="BP58" i="10"/>
  <c r="BR58" i="10"/>
  <c r="BQ58" i="10"/>
  <c r="HG60" i="9"/>
  <c r="N60" i="9"/>
  <c r="W60" i="9" s="1"/>
  <c r="HI60" i="9"/>
  <c r="P60" i="9"/>
  <c r="Y60" i="9" s="1"/>
  <c r="HK60" i="9"/>
  <c r="R60" i="9"/>
  <c r="AA60" i="9" s="1"/>
  <c r="LD71" i="9"/>
  <c r="HJ60" i="9"/>
  <c r="Q60" i="9"/>
  <c r="Z60" i="9" s="1"/>
  <c r="HH60" i="9"/>
  <c r="O60" i="9"/>
  <c r="X60" i="9" s="1"/>
  <c r="HF60" i="9"/>
  <c r="M60" i="9"/>
  <c r="V60" i="9" s="1"/>
  <c r="JW58" i="9"/>
  <c r="FC68" i="9"/>
  <c r="FL68" i="9" s="1"/>
  <c r="LB68" i="9"/>
  <c r="LD72" i="9"/>
  <c r="EV69" i="9"/>
  <c r="IJ69" i="9"/>
  <c r="KU69" i="9"/>
  <c r="EV68" i="9"/>
  <c r="IJ68" i="9"/>
  <c r="KU68" i="9"/>
  <c r="FE71" i="9"/>
  <c r="FN71" i="9" s="1"/>
  <c r="Q65" i="11"/>
  <c r="ET67" i="9"/>
  <c r="IH67" i="9"/>
  <c r="KS67" i="9"/>
  <c r="LB69" i="9"/>
  <c r="AR67" i="9"/>
  <c r="AI67" i="9" s="1"/>
  <c r="H67" i="9" s="1"/>
  <c r="JT67" i="9"/>
  <c r="DO63" i="8"/>
  <c r="FC69" i="9"/>
  <c r="FL69" i="9" s="1"/>
  <c r="FE72" i="9"/>
  <c r="FN72" i="9" s="1"/>
  <c r="Q66" i="11"/>
  <c r="LI58" i="9"/>
  <c r="BX58" i="9" s="1"/>
  <c r="LK58" i="9"/>
  <c r="BZ58" i="9" s="1"/>
  <c r="N58" i="9" s="1"/>
  <c r="W58" i="9" s="1"/>
  <c r="LG58" i="9"/>
  <c r="BV58" i="9" s="1"/>
  <c r="DQ58" i="8" s="1"/>
  <c r="LL58" i="9"/>
  <c r="CA58" i="9" s="1"/>
  <c r="O58" i="9" s="1"/>
  <c r="X58" i="9" s="1"/>
  <c r="LJ58" i="9"/>
  <c r="BY58" i="9" s="1"/>
  <c r="LH58" i="9"/>
  <c r="LM58" i="9"/>
  <c r="CB58" i="9" s="1"/>
  <c r="P58" i="9" s="1"/>
  <c r="Y58" i="9" s="1"/>
  <c r="LO58" i="9"/>
  <c r="CD58" i="9" s="1"/>
  <c r="LN58" i="9"/>
  <c r="CC58" i="9" s="1"/>
  <c r="BX60" i="9"/>
  <c r="IF60" i="9" s="1"/>
  <c r="FA60" i="9" s="1"/>
  <c r="G61" i="11"/>
  <c r="KT62" i="9"/>
  <c r="LC62" i="9" s="1"/>
  <c r="BS60" i="9"/>
  <c r="AQ61" i="11" s="1"/>
  <c r="AD58" i="10"/>
  <c r="HC60" i="9"/>
  <c r="BE60" i="10"/>
  <c r="BP60" i="9"/>
  <c r="AN61" i="11" s="1"/>
  <c r="DY58" i="9"/>
  <c r="EH58" i="9"/>
  <c r="JO58" i="9"/>
  <c r="EQ58" i="9" s="1"/>
  <c r="AM58" i="9"/>
  <c r="EN58" i="9"/>
  <c r="EE58" i="9"/>
  <c r="JU58" i="9"/>
  <c r="EW58" i="9" s="1"/>
  <c r="AS58" i="9"/>
  <c r="EM58" i="9"/>
  <c r="ED58" i="9"/>
  <c r="EL58" i="9"/>
  <c r="EC58" i="9"/>
  <c r="AQ58" i="9"/>
  <c r="JS58" i="9"/>
  <c r="EU58" i="9" s="1"/>
  <c r="EO58" i="9"/>
  <c r="EF58" i="9"/>
  <c r="JV58" i="9"/>
  <c r="EX58" i="9" s="1"/>
  <c r="B57" i="10"/>
  <c r="AC57" i="10"/>
  <c r="V57" i="10"/>
  <c r="W57" i="10"/>
  <c r="X57" i="10"/>
  <c r="Y57" i="10"/>
  <c r="Z57" i="10"/>
  <c r="AA57" i="10"/>
  <c r="AB57" i="10"/>
  <c r="EB58" i="9"/>
  <c r="EK58" i="9"/>
  <c r="DP57" i="9"/>
  <c r="DQ57" i="9"/>
  <c r="DR57" i="9"/>
  <c r="DS57" i="9"/>
  <c r="DT57" i="9"/>
  <c r="DU57" i="9"/>
  <c r="DV57" i="9"/>
  <c r="DW57" i="9"/>
  <c r="DO57" i="9"/>
  <c r="DX57" i="9" s="1"/>
  <c r="EJ58" i="9"/>
  <c r="EA58" i="9"/>
  <c r="JQ58" i="9"/>
  <c r="ES58" i="9" s="1"/>
  <c r="AO58" i="9"/>
  <c r="DM57" i="9" a="1"/>
  <c r="DM57" i="9" s="1"/>
  <c r="DH57" i="9" a="1"/>
  <c r="DH57" i="9" s="1"/>
  <c r="DI57" i="9" a="1"/>
  <c r="DI57" i="9" s="1"/>
  <c r="DF57" i="9"/>
  <c r="DJ57" i="9" a="1"/>
  <c r="DJ57" i="9" s="1"/>
  <c r="DK57" i="9" a="1"/>
  <c r="DK57" i="9" s="1"/>
  <c r="DL57" i="9" a="1"/>
  <c r="DL57" i="9" s="1"/>
  <c r="DN57" i="9" a="1"/>
  <c r="DN57" i="9" s="1"/>
  <c r="DG57" i="9"/>
  <c r="DZ58" i="9"/>
  <c r="EI58" i="9"/>
  <c r="AN58" i="9"/>
  <c r="JP58" i="9"/>
  <c r="ER58" i="9" s="1"/>
  <c r="FF62" i="9"/>
  <c r="FO62" i="9" s="1"/>
  <c r="KP62" i="9"/>
  <c r="KY62" i="9" s="1"/>
  <c r="AL63" i="11"/>
  <c r="KQ62" i="9"/>
  <c r="KZ62" i="9" s="1"/>
  <c r="KV62" i="9"/>
  <c r="LE62" i="9" s="1"/>
  <c r="AR63" i="11"/>
  <c r="AO63" i="11"/>
  <c r="AK62" i="9"/>
  <c r="J62" i="9" s="1"/>
  <c r="AS63" i="11"/>
  <c r="KR62" i="9"/>
  <c r="LA62" i="9" s="1"/>
  <c r="AN63" i="11"/>
  <c r="BN60" i="9"/>
  <c r="AL61" i="11" s="1"/>
  <c r="BU60" i="9"/>
  <c r="AS61" i="11" s="1"/>
  <c r="A57" i="9"/>
  <c r="A57" i="12"/>
  <c r="AU57" i="9"/>
  <c r="CW57" i="9"/>
  <c r="BR60" i="9"/>
  <c r="A58" i="9"/>
  <c r="A58" i="12"/>
  <c r="BO60" i="9"/>
  <c r="EY63" i="9"/>
  <c r="FH63" i="9" s="1"/>
  <c r="AL60" i="9"/>
  <c r="AC60" i="9" s="1"/>
  <c r="BT60" i="9"/>
  <c r="AR61" i="11" s="1"/>
  <c r="AT58" i="9"/>
  <c r="BQ60" i="9"/>
  <c r="AO61" i="11" s="1"/>
  <c r="GT67" i="9"/>
  <c r="IM67" i="9" s="1"/>
  <c r="ID62" i="9"/>
  <c r="EY62" i="9" s="1"/>
  <c r="AC62" i="9"/>
  <c r="KW62" i="9"/>
  <c r="LF62" i="9" s="1"/>
  <c r="KO62" i="9"/>
  <c r="AE62" i="9"/>
  <c r="D62" i="9" s="1"/>
  <c r="AH62" i="9"/>
  <c r="G62" i="9" s="1"/>
  <c r="AD62" i="9"/>
  <c r="C62" i="9" s="1"/>
  <c r="AJ62" i="9"/>
  <c r="I62" i="9" s="1"/>
  <c r="AF62" i="9"/>
  <c r="E62" i="9" s="1"/>
  <c r="JN60" i="9"/>
  <c r="EP60" i="9" s="1"/>
  <c r="FM62" i="9"/>
  <c r="FJ62" i="9"/>
  <c r="IL60" i="9"/>
  <c r="FG60" i="9" s="1"/>
  <c r="FP62" i="9"/>
  <c r="IK60" i="9"/>
  <c r="FF60" i="9" s="1"/>
  <c r="IE60" i="9"/>
  <c r="EZ60" i="9" s="1"/>
  <c r="FI62" i="9"/>
  <c r="CE57" i="9"/>
  <c r="CN57" i="9"/>
  <c r="IG60" i="9"/>
  <c r="FB60" i="9" s="1"/>
  <c r="AZ57" i="8"/>
  <c r="BD57" i="8"/>
  <c r="BB57" i="8"/>
  <c r="II60" i="9"/>
  <c r="FD60" i="9" s="1"/>
  <c r="FK62" i="9"/>
  <c r="L59" i="11"/>
  <c r="BL57" i="8"/>
  <c r="BP57" i="8"/>
  <c r="BH57" i="8"/>
  <c r="BJ57" i="8"/>
  <c r="BN57" i="8"/>
  <c r="BF57" i="8"/>
  <c r="CX55" i="8"/>
  <c r="CZ55" i="8"/>
  <c r="DB55" i="8"/>
  <c r="DC55" i="8"/>
  <c r="DD55" i="8"/>
  <c r="C55" i="10" s="1"/>
  <c r="DE55" i="8"/>
  <c r="DF55" i="8"/>
  <c r="R54" i="8" a="1"/>
  <c r="A55" i="8"/>
  <c r="A55" i="12" s="1"/>
  <c r="AV58" i="10" l="1"/>
  <c r="KF57" i="9"/>
  <c r="KX62" i="9"/>
  <c r="DT58" i="8"/>
  <c r="AM57" i="10"/>
  <c r="L57" i="10"/>
  <c r="U57" i="10" s="1"/>
  <c r="DR57" i="8"/>
  <c r="DS57" i="8"/>
  <c r="CI58" i="10"/>
  <c r="CR58" i="10" s="1"/>
  <c r="CK58" i="10"/>
  <c r="CT58" i="10" s="1"/>
  <c r="CH58" i="10"/>
  <c r="CN58" i="10"/>
  <c r="CW58" i="10" s="1"/>
  <c r="CG58" i="10"/>
  <c r="CP58" i="10" s="1"/>
  <c r="CJ58" i="10"/>
  <c r="CS58" i="10" s="1"/>
  <c r="CL58" i="10"/>
  <c r="CU58" i="10" s="1"/>
  <c r="BL55" i="8"/>
  <c r="BP55" i="8"/>
  <c r="BD55" i="9"/>
  <c r="IV55" i="9"/>
  <c r="JE55" i="9"/>
  <c r="DN55" i="8"/>
  <c r="K55" i="9"/>
  <c r="T55" i="9" s="1"/>
  <c r="BN60" i="10"/>
  <c r="CF60" i="10" s="1"/>
  <c r="CO60" i="10" s="1"/>
  <c r="B61" i="11" s="1"/>
  <c r="HL57" i="9"/>
  <c r="S57" i="9"/>
  <c r="AB57" i="9" s="1"/>
  <c r="DM60" i="8"/>
  <c r="B60" i="9"/>
  <c r="DM62" i="8"/>
  <c r="B62" i="9"/>
  <c r="BW58" i="10"/>
  <c r="HH58" i="9"/>
  <c r="HG58" i="9"/>
  <c r="CD57" i="10"/>
  <c r="CC57" i="10"/>
  <c r="CB57" i="10"/>
  <c r="CA57" i="10"/>
  <c r="BZ57" i="10"/>
  <c r="BY57" i="10"/>
  <c r="BX57" i="10"/>
  <c r="CE57" i="10"/>
  <c r="BV57" i="10"/>
  <c r="CN57" i="10" s="1"/>
  <c r="CV58" i="10"/>
  <c r="CQ58" i="10"/>
  <c r="BO57" i="10"/>
  <c r="BE58" i="10"/>
  <c r="BN58" i="10" s="1"/>
  <c r="BS57" i="10"/>
  <c r="BU57" i="10"/>
  <c r="BT57" i="10"/>
  <c r="BR57" i="10"/>
  <c r="BP57" i="10"/>
  <c r="BQ57" i="10"/>
  <c r="HI58" i="9"/>
  <c r="HF58" i="9"/>
  <c r="M58" i="9"/>
  <c r="V58" i="9" s="1"/>
  <c r="LJ57" i="9"/>
  <c r="BY57" i="9" s="1"/>
  <c r="M57" i="9" s="1"/>
  <c r="V57" i="9" s="1"/>
  <c r="HE60" i="9"/>
  <c r="L60" i="9"/>
  <c r="U60" i="9" s="1"/>
  <c r="HJ58" i="9"/>
  <c r="Q58" i="9"/>
  <c r="Z58" i="9" s="1"/>
  <c r="HE58" i="9"/>
  <c r="L58" i="9"/>
  <c r="U58" i="9" s="1"/>
  <c r="LH57" i="9"/>
  <c r="BW57" i="9" s="1"/>
  <c r="HD57" i="9" s="1"/>
  <c r="HK58" i="9"/>
  <c r="R58" i="9"/>
  <c r="AA58" i="9" s="1"/>
  <c r="LI57" i="9"/>
  <c r="BX57" i="9" s="1"/>
  <c r="L57" i="9" s="1"/>
  <c r="U57" i="9" s="1"/>
  <c r="JW57" i="9"/>
  <c r="LD68" i="9"/>
  <c r="LB67" i="9"/>
  <c r="LD69" i="9"/>
  <c r="FE68" i="9"/>
  <c r="FN68" i="9" s="1"/>
  <c r="FC67" i="9"/>
  <c r="FL67" i="9" s="1"/>
  <c r="AP65" i="9"/>
  <c r="AG65" i="9" s="1"/>
  <c r="F65" i="9" s="1"/>
  <c r="JR65" i="9"/>
  <c r="EV67" i="9"/>
  <c r="IJ67" i="9"/>
  <c r="KU67" i="9"/>
  <c r="Q64" i="11"/>
  <c r="K64" i="12"/>
  <c r="T64" i="12" s="1"/>
  <c r="GB64" i="9" s="1"/>
  <c r="GK64" i="9" s="1"/>
  <c r="FE69" i="9"/>
  <c r="FN69" i="9" s="1"/>
  <c r="AP64" i="9"/>
  <c r="AG64" i="9" s="1"/>
  <c r="F64" i="9" s="1"/>
  <c r="JR64" i="9"/>
  <c r="K65" i="12"/>
  <c r="T65" i="12" s="1"/>
  <c r="GB65" i="9" s="1"/>
  <c r="GK65" i="9" s="1"/>
  <c r="LN57" i="9"/>
  <c r="CC57" i="9" s="1"/>
  <c r="G59" i="11"/>
  <c r="LK57" i="9"/>
  <c r="BZ57" i="9" s="1"/>
  <c r="N57" i="9" s="1"/>
  <c r="W57" i="9" s="1"/>
  <c r="LL57" i="9"/>
  <c r="CA57" i="9" s="1"/>
  <c r="O57" i="9" s="1"/>
  <c r="X57" i="9" s="1"/>
  <c r="LM57" i="9"/>
  <c r="CB57" i="9" s="1"/>
  <c r="P57" i="9" s="1"/>
  <c r="Y57" i="9" s="1"/>
  <c r="LG57" i="9"/>
  <c r="BV57" i="9" s="1"/>
  <c r="DQ57" i="8" s="1"/>
  <c r="LO57" i="9"/>
  <c r="CD57" i="9" s="1"/>
  <c r="BW58" i="9"/>
  <c r="IE58" i="9" s="1"/>
  <c r="EZ58" i="9" s="1"/>
  <c r="Q57" i="11"/>
  <c r="KR60" i="9"/>
  <c r="LA60" i="9" s="1"/>
  <c r="AD57" i="10"/>
  <c r="AV57" i="10" s="1"/>
  <c r="BR58" i="9"/>
  <c r="AP59" i="11" s="1"/>
  <c r="HC58" i="9"/>
  <c r="EF57" i="9"/>
  <c r="EO57" i="9"/>
  <c r="JV57" i="9"/>
  <c r="EX57" i="9" s="1"/>
  <c r="AB55" i="10"/>
  <c r="X55" i="10"/>
  <c r="AA55" i="10"/>
  <c r="Y55" i="10"/>
  <c r="Z55" i="10"/>
  <c r="W55" i="10"/>
  <c r="AC55" i="10"/>
  <c r="V55" i="10"/>
  <c r="EN57" i="9"/>
  <c r="EE57" i="9"/>
  <c r="JU57" i="9"/>
  <c r="EW57" i="9" s="1"/>
  <c r="AS57" i="9"/>
  <c r="EM57" i="9"/>
  <c r="ED57" i="9"/>
  <c r="DP55" i="9"/>
  <c r="DR55" i="9"/>
  <c r="DS55" i="9"/>
  <c r="DT55" i="9"/>
  <c r="DU55" i="9"/>
  <c r="DV55" i="9"/>
  <c r="DW55" i="9"/>
  <c r="DQ55" i="9"/>
  <c r="DF55" i="9"/>
  <c r="DO55" i="9"/>
  <c r="DX55" i="9" s="1"/>
  <c r="DN55" i="9" a="1"/>
  <c r="DN55" i="9" s="1"/>
  <c r="DK55" i="9" a="1"/>
  <c r="DK55" i="9" s="1"/>
  <c r="DG55" i="9"/>
  <c r="DM55" i="9" a="1"/>
  <c r="DM55" i="9" s="1"/>
  <c r="LN55" i="9" s="1"/>
  <c r="CC55" i="9" s="1"/>
  <c r="Q55" i="9" s="1"/>
  <c r="Z55" i="9" s="1"/>
  <c r="DJ55" i="9" a="1"/>
  <c r="DJ55" i="9" s="1"/>
  <c r="DL55" i="9" a="1"/>
  <c r="DL55" i="9" s="1"/>
  <c r="DH55" i="9" a="1"/>
  <c r="DH55" i="9" s="1"/>
  <c r="DI55" i="9" a="1"/>
  <c r="DI55" i="9" s="1"/>
  <c r="LJ55" i="9" s="1"/>
  <c r="BY55" i="9" s="1"/>
  <c r="M55" i="9" s="1"/>
  <c r="V55" i="9" s="1"/>
  <c r="EL57" i="9"/>
  <c r="EC57" i="9"/>
  <c r="JS57" i="9"/>
  <c r="EU57" i="9" s="1"/>
  <c r="AQ57" i="9"/>
  <c r="EK57" i="9"/>
  <c r="EB57" i="9"/>
  <c r="EJ57" i="9"/>
  <c r="EA57" i="9"/>
  <c r="JQ57" i="9"/>
  <c r="ES57" i="9" s="1"/>
  <c r="AO57" i="9"/>
  <c r="B55" i="10"/>
  <c r="EI57" i="9"/>
  <c r="DZ57" i="9"/>
  <c r="AN57" i="9"/>
  <c r="JP57" i="9"/>
  <c r="ER57" i="9" s="1"/>
  <c r="DY57" i="9"/>
  <c r="EH57" i="9"/>
  <c r="AM57" i="9"/>
  <c r="JO57" i="9"/>
  <c r="EQ57" i="9" s="1"/>
  <c r="AK60" i="9"/>
  <c r="J60" i="9" s="1"/>
  <c r="KQ60" i="9"/>
  <c r="KZ60" i="9" s="1"/>
  <c r="AM61" i="11"/>
  <c r="KT60" i="9"/>
  <c r="LC60" i="9" s="1"/>
  <c r="AP61" i="11"/>
  <c r="KV60" i="9"/>
  <c r="LE60" i="9" s="1"/>
  <c r="AU55" i="9"/>
  <c r="CW55" i="9"/>
  <c r="BS58" i="9"/>
  <c r="AL58" i="9"/>
  <c r="AC58" i="9" s="1"/>
  <c r="BQ58" i="9"/>
  <c r="AO59" i="11" s="1"/>
  <c r="BT58" i="9"/>
  <c r="AR59" i="11" s="1"/>
  <c r="BO58" i="9"/>
  <c r="BP58" i="9"/>
  <c r="AN59" i="11" s="1"/>
  <c r="BU58" i="9"/>
  <c r="AS59" i="11" s="1"/>
  <c r="BN58" i="9"/>
  <c r="AT57" i="9"/>
  <c r="KO60" i="9"/>
  <c r="A55" i="9"/>
  <c r="FH62" i="9"/>
  <c r="ID60" i="9"/>
  <c r="EY60" i="9" s="1"/>
  <c r="KW60" i="9"/>
  <c r="LF60" i="9" s="1"/>
  <c r="FK60" i="9"/>
  <c r="JN58" i="9"/>
  <c r="AH60" i="9"/>
  <c r="G60" i="9" s="1"/>
  <c r="AF60" i="9"/>
  <c r="E60" i="9" s="1"/>
  <c r="AD60" i="9"/>
  <c r="AJ60" i="9"/>
  <c r="I60" i="9" s="1"/>
  <c r="AE60" i="9"/>
  <c r="D60" i="9" s="1"/>
  <c r="FP60" i="9"/>
  <c r="IG58" i="9"/>
  <c r="FB58" i="9" s="1"/>
  <c r="II58" i="9"/>
  <c r="FD58" i="9" s="1"/>
  <c r="IK58" i="9"/>
  <c r="FF58" i="9" s="1"/>
  <c r="FI60" i="9"/>
  <c r="FM60" i="9"/>
  <c r="AZ55" i="8"/>
  <c r="BD55" i="8"/>
  <c r="BB55" i="8"/>
  <c r="IL58" i="9"/>
  <c r="FG58" i="9" s="1"/>
  <c r="FO60" i="9"/>
  <c r="IF58" i="9"/>
  <c r="FA58" i="9" s="1"/>
  <c r="CE55" i="9"/>
  <c r="CN55" i="9"/>
  <c r="L58" i="11"/>
  <c r="EG57" i="9"/>
  <c r="BM57" i="9" s="1"/>
  <c r="AK58" i="11" s="1"/>
  <c r="FJ60" i="9"/>
  <c r="R54" i="8"/>
  <c r="BH55" i="8"/>
  <c r="BN55" i="8"/>
  <c r="BJ55" i="8"/>
  <c r="BF55" i="8"/>
  <c r="CX54" i="8"/>
  <c r="CZ54" i="8"/>
  <c r="DA54" i="8"/>
  <c r="DB54" i="8"/>
  <c r="DC54" i="8"/>
  <c r="DD54" i="8"/>
  <c r="C54" i="10" s="1"/>
  <c r="DE54" i="8"/>
  <c r="DF54" i="8"/>
  <c r="A54" i="8"/>
  <c r="KX60" i="9" l="1"/>
  <c r="KF55" i="9"/>
  <c r="AM55" i="10"/>
  <c r="L55" i="10"/>
  <c r="U55" i="10" s="1"/>
  <c r="DT57" i="8"/>
  <c r="DS55" i="8"/>
  <c r="DR55" i="8"/>
  <c r="CM57" i="10"/>
  <c r="CV57" i="10" s="1"/>
  <c r="CG57" i="10"/>
  <c r="CP57" i="10" s="1"/>
  <c r="CH57" i="10"/>
  <c r="CQ57" i="10" s="1"/>
  <c r="CI57" i="10"/>
  <c r="CR57" i="10" s="1"/>
  <c r="CJ57" i="10"/>
  <c r="CS57" i="10" s="1"/>
  <c r="CK57" i="10"/>
  <c r="CT57" i="10" s="1"/>
  <c r="CL57" i="10"/>
  <c r="CU57" i="10" s="1"/>
  <c r="LL55" i="9"/>
  <c r="CA55" i="9" s="1"/>
  <c r="O55" i="9" s="1"/>
  <c r="X55" i="9" s="1"/>
  <c r="CF58" i="10"/>
  <c r="CO58" i="10" s="1"/>
  <c r="B59" i="11" s="1"/>
  <c r="BD54" i="9"/>
  <c r="IV54" i="9"/>
  <c r="JE54" i="9"/>
  <c r="DN54" i="8"/>
  <c r="K54" i="9"/>
  <c r="T54" i="9" s="1"/>
  <c r="C60" i="9"/>
  <c r="HL55" i="9"/>
  <c r="S55" i="9"/>
  <c r="AB55" i="9" s="1"/>
  <c r="DM58" i="8"/>
  <c r="B58" i="9"/>
  <c r="BW57" i="10"/>
  <c r="HH57" i="9"/>
  <c r="HI57" i="9"/>
  <c r="HF57" i="9"/>
  <c r="CB55" i="10"/>
  <c r="CA55" i="10"/>
  <c r="CC55" i="10"/>
  <c r="BZ55" i="10"/>
  <c r="CD55" i="10"/>
  <c r="BX55" i="10"/>
  <c r="CE55" i="10"/>
  <c r="BY55" i="10"/>
  <c r="BE57" i="10"/>
  <c r="BN57" i="10" s="1"/>
  <c r="CF57" i="10" s="1"/>
  <c r="BP55" i="10"/>
  <c r="CH55" i="10" s="1"/>
  <c r="BS55" i="10"/>
  <c r="CK55" i="10" s="1"/>
  <c r="BR55" i="10"/>
  <c r="CJ55" i="10" s="1"/>
  <c r="BT55" i="10"/>
  <c r="CL55" i="10" s="1"/>
  <c r="BQ55" i="10"/>
  <c r="CI55" i="10" s="1"/>
  <c r="BU55" i="10"/>
  <c r="CM55" i="10" s="1"/>
  <c r="BO55" i="10"/>
  <c r="CG55" i="10" s="1"/>
  <c r="CW57" i="10"/>
  <c r="BV55" i="10"/>
  <c r="CN55" i="10" s="1"/>
  <c r="HE57" i="9"/>
  <c r="KP60" i="9"/>
  <c r="KY60" i="9" s="1"/>
  <c r="HG57" i="9"/>
  <c r="HK57" i="9"/>
  <c r="R57" i="9"/>
  <c r="AA57" i="9" s="1"/>
  <c r="HJ57" i="9"/>
  <c r="Q57" i="9"/>
  <c r="Z57" i="9" s="1"/>
  <c r="JW55" i="9"/>
  <c r="FE67" i="9"/>
  <c r="FN67" i="9" s="1"/>
  <c r="DO60" i="8"/>
  <c r="JR63" i="9"/>
  <c r="AP63" i="9"/>
  <c r="AG63" i="9" s="1"/>
  <c r="F63" i="9" s="1"/>
  <c r="AR64" i="9"/>
  <c r="AI64" i="9" s="1"/>
  <c r="H64" i="9" s="1"/>
  <c r="JT64" i="9"/>
  <c r="ET64" i="9"/>
  <c r="IH64" i="9"/>
  <c r="KS64" i="9"/>
  <c r="AR65" i="9"/>
  <c r="AI65" i="9" s="1"/>
  <c r="H65" i="9" s="1"/>
  <c r="JT65" i="9"/>
  <c r="ET65" i="9"/>
  <c r="IH65" i="9"/>
  <c r="KS65" i="9"/>
  <c r="DO62" i="8"/>
  <c r="LD67" i="9"/>
  <c r="K63" i="12"/>
  <c r="T63" i="12" s="1"/>
  <c r="GB63" i="9" s="1"/>
  <c r="GK63" i="9" s="1"/>
  <c r="LK55" i="9"/>
  <c r="BZ55" i="9" s="1"/>
  <c r="LI55" i="9"/>
  <c r="BX55" i="9" s="1"/>
  <c r="L55" i="9" s="1"/>
  <c r="U55" i="9" s="1"/>
  <c r="LG55" i="9"/>
  <c r="BV55" i="9" s="1"/>
  <c r="DQ55" i="8" s="1"/>
  <c r="LM55" i="9"/>
  <c r="CB55" i="9" s="1"/>
  <c r="KT58" i="9"/>
  <c r="LC58" i="9" s="1"/>
  <c r="LH55" i="9"/>
  <c r="BW55" i="9" s="1"/>
  <c r="HD55" i="9" s="1"/>
  <c r="LO55" i="9"/>
  <c r="CD55" i="9" s="1"/>
  <c r="R55" i="9" s="1"/>
  <c r="AA55" i="9" s="1"/>
  <c r="HD58" i="9"/>
  <c r="AD55" i="10"/>
  <c r="HC57" i="9"/>
  <c r="KR58" i="9"/>
  <c r="LA58" i="9" s="1"/>
  <c r="KV58" i="9"/>
  <c r="LE58" i="9" s="1"/>
  <c r="DZ55" i="9"/>
  <c r="EI55" i="9"/>
  <c r="JP55" i="9"/>
  <c r="ER55" i="9" s="1"/>
  <c r="AN55" i="9"/>
  <c r="EF55" i="9"/>
  <c r="EO55" i="9"/>
  <c r="JV55" i="9"/>
  <c r="EX55" i="9" s="1"/>
  <c r="EN55" i="9"/>
  <c r="EE55" i="9"/>
  <c r="HJ55" i="9"/>
  <c r="JU55" i="9"/>
  <c r="EW55" i="9" s="1"/>
  <c r="AS55" i="9"/>
  <c r="B54" i="10"/>
  <c r="ED55" i="9"/>
  <c r="EM55" i="9"/>
  <c r="AC54" i="10"/>
  <c r="V54" i="10"/>
  <c r="W54" i="10"/>
  <c r="X54" i="10"/>
  <c r="Y54" i="10"/>
  <c r="AB54" i="10"/>
  <c r="AA54" i="10"/>
  <c r="Z54" i="10"/>
  <c r="EC55" i="9"/>
  <c r="EL55" i="9"/>
  <c r="JS55" i="9"/>
  <c r="EU55" i="9" s="1"/>
  <c r="AQ55" i="9"/>
  <c r="EH55" i="9"/>
  <c r="DY55" i="9"/>
  <c r="JO55" i="9"/>
  <c r="EQ55" i="9" s="1"/>
  <c r="AM55" i="9"/>
  <c r="DQ54" i="9"/>
  <c r="DV54" i="9"/>
  <c r="DR54" i="9"/>
  <c r="DT54" i="9"/>
  <c r="DS54" i="9"/>
  <c r="DU54" i="9"/>
  <c r="DW54" i="9"/>
  <c r="DP54" i="9"/>
  <c r="DO54" i="9"/>
  <c r="EG54" i="9" s="1"/>
  <c r="EK55" i="9"/>
  <c r="EB55" i="9"/>
  <c r="DH54" i="9" a="1"/>
  <c r="DH54" i="9" s="1"/>
  <c r="DG54" i="9"/>
  <c r="DI54" i="9" a="1"/>
  <c r="DI54" i="9" s="1"/>
  <c r="DJ54" i="9" a="1"/>
  <c r="DJ54" i="9" s="1"/>
  <c r="DK54" i="9" a="1"/>
  <c r="DK54" i="9" s="1"/>
  <c r="DL54" i="9" a="1"/>
  <c r="DL54" i="9" s="1"/>
  <c r="DM54" i="9" a="1"/>
  <c r="DM54" i="9" s="1"/>
  <c r="DN54" i="9" a="1"/>
  <c r="DN54" i="9" s="1"/>
  <c r="DF54" i="9"/>
  <c r="EJ55" i="9"/>
  <c r="EA55" i="9"/>
  <c r="HF55" i="9"/>
  <c r="AO55" i="9"/>
  <c r="JQ55" i="9"/>
  <c r="ES55" i="9" s="1"/>
  <c r="AK58" i="9"/>
  <c r="J58" i="9" s="1"/>
  <c r="AQ59" i="11"/>
  <c r="KP58" i="9"/>
  <c r="KY58" i="9" s="1"/>
  <c r="AL59" i="11"/>
  <c r="KQ58" i="9"/>
  <c r="KZ58" i="9" s="1"/>
  <c r="AM59" i="11"/>
  <c r="A54" i="9"/>
  <c r="A54" i="12"/>
  <c r="AU54" i="9"/>
  <c r="CW54" i="9"/>
  <c r="AL57" i="9"/>
  <c r="AC57" i="9" s="1"/>
  <c r="BU57" i="9"/>
  <c r="BR57" i="9"/>
  <c r="BS57" i="9"/>
  <c r="BO57" i="9"/>
  <c r="AT55" i="9"/>
  <c r="BN57" i="9"/>
  <c r="BQ57" i="9"/>
  <c r="BP57" i="9"/>
  <c r="AN58" i="11" s="1"/>
  <c r="BT57" i="9"/>
  <c r="GT65" i="9"/>
  <c r="IM65" i="9" s="1"/>
  <c r="GT64" i="9"/>
  <c r="IM64" i="9" s="1"/>
  <c r="ID58" i="9"/>
  <c r="EP58" i="9"/>
  <c r="KO58" i="9"/>
  <c r="FH60" i="9"/>
  <c r="KW58" i="9"/>
  <c r="LF58" i="9" s="1"/>
  <c r="FK58" i="9"/>
  <c r="AJ58" i="9"/>
  <c r="I58" i="9" s="1"/>
  <c r="AF58" i="9"/>
  <c r="E58" i="9" s="1"/>
  <c r="AE58" i="9"/>
  <c r="D58" i="9" s="1"/>
  <c r="AD58" i="9"/>
  <c r="C58" i="9" s="1"/>
  <c r="AH58" i="9"/>
  <c r="G58" i="9" s="1"/>
  <c r="FO58" i="9"/>
  <c r="EG55" i="9"/>
  <c r="BM55" i="9" s="1"/>
  <c r="AK56" i="11" s="1"/>
  <c r="JN57" i="9"/>
  <c r="EP57" i="9" s="1"/>
  <c r="AD55" i="11"/>
  <c r="AZ54" i="8"/>
  <c r="BB54" i="8"/>
  <c r="BD54" i="8"/>
  <c r="FP58" i="9"/>
  <c r="FM58" i="9"/>
  <c r="IF57" i="9"/>
  <c r="FA57" i="9" s="1"/>
  <c r="II57" i="9"/>
  <c r="FD57" i="9" s="1"/>
  <c r="IE57" i="9"/>
  <c r="EZ57" i="9" s="1"/>
  <c r="FI58" i="9"/>
  <c r="FJ58" i="9"/>
  <c r="IK57" i="9"/>
  <c r="FF57" i="9" s="1"/>
  <c r="L56" i="11"/>
  <c r="IG57" i="9"/>
  <c r="FB57" i="9" s="1"/>
  <c r="CN54" i="9"/>
  <c r="CE54" i="9"/>
  <c r="IL57" i="9"/>
  <c r="FG57" i="9" s="1"/>
  <c r="DP54" i="8"/>
  <c r="MD54" i="9" s="1"/>
  <c r="BH54" i="8"/>
  <c r="BN54" i="8"/>
  <c r="BL54" i="8"/>
  <c r="BJ54" i="8"/>
  <c r="BP54" i="8"/>
  <c r="BF54" i="8"/>
  <c r="DA53" i="8"/>
  <c r="DB53" i="8"/>
  <c r="DC53" i="8"/>
  <c r="DD53" i="8"/>
  <c r="C53" i="10" s="1"/>
  <c r="DE53" i="8"/>
  <c r="DF53" i="8"/>
  <c r="CZ53" i="8"/>
  <c r="A52" i="8"/>
  <c r="A53" i="8"/>
  <c r="KX58" i="9" l="1"/>
  <c r="DT55" i="8"/>
  <c r="AM54" i="10"/>
  <c r="L54" i="10"/>
  <c r="U54" i="10" s="1"/>
  <c r="AV55" i="10"/>
  <c r="KF54" i="9"/>
  <c r="DR54" i="8"/>
  <c r="DS54" i="8"/>
  <c r="HH55" i="9"/>
  <c r="BD53" i="9"/>
  <c r="JE53" i="9"/>
  <c r="DN53" i="8"/>
  <c r="IV53" i="9"/>
  <c r="K53" i="9"/>
  <c r="T53" i="9" s="1"/>
  <c r="DM57" i="8"/>
  <c r="B57" i="9"/>
  <c r="BW55" i="10"/>
  <c r="HL54" i="9"/>
  <c r="S54" i="9"/>
  <c r="AB54" i="9" s="1"/>
  <c r="HE55" i="9"/>
  <c r="CA54" i="10"/>
  <c r="BZ54" i="10"/>
  <c r="BY54" i="10"/>
  <c r="BX54" i="10"/>
  <c r="CE54" i="10"/>
  <c r="CB54" i="10"/>
  <c r="CC54" i="10"/>
  <c r="CD54" i="10"/>
  <c r="CU55" i="10"/>
  <c r="BR54" i="10"/>
  <c r="CJ54" i="10" s="1"/>
  <c r="BQ54" i="10"/>
  <c r="CI54" i="10" s="1"/>
  <c r="CW55" i="10"/>
  <c r="CT55" i="10"/>
  <c r="CQ55" i="10"/>
  <c r="CP55" i="10"/>
  <c r="CS55" i="10"/>
  <c r="BO54" i="10"/>
  <c r="CG54" i="10" s="1"/>
  <c r="BV54" i="10"/>
  <c r="CN54" i="10" s="1"/>
  <c r="CO57" i="10"/>
  <c r="B58" i="11" s="1"/>
  <c r="BT54" i="10"/>
  <c r="CL54" i="10" s="1"/>
  <c r="CR55" i="10"/>
  <c r="BP54" i="10"/>
  <c r="CH54" i="10" s="1"/>
  <c r="BS54" i="10"/>
  <c r="CK54" i="10" s="1"/>
  <c r="BU54" i="10"/>
  <c r="CM54" i="10" s="1"/>
  <c r="CV55" i="10"/>
  <c r="HK55" i="9"/>
  <c r="LO54" i="9"/>
  <c r="CD54" i="9" s="1"/>
  <c r="R54" i="9" s="1"/>
  <c r="AA54" i="9" s="1"/>
  <c r="HI55" i="9"/>
  <c r="P55" i="9"/>
  <c r="Y55" i="9" s="1"/>
  <c r="HG55" i="9"/>
  <c r="N55" i="9"/>
  <c r="W55" i="9" s="1"/>
  <c r="JW54" i="9"/>
  <c r="LB65" i="9"/>
  <c r="LB64" i="9"/>
  <c r="EV65" i="9"/>
  <c r="IJ65" i="9"/>
  <c r="KU65" i="9"/>
  <c r="ET63" i="9"/>
  <c r="IH63" i="9"/>
  <c r="KS63" i="9"/>
  <c r="FC64" i="9"/>
  <c r="FL64" i="9" s="1"/>
  <c r="AR63" i="9"/>
  <c r="AI63" i="9" s="1"/>
  <c r="H63" i="9" s="1"/>
  <c r="JT63" i="9"/>
  <c r="DO58" i="8"/>
  <c r="EV64" i="9"/>
  <c r="IJ64" i="9"/>
  <c r="KU64" i="9"/>
  <c r="FC65" i="9"/>
  <c r="FL65" i="9" s="1"/>
  <c r="Q61" i="11"/>
  <c r="LH54" i="9"/>
  <c r="BW54" i="9" s="1"/>
  <c r="HD54" i="9" s="1"/>
  <c r="LN54" i="9"/>
  <c r="CC54" i="9" s="1"/>
  <c r="Q54" i="9" s="1"/>
  <c r="Z54" i="9" s="1"/>
  <c r="LL54" i="9"/>
  <c r="CA54" i="9" s="1"/>
  <c r="O54" i="9" s="1"/>
  <c r="X54" i="9" s="1"/>
  <c r="LJ54" i="9"/>
  <c r="BY54" i="9" s="1"/>
  <c r="LG54" i="9"/>
  <c r="BV54" i="9" s="1"/>
  <c r="DQ54" i="8" s="1"/>
  <c r="LI54" i="9"/>
  <c r="BX54" i="9" s="1"/>
  <c r="L54" i="9" s="1"/>
  <c r="U54" i="9" s="1"/>
  <c r="LM54" i="9"/>
  <c r="CB54" i="9" s="1"/>
  <c r="LK54" i="9"/>
  <c r="BZ54" i="9" s="1"/>
  <c r="BE55" i="10"/>
  <c r="BN55" i="10" s="1"/>
  <c r="CF55" i="10" s="1"/>
  <c r="DX54" i="9"/>
  <c r="BM54" i="9" s="1"/>
  <c r="AK55" i="11" s="1"/>
  <c r="HC55" i="9"/>
  <c r="AD54" i="10"/>
  <c r="EF54" i="9"/>
  <c r="EO54" i="9"/>
  <c r="JV54" i="9"/>
  <c r="EX54" i="9" s="1"/>
  <c r="EH54" i="9"/>
  <c r="DY54" i="9"/>
  <c r="AM54" i="9"/>
  <c r="JO54" i="9"/>
  <c r="EQ54" i="9" s="1"/>
  <c r="EM54" i="9"/>
  <c r="ED54" i="9"/>
  <c r="EK54" i="9"/>
  <c r="EB54" i="9"/>
  <c r="B53" i="10"/>
  <c r="EC54" i="9"/>
  <c r="EL54" i="9"/>
  <c r="AQ54" i="9"/>
  <c r="JS54" i="9"/>
  <c r="EU54" i="9" s="1"/>
  <c r="EJ54" i="9"/>
  <c r="EA54" i="9"/>
  <c r="AO54" i="9"/>
  <c r="JQ54" i="9"/>
  <c r="ES54" i="9" s="1"/>
  <c r="AC53" i="10"/>
  <c r="V53" i="10"/>
  <c r="W53" i="10"/>
  <c r="X53" i="10"/>
  <c r="Y53" i="10"/>
  <c r="Z53" i="10"/>
  <c r="AA53" i="10"/>
  <c r="AB53" i="10"/>
  <c r="EN54" i="9"/>
  <c r="EE54" i="9"/>
  <c r="AS54" i="9"/>
  <c r="JU54" i="9"/>
  <c r="EW54" i="9" s="1"/>
  <c r="DP53" i="9"/>
  <c r="DR53" i="9"/>
  <c r="DT53" i="9"/>
  <c r="DU53" i="9"/>
  <c r="DS53" i="9"/>
  <c r="DV53" i="9"/>
  <c r="DW53" i="9"/>
  <c r="DQ53" i="9"/>
  <c r="DO53" i="9"/>
  <c r="DX53" i="9" s="1"/>
  <c r="DI53" i="9" a="1"/>
  <c r="DI53" i="9" s="1"/>
  <c r="LJ53" i="9" s="1"/>
  <c r="BY53" i="9" s="1"/>
  <c r="M53" i="9" s="1"/>
  <c r="V53" i="9" s="1"/>
  <c r="DG53" i="9"/>
  <c r="DH53" i="9" a="1"/>
  <c r="DH53" i="9" s="1"/>
  <c r="DJ53" i="9" a="1"/>
  <c r="DJ53" i="9" s="1"/>
  <c r="LK53" i="9" s="1"/>
  <c r="BZ53" i="9" s="1"/>
  <c r="N53" i="9" s="1"/>
  <c r="W53" i="9" s="1"/>
  <c r="DK53" i="9" a="1"/>
  <c r="DK53" i="9" s="1"/>
  <c r="DL53" i="9" a="1"/>
  <c r="DL53" i="9" s="1"/>
  <c r="DM53" i="9" a="1"/>
  <c r="DM53" i="9" s="1"/>
  <c r="DN53" i="9" a="1"/>
  <c r="DN53" i="9" s="1"/>
  <c r="DF53" i="9"/>
  <c r="EI54" i="9"/>
  <c r="DZ54" i="9"/>
  <c r="AN54" i="9"/>
  <c r="JP54" i="9"/>
  <c r="ER54" i="9" s="1"/>
  <c r="KR57" i="9"/>
  <c r="LA57" i="9" s="1"/>
  <c r="AQ58" i="11"/>
  <c r="KP57" i="9"/>
  <c r="KY57" i="9" s="1"/>
  <c r="AL58" i="11"/>
  <c r="AO58" i="11"/>
  <c r="KT57" i="9"/>
  <c r="LC57" i="9" s="1"/>
  <c r="AP58" i="11"/>
  <c r="KV57" i="9"/>
  <c r="LE57" i="9" s="1"/>
  <c r="AR58" i="11"/>
  <c r="AK57" i="9"/>
  <c r="J57" i="9" s="1"/>
  <c r="AS58" i="11"/>
  <c r="KQ57" i="9"/>
  <c r="KZ57" i="9" s="1"/>
  <c r="AM58" i="11"/>
  <c r="BU55" i="9"/>
  <c r="AS56" i="11" s="1"/>
  <c r="A52" i="9"/>
  <c r="A52" i="12"/>
  <c r="A53" i="9"/>
  <c r="A53" i="12"/>
  <c r="AU53" i="9"/>
  <c r="CW53" i="9"/>
  <c r="BN55" i="9"/>
  <c r="BO55" i="9"/>
  <c r="BS55" i="9"/>
  <c r="AL55" i="9"/>
  <c r="AC55" i="9" s="1"/>
  <c r="EY58" i="9"/>
  <c r="FH58" i="9" s="1"/>
  <c r="BP55" i="9"/>
  <c r="AT54" i="9"/>
  <c r="BQ55" i="9"/>
  <c r="BT55" i="9"/>
  <c r="AR56" i="11" s="1"/>
  <c r="BR55" i="9"/>
  <c r="GT63" i="9"/>
  <c r="IM63" i="9" s="1"/>
  <c r="ID57" i="9"/>
  <c r="EY57" i="9" s="1"/>
  <c r="KO57" i="9"/>
  <c r="KW57" i="9"/>
  <c r="LF57" i="9" s="1"/>
  <c r="FP57" i="9"/>
  <c r="AJ57" i="9"/>
  <c r="I57" i="9" s="1"/>
  <c r="AD57" i="9"/>
  <c r="C57" i="9" s="1"/>
  <c r="AH57" i="9"/>
  <c r="G57" i="9" s="1"/>
  <c r="AE57" i="9"/>
  <c r="D57" i="9" s="1"/>
  <c r="AF57" i="9"/>
  <c r="E57" i="9" s="1"/>
  <c r="JN55" i="9"/>
  <c r="EP55" i="9" s="1"/>
  <c r="FK57" i="9"/>
  <c r="FJ57" i="9"/>
  <c r="FM57" i="9"/>
  <c r="IF55" i="9"/>
  <c r="FA55" i="9" s="1"/>
  <c r="FO57" i="9"/>
  <c r="CN53" i="9"/>
  <c r="CE53" i="9"/>
  <c r="IK55" i="9"/>
  <c r="FF55" i="9" s="1"/>
  <c r="L55" i="11"/>
  <c r="IG55" i="9"/>
  <c r="FB55" i="9" s="1"/>
  <c r="FI57" i="9"/>
  <c r="IE55" i="9"/>
  <c r="EZ55" i="9" s="1"/>
  <c r="AZ53" i="8"/>
  <c r="BD53" i="8"/>
  <c r="BB53" i="8"/>
  <c r="II55" i="9"/>
  <c r="FD55" i="9" s="1"/>
  <c r="IL55" i="9"/>
  <c r="FG55" i="9" s="1"/>
  <c r="BF53" i="8"/>
  <c r="BJ53" i="8"/>
  <c r="BP53" i="8"/>
  <c r="BL53" i="8"/>
  <c r="BN53" i="8"/>
  <c r="BH53" i="8"/>
  <c r="DE52" i="8"/>
  <c r="KX57" i="9" l="1"/>
  <c r="KF53" i="9"/>
  <c r="DT54" i="8"/>
  <c r="AM53" i="10"/>
  <c r="L53" i="10"/>
  <c r="U53" i="10" s="1"/>
  <c r="DS53" i="8"/>
  <c r="DR53" i="8"/>
  <c r="HE54" i="9"/>
  <c r="DM55" i="8"/>
  <c r="B55" i="9"/>
  <c r="BW54" i="10"/>
  <c r="HL53" i="9"/>
  <c r="S53" i="9"/>
  <c r="AB53" i="9" s="1"/>
  <c r="LN53" i="9"/>
  <c r="CC53" i="9" s="1"/>
  <c r="Q53" i="9" s="1"/>
  <c r="Z53" i="9" s="1"/>
  <c r="BY53" i="10"/>
  <c r="CB53" i="10"/>
  <c r="BX53" i="10"/>
  <c r="CE53" i="10"/>
  <c r="CC53" i="10"/>
  <c r="CD53" i="10"/>
  <c r="CA53" i="10"/>
  <c r="HK54" i="9"/>
  <c r="BZ53" i="10"/>
  <c r="BS53" i="10"/>
  <c r="CK53" i="10" s="1"/>
  <c r="CQ54" i="10"/>
  <c r="AD53" i="10"/>
  <c r="BQ53" i="10"/>
  <c r="CP54" i="10"/>
  <c r="CR54" i="10"/>
  <c r="BT53" i="10"/>
  <c r="CL53" i="10" s="1"/>
  <c r="BP53" i="10"/>
  <c r="BU53" i="10"/>
  <c r="CM53" i="10" s="1"/>
  <c r="CO55" i="10"/>
  <c r="B56" i="11" s="1"/>
  <c r="CT54" i="10"/>
  <c r="BR53" i="10"/>
  <c r="CJ53" i="10" s="1"/>
  <c r="BO53" i="10"/>
  <c r="CS54" i="10"/>
  <c r="CW54" i="10"/>
  <c r="BV53" i="10"/>
  <c r="CN53" i="10" s="1"/>
  <c r="BE54" i="10"/>
  <c r="BN54" i="10" s="1"/>
  <c r="CF54" i="10" s="1"/>
  <c r="CV54" i="10"/>
  <c r="CU54" i="10"/>
  <c r="HJ54" i="9"/>
  <c r="HH54" i="9"/>
  <c r="HG54" i="9"/>
  <c r="N54" i="9"/>
  <c r="W54" i="9" s="1"/>
  <c r="HI54" i="9"/>
  <c r="P54" i="9"/>
  <c r="Y54" i="9" s="1"/>
  <c r="HF54" i="9"/>
  <c r="M54" i="9"/>
  <c r="V54" i="9" s="1"/>
  <c r="LD65" i="9"/>
  <c r="JW53" i="9"/>
  <c r="FE64" i="9"/>
  <c r="FN64" i="9" s="1"/>
  <c r="LB63" i="9"/>
  <c r="K60" i="12"/>
  <c r="T60" i="12" s="1"/>
  <c r="GB60" i="9" s="1"/>
  <c r="GK60" i="9" s="1"/>
  <c r="EV63" i="9"/>
  <c r="IJ63" i="9"/>
  <c r="KU63" i="9"/>
  <c r="LD64" i="9"/>
  <c r="FE65" i="9"/>
  <c r="FN65" i="9" s="1"/>
  <c r="Q59" i="11"/>
  <c r="DO57" i="8"/>
  <c r="AP62" i="9"/>
  <c r="AG62" i="9" s="1"/>
  <c r="F62" i="9" s="1"/>
  <c r="JR62" i="9"/>
  <c r="Q63" i="11"/>
  <c r="K62" i="12"/>
  <c r="T62" i="12" s="1"/>
  <c r="GB62" i="9" s="1"/>
  <c r="AP60" i="9"/>
  <c r="AG60" i="9" s="1"/>
  <c r="F60" i="9" s="1"/>
  <c r="JR60" i="9"/>
  <c r="FC63" i="9"/>
  <c r="FL63" i="9" s="1"/>
  <c r="LG53" i="9"/>
  <c r="BV53" i="9" s="1"/>
  <c r="DQ53" i="8" s="1"/>
  <c r="LL53" i="9"/>
  <c r="CA53" i="9" s="1"/>
  <c r="O53" i="9" s="1"/>
  <c r="X53" i="9" s="1"/>
  <c r="LM53" i="9"/>
  <c r="CB53" i="9" s="1"/>
  <c r="AV54" i="10"/>
  <c r="LO53" i="9"/>
  <c r="CD53" i="9" s="1"/>
  <c r="LI53" i="9"/>
  <c r="BX53" i="9" s="1"/>
  <c r="LH53" i="9"/>
  <c r="BW53" i="9" s="1"/>
  <c r="HC54" i="9"/>
  <c r="EJ53" i="9"/>
  <c r="EA53" i="9"/>
  <c r="HF53" i="9"/>
  <c r="JQ53" i="9"/>
  <c r="ES53" i="9" s="1"/>
  <c r="AO53" i="9"/>
  <c r="EH53" i="9"/>
  <c r="DY53" i="9"/>
  <c r="AM53" i="9"/>
  <c r="JO53" i="9"/>
  <c r="EQ53" i="9" s="1"/>
  <c r="EI53" i="9"/>
  <c r="DZ53" i="9"/>
  <c r="AN53" i="9"/>
  <c r="JP53" i="9"/>
  <c r="ER53" i="9" s="1"/>
  <c r="EO53" i="9"/>
  <c r="EF53" i="9"/>
  <c r="JV53" i="9"/>
  <c r="EX53" i="9" s="1"/>
  <c r="EE53" i="9"/>
  <c r="EN53" i="9"/>
  <c r="JU53" i="9"/>
  <c r="EW53" i="9" s="1"/>
  <c r="AS53" i="9"/>
  <c r="EK53" i="9"/>
  <c r="EB53" i="9"/>
  <c r="HG53" i="9"/>
  <c r="ED53" i="9"/>
  <c r="EM53" i="9"/>
  <c r="EL53" i="9"/>
  <c r="EC53" i="9"/>
  <c r="JS53" i="9"/>
  <c r="EU53" i="9" s="1"/>
  <c r="AQ53" i="9"/>
  <c r="KQ55" i="9"/>
  <c r="KZ55" i="9" s="1"/>
  <c r="AM56" i="11"/>
  <c r="KT55" i="9"/>
  <c r="LC55" i="9" s="1"/>
  <c r="AP56" i="11"/>
  <c r="KP55" i="9"/>
  <c r="KY55" i="9" s="1"/>
  <c r="AL56" i="11"/>
  <c r="AK55" i="9"/>
  <c r="J55" i="9" s="1"/>
  <c r="KV55" i="9"/>
  <c r="LE55" i="9" s="1"/>
  <c r="AQ56" i="11"/>
  <c r="AO56" i="11"/>
  <c r="KR55" i="9"/>
  <c r="LA55" i="9" s="1"/>
  <c r="AN56" i="11"/>
  <c r="AL54" i="9"/>
  <c r="AC54" i="9" s="1"/>
  <c r="BO54" i="9"/>
  <c r="BT54" i="9"/>
  <c r="AR55" i="11" s="1"/>
  <c r="BU54" i="9"/>
  <c r="ID55" i="9"/>
  <c r="EY55" i="9" s="1"/>
  <c r="BQ54" i="9"/>
  <c r="AO55" i="11" s="1"/>
  <c r="BR54" i="9"/>
  <c r="AP55" i="11" s="1"/>
  <c r="BP54" i="9"/>
  <c r="BS54" i="9"/>
  <c r="BN54" i="9"/>
  <c r="AT53" i="9"/>
  <c r="KO55" i="9"/>
  <c r="FH57" i="9"/>
  <c r="FO55" i="9"/>
  <c r="FM55" i="9"/>
  <c r="KW55" i="9"/>
  <c r="LF55" i="9" s="1"/>
  <c r="AJ55" i="9"/>
  <c r="I55" i="9" s="1"/>
  <c r="AD55" i="9"/>
  <c r="C55" i="9" s="1"/>
  <c r="AH55" i="9"/>
  <c r="G55" i="9" s="1"/>
  <c r="AF55" i="9"/>
  <c r="E55" i="9" s="1"/>
  <c r="AE55" i="9"/>
  <c r="D55" i="9" s="1"/>
  <c r="FK55" i="9"/>
  <c r="JN54" i="9"/>
  <c r="EP54" i="9" s="1"/>
  <c r="FP55" i="9"/>
  <c r="FJ55" i="9"/>
  <c r="FI55" i="9"/>
  <c r="L54" i="11"/>
  <c r="IL54" i="9"/>
  <c r="FG54" i="9" s="1"/>
  <c r="II54" i="9"/>
  <c r="FD54" i="9" s="1"/>
  <c r="IG54" i="9"/>
  <c r="FB54" i="9" s="1"/>
  <c r="IE54" i="9"/>
  <c r="EZ54" i="9" s="1"/>
  <c r="IF54" i="9"/>
  <c r="FA54" i="9" s="1"/>
  <c r="IK54" i="9"/>
  <c r="FF54" i="9" s="1"/>
  <c r="EG53" i="9"/>
  <c r="BM53" i="9" s="1"/>
  <c r="AK54" i="11" s="1"/>
  <c r="DE51" i="8"/>
  <c r="KX55" i="9" l="1"/>
  <c r="AV53" i="10"/>
  <c r="DT53" i="8"/>
  <c r="GK62" i="9"/>
  <c r="GT62" i="9" s="1"/>
  <c r="IM62" i="9" s="1"/>
  <c r="CH53" i="10"/>
  <c r="CQ53" i="10" s="1"/>
  <c r="CI53" i="10"/>
  <c r="CR53" i="10" s="1"/>
  <c r="CG53" i="10"/>
  <c r="CP53" i="10" s="1"/>
  <c r="BE53" i="10"/>
  <c r="BN53" i="10" s="1"/>
  <c r="CF53" i="10" s="1"/>
  <c r="BW53" i="10"/>
  <c r="DM54" i="8"/>
  <c r="B54" i="9"/>
  <c r="HJ53" i="9"/>
  <c r="CV53" i="10"/>
  <c r="CS53" i="10"/>
  <c r="CU53" i="10"/>
  <c r="CT53" i="10"/>
  <c r="CW53" i="10"/>
  <c r="CO54" i="10"/>
  <c r="B55" i="11" s="1"/>
  <c r="LD63" i="9"/>
  <c r="HH53" i="9"/>
  <c r="HI53" i="9"/>
  <c r="P53" i="9"/>
  <c r="Y53" i="9" s="1"/>
  <c r="HE53" i="9"/>
  <c r="L53" i="9"/>
  <c r="U53" i="9" s="1"/>
  <c r="HK53" i="9"/>
  <c r="R53" i="9"/>
  <c r="AA53" i="9" s="1"/>
  <c r="K58" i="12"/>
  <c r="T58" i="12" s="1"/>
  <c r="GB58" i="9" s="1"/>
  <c r="GK58" i="9" s="1"/>
  <c r="FE63" i="9"/>
  <c r="FN63" i="9" s="1"/>
  <c r="ET60" i="9"/>
  <c r="IH60" i="9"/>
  <c r="KS60" i="9"/>
  <c r="Q58" i="11"/>
  <c r="JT62" i="9"/>
  <c r="AR62" i="9"/>
  <c r="AI62" i="9" s="1"/>
  <c r="H62" i="9" s="1"/>
  <c r="JT60" i="9"/>
  <c r="AR60" i="9"/>
  <c r="AI60" i="9" s="1"/>
  <c r="H60" i="9" s="1"/>
  <c r="ET62" i="9"/>
  <c r="IH62" i="9"/>
  <c r="KS62" i="9"/>
  <c r="DO55" i="8"/>
  <c r="JR58" i="9"/>
  <c r="AP58" i="9"/>
  <c r="AG58" i="9" s="1"/>
  <c r="F58" i="9" s="1"/>
  <c r="HD53" i="9"/>
  <c r="BN53" i="9"/>
  <c r="AL54" i="11" s="1"/>
  <c r="HC53" i="9"/>
  <c r="KT54" i="9"/>
  <c r="LC54" i="9" s="1"/>
  <c r="KV54" i="9"/>
  <c r="LE54" i="9" s="1"/>
  <c r="AT56" i="11"/>
  <c r="AQ55" i="11"/>
  <c r="KR54" i="9"/>
  <c r="LA54" i="9" s="1"/>
  <c r="AN55" i="11"/>
  <c r="AK54" i="9"/>
  <c r="J54" i="9" s="1"/>
  <c r="AS55" i="11"/>
  <c r="KP54" i="9"/>
  <c r="KY54" i="9" s="1"/>
  <c r="AL55" i="11"/>
  <c r="KQ54" i="9"/>
  <c r="KZ54" i="9" s="1"/>
  <c r="AM55" i="11"/>
  <c r="BR53" i="9"/>
  <c r="AP54" i="11" s="1"/>
  <c r="BS53" i="9"/>
  <c r="BO53" i="9"/>
  <c r="AM54" i="11" s="1"/>
  <c r="AL53" i="9"/>
  <c r="AC53" i="9" s="1"/>
  <c r="BU53" i="9"/>
  <c r="AS54" i="11" s="1"/>
  <c r="BP53" i="9"/>
  <c r="BQ53" i="9"/>
  <c r="BT53" i="9"/>
  <c r="AR54" i="11" s="1"/>
  <c r="GT60" i="9"/>
  <c r="IM60" i="9" s="1"/>
  <c r="KO54" i="9"/>
  <c r="FH55" i="9"/>
  <c r="KW54" i="9"/>
  <c r="LF54" i="9" s="1"/>
  <c r="ID54" i="9"/>
  <c r="AF54" i="9"/>
  <c r="E54" i="9" s="1"/>
  <c r="AE54" i="9"/>
  <c r="D54" i="9" s="1"/>
  <c r="AJ54" i="9"/>
  <c r="I54" i="9" s="1"/>
  <c r="AH54" i="9"/>
  <c r="G54" i="9" s="1"/>
  <c r="AD54" i="9"/>
  <c r="C54" i="9" s="1"/>
  <c r="JN53" i="9"/>
  <c r="EP53" i="9" s="1"/>
  <c r="FK54" i="9"/>
  <c r="FM54" i="9"/>
  <c r="IK53" i="9"/>
  <c r="FO54" i="9"/>
  <c r="IE53" i="9"/>
  <c r="EZ53" i="9" s="1"/>
  <c r="IL53" i="9"/>
  <c r="FG53" i="9" s="1"/>
  <c r="IF53" i="9"/>
  <c r="FA53" i="9" s="1"/>
  <c r="FP54" i="9"/>
  <c r="IG53" i="9"/>
  <c r="FB53" i="9" s="1"/>
  <c r="FJ54" i="9"/>
  <c r="II53" i="9"/>
  <c r="FD53" i="9" s="1"/>
  <c r="FI54" i="9"/>
  <c r="CX51" i="8"/>
  <c r="CX52" i="8"/>
  <c r="CX53" i="8"/>
  <c r="A49" i="8"/>
  <c r="A51" i="8"/>
  <c r="KX54" i="9" l="1"/>
  <c r="DM53" i="8"/>
  <c r="B53" i="9"/>
  <c r="CO53" i="10"/>
  <c r="KP53" i="9"/>
  <c r="KY53" i="9" s="1"/>
  <c r="LB60" i="9"/>
  <c r="LB62" i="9"/>
  <c r="K57" i="12"/>
  <c r="T57" i="12" s="1"/>
  <c r="GB57" i="9" s="1"/>
  <c r="GK57" i="9" s="1"/>
  <c r="FC62" i="9"/>
  <c r="FL62" i="9" s="1"/>
  <c r="JR57" i="9"/>
  <c r="AP57" i="9"/>
  <c r="AG57" i="9" s="1"/>
  <c r="F57" i="9" s="1"/>
  <c r="ET58" i="9"/>
  <c r="IH58" i="9"/>
  <c r="KS58" i="9"/>
  <c r="EV62" i="9"/>
  <c r="IJ62" i="9"/>
  <c r="KU62" i="9"/>
  <c r="EV60" i="9"/>
  <c r="IJ60" i="9"/>
  <c r="KU60" i="9"/>
  <c r="AR58" i="9"/>
  <c r="AI58" i="9" s="1"/>
  <c r="H58" i="9" s="1"/>
  <c r="JT58" i="9"/>
  <c r="DO54" i="8"/>
  <c r="Q56" i="11"/>
  <c r="FC60" i="9"/>
  <c r="FL60" i="9" s="1"/>
  <c r="KT53" i="9"/>
  <c r="LC53" i="9" s="1"/>
  <c r="KV53" i="9"/>
  <c r="LE53" i="9" s="1"/>
  <c r="KQ53" i="9"/>
  <c r="KZ53" i="9" s="1"/>
  <c r="AK53" i="9"/>
  <c r="J53" i="9" s="1"/>
  <c r="FF53" i="9"/>
  <c r="FO53" i="9" s="1"/>
  <c r="AQ54" i="11"/>
  <c r="AO54" i="11"/>
  <c r="KR53" i="9"/>
  <c r="LA53" i="9" s="1"/>
  <c r="AN54" i="11"/>
  <c r="A51" i="9"/>
  <c r="A51" i="12"/>
  <c r="A49" i="9"/>
  <c r="A49" i="12"/>
  <c r="GT58" i="9"/>
  <c r="IM58" i="9" s="1"/>
  <c r="EY54" i="9"/>
  <c r="ID53" i="9"/>
  <c r="EY53" i="9" s="1"/>
  <c r="KO53" i="9"/>
  <c r="KW53" i="9"/>
  <c r="LF53" i="9" s="1"/>
  <c r="AJ53" i="9"/>
  <c r="I53" i="9" s="1"/>
  <c r="AD53" i="9"/>
  <c r="C53" i="9" s="1"/>
  <c r="AH53" i="9"/>
  <c r="G53" i="9" s="1"/>
  <c r="AE53" i="9"/>
  <c r="D53" i="9" s="1"/>
  <c r="AF53" i="9"/>
  <c r="E53" i="9" s="1"/>
  <c r="FP53" i="9"/>
  <c r="FI53" i="9"/>
  <c r="FM53" i="9"/>
  <c r="FJ53" i="9"/>
  <c r="FK53" i="9"/>
  <c r="DI48" i="8"/>
  <c r="DH48" i="8"/>
  <c r="DG48" i="8"/>
  <c r="DJ48" i="8" l="1"/>
  <c r="DL48" i="8" s="1"/>
  <c r="KX53" i="9"/>
  <c r="B54" i="11"/>
  <c r="FC58" i="9"/>
  <c r="FL58" i="9" s="1"/>
  <c r="LB58" i="9"/>
  <c r="JR55" i="9"/>
  <c r="AP55" i="9"/>
  <c r="AG55" i="9" s="1"/>
  <c r="F55" i="9" s="1"/>
  <c r="K55" i="12"/>
  <c r="T55" i="12" s="1"/>
  <c r="GB55" i="9" s="1"/>
  <c r="GK55" i="9" s="1"/>
  <c r="ET57" i="9"/>
  <c r="IH57" i="9"/>
  <c r="KS57" i="9"/>
  <c r="LD60" i="9"/>
  <c r="LD62" i="9"/>
  <c r="FE60" i="9"/>
  <c r="FN60" i="9" s="1"/>
  <c r="FE62" i="9"/>
  <c r="FN62" i="9" s="1"/>
  <c r="AR57" i="9"/>
  <c r="AI57" i="9" s="1"/>
  <c r="H57" i="9" s="1"/>
  <c r="JT57" i="9"/>
  <c r="DO53" i="8"/>
  <c r="Q55" i="11"/>
  <c r="EV58" i="9"/>
  <c r="IJ58" i="9"/>
  <c r="KU58" i="9"/>
  <c r="GT57" i="9"/>
  <c r="IM57" i="9" s="1"/>
  <c r="FH53" i="9"/>
  <c r="FH54" i="9"/>
  <c r="K54" i="12" s="1"/>
  <c r="T54" i="12" s="1"/>
  <c r="DI47" i="8"/>
  <c r="DH47" i="8"/>
  <c r="DG47" i="8"/>
  <c r="DK48" i="8" l="1"/>
  <c r="DJ47" i="8"/>
  <c r="DL47" i="8" s="1"/>
  <c r="LD58" i="9"/>
  <c r="Q54" i="11"/>
  <c r="EV57" i="9"/>
  <c r="IJ57" i="9"/>
  <c r="KU57" i="9"/>
  <c r="AR55" i="9"/>
  <c r="AI55" i="9" s="1"/>
  <c r="H55" i="9" s="1"/>
  <c r="JT55" i="9"/>
  <c r="K53" i="12"/>
  <c r="T53" i="12" s="1"/>
  <c r="FE58" i="9"/>
  <c r="FN58" i="9" s="1"/>
  <c r="AP54" i="9"/>
  <c r="AG54" i="9" s="1"/>
  <c r="F54" i="9" s="1"/>
  <c r="JR54" i="9"/>
  <c r="LB57" i="9"/>
  <c r="FC57" i="9"/>
  <c r="FL57" i="9" s="1"/>
  <c r="ET55" i="9"/>
  <c r="IH55" i="9"/>
  <c r="KS55" i="9"/>
  <c r="GT55" i="9"/>
  <c r="IM55" i="9" s="1"/>
  <c r="DI46" i="8"/>
  <c r="DH46" i="8"/>
  <c r="DG46" i="8"/>
  <c r="DK47" i="8" l="1"/>
  <c r="DJ46" i="8"/>
  <c r="DL46" i="8" s="1"/>
  <c r="LB55" i="9"/>
  <c r="FE57" i="9"/>
  <c r="FN57" i="9" s="1"/>
  <c r="FC55" i="9"/>
  <c r="FL55" i="9" s="1"/>
  <c r="AP53" i="9"/>
  <c r="AG53" i="9" s="1"/>
  <c r="F53" i="9" s="1"/>
  <c r="JR53" i="9"/>
  <c r="EV55" i="9"/>
  <c r="IJ55" i="9"/>
  <c r="KU55" i="9"/>
  <c r="AR54" i="9"/>
  <c r="AI54" i="9" s="1"/>
  <c r="H54" i="9" s="1"/>
  <c r="JT54" i="9"/>
  <c r="ET54" i="9"/>
  <c r="IH54" i="9"/>
  <c r="KS54" i="9"/>
  <c r="LD57" i="9"/>
  <c r="GB54" i="9"/>
  <c r="GK54" i="9" s="1"/>
  <c r="GB53" i="9"/>
  <c r="GK53" i="9" s="1"/>
  <c r="DI45" i="8"/>
  <c r="DH45" i="8"/>
  <c r="DG45" i="8"/>
  <c r="DK46" i="8" l="1"/>
  <c r="DJ45" i="8"/>
  <c r="DL45" i="8" s="1"/>
  <c r="LD55" i="9"/>
  <c r="ET53" i="9"/>
  <c r="IH53" i="9"/>
  <c r="KS53" i="9"/>
  <c r="EV54" i="9"/>
  <c r="IJ54" i="9"/>
  <c r="KU54" i="9"/>
  <c r="AR53" i="9"/>
  <c r="AI53" i="9" s="1"/>
  <c r="H53" i="9" s="1"/>
  <c r="JT53" i="9"/>
  <c r="FC54" i="9"/>
  <c r="FL54" i="9" s="1"/>
  <c r="LB54" i="9"/>
  <c r="FE55" i="9"/>
  <c r="FN55" i="9" s="1"/>
  <c r="GT54" i="9"/>
  <c r="IM54" i="9" s="1"/>
  <c r="GT53" i="9"/>
  <c r="IM53" i="9" s="1"/>
  <c r="DI44" i="8"/>
  <c r="DH44" i="8"/>
  <c r="DG44" i="8"/>
  <c r="DK45" i="8" l="1"/>
  <c r="DJ44" i="8"/>
  <c r="DL44" i="8" s="1"/>
  <c r="LB53" i="9"/>
  <c r="LD54" i="9"/>
  <c r="FE54" i="9"/>
  <c r="FN54" i="9" s="1"/>
  <c r="EV53" i="9"/>
  <c r="IJ53" i="9"/>
  <c r="KU53" i="9"/>
  <c r="FC53" i="9"/>
  <c r="FL53" i="9" s="1"/>
  <c r="DI43" i="8"/>
  <c r="DH43" i="8"/>
  <c r="DG43" i="8"/>
  <c r="DK44" i="8" l="1"/>
  <c r="DJ43" i="8"/>
  <c r="DL43" i="8" s="1"/>
  <c r="LD53" i="9"/>
  <c r="FE53" i="9"/>
  <c r="FN53" i="9" s="1"/>
  <c r="DI42" i="8"/>
  <c r="DH42" i="8"/>
  <c r="DG42" i="8"/>
  <c r="DK43" i="8" l="1"/>
  <c r="DJ42" i="8"/>
  <c r="DL42" i="8" s="1"/>
  <c r="DI41" i="8"/>
  <c r="DH41" i="8"/>
  <c r="DG41" i="8"/>
  <c r="DK42" i="8" l="1"/>
  <c r="DJ41" i="8"/>
  <c r="DL41" i="8" s="1"/>
  <c r="DI40" i="8"/>
  <c r="DH40" i="8"/>
  <c r="DG40" i="8"/>
  <c r="DK41" i="8" l="1"/>
  <c r="DJ40" i="8"/>
  <c r="DL40" i="8" s="1"/>
  <c r="DI39" i="8"/>
  <c r="DH39" i="8"/>
  <c r="DG39" i="8"/>
  <c r="DK40" i="8" l="1"/>
  <c r="DJ39" i="8"/>
  <c r="DL39" i="8" s="1"/>
  <c r="DI38" i="8"/>
  <c r="DH38" i="8"/>
  <c r="DG38" i="8"/>
  <c r="DK39" i="8" l="1"/>
  <c r="DJ38" i="8"/>
  <c r="DL38" i="8" s="1"/>
  <c r="DI37" i="8"/>
  <c r="DH37" i="8"/>
  <c r="DG37" i="8"/>
  <c r="DK38" i="8" l="1"/>
  <c r="DJ37" i="8"/>
  <c r="DL37" i="8" s="1"/>
  <c r="DI36" i="8"/>
  <c r="DH36" i="8"/>
  <c r="DG36" i="8"/>
  <c r="DK37" i="8" l="1"/>
  <c r="DJ36" i="8"/>
  <c r="DL36" i="8" s="1"/>
  <c r="DI35" i="8"/>
  <c r="DH35" i="8"/>
  <c r="DG35" i="8"/>
  <c r="DK36" i="8" l="1"/>
  <c r="DJ35" i="8"/>
  <c r="DL35" i="8" s="1"/>
  <c r="DI34" i="8"/>
  <c r="DH34" i="8"/>
  <c r="DG34" i="8"/>
  <c r="DK35" i="8" l="1"/>
  <c r="DJ34" i="8"/>
  <c r="DL34" i="8" s="1"/>
  <c r="DI33" i="8"/>
  <c r="DH33" i="8"/>
  <c r="DG33" i="8"/>
  <c r="DK34" i="8" l="1"/>
  <c r="DJ33" i="8"/>
  <c r="DL33" i="8" s="1"/>
  <c r="DI32" i="8"/>
  <c r="DH32" i="8"/>
  <c r="DG32" i="8"/>
  <c r="DK33" i="8" l="1"/>
  <c r="DJ32" i="8"/>
  <c r="DL32" i="8" s="1"/>
  <c r="DI31" i="8"/>
  <c r="DH31" i="8"/>
  <c r="DG31" i="8"/>
  <c r="DK32" i="8" l="1"/>
  <c r="DJ31" i="8"/>
  <c r="DL31" i="8" s="1"/>
  <c r="DI30" i="8"/>
  <c r="DH30" i="8"/>
  <c r="DG30" i="8"/>
  <c r="DK31" i="8" l="1"/>
  <c r="DJ30" i="8"/>
  <c r="DL30" i="8" s="1"/>
  <c r="DI29" i="8"/>
  <c r="DH29" i="8"/>
  <c r="DG29" i="8"/>
  <c r="DK30" i="8" l="1"/>
  <c r="DJ29" i="8"/>
  <c r="DL29" i="8" s="1"/>
  <c r="DI28" i="8"/>
  <c r="DH28" i="8"/>
  <c r="DG28" i="8"/>
  <c r="DK29" i="8" l="1"/>
  <c r="DJ28" i="8"/>
  <c r="DL28" i="8" s="1"/>
  <c r="DI27" i="8"/>
  <c r="DH27" i="8"/>
  <c r="DG27" i="8"/>
  <c r="DK28" i="8" l="1"/>
  <c r="DJ27" i="8"/>
  <c r="DL27" i="8" s="1"/>
  <c r="DI26" i="8"/>
  <c r="DH26" i="8"/>
  <c r="DG26" i="8"/>
  <c r="DK27" i="8" l="1"/>
  <c r="DJ26" i="8"/>
  <c r="DL26" i="8" s="1"/>
  <c r="DH25" i="8"/>
  <c r="DI25" i="8"/>
  <c r="DG25" i="8"/>
  <c r="DK26" i="8" l="1"/>
  <c r="DJ25" i="8"/>
  <c r="DL25" i="8" s="1"/>
  <c r="DI24" i="8"/>
  <c r="DH24" i="8"/>
  <c r="DG24" i="8"/>
  <c r="DK25" i="8" l="1"/>
  <c r="DJ24" i="8"/>
  <c r="DL24" i="8" s="1"/>
  <c r="DI23" i="8"/>
  <c r="DH23" i="8"/>
  <c r="DG23" i="8"/>
  <c r="DK24" i="8" l="1"/>
  <c r="DJ23" i="8"/>
  <c r="DL23" i="8" s="1"/>
  <c r="DI22" i="8"/>
  <c r="DH22" i="8"/>
  <c r="DG22" i="8"/>
  <c r="DK23" i="8" l="1"/>
  <c r="DJ22" i="8"/>
  <c r="DL22" i="8" s="1"/>
  <c r="DI21" i="8"/>
  <c r="DH21" i="8"/>
  <c r="DG21" i="8"/>
  <c r="DK22" i="8" l="1"/>
  <c r="DJ21" i="8"/>
  <c r="DL21" i="8" s="1"/>
  <c r="DI20" i="8"/>
  <c r="DH20" i="8"/>
  <c r="DG20" i="8"/>
  <c r="DK21" i="8" l="1"/>
  <c r="DJ20" i="8"/>
  <c r="DL20" i="8" s="1"/>
  <c r="DI19" i="8"/>
  <c r="DH19" i="8"/>
  <c r="DG19" i="8"/>
  <c r="DK20" i="8" l="1"/>
  <c r="DJ19" i="8"/>
  <c r="DL19" i="8" s="1"/>
  <c r="DI18" i="8"/>
  <c r="DH18" i="8"/>
  <c r="DG18" i="8"/>
  <c r="DK19" i="8" l="1"/>
  <c r="DJ18" i="8"/>
  <c r="DL18" i="8" s="1"/>
  <c r="DI17" i="8"/>
  <c r="DH17" i="8"/>
  <c r="DG17" i="8"/>
  <c r="DK18" i="8" l="1"/>
  <c r="DJ17" i="8"/>
  <c r="DL17" i="8" s="1"/>
  <c r="DI16" i="8"/>
  <c r="DH16" i="8"/>
  <c r="DG16" i="8"/>
  <c r="DK17" i="8" l="1"/>
  <c r="DJ16" i="8"/>
  <c r="DL16" i="8" s="1"/>
  <c r="DI15" i="8"/>
  <c r="DH15" i="8"/>
  <c r="DG15" i="8"/>
  <c r="DK16" i="8" l="1"/>
  <c r="DJ15" i="8"/>
  <c r="DL15" i="8" s="1"/>
  <c r="DI14" i="8"/>
  <c r="DH14" i="8"/>
  <c r="DG14" i="8"/>
  <c r="DK15" i="8" l="1"/>
  <c r="DJ14" i="8"/>
  <c r="DL14" i="8" s="1"/>
  <c r="DI13" i="8"/>
  <c r="DH13" i="8"/>
  <c r="DG13" i="8"/>
  <c r="DK14" i="8" l="1"/>
  <c r="DJ13" i="8"/>
  <c r="DL13" i="8" s="1"/>
  <c r="DI12" i="8"/>
  <c r="DH12" i="8"/>
  <c r="DG12" i="8"/>
  <c r="DK13" i="8" l="1"/>
  <c r="DJ12" i="8"/>
  <c r="DL12" i="8" s="1"/>
  <c r="DI11" i="8"/>
  <c r="DH11" i="8"/>
  <c r="DG11" i="8"/>
  <c r="DK12" i="8" l="1"/>
  <c r="DJ11" i="8"/>
  <c r="DL11" i="8" s="1"/>
  <c r="DI10" i="8"/>
  <c r="DH10" i="8"/>
  <c r="DG10" i="8"/>
  <c r="DK11" i="8" l="1"/>
  <c r="DJ10" i="8"/>
  <c r="DL10" i="8" s="1"/>
  <c r="DI9" i="8"/>
  <c r="DH9" i="8"/>
  <c r="DG9" i="8"/>
  <c r="DK10" i="8" l="1"/>
  <c r="DJ9" i="8"/>
  <c r="DL9" i="8" s="1"/>
  <c r="DH8" i="8"/>
  <c r="DI8" i="8"/>
  <c r="DG8" i="8"/>
  <c r="DK9" i="8" l="1"/>
  <c r="DJ8" i="8"/>
  <c r="DL8" i="8" s="1"/>
  <c r="DI7" i="8"/>
  <c r="DH7" i="8"/>
  <c r="DG7" i="8"/>
  <c r="DK8" i="8" l="1"/>
  <c r="DJ7" i="8"/>
  <c r="DL7" i="8" s="1"/>
  <c r="DI6" i="8"/>
  <c r="DH6" i="8"/>
  <c r="DG6" i="8"/>
  <c r="DK7" i="8" l="1"/>
  <c r="DJ6" i="8"/>
  <c r="DL6" i="8" s="1"/>
  <c r="DI5" i="8"/>
  <c r="DH5" i="8"/>
  <c r="DG5" i="8"/>
  <c r="DK6" i="8" l="1"/>
  <c r="DJ5" i="8"/>
  <c r="DL5" i="8" s="1"/>
  <c r="DI4" i="8"/>
  <c r="DH4" i="8"/>
  <c r="DG4" i="8"/>
  <c r="DK5" i="8" l="1"/>
  <c r="DJ4" i="8"/>
  <c r="DL4" i="8" s="1"/>
  <c r="DG3" i="8"/>
  <c r="DJ3" i="8" s="1"/>
  <c r="DL3" i="8" s="1"/>
  <c r="DK4" i="8" l="1"/>
  <c r="DK3" i="8"/>
  <c r="AR13" i="8" a="1"/>
  <c r="AR13" i="8" s="1"/>
  <c r="AH13" i="8" a="1"/>
  <c r="AH13" i="8" s="1"/>
  <c r="AQ13" i="8" s="1"/>
  <c r="AP13" i="8" s="1"/>
  <c r="Z13" i="8" a="1"/>
  <c r="Z13" i="8" s="1"/>
  <c r="AR13" i="10" l="1"/>
  <c r="AS13" i="10"/>
  <c r="AU13" i="10"/>
  <c r="AO13" i="10"/>
  <c r="AP13" i="10"/>
  <c r="AQ13" i="10"/>
  <c r="AT13" i="10"/>
  <c r="AG13" i="10"/>
  <c r="AH13" i="10"/>
  <c r="AI13" i="10"/>
  <c r="AJ13" i="10"/>
  <c r="AK13" i="10"/>
  <c r="AL13" i="10"/>
  <c r="AF13" i="10"/>
  <c r="AR6" i="8" a="1"/>
  <c r="AR6" i="8" s="1"/>
  <c r="AH6" i="8" a="1"/>
  <c r="AH6" i="8" s="1"/>
  <c r="AQ6" i="8" s="1"/>
  <c r="AP6" i="8" s="1"/>
  <c r="Z6" i="8" a="1"/>
  <c r="Z6" i="8" s="1"/>
  <c r="AR3" i="8" a="1"/>
  <c r="AR3" i="8" s="1"/>
  <c r="AH3" i="8" a="1"/>
  <c r="AH3" i="8" s="1"/>
  <c r="AQ3" i="8" s="1"/>
  <c r="AP3" i="8" s="1"/>
  <c r="AY13" i="10" l="1"/>
  <c r="AX13" i="10"/>
  <c r="AR6" i="10"/>
  <c r="AS6" i="10"/>
  <c r="AU6" i="10"/>
  <c r="AO6" i="10"/>
  <c r="AP6" i="10"/>
  <c r="AQ6" i="10"/>
  <c r="AT6" i="10"/>
  <c r="BD13" i="10"/>
  <c r="BC13" i="10"/>
  <c r="BB13" i="10"/>
  <c r="AN13" i="10"/>
  <c r="AG6" i="10"/>
  <c r="AH6" i="10"/>
  <c r="AI6" i="10"/>
  <c r="AJ6" i="10"/>
  <c r="AK6" i="10"/>
  <c r="AL6" i="10"/>
  <c r="AF6" i="10"/>
  <c r="BI13" i="10"/>
  <c r="BH13" i="10"/>
  <c r="BJ13" i="10"/>
  <c r="BG13" i="10"/>
  <c r="BM13" i="10"/>
  <c r="BL13" i="10"/>
  <c r="BA13" i="10"/>
  <c r="BK13" i="10"/>
  <c r="AZ13" i="10"/>
  <c r="AE13" i="10"/>
  <c r="Z3" i="8" a="1"/>
  <c r="Z3" i="8" s="1"/>
  <c r="AW13" i="10" l="1"/>
  <c r="AY6" i="10"/>
  <c r="BG6" i="10"/>
  <c r="AR3" i="10"/>
  <c r="AS3" i="10"/>
  <c r="AU3" i="10"/>
  <c r="AO3" i="10"/>
  <c r="AP3" i="10"/>
  <c r="AQ3" i="10"/>
  <c r="AT3" i="10"/>
  <c r="AN6" i="10"/>
  <c r="BD6" i="10"/>
  <c r="BC6" i="10"/>
  <c r="BB6" i="10"/>
  <c r="AG3" i="10"/>
  <c r="AH3" i="10"/>
  <c r="AI3" i="10"/>
  <c r="AJ3" i="10"/>
  <c r="AK3" i="10"/>
  <c r="AL3" i="10"/>
  <c r="AF3" i="10"/>
  <c r="AX6" i="10"/>
  <c r="BI6" i="10"/>
  <c r="BJ6" i="10"/>
  <c r="BH6" i="10"/>
  <c r="BM6" i="10"/>
  <c r="BL6" i="10"/>
  <c r="BA6" i="10"/>
  <c r="BK6" i="10"/>
  <c r="BF13" i="10"/>
  <c r="AZ6" i="10"/>
  <c r="AE6" i="10"/>
  <c r="Z15" i="8" a="1"/>
  <c r="Z15" i="8" s="1"/>
  <c r="AY3" i="10" l="1"/>
  <c r="BB3" i="10"/>
  <c r="AX3" i="10"/>
  <c r="BC3" i="10"/>
  <c r="AW6" i="10"/>
  <c r="AN3" i="10"/>
  <c r="BD3" i="10"/>
  <c r="BI3" i="10"/>
  <c r="BH3" i="10"/>
  <c r="BG3" i="10"/>
  <c r="BM3" i="10"/>
  <c r="BJ3" i="10"/>
  <c r="BL3" i="10"/>
  <c r="BA3" i="10"/>
  <c r="BK3" i="10"/>
  <c r="BF6" i="10"/>
  <c r="AZ3" i="10"/>
  <c r="AE3" i="10"/>
  <c r="AH15" i="8" a="1"/>
  <c r="AH15" i="8" s="1"/>
  <c r="AQ15" i="8" s="1"/>
  <c r="AP15" i="8" s="1"/>
  <c r="AR15" i="8" a="1"/>
  <c r="AR15" i="8" s="1"/>
  <c r="AW3" i="10" l="1"/>
  <c r="BF3" i="10"/>
  <c r="AR15" i="10" l="1"/>
  <c r="AS15" i="10"/>
  <c r="AU15" i="10"/>
  <c r="AO15" i="10"/>
  <c r="AP15" i="10"/>
  <c r="AQ15" i="10"/>
  <c r="AT15" i="10"/>
  <c r="AG15" i="10"/>
  <c r="AH15" i="10"/>
  <c r="AI15" i="10"/>
  <c r="AJ15" i="10"/>
  <c r="AK15" i="10"/>
  <c r="AL15" i="10"/>
  <c r="AF15" i="10"/>
  <c r="CX45" i="8"/>
  <c r="CX46" i="8"/>
  <c r="CX47" i="8"/>
  <c r="CX48" i="8"/>
  <c r="CX49" i="8"/>
  <c r="R48" i="8" a="1"/>
  <c r="J48" i="8" a="1"/>
  <c r="Q93" i="7"/>
  <c r="O93" i="7"/>
  <c r="BB15" i="10" l="1"/>
  <c r="AN15" i="10"/>
  <c r="BD15" i="10"/>
  <c r="BC15" i="10"/>
  <c r="AX15" i="10"/>
  <c r="AY15" i="10"/>
  <c r="BI15" i="10"/>
  <c r="BH15" i="10"/>
  <c r="BG15" i="10"/>
  <c r="BM15" i="10"/>
  <c r="BJ15" i="10"/>
  <c r="BL15" i="10"/>
  <c r="BA15" i="10"/>
  <c r="BK15" i="10"/>
  <c r="AZ15" i="10"/>
  <c r="AE15" i="10"/>
  <c r="J48" i="8"/>
  <c r="R48" i="8"/>
  <c r="R47" i="8" a="1"/>
  <c r="J47" i="8" a="1"/>
  <c r="Q92" i="7"/>
  <c r="O92" i="7"/>
  <c r="AW15" i="10" l="1"/>
  <c r="BF15" i="10"/>
  <c r="J47" i="8"/>
  <c r="AD49" i="11"/>
  <c r="DP48" i="8"/>
  <c r="MD48" i="9" s="1"/>
  <c r="R47" i="8"/>
  <c r="DF43" i="8"/>
  <c r="DF44" i="8"/>
  <c r="DF45" i="8"/>
  <c r="DF46" i="8"/>
  <c r="DF47" i="8"/>
  <c r="DF48" i="8"/>
  <c r="DF49" i="8"/>
  <c r="DF51" i="8"/>
  <c r="DF52" i="8"/>
  <c r="DE41" i="8"/>
  <c r="DE42" i="8"/>
  <c r="DE43" i="8"/>
  <c r="DE44" i="8"/>
  <c r="DE45" i="8"/>
  <c r="DE46" i="8"/>
  <c r="DE47" i="8"/>
  <c r="DE48" i="8"/>
  <c r="DE49" i="8"/>
  <c r="DD43" i="8"/>
  <c r="C43" i="10" s="1"/>
  <c r="DD44" i="8"/>
  <c r="C44" i="10" s="1"/>
  <c r="DD45" i="8"/>
  <c r="C45" i="10" s="1"/>
  <c r="DD46" i="8"/>
  <c r="C46" i="10" s="1"/>
  <c r="DD47" i="8"/>
  <c r="C47" i="10" s="1"/>
  <c r="DD48" i="8"/>
  <c r="C48" i="10" s="1"/>
  <c r="DD49" i="8"/>
  <c r="C49" i="10" s="1"/>
  <c r="DD51" i="8"/>
  <c r="C51" i="10" s="1"/>
  <c r="DD52" i="8"/>
  <c r="C52" i="10" s="1"/>
  <c r="DC46" i="8"/>
  <c r="DC47" i="8"/>
  <c r="DC48" i="8"/>
  <c r="DC49" i="8"/>
  <c r="DC51" i="8"/>
  <c r="DC52" i="8"/>
  <c r="CS53" i="8"/>
  <c r="DB44" i="8"/>
  <c r="DB45" i="8"/>
  <c r="DB46" i="8"/>
  <c r="DB47" i="8"/>
  <c r="DB48" i="8"/>
  <c r="DB49" i="8"/>
  <c r="DB51" i="8"/>
  <c r="DB52" i="8"/>
  <c r="DA43" i="8"/>
  <c r="DA44" i="8"/>
  <c r="DA45" i="8"/>
  <c r="DA46" i="8"/>
  <c r="DA47" i="8"/>
  <c r="DA48" i="8"/>
  <c r="DA49" i="8"/>
  <c r="DA51" i="8"/>
  <c r="DA52" i="8"/>
  <c r="CZ40" i="8"/>
  <c r="CZ41" i="8"/>
  <c r="CZ42" i="8"/>
  <c r="CZ43" i="8"/>
  <c r="CZ44" i="8"/>
  <c r="CZ45" i="8"/>
  <c r="CZ46" i="8"/>
  <c r="CZ47" i="8"/>
  <c r="CZ48" i="8"/>
  <c r="CZ49" i="8"/>
  <c r="CZ51" i="8"/>
  <c r="CZ52" i="8"/>
  <c r="R46" i="8" a="1"/>
  <c r="J46" i="8" a="1"/>
  <c r="Q91" i="7"/>
  <c r="O91" i="7"/>
  <c r="A46" i="8"/>
  <c r="BD52" i="9" l="1"/>
  <c r="DN52" i="8"/>
  <c r="JE52" i="9"/>
  <c r="IV52" i="9"/>
  <c r="K52" i="9"/>
  <c r="T52" i="9" s="1"/>
  <c r="BD43" i="9"/>
  <c r="DN43" i="8"/>
  <c r="IV43" i="9"/>
  <c r="KF43" i="9" s="1"/>
  <c r="JE43" i="9"/>
  <c r="K43" i="9"/>
  <c r="T43" i="9" s="1"/>
  <c r="BD51" i="9"/>
  <c r="DN51" i="8"/>
  <c r="IV51" i="9"/>
  <c r="JE51" i="9"/>
  <c r="K51" i="9"/>
  <c r="T51" i="9" s="1"/>
  <c r="BD44" i="9"/>
  <c r="DN44" i="8"/>
  <c r="IV44" i="9"/>
  <c r="JE44" i="9"/>
  <c r="K44" i="9"/>
  <c r="T44" i="9" s="1"/>
  <c r="BB49" i="8"/>
  <c r="BD48" i="9"/>
  <c r="IV48" i="9"/>
  <c r="JE48" i="9"/>
  <c r="DN48" i="8"/>
  <c r="K48" i="9"/>
  <c r="T48" i="9" s="1"/>
  <c r="BD47" i="9"/>
  <c r="IV47" i="9"/>
  <c r="JE47" i="9"/>
  <c r="DN47" i="8"/>
  <c r="K47" i="9"/>
  <c r="T47" i="9" s="1"/>
  <c r="BD49" i="9"/>
  <c r="IV49" i="9"/>
  <c r="JE49" i="9"/>
  <c r="DN49" i="8"/>
  <c r="K49" i="9"/>
  <c r="T49" i="9" s="1"/>
  <c r="BD46" i="9"/>
  <c r="JE46" i="9"/>
  <c r="DN46" i="8"/>
  <c r="IV46" i="9"/>
  <c r="K46" i="9"/>
  <c r="T46" i="9" s="1"/>
  <c r="BD45" i="9"/>
  <c r="JE45" i="9"/>
  <c r="DN45" i="8"/>
  <c r="IV45" i="9"/>
  <c r="K45" i="9"/>
  <c r="T45" i="9" s="1"/>
  <c r="DR44" i="9"/>
  <c r="DT44" i="9"/>
  <c r="DS44" i="9"/>
  <c r="DU44" i="9"/>
  <c r="DV44" i="9"/>
  <c r="DW44" i="9"/>
  <c r="DP44" i="9"/>
  <c r="DQ44" i="9"/>
  <c r="DO44" i="9"/>
  <c r="DX44" i="9" s="1"/>
  <c r="B43" i="10"/>
  <c r="B51" i="10"/>
  <c r="DR51" i="9"/>
  <c r="DT51" i="9"/>
  <c r="DU51" i="9"/>
  <c r="DS51" i="9"/>
  <c r="DW51" i="9"/>
  <c r="DP51" i="9"/>
  <c r="DQ51" i="9"/>
  <c r="DV51" i="9"/>
  <c r="DO51" i="9"/>
  <c r="DX51" i="9" s="1"/>
  <c r="AC52" i="10"/>
  <c r="V52" i="10"/>
  <c r="W52" i="10"/>
  <c r="BP52" i="10" s="1"/>
  <c r="X52" i="10"/>
  <c r="BQ52" i="10" s="1"/>
  <c r="Y52" i="10"/>
  <c r="Z52" i="10"/>
  <c r="AA52" i="10"/>
  <c r="BT52" i="10" s="1"/>
  <c r="AB52" i="10"/>
  <c r="B49" i="10"/>
  <c r="AC51" i="10"/>
  <c r="V51" i="10"/>
  <c r="BO51" i="10" s="1"/>
  <c r="W51" i="10"/>
  <c r="X51" i="10"/>
  <c r="BQ51" i="10" s="1"/>
  <c r="Y51" i="10"/>
  <c r="BR51" i="10" s="1"/>
  <c r="Z51" i="10"/>
  <c r="AA51" i="10"/>
  <c r="AB51" i="10"/>
  <c r="B48" i="10"/>
  <c r="DR48" i="9"/>
  <c r="DT48" i="9"/>
  <c r="DS48" i="9"/>
  <c r="DU48" i="9"/>
  <c r="DW48" i="9"/>
  <c r="DP48" i="9"/>
  <c r="DQ48" i="9"/>
  <c r="DV48" i="9"/>
  <c r="DO48" i="9"/>
  <c r="EG48" i="9" s="1"/>
  <c r="DQ49" i="9"/>
  <c r="DR49" i="9"/>
  <c r="DS49" i="9"/>
  <c r="DT49" i="9"/>
  <c r="DU49" i="9"/>
  <c r="DV49" i="9"/>
  <c r="DW49" i="9"/>
  <c r="DP49" i="9"/>
  <c r="DO49" i="9"/>
  <c r="DX49" i="9" s="1"/>
  <c r="AC49" i="10"/>
  <c r="V49" i="10"/>
  <c r="W49" i="10"/>
  <c r="X49" i="10"/>
  <c r="Y49" i="10"/>
  <c r="AA49" i="10"/>
  <c r="BT49" i="10" s="1"/>
  <c r="AB49" i="10"/>
  <c r="Z49" i="10"/>
  <c r="DP47" i="9"/>
  <c r="DQ47" i="9"/>
  <c r="DR47" i="9"/>
  <c r="DV47" i="9"/>
  <c r="DS47" i="9"/>
  <c r="DT47" i="9"/>
  <c r="DU47" i="9"/>
  <c r="DW47" i="9"/>
  <c r="DO47" i="9"/>
  <c r="DX47" i="9" s="1"/>
  <c r="AC48" i="10"/>
  <c r="V48" i="10"/>
  <c r="W48" i="10"/>
  <c r="X48" i="10"/>
  <c r="Y48" i="10"/>
  <c r="BR48" i="10" s="1"/>
  <c r="Z48" i="10"/>
  <c r="BS48" i="10" s="1"/>
  <c r="AA48" i="10"/>
  <c r="AB48" i="10"/>
  <c r="B46" i="10"/>
  <c r="DI52" i="9" a="1"/>
  <c r="DI52" i="9" s="1"/>
  <c r="DF52" i="9"/>
  <c r="DG52" i="9"/>
  <c r="DH52" i="9" a="1"/>
  <c r="DH52" i="9" s="1"/>
  <c r="DJ52" i="9" a="1"/>
  <c r="DJ52" i="9" s="1"/>
  <c r="DK52" i="9" a="1"/>
  <c r="DK52" i="9" s="1"/>
  <c r="DL52" i="9" a="1"/>
  <c r="DL52" i="9" s="1"/>
  <c r="DM52" i="9" a="1"/>
  <c r="DM52" i="9" s="1"/>
  <c r="DN52" i="9" a="1"/>
  <c r="DN52" i="9" s="1"/>
  <c r="B52" i="10"/>
  <c r="AD52" i="10" s="1"/>
  <c r="DI51" i="9" a="1"/>
  <c r="DI51" i="9" s="1"/>
  <c r="DN51" i="9" a="1"/>
  <c r="DN51" i="9" s="1"/>
  <c r="DG51" i="9"/>
  <c r="DH51" i="9" a="1"/>
  <c r="DH51" i="9" s="1"/>
  <c r="DJ51" i="9" a="1"/>
  <c r="DJ51" i="9" s="1"/>
  <c r="DK51" i="9" a="1"/>
  <c r="DK51" i="9" s="1"/>
  <c r="DF51" i="9"/>
  <c r="DL51" i="9" a="1"/>
  <c r="DL51" i="9" s="1"/>
  <c r="DM51" i="9" a="1"/>
  <c r="DM51" i="9" s="1"/>
  <c r="B47" i="10"/>
  <c r="DI46" i="9" a="1"/>
  <c r="DI46" i="9" s="1"/>
  <c r="DH46" i="9" a="1"/>
  <c r="DH46" i="9" s="1"/>
  <c r="DF46" i="9"/>
  <c r="DJ46" i="9" a="1"/>
  <c r="DJ46" i="9" s="1"/>
  <c r="DK46" i="9" a="1"/>
  <c r="DK46" i="9" s="1"/>
  <c r="DL46" i="9" a="1"/>
  <c r="DL46" i="9" s="1"/>
  <c r="DM46" i="9" a="1"/>
  <c r="DM46" i="9" s="1"/>
  <c r="DN46" i="9" a="1"/>
  <c r="DN46" i="9" s="1"/>
  <c r="DG46" i="9"/>
  <c r="DH45" i="9" a="1"/>
  <c r="DH45" i="9" s="1"/>
  <c r="DI45" i="9" a="1"/>
  <c r="DI45" i="9" s="1"/>
  <c r="DJ45" i="9" a="1"/>
  <c r="DJ45" i="9" s="1"/>
  <c r="DK45" i="9" a="1"/>
  <c r="DK45" i="9" s="1"/>
  <c r="DL45" i="9" a="1"/>
  <c r="DL45" i="9" s="1"/>
  <c r="DM45" i="9" a="1"/>
  <c r="DM45" i="9" s="1"/>
  <c r="DN45" i="9" a="1"/>
  <c r="DN45" i="9" s="1"/>
  <c r="DF45" i="9"/>
  <c r="DG45" i="9"/>
  <c r="DR46" i="9"/>
  <c r="DT46" i="9"/>
  <c r="DS46" i="9"/>
  <c r="DV46" i="9"/>
  <c r="DU46" i="9"/>
  <c r="DW46" i="9"/>
  <c r="DP46" i="9"/>
  <c r="DQ46" i="9"/>
  <c r="DO46" i="9"/>
  <c r="DX46" i="9" s="1"/>
  <c r="AC47" i="10"/>
  <c r="BV47" i="10" s="1"/>
  <c r="V47" i="10"/>
  <c r="W47" i="10"/>
  <c r="X47" i="10"/>
  <c r="Y47" i="10"/>
  <c r="Z47" i="10"/>
  <c r="AA47" i="10"/>
  <c r="AB47" i="10"/>
  <c r="B45" i="10"/>
  <c r="DQ52" i="9"/>
  <c r="DR52" i="9"/>
  <c r="DV52" i="9"/>
  <c r="DS52" i="9"/>
  <c r="DT52" i="9"/>
  <c r="DU52" i="9"/>
  <c r="DW52" i="9"/>
  <c r="DP52" i="9"/>
  <c r="DO52" i="9"/>
  <c r="DI49" i="9" a="1"/>
  <c r="DI49" i="9" s="1"/>
  <c r="DL49" i="9" a="1"/>
  <c r="DL49" i="9" s="1"/>
  <c r="DM49" i="9" a="1"/>
  <c r="DM49" i="9" s="1"/>
  <c r="DN49" i="9" a="1"/>
  <c r="DN49" i="9" s="1"/>
  <c r="DF49" i="9"/>
  <c r="LG49" i="9" s="1"/>
  <c r="DG49" i="9"/>
  <c r="DH49" i="9" a="1"/>
  <c r="DH49" i="9" s="1"/>
  <c r="DJ49" i="9" a="1"/>
  <c r="DJ49" i="9" s="1"/>
  <c r="DK49" i="9" a="1"/>
  <c r="DK49" i="9" s="1"/>
  <c r="DI48" i="9" a="1"/>
  <c r="DI48" i="9" s="1"/>
  <c r="DK48" i="9" a="1"/>
  <c r="DK48" i="9" s="1"/>
  <c r="DL48" i="9" a="1"/>
  <c r="DL48" i="9" s="1"/>
  <c r="DM48" i="9" a="1"/>
  <c r="DM48" i="9" s="1"/>
  <c r="DF48" i="9"/>
  <c r="DN48" i="9" a="1"/>
  <c r="DN48" i="9" s="1"/>
  <c r="LO48" i="9" s="1"/>
  <c r="CD48" i="9" s="1"/>
  <c r="R48" i="9" s="1"/>
  <c r="AA48" i="9" s="1"/>
  <c r="DG48" i="9"/>
  <c r="DH48" i="9" a="1"/>
  <c r="DH48" i="9" s="1"/>
  <c r="LI48" i="9" s="1"/>
  <c r="BX48" i="9" s="1"/>
  <c r="L48" i="9" s="1"/>
  <c r="U48" i="9" s="1"/>
  <c r="DJ48" i="9" a="1"/>
  <c r="DJ48" i="9" s="1"/>
  <c r="DI47" i="9" a="1"/>
  <c r="DI47" i="9" s="1"/>
  <c r="DJ47" i="9" a="1"/>
  <c r="DJ47" i="9" s="1"/>
  <c r="LK47" i="9" s="1"/>
  <c r="BZ47" i="9" s="1"/>
  <c r="N47" i="9" s="1"/>
  <c r="W47" i="9" s="1"/>
  <c r="DK47" i="9" a="1"/>
  <c r="DK47" i="9" s="1"/>
  <c r="DF47" i="9"/>
  <c r="LG47" i="9" s="1"/>
  <c r="DL47" i="9" a="1"/>
  <c r="DL47" i="9" s="1"/>
  <c r="DM47" i="9" a="1"/>
  <c r="DM47" i="9" s="1"/>
  <c r="DN47" i="9" a="1"/>
  <c r="DN47" i="9" s="1"/>
  <c r="DG47" i="9"/>
  <c r="DH47" i="9" a="1"/>
  <c r="DH47" i="9" s="1"/>
  <c r="DJ44" i="9" a="1"/>
  <c r="DJ44" i="9" s="1"/>
  <c r="DF44" i="9"/>
  <c r="DG44" i="9"/>
  <c r="DH44" i="9" a="1"/>
  <c r="DH44" i="9" s="1"/>
  <c r="DI44" i="9" a="1"/>
  <c r="DI44" i="9" s="1"/>
  <c r="DK44" i="9" a="1"/>
  <c r="DK44" i="9" s="1"/>
  <c r="DL44" i="9" a="1"/>
  <c r="DL44" i="9" s="1"/>
  <c r="DM44" i="9" a="1"/>
  <c r="DM44" i="9" s="1"/>
  <c r="LN44" i="9" s="1"/>
  <c r="CC44" i="9" s="1"/>
  <c r="Q44" i="9" s="1"/>
  <c r="Z44" i="9" s="1"/>
  <c r="DN44" i="9" a="1"/>
  <c r="DN44" i="9" s="1"/>
  <c r="DP45" i="9"/>
  <c r="DQ45" i="9"/>
  <c r="DV45" i="9"/>
  <c r="DR45" i="9"/>
  <c r="DS45" i="9"/>
  <c r="DT45" i="9"/>
  <c r="DU45" i="9"/>
  <c r="DW45" i="9"/>
  <c r="DO45" i="9"/>
  <c r="DX45" i="9" s="1"/>
  <c r="AC46" i="10"/>
  <c r="V46" i="10"/>
  <c r="W46" i="10"/>
  <c r="X46" i="10"/>
  <c r="Y46" i="10"/>
  <c r="AB46" i="10"/>
  <c r="Z46" i="10"/>
  <c r="AA46" i="10"/>
  <c r="B44" i="10"/>
  <c r="A46" i="9"/>
  <c r="A46" i="12"/>
  <c r="AU46" i="9"/>
  <c r="CW46" i="9"/>
  <c r="AU45" i="9"/>
  <c r="CW45" i="9"/>
  <c r="AU44" i="9"/>
  <c r="CW44" i="9"/>
  <c r="EG52" i="9"/>
  <c r="AU52" i="9"/>
  <c r="CW52" i="9"/>
  <c r="AU43" i="9"/>
  <c r="CW43" i="9"/>
  <c r="BV51" i="10"/>
  <c r="AU51" i="9"/>
  <c r="CW51" i="9"/>
  <c r="AU49" i="9"/>
  <c r="CW49" i="9"/>
  <c r="AU48" i="9"/>
  <c r="CW48" i="9"/>
  <c r="BR49" i="10"/>
  <c r="AU47" i="9"/>
  <c r="CW47" i="9"/>
  <c r="J46" i="8"/>
  <c r="AD48" i="11"/>
  <c r="CN46" i="9"/>
  <c r="CE46" i="9"/>
  <c r="CN45" i="9"/>
  <c r="CE45" i="9"/>
  <c r="AZ52" i="8"/>
  <c r="BB52" i="8"/>
  <c r="BD52" i="8"/>
  <c r="AD51" i="10"/>
  <c r="CN44" i="9"/>
  <c r="CE44" i="9"/>
  <c r="AZ45" i="8"/>
  <c r="BB45" i="8"/>
  <c r="BD45" i="8"/>
  <c r="AZ51" i="8"/>
  <c r="BD51" i="8"/>
  <c r="BB51" i="8"/>
  <c r="CN52" i="9"/>
  <c r="CE52" i="9"/>
  <c r="CN43" i="9"/>
  <c r="CE43" i="9"/>
  <c r="AZ49" i="8"/>
  <c r="BD49" i="8"/>
  <c r="AD48" i="10"/>
  <c r="CN51" i="9"/>
  <c r="CE51" i="9"/>
  <c r="CE47" i="9"/>
  <c r="CN47" i="9"/>
  <c r="BD44" i="8"/>
  <c r="BB44" i="8"/>
  <c r="AZ44" i="8"/>
  <c r="AZ48" i="8"/>
  <c r="BD48" i="8"/>
  <c r="BB48" i="8"/>
  <c r="CE49" i="9"/>
  <c r="CN49" i="9"/>
  <c r="AZ46" i="8"/>
  <c r="BD46" i="8"/>
  <c r="BB46" i="8"/>
  <c r="AZ47" i="8"/>
  <c r="BD47" i="8"/>
  <c r="BB47" i="8"/>
  <c r="CE48" i="9"/>
  <c r="S48" i="9" s="1"/>
  <c r="AB48" i="9" s="1"/>
  <c r="CN48" i="9"/>
  <c r="DP47" i="8"/>
  <c r="MD47" i="9" s="1"/>
  <c r="R46" i="8"/>
  <c r="BJ49" i="8"/>
  <c r="BL49" i="8"/>
  <c r="BN49" i="8"/>
  <c r="BP49" i="8"/>
  <c r="BF49" i="8"/>
  <c r="BH49" i="8"/>
  <c r="BJ48" i="8"/>
  <c r="BF48" i="8"/>
  <c r="BL48" i="8"/>
  <c r="BP48" i="8"/>
  <c r="BN48" i="8"/>
  <c r="BF45" i="8"/>
  <c r="BN45" i="8"/>
  <c r="BL45" i="8"/>
  <c r="BP45" i="8"/>
  <c r="BJ45" i="8"/>
  <c r="BN44" i="8"/>
  <c r="BL44" i="8"/>
  <c r="BP44" i="8"/>
  <c r="BJ44" i="8"/>
  <c r="BF44" i="8"/>
  <c r="BJ47" i="8"/>
  <c r="BF47" i="8"/>
  <c r="BN47" i="8"/>
  <c r="BL47" i="8"/>
  <c r="BP47" i="8"/>
  <c r="BH52" i="8"/>
  <c r="BL52" i="8"/>
  <c r="BJ52" i="8"/>
  <c r="BF52" i="8"/>
  <c r="BP52" i="8"/>
  <c r="BN52" i="8"/>
  <c r="BF46" i="8"/>
  <c r="BN46" i="8"/>
  <c r="BL46" i="8"/>
  <c r="BP46" i="8"/>
  <c r="BJ46" i="8"/>
  <c r="BH51" i="8"/>
  <c r="BL51" i="8"/>
  <c r="BP51" i="8"/>
  <c r="BN51" i="8"/>
  <c r="BF51" i="8"/>
  <c r="BJ51" i="8"/>
  <c r="BH48" i="8"/>
  <c r="BH47" i="8"/>
  <c r="BH46" i="8"/>
  <c r="BH45" i="8"/>
  <c r="BH44" i="8"/>
  <c r="R45" i="8" a="1"/>
  <c r="J45" i="8" a="1"/>
  <c r="Q90" i="7"/>
  <c r="O90" i="7"/>
  <c r="LK44" i="9" l="1"/>
  <c r="BZ44" i="9" s="1"/>
  <c r="N44" i="9" s="1"/>
  <c r="W44" i="9" s="1"/>
  <c r="LM44" i="9"/>
  <c r="CB44" i="9" s="1"/>
  <c r="P44" i="9" s="1"/>
  <c r="Y44" i="9" s="1"/>
  <c r="LJ47" i="9"/>
  <c r="BY47" i="9" s="1"/>
  <c r="M47" i="9" s="1"/>
  <c r="V47" i="9" s="1"/>
  <c r="KF45" i="9"/>
  <c r="KF52" i="9"/>
  <c r="EG49" i="9"/>
  <c r="LM47" i="9"/>
  <c r="CB47" i="9" s="1"/>
  <c r="P47" i="9" s="1"/>
  <c r="Y47" i="9" s="1"/>
  <c r="KF46" i="9"/>
  <c r="DX48" i="9"/>
  <c r="BM48" i="9" s="1"/>
  <c r="AK49" i="11" s="1"/>
  <c r="LH44" i="9"/>
  <c r="BW44" i="9" s="1"/>
  <c r="HD44" i="9" s="1"/>
  <c r="LG48" i="9"/>
  <c r="BV48" i="9" s="1"/>
  <c r="DQ48" i="8" s="1"/>
  <c r="LH49" i="9"/>
  <c r="BW49" i="9" s="1"/>
  <c r="KF51" i="9"/>
  <c r="LL48" i="9"/>
  <c r="CA48" i="9" s="1"/>
  <c r="O48" i="9" s="1"/>
  <c r="X48" i="9" s="1"/>
  <c r="KF47" i="9"/>
  <c r="LJ48" i="9"/>
  <c r="BY48" i="9" s="1"/>
  <c r="M48" i="9" s="1"/>
  <c r="V48" i="9" s="1"/>
  <c r="LO47" i="9"/>
  <c r="CD47" i="9" s="1"/>
  <c r="R47" i="9" s="1"/>
  <c r="AA47" i="9" s="1"/>
  <c r="LL51" i="9"/>
  <c r="CA51" i="9" s="1"/>
  <c r="O51" i="9" s="1"/>
  <c r="X51" i="9" s="1"/>
  <c r="LN49" i="9"/>
  <c r="CC49" i="9" s="1"/>
  <c r="Q49" i="9" s="1"/>
  <c r="Z49" i="9" s="1"/>
  <c r="LG44" i="9"/>
  <c r="BV44" i="9" s="1"/>
  <c r="DQ44" i="8" s="1"/>
  <c r="LH51" i="9"/>
  <c r="BW51" i="9" s="1"/>
  <c r="HD51" i="9" s="1"/>
  <c r="LH47" i="9"/>
  <c r="BW47" i="9" s="1"/>
  <c r="HD47" i="9" s="1"/>
  <c r="LK48" i="9"/>
  <c r="BZ48" i="9" s="1"/>
  <c r="N48" i="9" s="1"/>
  <c r="W48" i="9" s="1"/>
  <c r="KF44" i="9"/>
  <c r="LJ44" i="9"/>
  <c r="BY44" i="9" s="1"/>
  <c r="M44" i="9" s="1"/>
  <c r="V44" i="9" s="1"/>
  <c r="KF49" i="9"/>
  <c r="AM44" i="10"/>
  <c r="L44" i="10"/>
  <c r="KF48" i="9"/>
  <c r="AM45" i="10"/>
  <c r="L45" i="10"/>
  <c r="LI47" i="9"/>
  <c r="BX47" i="9" s="1"/>
  <c r="L47" i="9" s="1"/>
  <c r="U47" i="9" s="1"/>
  <c r="AM47" i="10"/>
  <c r="L47" i="10"/>
  <c r="U47" i="10" s="1"/>
  <c r="AM48" i="10"/>
  <c r="L48" i="10"/>
  <c r="U48" i="10" s="1"/>
  <c r="BW48" i="10" s="1"/>
  <c r="AM43" i="10"/>
  <c r="L43" i="10"/>
  <c r="AM49" i="10"/>
  <c r="L49" i="10"/>
  <c r="U49" i="10" s="1"/>
  <c r="AM52" i="10"/>
  <c r="AV52" i="10" s="1"/>
  <c r="L52" i="10"/>
  <c r="AM46" i="10"/>
  <c r="L46" i="10"/>
  <c r="U46" i="10" s="1"/>
  <c r="AM51" i="10"/>
  <c r="AV51" i="10" s="1"/>
  <c r="L51" i="10"/>
  <c r="U51" i="10" s="1"/>
  <c r="BW51" i="10" s="1"/>
  <c r="DS46" i="8"/>
  <c r="DR46" i="8"/>
  <c r="DS43" i="8"/>
  <c r="DR48" i="8"/>
  <c r="DS48" i="8"/>
  <c r="DS45" i="8"/>
  <c r="DR45" i="8"/>
  <c r="DR51" i="8"/>
  <c r="DS51" i="8"/>
  <c r="DS47" i="8"/>
  <c r="DR47" i="8"/>
  <c r="DS52" i="8"/>
  <c r="DR52" i="8"/>
  <c r="DS44" i="8"/>
  <c r="DR44" i="8"/>
  <c r="DR49" i="8"/>
  <c r="DS49" i="8"/>
  <c r="AD43" i="10"/>
  <c r="LL47" i="9"/>
  <c r="CA47" i="9" s="1"/>
  <c r="O47" i="9" s="1"/>
  <c r="X47" i="9" s="1"/>
  <c r="LN48" i="9"/>
  <c r="CC48" i="9" s="1"/>
  <c r="Q48" i="9" s="1"/>
  <c r="Z48" i="9" s="1"/>
  <c r="LL44" i="9"/>
  <c r="CA44" i="9" s="1"/>
  <c r="O44" i="9" s="1"/>
  <c r="X44" i="9" s="1"/>
  <c r="LO49" i="9"/>
  <c r="CD49" i="9" s="1"/>
  <c r="R49" i="9" s="1"/>
  <c r="AA49" i="9" s="1"/>
  <c r="LO51" i="9"/>
  <c r="CD51" i="9" s="1"/>
  <c r="R51" i="9" s="1"/>
  <c r="AA51" i="9" s="1"/>
  <c r="HL47" i="9"/>
  <c r="S47" i="9"/>
  <c r="AB47" i="9" s="1"/>
  <c r="HL43" i="9"/>
  <c r="S43" i="9"/>
  <c r="AB43" i="9" s="1"/>
  <c r="HL45" i="9"/>
  <c r="S45" i="9"/>
  <c r="AB45" i="9" s="1"/>
  <c r="HL51" i="9"/>
  <c r="S51" i="9"/>
  <c r="AB51" i="9" s="1"/>
  <c r="HL52" i="9"/>
  <c r="S52" i="9"/>
  <c r="AB52" i="9" s="1"/>
  <c r="HL44" i="9"/>
  <c r="S44" i="9"/>
  <c r="AB44" i="9" s="1"/>
  <c r="HL46" i="9"/>
  <c r="S46" i="9"/>
  <c r="AB46" i="9" s="1"/>
  <c r="HL49" i="9"/>
  <c r="S49" i="9"/>
  <c r="AB49" i="9" s="1"/>
  <c r="CD51" i="10"/>
  <c r="BX52" i="10"/>
  <c r="BZ49" i="10"/>
  <c r="CB46" i="10"/>
  <c r="CC47" i="10"/>
  <c r="BX48" i="10"/>
  <c r="BY49" i="10"/>
  <c r="CC51" i="10"/>
  <c r="CE52" i="10"/>
  <c r="CD46" i="10"/>
  <c r="CB47" i="10"/>
  <c r="CE48" i="10"/>
  <c r="BX49" i="10"/>
  <c r="CB51" i="10"/>
  <c r="CD52" i="10"/>
  <c r="CA46" i="10"/>
  <c r="CA47" i="10"/>
  <c r="CD48" i="10"/>
  <c r="CE49" i="10"/>
  <c r="CJ51" i="10"/>
  <c r="CS51" i="10" s="1"/>
  <c r="CA51" i="10"/>
  <c r="CL52" i="10"/>
  <c r="CU52" i="10" s="1"/>
  <c r="CC52" i="10"/>
  <c r="BY48" i="10"/>
  <c r="BZ47" i="10"/>
  <c r="CC48" i="10"/>
  <c r="CB49" i="10"/>
  <c r="CI51" i="10"/>
  <c r="CR51" i="10" s="1"/>
  <c r="BZ51" i="10"/>
  <c r="CB52" i="10"/>
  <c r="CC46" i="10"/>
  <c r="BZ46" i="10"/>
  <c r="BY46" i="10"/>
  <c r="BY47" i="10"/>
  <c r="CB48" i="10"/>
  <c r="CK48" i="10" s="1"/>
  <c r="CT48" i="10" s="1"/>
  <c r="CD49" i="10"/>
  <c r="BY51" i="10"/>
  <c r="CA52" i="10"/>
  <c r="CD47" i="10"/>
  <c r="BX46" i="10"/>
  <c r="BX47" i="10"/>
  <c r="CA48" i="10"/>
  <c r="CJ48" i="10" s="1"/>
  <c r="CS48" i="10" s="1"/>
  <c r="CC49" i="10"/>
  <c r="CL49" i="10" s="1"/>
  <c r="CU49" i="10" s="1"/>
  <c r="CG51" i="10"/>
  <c r="CP51" i="10" s="1"/>
  <c r="BX51" i="10"/>
  <c r="CI52" i="10"/>
  <c r="CR52" i="10" s="1"/>
  <c r="BZ52" i="10"/>
  <c r="CE46" i="10"/>
  <c r="CE47" i="10"/>
  <c r="CN47" i="10" s="1"/>
  <c r="CW47" i="10" s="1"/>
  <c r="BZ48" i="10"/>
  <c r="CA49" i="10"/>
  <c r="CJ49" i="10" s="1"/>
  <c r="CS49" i="10" s="1"/>
  <c r="CN51" i="10"/>
  <c r="CW51" i="10" s="1"/>
  <c r="CE51" i="10"/>
  <c r="CH52" i="10"/>
  <c r="CQ52" i="10" s="1"/>
  <c r="BY52" i="10"/>
  <c r="BT46" i="10"/>
  <c r="BU47" i="10"/>
  <c r="BP48" i="10"/>
  <c r="BQ49" i="10"/>
  <c r="BU51" i="10"/>
  <c r="CM51" i="10" s="1"/>
  <c r="BO48" i="10"/>
  <c r="BP49" i="10"/>
  <c r="BT51" i="10"/>
  <c r="CL51" i="10" s="1"/>
  <c r="BV52" i="10"/>
  <c r="CN52" i="10" s="1"/>
  <c r="BU46" i="10"/>
  <c r="BS47" i="10"/>
  <c r="BR46" i="10"/>
  <c r="BR47" i="10"/>
  <c r="BU48" i="10"/>
  <c r="BV49" i="10"/>
  <c r="BO52" i="10"/>
  <c r="BS46" i="10"/>
  <c r="BT47" i="10"/>
  <c r="BV48" i="10"/>
  <c r="BO49" i="10"/>
  <c r="BS51" i="10"/>
  <c r="CK51" i="10" s="1"/>
  <c r="BU52" i="10"/>
  <c r="CM52" i="10" s="1"/>
  <c r="BQ46" i="10"/>
  <c r="BQ47" i="10"/>
  <c r="BT48" i="10"/>
  <c r="BS49" i="10"/>
  <c r="BS52" i="10"/>
  <c r="CK52" i="10" s="1"/>
  <c r="AD47" i="10"/>
  <c r="BP46" i="10"/>
  <c r="BP47" i="10"/>
  <c r="BU49" i="10"/>
  <c r="BP51" i="10"/>
  <c r="CH51" i="10" s="1"/>
  <c r="BR52" i="10"/>
  <c r="CJ52" i="10" s="1"/>
  <c r="AD45" i="10"/>
  <c r="BO46" i="10"/>
  <c r="BO47" i="10"/>
  <c r="BV46" i="10"/>
  <c r="BQ48" i="10"/>
  <c r="LK51" i="9"/>
  <c r="BZ51" i="9" s="1"/>
  <c r="N51" i="9" s="1"/>
  <c r="W51" i="9" s="1"/>
  <c r="LJ49" i="9"/>
  <c r="BY49" i="9" s="1"/>
  <c r="M49" i="9" s="1"/>
  <c r="V49" i="9" s="1"/>
  <c r="LN51" i="9"/>
  <c r="CC51" i="9" s="1"/>
  <c r="Q51" i="9" s="1"/>
  <c r="Z51" i="9" s="1"/>
  <c r="JW48" i="9"/>
  <c r="JW47" i="9"/>
  <c r="JW44" i="9"/>
  <c r="JW43" i="9"/>
  <c r="JW45" i="9"/>
  <c r="JW46" i="9"/>
  <c r="JW49" i="9"/>
  <c r="JW52" i="9"/>
  <c r="JW51" i="9"/>
  <c r="LI51" i="9"/>
  <c r="BX51" i="9" s="1"/>
  <c r="L51" i="9" s="1"/>
  <c r="U51" i="9" s="1"/>
  <c r="LL49" i="9"/>
  <c r="CA49" i="9" s="1"/>
  <c r="O49" i="9" s="1"/>
  <c r="X49" i="9" s="1"/>
  <c r="LI49" i="9"/>
  <c r="BX49" i="9" s="1"/>
  <c r="LO44" i="9"/>
  <c r="CD44" i="9" s="1"/>
  <c r="R44" i="9" s="1"/>
  <c r="AA44" i="9" s="1"/>
  <c r="LM48" i="9"/>
  <c r="CB48" i="9" s="1"/>
  <c r="P48" i="9" s="1"/>
  <c r="Y48" i="9" s="1"/>
  <c r="LK49" i="9"/>
  <c r="BZ49" i="9" s="1"/>
  <c r="LJ51" i="9"/>
  <c r="BY51" i="9" s="1"/>
  <c r="LL46" i="9"/>
  <c r="CA46" i="9" s="1"/>
  <c r="LG51" i="9"/>
  <c r="BV51" i="9" s="1"/>
  <c r="DQ51" i="8" s="1"/>
  <c r="BV49" i="9"/>
  <c r="DQ49" i="8" s="1"/>
  <c r="LJ45" i="9"/>
  <c r="BY45" i="9" s="1"/>
  <c r="M45" i="9" s="1"/>
  <c r="V45" i="9" s="1"/>
  <c r="LO52" i="9"/>
  <c r="CD52" i="9" s="1"/>
  <c r="R52" i="9" s="1"/>
  <c r="AA52" i="9" s="1"/>
  <c r="LJ52" i="9"/>
  <c r="BY52" i="9" s="1"/>
  <c r="LG46" i="9"/>
  <c r="BV46" i="9" s="1"/>
  <c r="DQ46" i="8" s="1"/>
  <c r="LH45" i="9"/>
  <c r="BW45" i="9" s="1"/>
  <c r="HD45" i="9" s="1"/>
  <c r="LI45" i="9"/>
  <c r="BX45" i="9" s="1"/>
  <c r="LI46" i="9"/>
  <c r="BX46" i="9" s="1"/>
  <c r="L46" i="9" s="1"/>
  <c r="U46" i="9" s="1"/>
  <c r="LG45" i="9"/>
  <c r="BV45" i="9" s="1"/>
  <c r="DQ45" i="8" s="1"/>
  <c r="LH46" i="9"/>
  <c r="BW46" i="9" s="1"/>
  <c r="HD46" i="9" s="1"/>
  <c r="LJ46" i="9"/>
  <c r="BY46" i="9" s="1"/>
  <c r="M46" i="9" s="1"/>
  <c r="V46" i="9" s="1"/>
  <c r="LO45" i="9"/>
  <c r="CD45" i="9" s="1"/>
  <c r="LO46" i="9"/>
  <c r="CD46" i="9" s="1"/>
  <c r="LN45" i="9"/>
  <c r="CC45" i="9" s="1"/>
  <c r="LN46" i="9"/>
  <c r="CC46" i="9" s="1"/>
  <c r="Q46" i="9" s="1"/>
  <c r="Z46" i="9" s="1"/>
  <c r="LN47" i="9"/>
  <c r="CC47" i="9" s="1"/>
  <c r="LH48" i="9"/>
  <c r="BW48" i="9" s="1"/>
  <c r="HD48" i="9" s="1"/>
  <c r="LM45" i="9"/>
  <c r="CB45" i="9" s="1"/>
  <c r="P45" i="9" s="1"/>
  <c r="Y45" i="9" s="1"/>
  <c r="LM46" i="9"/>
  <c r="CB46" i="9" s="1"/>
  <c r="LI44" i="9"/>
  <c r="BX44" i="9" s="1"/>
  <c r="HE44" i="9" s="1"/>
  <c r="LL45" i="9"/>
  <c r="CA45" i="9" s="1"/>
  <c r="BV47" i="9"/>
  <c r="DQ47" i="8" s="1"/>
  <c r="LK45" i="9"/>
  <c r="BZ45" i="9" s="1"/>
  <c r="N45" i="9" s="1"/>
  <c r="W45" i="9" s="1"/>
  <c r="LK46" i="9"/>
  <c r="BZ46" i="9" s="1"/>
  <c r="N46" i="9" s="1"/>
  <c r="W46" i="9" s="1"/>
  <c r="LG52" i="9"/>
  <c r="BV52" i="9" s="1"/>
  <c r="DQ52" i="8" s="1"/>
  <c r="LN52" i="9"/>
  <c r="CC52" i="9" s="1"/>
  <c r="Q52" i="9" s="1"/>
  <c r="Z52" i="9" s="1"/>
  <c r="LM52" i="9"/>
  <c r="CB52" i="9" s="1"/>
  <c r="LM49" i="9"/>
  <c r="CB49" i="9" s="1"/>
  <c r="P49" i="9" s="1"/>
  <c r="Y49" i="9" s="1"/>
  <c r="LL52" i="9"/>
  <c r="CA52" i="9" s="1"/>
  <c r="LK52" i="9"/>
  <c r="BZ52" i="9" s="1"/>
  <c r="N52" i="9" s="1"/>
  <c r="W52" i="9" s="1"/>
  <c r="LI52" i="9"/>
  <c r="BX52" i="9" s="1"/>
  <c r="L52" i="9" s="1"/>
  <c r="U52" i="9" s="1"/>
  <c r="LM51" i="9"/>
  <c r="CB51" i="9" s="1"/>
  <c r="LH52" i="9"/>
  <c r="BW52" i="9" s="1"/>
  <c r="AD46" i="10"/>
  <c r="BM49" i="9"/>
  <c r="AK50" i="11" s="1"/>
  <c r="EH52" i="9"/>
  <c r="DY52" i="9"/>
  <c r="AM52" i="9"/>
  <c r="JO52" i="9"/>
  <c r="EQ52" i="9" s="1"/>
  <c r="ED46" i="9"/>
  <c r="EM46" i="9"/>
  <c r="EH47" i="9"/>
  <c r="DY47" i="9"/>
  <c r="JO47" i="9"/>
  <c r="EQ47" i="9" s="1"/>
  <c r="AM47" i="9"/>
  <c r="EK49" i="9"/>
  <c r="EB49" i="9"/>
  <c r="ED48" i="9"/>
  <c r="EM48" i="9"/>
  <c r="EM51" i="9"/>
  <c r="ED51" i="9"/>
  <c r="EI44" i="9"/>
  <c r="DZ44" i="9"/>
  <c r="JP44" i="9"/>
  <c r="ER44" i="9" s="1"/>
  <c r="AN44" i="9"/>
  <c r="EG45" i="9"/>
  <c r="BM45" i="9" s="1"/>
  <c r="AK46" i="11" s="1"/>
  <c r="EI45" i="9"/>
  <c r="DZ45" i="9"/>
  <c r="AN45" i="9"/>
  <c r="JP45" i="9"/>
  <c r="ER45" i="9" s="1"/>
  <c r="EO52" i="9"/>
  <c r="EF52" i="9"/>
  <c r="JV52" i="9"/>
  <c r="EX52" i="9" s="1"/>
  <c r="EN46" i="9"/>
  <c r="EE46" i="9"/>
  <c r="AS46" i="9"/>
  <c r="JU46" i="9"/>
  <c r="EW46" i="9" s="1"/>
  <c r="EO47" i="9"/>
  <c r="EF47" i="9"/>
  <c r="JV47" i="9"/>
  <c r="EX47" i="9" s="1"/>
  <c r="EJ49" i="9"/>
  <c r="EA49" i="9"/>
  <c r="JQ49" i="9"/>
  <c r="ES49" i="9" s="1"/>
  <c r="AO49" i="9"/>
  <c r="EK48" i="9"/>
  <c r="EB48" i="9"/>
  <c r="EL51" i="9"/>
  <c r="EC51" i="9"/>
  <c r="AQ51" i="9"/>
  <c r="JS51" i="9"/>
  <c r="EU51" i="9" s="1"/>
  <c r="EH44" i="9"/>
  <c r="DY44" i="9"/>
  <c r="JO44" i="9"/>
  <c r="EQ44" i="9" s="1"/>
  <c r="AM44" i="9"/>
  <c r="DY45" i="9"/>
  <c r="EH45" i="9"/>
  <c r="AM45" i="9"/>
  <c r="JO45" i="9"/>
  <c r="EQ45" i="9" s="1"/>
  <c r="ED52" i="9"/>
  <c r="EM52" i="9"/>
  <c r="EB46" i="9"/>
  <c r="EK46" i="9"/>
  <c r="EM47" i="9"/>
  <c r="ED47" i="9"/>
  <c r="EI49" i="9"/>
  <c r="DZ49" i="9"/>
  <c r="AN49" i="9"/>
  <c r="JP49" i="9"/>
  <c r="ER49" i="9" s="1"/>
  <c r="EL48" i="9"/>
  <c r="EC48" i="9"/>
  <c r="AQ48" i="9"/>
  <c r="JS48" i="9"/>
  <c r="EU48" i="9" s="1"/>
  <c r="HH48" i="9"/>
  <c r="EJ51" i="9"/>
  <c r="EA51" i="9"/>
  <c r="JQ51" i="9"/>
  <c r="ES51" i="9" s="1"/>
  <c r="AO51" i="9"/>
  <c r="EO44" i="9"/>
  <c r="EF44" i="9"/>
  <c r="JV44" i="9"/>
  <c r="EX44" i="9" s="1"/>
  <c r="EF45" i="9"/>
  <c r="EO45" i="9"/>
  <c r="JV45" i="9"/>
  <c r="EX45" i="9" s="1"/>
  <c r="EL52" i="9"/>
  <c r="EC52" i="9"/>
  <c r="JS52" i="9"/>
  <c r="EU52" i="9" s="1"/>
  <c r="AQ52" i="9"/>
  <c r="EL46" i="9"/>
  <c r="EC46" i="9"/>
  <c r="JS46" i="9"/>
  <c r="EU46" i="9" s="1"/>
  <c r="AQ46" i="9"/>
  <c r="EL47" i="9"/>
  <c r="EC47" i="9"/>
  <c r="JS47" i="9"/>
  <c r="EU47" i="9" s="1"/>
  <c r="AQ47" i="9"/>
  <c r="EH49" i="9"/>
  <c r="DY49" i="9"/>
  <c r="HD49" i="9"/>
  <c r="AM49" i="9"/>
  <c r="JO49" i="9"/>
  <c r="EQ49" i="9" s="1"/>
  <c r="EJ48" i="9"/>
  <c r="EA48" i="9"/>
  <c r="AO48" i="9"/>
  <c r="JQ48" i="9"/>
  <c r="ES48" i="9" s="1"/>
  <c r="EE51" i="9"/>
  <c r="EN51" i="9"/>
  <c r="JU51" i="9"/>
  <c r="EW51" i="9" s="1"/>
  <c r="AS51" i="9"/>
  <c r="EE44" i="9"/>
  <c r="EN44" i="9"/>
  <c r="HJ44" i="9"/>
  <c r="JU44" i="9"/>
  <c r="EW44" i="9" s="1"/>
  <c r="AS44" i="9"/>
  <c r="HL48" i="9"/>
  <c r="EM45" i="9"/>
  <c r="ED45" i="9"/>
  <c r="EB52" i="9"/>
  <c r="EK52" i="9"/>
  <c r="EA46" i="9"/>
  <c r="EJ46" i="9"/>
  <c r="JQ46" i="9"/>
  <c r="ES46" i="9" s="1"/>
  <c r="AO46" i="9"/>
  <c r="EK47" i="9"/>
  <c r="EB47" i="9"/>
  <c r="HG47" i="9"/>
  <c r="EO49" i="9"/>
  <c r="EF49" i="9"/>
  <c r="JV49" i="9"/>
  <c r="EX49" i="9" s="1"/>
  <c r="EE48" i="9"/>
  <c r="EN48" i="9"/>
  <c r="AS48" i="9"/>
  <c r="JU48" i="9"/>
  <c r="EW48" i="9" s="1"/>
  <c r="EI51" i="9"/>
  <c r="DZ51" i="9"/>
  <c r="JP51" i="9"/>
  <c r="ER51" i="9" s="1"/>
  <c r="AN51" i="9"/>
  <c r="ED44" i="9"/>
  <c r="EM44" i="9"/>
  <c r="HI44" i="9"/>
  <c r="AD49" i="10"/>
  <c r="EL45" i="9"/>
  <c r="EC45" i="9"/>
  <c r="AQ45" i="9"/>
  <c r="JS45" i="9"/>
  <c r="EU45" i="9" s="1"/>
  <c r="EN52" i="9"/>
  <c r="EE52" i="9"/>
  <c r="AS52" i="9"/>
  <c r="JU52" i="9"/>
  <c r="EW52" i="9" s="1"/>
  <c r="EI46" i="9"/>
  <c r="DZ46" i="9"/>
  <c r="AN46" i="9"/>
  <c r="JP46" i="9"/>
  <c r="ER46" i="9" s="1"/>
  <c r="EE47" i="9"/>
  <c r="EN47" i="9"/>
  <c r="JU47" i="9"/>
  <c r="EW47" i="9" s="1"/>
  <c r="AS47" i="9"/>
  <c r="EN49" i="9"/>
  <c r="EE49" i="9"/>
  <c r="HJ49" i="9"/>
  <c r="JU49" i="9"/>
  <c r="EW49" i="9" s="1"/>
  <c r="AS49" i="9"/>
  <c r="EI48" i="9"/>
  <c r="DZ48" i="9"/>
  <c r="AN48" i="9"/>
  <c r="JP48" i="9"/>
  <c r="ER48" i="9" s="1"/>
  <c r="HE48" i="9"/>
  <c r="EH51" i="9"/>
  <c r="DY51" i="9"/>
  <c r="AM51" i="9"/>
  <c r="JO51" i="9"/>
  <c r="EQ51" i="9" s="1"/>
  <c r="EK44" i="9"/>
  <c r="EB44" i="9"/>
  <c r="HG44" i="9"/>
  <c r="EE45" i="9"/>
  <c r="EN45" i="9"/>
  <c r="JU45" i="9"/>
  <c r="EW45" i="9" s="1"/>
  <c r="AS45" i="9"/>
  <c r="AD44" i="10"/>
  <c r="EB45" i="9"/>
  <c r="EK45" i="9"/>
  <c r="EJ52" i="9"/>
  <c r="EA52" i="9"/>
  <c r="AO52" i="9"/>
  <c r="JQ52" i="9"/>
  <c r="ES52" i="9" s="1"/>
  <c r="EH46" i="9"/>
  <c r="DY46" i="9"/>
  <c r="JO46" i="9"/>
  <c r="EQ46" i="9" s="1"/>
  <c r="AM46" i="9"/>
  <c r="EJ47" i="9"/>
  <c r="EA47" i="9"/>
  <c r="JQ47" i="9"/>
  <c r="ES47" i="9" s="1"/>
  <c r="AO47" i="9"/>
  <c r="HF47" i="9"/>
  <c r="EM49" i="9"/>
  <c r="ED49" i="9"/>
  <c r="DY48" i="9"/>
  <c r="EH48" i="9"/>
  <c r="JO48" i="9"/>
  <c r="EQ48" i="9" s="1"/>
  <c r="AM48" i="9"/>
  <c r="EO51" i="9"/>
  <c r="EF51" i="9"/>
  <c r="HK51" i="9"/>
  <c r="JV51" i="9"/>
  <c r="EX51" i="9" s="1"/>
  <c r="EL44" i="9"/>
  <c r="EC44" i="9"/>
  <c r="AQ44" i="9"/>
  <c r="JS44" i="9"/>
  <c r="EU44" i="9" s="1"/>
  <c r="EJ45" i="9"/>
  <c r="EA45" i="9"/>
  <c r="JQ45" i="9"/>
  <c r="ES45" i="9" s="1"/>
  <c r="AO45" i="9"/>
  <c r="EI52" i="9"/>
  <c r="DZ52" i="9"/>
  <c r="JP52" i="9"/>
  <c r="ER52" i="9" s="1"/>
  <c r="AN52" i="9"/>
  <c r="EF46" i="9"/>
  <c r="EO46" i="9"/>
  <c r="JV46" i="9"/>
  <c r="EX46" i="9" s="1"/>
  <c r="EI47" i="9"/>
  <c r="DZ47" i="9"/>
  <c r="JP47" i="9"/>
  <c r="ER47" i="9" s="1"/>
  <c r="AN47" i="9"/>
  <c r="EL49" i="9"/>
  <c r="EC49" i="9"/>
  <c r="JS49" i="9"/>
  <c r="EU49" i="9" s="1"/>
  <c r="AQ49" i="9"/>
  <c r="EF48" i="9"/>
  <c r="EO48" i="9"/>
  <c r="JV48" i="9"/>
  <c r="EX48" i="9" s="1"/>
  <c r="HK48" i="9"/>
  <c r="EB51" i="9"/>
  <c r="EK51" i="9"/>
  <c r="EJ44" i="9"/>
  <c r="EA44" i="9"/>
  <c r="AO44" i="9"/>
  <c r="JQ44" i="9"/>
  <c r="ES44" i="9" s="1"/>
  <c r="DX52" i="9"/>
  <c r="BM52" i="9" s="1"/>
  <c r="AK53" i="11" s="1"/>
  <c r="AT45" i="9"/>
  <c r="AT46" i="9"/>
  <c r="AT48" i="9"/>
  <c r="AT44" i="9"/>
  <c r="AT47" i="9"/>
  <c r="AT51" i="9"/>
  <c r="AT49" i="9"/>
  <c r="AT52" i="9"/>
  <c r="J45" i="8"/>
  <c r="EG51" i="9"/>
  <c r="BM51" i="9" s="1"/>
  <c r="AK52" i="11" s="1"/>
  <c r="AD47" i="11"/>
  <c r="L45" i="11"/>
  <c r="EG44" i="9"/>
  <c r="BM44" i="9" s="1"/>
  <c r="AK45" i="11" s="1"/>
  <c r="L47" i="11"/>
  <c r="L48" i="11"/>
  <c r="EG47" i="9"/>
  <c r="BM47" i="9" s="1"/>
  <c r="AK48" i="11" s="1"/>
  <c r="L53" i="11"/>
  <c r="L49" i="11"/>
  <c r="L52" i="11"/>
  <c r="L50" i="11"/>
  <c r="L46" i="11"/>
  <c r="EG46" i="9"/>
  <c r="BM46" i="9" s="1"/>
  <c r="AK47" i="11" s="1"/>
  <c r="DP46" i="8"/>
  <c r="MD46" i="9" s="1"/>
  <c r="R45" i="8"/>
  <c r="R44" i="8" a="1"/>
  <c r="J44" i="8" a="1"/>
  <c r="HK47" i="9" l="1"/>
  <c r="DT45" i="8"/>
  <c r="HH51" i="9"/>
  <c r="AV49" i="10"/>
  <c r="DT47" i="8"/>
  <c r="HF48" i="9"/>
  <c r="HE47" i="9"/>
  <c r="HI47" i="9"/>
  <c r="DT52" i="8"/>
  <c r="BE45" i="10"/>
  <c r="HG51" i="9"/>
  <c r="BE48" i="10"/>
  <c r="CF48" i="10" s="1"/>
  <c r="BE51" i="10"/>
  <c r="BN51" i="10" s="1"/>
  <c r="CF51" i="10" s="1"/>
  <c r="AV43" i="10"/>
  <c r="HG52" i="9"/>
  <c r="HF44" i="9"/>
  <c r="HE51" i="9"/>
  <c r="HJ51" i="9"/>
  <c r="HG48" i="9"/>
  <c r="AV48" i="10"/>
  <c r="HJ48" i="9"/>
  <c r="BE52" i="10"/>
  <c r="DT46" i="8"/>
  <c r="AV46" i="10"/>
  <c r="HH44" i="9"/>
  <c r="BE43" i="10"/>
  <c r="HH47" i="9"/>
  <c r="AV47" i="10"/>
  <c r="DT49" i="8"/>
  <c r="DT48" i="8"/>
  <c r="DT44" i="8"/>
  <c r="DT51" i="8"/>
  <c r="CG52" i="10"/>
  <c r="CP52" i="10" s="1"/>
  <c r="CM49" i="10"/>
  <c r="CV49" i="10" s="1"/>
  <c r="CG49" i="10"/>
  <c r="CP49" i="10" s="1"/>
  <c r="CL47" i="10"/>
  <c r="CU47" i="10" s="1"/>
  <c r="CN48" i="10"/>
  <c r="CW48" i="10" s="1"/>
  <c r="CK46" i="10"/>
  <c r="CT46" i="10" s="1"/>
  <c r="CK49" i="10"/>
  <c r="CT49" i="10" s="1"/>
  <c r="CN49" i="10"/>
  <c r="CW49" i="10" s="1"/>
  <c r="CK47" i="10"/>
  <c r="CT47" i="10" s="1"/>
  <c r="CI49" i="10"/>
  <c r="CR49" i="10" s="1"/>
  <c r="CI48" i="10"/>
  <c r="CR48" i="10" s="1"/>
  <c r="CH47" i="10"/>
  <c r="CQ47" i="10" s="1"/>
  <c r="CL48" i="10"/>
  <c r="CU48" i="10" s="1"/>
  <c r="CM48" i="10"/>
  <c r="CV48" i="10" s="1"/>
  <c r="CM46" i="10"/>
  <c r="CV46" i="10" s="1"/>
  <c r="CG47" i="10"/>
  <c r="CP47" i="10" s="1"/>
  <c r="CH46" i="10"/>
  <c r="CQ46" i="10" s="1"/>
  <c r="CI47" i="10"/>
  <c r="CR47" i="10" s="1"/>
  <c r="CJ47" i="10"/>
  <c r="CS47" i="10" s="1"/>
  <c r="CG46" i="10"/>
  <c r="CP46" i="10" s="1"/>
  <c r="CI46" i="10"/>
  <c r="CR46" i="10" s="1"/>
  <c r="CH48" i="10"/>
  <c r="CQ48" i="10" s="1"/>
  <c r="CJ46" i="10"/>
  <c r="CS46" i="10" s="1"/>
  <c r="CM47" i="10"/>
  <c r="CV47" i="10" s="1"/>
  <c r="CL46" i="10"/>
  <c r="CU46" i="10" s="1"/>
  <c r="CH49" i="10"/>
  <c r="CQ49" i="10" s="1"/>
  <c r="CG48" i="10"/>
  <c r="CP48" i="10" s="1"/>
  <c r="HG46" i="9"/>
  <c r="AV45" i="10"/>
  <c r="CN46" i="10"/>
  <c r="CW46" i="10" s="1"/>
  <c r="U52" i="10"/>
  <c r="BW52" i="10" s="1"/>
  <c r="HK49" i="9"/>
  <c r="BE44" i="10"/>
  <c r="HF49" i="9"/>
  <c r="BW46" i="10"/>
  <c r="BW49" i="10"/>
  <c r="BW47" i="10"/>
  <c r="HJ46" i="9"/>
  <c r="HJ52" i="9"/>
  <c r="BE46" i="10"/>
  <c r="BN46" i="10" s="1"/>
  <c r="CF46" i="10" s="1"/>
  <c r="CT52" i="10"/>
  <c r="CS52" i="10"/>
  <c r="CV52" i="10"/>
  <c r="CW52" i="10"/>
  <c r="CV51" i="10"/>
  <c r="CQ51" i="10"/>
  <c r="CT51" i="10"/>
  <c r="CU51" i="10"/>
  <c r="HF45" i="9"/>
  <c r="HI45" i="9"/>
  <c r="HK44" i="9"/>
  <c r="HH49" i="9"/>
  <c r="HG45" i="9"/>
  <c r="HE46" i="9"/>
  <c r="HE52" i="9"/>
  <c r="HH45" i="9"/>
  <c r="O45" i="9"/>
  <c r="X45" i="9" s="1"/>
  <c r="HK46" i="9"/>
  <c r="R46" i="9"/>
  <c r="AA46" i="9" s="1"/>
  <c r="HF51" i="9"/>
  <c r="M51" i="9"/>
  <c r="V51" i="9" s="1"/>
  <c r="HI52" i="9"/>
  <c r="P52" i="9"/>
  <c r="Y52" i="9" s="1"/>
  <c r="L44" i="9"/>
  <c r="U44" i="9" s="1"/>
  <c r="HK45" i="9"/>
  <c r="R45" i="9"/>
  <c r="AA45" i="9" s="1"/>
  <c r="HF52" i="9"/>
  <c r="M52" i="9"/>
  <c r="V52" i="9" s="1"/>
  <c r="HG49" i="9"/>
  <c r="N49" i="9"/>
  <c r="W49" i="9" s="1"/>
  <c r="HI51" i="9"/>
  <c r="P51" i="9"/>
  <c r="Y51" i="9" s="1"/>
  <c r="HE49" i="9"/>
  <c r="L49" i="9"/>
  <c r="U49" i="9" s="1"/>
  <c r="Q47" i="9"/>
  <c r="Z47" i="9" s="1"/>
  <c r="HI46" i="9"/>
  <c r="P46" i="9"/>
  <c r="Y46" i="9" s="1"/>
  <c r="HK52" i="9"/>
  <c r="HI48" i="9"/>
  <c r="HE45" i="9"/>
  <c r="L45" i="9"/>
  <c r="U45" i="9" s="1"/>
  <c r="HF46" i="9"/>
  <c r="HH52" i="9"/>
  <c r="O52" i="9"/>
  <c r="X52" i="9" s="1"/>
  <c r="HJ45" i="9"/>
  <c r="Q45" i="9"/>
  <c r="Z45" i="9" s="1"/>
  <c r="HH46" i="9"/>
  <c r="O46" i="9"/>
  <c r="X46" i="9" s="1"/>
  <c r="HI49" i="9"/>
  <c r="HJ47" i="9"/>
  <c r="BE47" i="10"/>
  <c r="BN47" i="10" s="1"/>
  <c r="HD52" i="9"/>
  <c r="AV44" i="10"/>
  <c r="HC49" i="9"/>
  <c r="HC44" i="9"/>
  <c r="HC51" i="9"/>
  <c r="HC46" i="9"/>
  <c r="HC47" i="9"/>
  <c r="HC48" i="9"/>
  <c r="HC45" i="9"/>
  <c r="HC52" i="9"/>
  <c r="BS51" i="9"/>
  <c r="AQ52" i="11" s="1"/>
  <c r="BE49" i="10"/>
  <c r="BN49" i="10" s="1"/>
  <c r="BT48" i="9"/>
  <c r="BP49" i="9"/>
  <c r="AN50" i="11" s="1"/>
  <c r="BQ45" i="9"/>
  <c r="AO46" i="11" s="1"/>
  <c r="BO46" i="9"/>
  <c r="BU49" i="9"/>
  <c r="BU52" i="9"/>
  <c r="AS53" i="11" s="1"/>
  <c r="BU47" i="9"/>
  <c r="AL47" i="9"/>
  <c r="AC47" i="9" s="1"/>
  <c r="BS46" i="9"/>
  <c r="BR49" i="9"/>
  <c r="AP50" i="11" s="1"/>
  <c r="BP51" i="9"/>
  <c r="AL46" i="9"/>
  <c r="AC46" i="9" s="1"/>
  <c r="BO44" i="9"/>
  <c r="BP47" i="9"/>
  <c r="AL45" i="9"/>
  <c r="AC45" i="9" s="1"/>
  <c r="AL44" i="9"/>
  <c r="AC44" i="9" s="1"/>
  <c r="AL52" i="9"/>
  <c r="AC52" i="9" s="1"/>
  <c r="BQ52" i="9"/>
  <c r="BR48" i="9"/>
  <c r="BS45" i="9"/>
  <c r="BN44" i="9"/>
  <c r="BT47" i="9"/>
  <c r="AL51" i="9"/>
  <c r="AC51" i="9" s="1"/>
  <c r="BQ49" i="9"/>
  <c r="AO50" i="11" s="1"/>
  <c r="BS44" i="9"/>
  <c r="BO47" i="9"/>
  <c r="AL49" i="9"/>
  <c r="AC49" i="9" s="1"/>
  <c r="BR45" i="9"/>
  <c r="AP46" i="11" s="1"/>
  <c r="BN49" i="9"/>
  <c r="AL48" i="9"/>
  <c r="AC48" i="9" s="1"/>
  <c r="BO51" i="9"/>
  <c r="AM52" i="11" s="1"/>
  <c r="BU44" i="9"/>
  <c r="BR47" i="9"/>
  <c r="BQ44" i="9"/>
  <c r="AO45" i="11" s="1"/>
  <c r="BQ47" i="9"/>
  <c r="BS52" i="9"/>
  <c r="BP48" i="9"/>
  <c r="BO45" i="9"/>
  <c r="BR52" i="9"/>
  <c r="AP53" i="11" s="1"/>
  <c r="BR46" i="9"/>
  <c r="BN51" i="9"/>
  <c r="BU45" i="9"/>
  <c r="BS47" i="9"/>
  <c r="BR44" i="9"/>
  <c r="BT51" i="9"/>
  <c r="BT45" i="9"/>
  <c r="BT46" i="9"/>
  <c r="BQ51" i="9"/>
  <c r="BQ46" i="9"/>
  <c r="AO47" i="11" s="1"/>
  <c r="BP52" i="9"/>
  <c r="BN45" i="9"/>
  <c r="BT49" i="9"/>
  <c r="AR50" i="11" s="1"/>
  <c r="BU48" i="9"/>
  <c r="BO48" i="9"/>
  <c r="BN47" i="9"/>
  <c r="BR51" i="9"/>
  <c r="BP44" i="9"/>
  <c r="BT52" i="9"/>
  <c r="BN52" i="9"/>
  <c r="BU51" i="9"/>
  <c r="BO49" i="9"/>
  <c r="BQ48" i="9"/>
  <c r="AO49" i="11" s="1"/>
  <c r="BU46" i="9"/>
  <c r="BO52" i="9"/>
  <c r="BN48" i="9"/>
  <c r="BP45" i="9"/>
  <c r="BT44" i="9"/>
  <c r="BN46" i="9"/>
  <c r="BS49" i="9"/>
  <c r="BS48" i="9"/>
  <c r="BP46" i="9"/>
  <c r="J44" i="8"/>
  <c r="JN51" i="9"/>
  <c r="EP51" i="9" s="1"/>
  <c r="JN44" i="9"/>
  <c r="EP44" i="9" s="1"/>
  <c r="JN49" i="9"/>
  <c r="EP49" i="9" s="1"/>
  <c r="JN47" i="9"/>
  <c r="EP47" i="9" s="1"/>
  <c r="IK51" i="9"/>
  <c r="FF51" i="9" s="1"/>
  <c r="JN46" i="9"/>
  <c r="EP46" i="9" s="1"/>
  <c r="IG49" i="9"/>
  <c r="FB49" i="9" s="1"/>
  <c r="IG51" i="9"/>
  <c r="AD46" i="11"/>
  <c r="IF52" i="9"/>
  <c r="FA52" i="9" s="1"/>
  <c r="JN52" i="9"/>
  <c r="EP52" i="9" s="1"/>
  <c r="JN48" i="9"/>
  <c r="EP48" i="9" s="1"/>
  <c r="JN45" i="9"/>
  <c r="EP45" i="9" s="1"/>
  <c r="IE46" i="9"/>
  <c r="EZ46" i="9" s="1"/>
  <c r="IE48" i="9"/>
  <c r="IE45" i="9"/>
  <c r="EZ45" i="9" s="1"/>
  <c r="IG45" i="9"/>
  <c r="FB45" i="9" s="1"/>
  <c r="II45" i="9"/>
  <c r="FD45" i="9" s="1"/>
  <c r="IK44" i="9"/>
  <c r="FF44" i="9" s="1"/>
  <c r="IG48" i="9"/>
  <c r="II49" i="9"/>
  <c r="IL49" i="9"/>
  <c r="FG49" i="9" s="1"/>
  <c r="IE49" i="9"/>
  <c r="EZ49" i="9" s="1"/>
  <c r="IL44" i="9"/>
  <c r="FG44" i="9" s="1"/>
  <c r="IE51" i="9"/>
  <c r="EZ51" i="9" s="1"/>
  <c r="IK52" i="9"/>
  <c r="FF52" i="9" s="1"/>
  <c r="IF51" i="9"/>
  <c r="FA51" i="9" s="1"/>
  <c r="IK48" i="9"/>
  <c r="FF48" i="9" s="1"/>
  <c r="II47" i="9"/>
  <c r="FD47" i="9" s="1"/>
  <c r="IK49" i="9"/>
  <c r="FF49" i="9" s="1"/>
  <c r="IL48" i="9"/>
  <c r="IF48" i="9"/>
  <c r="IL51" i="9"/>
  <c r="FG51" i="9" s="1"/>
  <c r="IL46" i="9"/>
  <c r="FG46" i="9" s="1"/>
  <c r="IL45" i="9"/>
  <c r="FG45" i="9" s="1"/>
  <c r="IL52" i="9"/>
  <c r="FG52" i="9" s="1"/>
  <c r="IG46" i="9"/>
  <c r="FB46" i="9" s="1"/>
  <c r="IF44" i="9"/>
  <c r="FA44" i="9" s="1"/>
  <c r="II44" i="9"/>
  <c r="FD44" i="9" s="1"/>
  <c r="IK45" i="9"/>
  <c r="FF45" i="9" s="1"/>
  <c r="IE44" i="9"/>
  <c r="EZ44" i="9" s="1"/>
  <c r="IK47" i="9"/>
  <c r="FF47" i="9" s="1"/>
  <c r="IF46" i="9"/>
  <c r="FA46" i="9" s="1"/>
  <c r="II52" i="9"/>
  <c r="FD52" i="9" s="1"/>
  <c r="IF47" i="9"/>
  <c r="IF45" i="9"/>
  <c r="FA45" i="9" s="1"/>
  <c r="IL47" i="9"/>
  <c r="IE52" i="9"/>
  <c r="EZ52" i="9" s="1"/>
  <c r="IF49" i="9"/>
  <c r="FA49" i="9" s="1"/>
  <c r="IE47" i="9"/>
  <c r="II51" i="9"/>
  <c r="FD51" i="9" s="1"/>
  <c r="II48" i="9"/>
  <c r="II46" i="9"/>
  <c r="FD46" i="9" s="1"/>
  <c r="IG47" i="9"/>
  <c r="IK46" i="9"/>
  <c r="FF46" i="9" s="1"/>
  <c r="IG52" i="9"/>
  <c r="FB52" i="9" s="1"/>
  <c r="IG44" i="9"/>
  <c r="FB44" i="9" s="1"/>
  <c r="DP45" i="8"/>
  <c r="MD45" i="9" s="1"/>
  <c r="R44" i="8"/>
  <c r="CX44" i="8"/>
  <c r="Q89" i="7"/>
  <c r="O89" i="7"/>
  <c r="CX40" i="8"/>
  <c r="CX41" i="8"/>
  <c r="CX42" i="8"/>
  <c r="CX43" i="8"/>
  <c r="R43" i="8" a="1"/>
  <c r="J43" i="8" a="1"/>
  <c r="Q88" i="7"/>
  <c r="O88" i="7"/>
  <c r="BN48" i="10" l="1"/>
  <c r="BN52" i="10"/>
  <c r="CF52" i="10" s="1"/>
  <c r="CO52" i="10" s="1"/>
  <c r="B53" i="11" s="1"/>
  <c r="CO48" i="10"/>
  <c r="B49" i="11" s="1"/>
  <c r="CF47" i="10"/>
  <c r="CO47" i="10" s="1"/>
  <c r="B48" i="11" s="1"/>
  <c r="DM52" i="8"/>
  <c r="B52" i="9"/>
  <c r="DM44" i="8"/>
  <c r="B44" i="9"/>
  <c r="DM47" i="8"/>
  <c r="B47" i="9"/>
  <c r="DM51" i="8"/>
  <c r="B51" i="9"/>
  <c r="DM45" i="8"/>
  <c r="B45" i="9"/>
  <c r="DM48" i="8"/>
  <c r="B48" i="9"/>
  <c r="CF49" i="10"/>
  <c r="CO49" i="10" s="1"/>
  <c r="B50" i="11" s="1"/>
  <c r="DM46" i="8"/>
  <c r="B46" i="9"/>
  <c r="DM49" i="8"/>
  <c r="B49" i="9"/>
  <c r="CO46" i="10"/>
  <c r="B47" i="11" s="1"/>
  <c r="CO51" i="10"/>
  <c r="B52" i="11" s="1"/>
  <c r="KR49" i="9"/>
  <c r="LA49" i="9" s="1"/>
  <c r="KT45" i="9"/>
  <c r="LC45" i="9" s="1"/>
  <c r="AK52" i="9"/>
  <c r="J52" i="9" s="1"/>
  <c r="FD48" i="9"/>
  <c r="FM48" i="9" s="1"/>
  <c r="EZ48" i="9"/>
  <c r="FI48" i="9" s="1"/>
  <c r="FA47" i="9"/>
  <c r="FJ47" i="9" s="1"/>
  <c r="FG47" i="9"/>
  <c r="FP47" i="9" s="1"/>
  <c r="FD49" i="9"/>
  <c r="FM49" i="9" s="1"/>
  <c r="FB47" i="9"/>
  <c r="FK47" i="9" s="1"/>
  <c r="EZ47" i="9"/>
  <c r="FI47" i="9" s="1"/>
  <c r="FB48" i="9"/>
  <c r="FK48" i="9" s="1"/>
  <c r="FA48" i="9"/>
  <c r="FJ48" i="9" s="1"/>
  <c r="FB51" i="9"/>
  <c r="FK51" i="9" s="1"/>
  <c r="FG48" i="9"/>
  <c r="FP48" i="9" s="1"/>
  <c r="AH49" i="9"/>
  <c r="G49" i="9" s="1"/>
  <c r="KV49" i="9"/>
  <c r="LE49" i="9" s="1"/>
  <c r="KR45" i="9"/>
  <c r="LA45" i="9" s="1"/>
  <c r="AN46" i="11"/>
  <c r="KV52" i="9"/>
  <c r="LE52" i="9" s="1"/>
  <c r="AR53" i="11"/>
  <c r="KR52" i="9"/>
  <c r="LA52" i="9" s="1"/>
  <c r="AN53" i="11"/>
  <c r="AK45" i="9"/>
  <c r="J45" i="9" s="1"/>
  <c r="AS46" i="11"/>
  <c r="KT46" i="9"/>
  <c r="LC46" i="9" s="1"/>
  <c r="AP47" i="11"/>
  <c r="AK44" i="9"/>
  <c r="J44" i="9" s="1"/>
  <c r="AS45" i="11"/>
  <c r="KP51" i="9"/>
  <c r="KY51" i="9" s="1"/>
  <c r="AL52" i="11"/>
  <c r="AK47" i="9"/>
  <c r="J47" i="9" s="1"/>
  <c r="AS48" i="11"/>
  <c r="KT52" i="9"/>
  <c r="LC52" i="9" s="1"/>
  <c r="KQ52" i="9"/>
  <c r="KZ52" i="9" s="1"/>
  <c r="AM53" i="11"/>
  <c r="AO52" i="11"/>
  <c r="KQ45" i="9"/>
  <c r="KZ45" i="9" s="1"/>
  <c r="AM46" i="11"/>
  <c r="KV47" i="9"/>
  <c r="LE47" i="9" s="1"/>
  <c r="AR48" i="11"/>
  <c r="KR47" i="9"/>
  <c r="LA47" i="9" s="1"/>
  <c r="AN48" i="11"/>
  <c r="AF44" i="9"/>
  <c r="E44" i="9" s="1"/>
  <c r="AN45" i="11"/>
  <c r="KT51" i="9"/>
  <c r="LC51" i="9" s="1"/>
  <c r="AP52" i="11"/>
  <c r="KR46" i="9"/>
  <c r="LA46" i="9" s="1"/>
  <c r="AN47" i="11"/>
  <c r="AK46" i="9"/>
  <c r="J46" i="9" s="1"/>
  <c r="AS47" i="11"/>
  <c r="KP47" i="9"/>
  <c r="KY47" i="9" s="1"/>
  <c r="AL48" i="11"/>
  <c r="KV46" i="9"/>
  <c r="LE46" i="9" s="1"/>
  <c r="AR47" i="11"/>
  <c r="KR48" i="9"/>
  <c r="LA48" i="9" s="1"/>
  <c r="AN49" i="11"/>
  <c r="KP49" i="9"/>
  <c r="KY49" i="9" s="1"/>
  <c r="AL50" i="11"/>
  <c r="AD44" i="9"/>
  <c r="C44" i="9" s="1"/>
  <c r="AL45" i="11"/>
  <c r="KQ44" i="9"/>
  <c r="KZ44" i="9" s="1"/>
  <c r="AM45" i="11"/>
  <c r="AK49" i="9"/>
  <c r="J49" i="9" s="1"/>
  <c r="AS50" i="11"/>
  <c r="AQ49" i="11"/>
  <c r="KV45" i="9"/>
  <c r="LE45" i="9" s="1"/>
  <c r="AR46" i="11"/>
  <c r="AQ53" i="11"/>
  <c r="AQ46" i="11"/>
  <c r="KQ46" i="9"/>
  <c r="KZ46" i="9" s="1"/>
  <c r="AM47" i="11"/>
  <c r="AQ50" i="11"/>
  <c r="KQ49" i="9"/>
  <c r="KZ49" i="9" s="1"/>
  <c r="AM50" i="11"/>
  <c r="AK48" i="9"/>
  <c r="J48" i="9" s="1"/>
  <c r="AS49" i="11"/>
  <c r="KV51" i="9"/>
  <c r="LE51" i="9" s="1"/>
  <c r="AR52" i="11"/>
  <c r="AO48" i="11"/>
  <c r="KT48" i="9"/>
  <c r="LC48" i="9" s="1"/>
  <c r="AP49" i="11"/>
  <c r="KR51" i="9"/>
  <c r="LA51" i="9" s="1"/>
  <c r="AN52" i="11"/>
  <c r="AD48" i="9"/>
  <c r="C48" i="9" s="1"/>
  <c r="AL49" i="11"/>
  <c r="KP46" i="9"/>
  <c r="KY46" i="9" s="1"/>
  <c r="AL47" i="11"/>
  <c r="KQ47" i="9"/>
  <c r="KZ47" i="9" s="1"/>
  <c r="AM48" i="11"/>
  <c r="AO53" i="11"/>
  <c r="KQ48" i="9"/>
  <c r="KZ48" i="9" s="1"/>
  <c r="AM49" i="11"/>
  <c r="AK51" i="9"/>
  <c r="J51" i="9" s="1"/>
  <c r="AS52" i="11"/>
  <c r="KT44" i="9"/>
  <c r="LC44" i="9" s="1"/>
  <c r="AP45" i="11"/>
  <c r="KQ51" i="9"/>
  <c r="KZ51" i="9" s="1"/>
  <c r="KV44" i="9"/>
  <c r="LE44" i="9" s="1"/>
  <c r="AR45" i="11"/>
  <c r="KP52" i="9"/>
  <c r="KY52" i="9" s="1"/>
  <c r="AL53" i="11"/>
  <c r="KP45" i="9"/>
  <c r="KY45" i="9" s="1"/>
  <c r="AL46" i="11"/>
  <c r="AQ48" i="11"/>
  <c r="KT47" i="9"/>
  <c r="LC47" i="9" s="1"/>
  <c r="AP48" i="11"/>
  <c r="AQ45" i="11"/>
  <c r="AQ47" i="11"/>
  <c r="KV48" i="9"/>
  <c r="LE48" i="9" s="1"/>
  <c r="AR49" i="11"/>
  <c r="ID49" i="9"/>
  <c r="EY49" i="9" s="1"/>
  <c r="KO49" i="9"/>
  <c r="ID44" i="9"/>
  <c r="EY44" i="9" s="1"/>
  <c r="KO51" i="9"/>
  <c r="KO52" i="9"/>
  <c r="KO45" i="9"/>
  <c r="KO47" i="9"/>
  <c r="J43" i="8"/>
  <c r="FK49" i="9"/>
  <c r="FO47" i="9"/>
  <c r="FJ52" i="9"/>
  <c r="ID48" i="9"/>
  <c r="EY48" i="9" s="1"/>
  <c r="KO48" i="9"/>
  <c r="KW51" i="9"/>
  <c r="LF51" i="9" s="1"/>
  <c r="KO46" i="9"/>
  <c r="ID51" i="9"/>
  <c r="EY51" i="9" s="1"/>
  <c r="FO51" i="9"/>
  <c r="KO44" i="9"/>
  <c r="FM47" i="9"/>
  <c r="KW46" i="9"/>
  <c r="LF46" i="9" s="1"/>
  <c r="KW48" i="9"/>
  <c r="LF48" i="9" s="1"/>
  <c r="FO48" i="9"/>
  <c r="KW44" i="9"/>
  <c r="LF44" i="9" s="1"/>
  <c r="KP44" i="9"/>
  <c r="KY44" i="9" s="1"/>
  <c r="KR44" i="9"/>
  <c r="LA44" i="9" s="1"/>
  <c r="KP48" i="9"/>
  <c r="KY48" i="9" s="1"/>
  <c r="KW49" i="9"/>
  <c r="LF49" i="9" s="1"/>
  <c r="KT49" i="9"/>
  <c r="LC49" i="9" s="1"/>
  <c r="KW52" i="9"/>
  <c r="LF52" i="9" s="1"/>
  <c r="KW45" i="9"/>
  <c r="LF45" i="9" s="1"/>
  <c r="KW47" i="9"/>
  <c r="LF47" i="9" s="1"/>
  <c r="ID52" i="9"/>
  <c r="AD47" i="9"/>
  <c r="C47" i="9" s="1"/>
  <c r="AF51" i="9"/>
  <c r="E51" i="9" s="1"/>
  <c r="AE46" i="9"/>
  <c r="D46" i="9" s="1"/>
  <c r="AJ45" i="9"/>
  <c r="I45" i="9" s="1"/>
  <c r="AD46" i="9"/>
  <c r="C46" i="9" s="1"/>
  <c r="AE44" i="9"/>
  <c r="D44" i="9" s="1"/>
  <c r="AJ47" i="9"/>
  <c r="I47" i="9" s="1"/>
  <c r="AH46" i="9"/>
  <c r="G46" i="9" s="1"/>
  <c r="AE45" i="9"/>
  <c r="D45" i="9" s="1"/>
  <c r="AD49" i="9"/>
  <c r="C49" i="9" s="1"/>
  <c r="AF52" i="9"/>
  <c r="E52" i="9" s="1"/>
  <c r="AJ52" i="9"/>
  <c r="I52" i="9" s="1"/>
  <c r="AF47" i="9"/>
  <c r="E47" i="9" s="1"/>
  <c r="AJ48" i="9"/>
  <c r="I48" i="9" s="1"/>
  <c r="AE49" i="9"/>
  <c r="D49" i="9" s="1"/>
  <c r="AJ46" i="9"/>
  <c r="I46" i="9" s="1"/>
  <c r="AH48" i="9"/>
  <c r="G48" i="9" s="1"/>
  <c r="AH44" i="9"/>
  <c r="G44" i="9" s="1"/>
  <c r="AH51" i="9"/>
  <c r="G51" i="9" s="1"/>
  <c r="AE48" i="9"/>
  <c r="D48" i="9" s="1"/>
  <c r="AD51" i="9"/>
  <c r="C51" i="9" s="1"/>
  <c r="AH47" i="9"/>
  <c r="G47" i="9" s="1"/>
  <c r="AD45" i="9"/>
  <c r="C45" i="9" s="1"/>
  <c r="AJ49" i="9"/>
  <c r="I49" i="9" s="1"/>
  <c r="AE51" i="9"/>
  <c r="D51" i="9" s="1"/>
  <c r="AF48" i="9"/>
  <c r="E48" i="9" s="1"/>
  <c r="AF46" i="9"/>
  <c r="E46" i="9" s="1"/>
  <c r="AJ51" i="9"/>
  <c r="I51" i="9" s="1"/>
  <c r="AF45" i="9"/>
  <c r="E45" i="9" s="1"/>
  <c r="AF49" i="9"/>
  <c r="E49" i="9" s="1"/>
  <c r="AJ44" i="9"/>
  <c r="I44" i="9" s="1"/>
  <c r="AE52" i="9"/>
  <c r="D52" i="9" s="1"/>
  <c r="AH45" i="9"/>
  <c r="G45" i="9" s="1"/>
  <c r="AH52" i="9"/>
  <c r="G52" i="9" s="1"/>
  <c r="AE47" i="9"/>
  <c r="D47" i="9" s="1"/>
  <c r="AD52" i="9"/>
  <c r="C52" i="9" s="1"/>
  <c r="ID47" i="9"/>
  <c r="FP44" i="9"/>
  <c r="FP49" i="9"/>
  <c r="ID46" i="9"/>
  <c r="FO49" i="9"/>
  <c r="AD45" i="11"/>
  <c r="FM52" i="9"/>
  <c r="FK46" i="9"/>
  <c r="FK44" i="9"/>
  <c r="FO45" i="9"/>
  <c r="FJ44" i="9"/>
  <c r="FP46" i="9"/>
  <c r="FI49" i="9"/>
  <c r="FP52" i="9"/>
  <c r="ID45" i="9"/>
  <c r="FK45" i="9"/>
  <c r="FM51" i="9"/>
  <c r="FI52" i="9"/>
  <c r="FJ45" i="9"/>
  <c r="FJ46" i="9"/>
  <c r="FK52" i="9"/>
  <c r="FJ49" i="9"/>
  <c r="FO52" i="9"/>
  <c r="FO44" i="9"/>
  <c r="FI45" i="9"/>
  <c r="FI51" i="9"/>
  <c r="FP51" i="9"/>
  <c r="FM45" i="9"/>
  <c r="FM46" i="9"/>
  <c r="FM44" i="9"/>
  <c r="FO46" i="9"/>
  <c r="FI44" i="9"/>
  <c r="FP45" i="9"/>
  <c r="FJ51" i="9"/>
  <c r="FI46" i="9"/>
  <c r="DP44" i="8"/>
  <c r="MD44" i="9" s="1"/>
  <c r="R43" i="8"/>
  <c r="R42" i="8" a="1"/>
  <c r="J42" i="8" a="1"/>
  <c r="Q87" i="7"/>
  <c r="O87" i="7"/>
  <c r="KX46" i="9" l="1"/>
  <c r="KX48" i="9"/>
  <c r="KX52" i="9"/>
  <c r="KX51" i="9"/>
  <c r="KX44" i="9"/>
  <c r="KX49" i="9"/>
  <c r="KX47" i="9"/>
  <c r="KX45" i="9"/>
  <c r="DO46" i="8"/>
  <c r="DO51" i="8"/>
  <c r="DO47" i="8"/>
  <c r="DO48" i="8"/>
  <c r="DO52" i="8"/>
  <c r="DO44" i="8"/>
  <c r="DO45" i="8"/>
  <c r="DO49" i="8"/>
  <c r="EY52" i="9"/>
  <c r="FH52" i="9" s="1"/>
  <c r="J42" i="8"/>
  <c r="FH51" i="9"/>
  <c r="FH49" i="9"/>
  <c r="FH48" i="9"/>
  <c r="FH44" i="9"/>
  <c r="EY47" i="9"/>
  <c r="EY46" i="9"/>
  <c r="EY45" i="9"/>
  <c r="AD44" i="11"/>
  <c r="DP43" i="8"/>
  <c r="MD43" i="9" s="1"/>
  <c r="R42" i="8"/>
  <c r="R41" i="8" a="1"/>
  <c r="J41" i="8" a="1"/>
  <c r="Q86" i="7"/>
  <c r="O86" i="7"/>
  <c r="Q50" i="11" l="1"/>
  <c r="Q49" i="11"/>
  <c r="Q46" i="11"/>
  <c r="Q48" i="11"/>
  <c r="Q45" i="11"/>
  <c r="Q52" i="11"/>
  <c r="K49" i="12"/>
  <c r="T49" i="12" s="1"/>
  <c r="Q53" i="11"/>
  <c r="Q47" i="11"/>
  <c r="J41" i="8"/>
  <c r="FH45" i="9"/>
  <c r="K45" i="12" s="1"/>
  <c r="FH46" i="9"/>
  <c r="K46" i="12" s="1"/>
  <c r="T46" i="12" s="1"/>
  <c r="FH47" i="9"/>
  <c r="AD43" i="11"/>
  <c r="DP42" i="8"/>
  <c r="MD42" i="9" s="1"/>
  <c r="R41" i="8"/>
  <c r="R40" i="8" a="1"/>
  <c r="J40" i="8" a="1"/>
  <c r="O85" i="7"/>
  <c r="Q85" i="7"/>
  <c r="K48" i="12" l="1"/>
  <c r="T48" i="12" s="1"/>
  <c r="GB48" i="9" s="1"/>
  <c r="GK48" i="9" s="1"/>
  <c r="K47" i="12"/>
  <c r="T47" i="12" s="1"/>
  <c r="K51" i="12"/>
  <c r="T51" i="12" s="1"/>
  <c r="GB51" i="9" s="1"/>
  <c r="GK51" i="9" s="1"/>
  <c r="K44" i="12"/>
  <c r="JR52" i="9"/>
  <c r="AP52" i="9"/>
  <c r="AG52" i="9" s="1"/>
  <c r="F52" i="9" s="1"/>
  <c r="JR51" i="9"/>
  <c r="AP51" i="9"/>
  <c r="AG51" i="9" s="1"/>
  <c r="F51" i="9" s="1"/>
  <c r="K52" i="12"/>
  <c r="T52" i="12" s="1"/>
  <c r="GB52" i="9" s="1"/>
  <c r="GK52" i="9" s="1"/>
  <c r="AP44" i="9"/>
  <c r="AG44" i="9" s="1"/>
  <c r="F44" i="9" s="1"/>
  <c r="JR44" i="9"/>
  <c r="AP47" i="9"/>
  <c r="AG47" i="9" s="1"/>
  <c r="F47" i="9" s="1"/>
  <c r="JR47" i="9"/>
  <c r="AP48" i="9"/>
  <c r="AG48" i="9" s="1"/>
  <c r="F48" i="9" s="1"/>
  <c r="JR48" i="9"/>
  <c r="AP45" i="9"/>
  <c r="AG45" i="9" s="1"/>
  <c r="F45" i="9" s="1"/>
  <c r="JR45" i="9"/>
  <c r="JR49" i="9"/>
  <c r="AP49" i="9"/>
  <c r="AG49" i="9" s="1"/>
  <c r="F49" i="9" s="1"/>
  <c r="JR46" i="9"/>
  <c r="AP46" i="9"/>
  <c r="AG46" i="9" s="1"/>
  <c r="F46" i="9" s="1"/>
  <c r="GB49" i="9"/>
  <c r="GK49" i="9" s="1"/>
  <c r="J40" i="8"/>
  <c r="AD42" i="11"/>
  <c r="DP41" i="8"/>
  <c r="MD41" i="9" s="1"/>
  <c r="R40" i="8"/>
  <c r="R39" i="8" a="1"/>
  <c r="J39" i="8" a="1"/>
  <c r="Q84" i="7"/>
  <c r="O84" i="7"/>
  <c r="ET47" i="9" l="1"/>
  <c r="IH47" i="9"/>
  <c r="KS47" i="9"/>
  <c r="AR51" i="9"/>
  <c r="AI51" i="9" s="1"/>
  <c r="H51" i="9" s="1"/>
  <c r="JT51" i="9"/>
  <c r="ET51" i="9"/>
  <c r="IH51" i="9"/>
  <c r="KS51" i="9"/>
  <c r="ET45" i="9"/>
  <c r="IH45" i="9"/>
  <c r="KS45" i="9"/>
  <c r="AR49" i="9"/>
  <c r="AI49" i="9" s="1"/>
  <c r="H49" i="9" s="1"/>
  <c r="JT49" i="9"/>
  <c r="AR46" i="9"/>
  <c r="AI46" i="9" s="1"/>
  <c r="H46" i="9" s="1"/>
  <c r="JT46" i="9"/>
  <c r="ET52" i="9"/>
  <c r="IH52" i="9"/>
  <c r="KS52" i="9"/>
  <c r="ET46" i="9"/>
  <c r="IH46" i="9"/>
  <c r="KS46" i="9"/>
  <c r="AR48" i="9"/>
  <c r="AI48" i="9" s="1"/>
  <c r="H48" i="9" s="1"/>
  <c r="JT48" i="9"/>
  <c r="AR47" i="9"/>
  <c r="AI47" i="9" s="1"/>
  <c r="H47" i="9" s="1"/>
  <c r="JT47" i="9"/>
  <c r="AR52" i="9"/>
  <c r="AI52" i="9" s="1"/>
  <c r="H52" i="9" s="1"/>
  <c r="JT52" i="9"/>
  <c r="ET49" i="9"/>
  <c r="IH49" i="9"/>
  <c r="KS49" i="9"/>
  <c r="AR45" i="9"/>
  <c r="AI45" i="9" s="1"/>
  <c r="H45" i="9" s="1"/>
  <c r="JT45" i="9"/>
  <c r="JT44" i="9"/>
  <c r="AR44" i="9"/>
  <c r="AI44" i="9" s="1"/>
  <c r="H44" i="9" s="1"/>
  <c r="ET48" i="9"/>
  <c r="IH48" i="9"/>
  <c r="KS48" i="9"/>
  <c r="ET44" i="9"/>
  <c r="IH44" i="9"/>
  <c r="KS44" i="9"/>
  <c r="LB44" i="9" s="1"/>
  <c r="GT49" i="9"/>
  <c r="IM49" i="9" s="1"/>
  <c r="GT48" i="9"/>
  <c r="IM48" i="9" s="1"/>
  <c r="GT52" i="9"/>
  <c r="IM52" i="9" s="1"/>
  <c r="GT51" i="9"/>
  <c r="IM51" i="9" s="1"/>
  <c r="GB46" i="9"/>
  <c r="GK46" i="9" s="1"/>
  <c r="GB47" i="9"/>
  <c r="GK47" i="9" s="1"/>
  <c r="J39" i="8"/>
  <c r="AD41" i="11"/>
  <c r="DP40" i="8"/>
  <c r="MD40" i="9" s="1"/>
  <c r="R39" i="8"/>
  <c r="R38" i="8" a="1"/>
  <c r="J38" i="8" a="1"/>
  <c r="Q83" i="7"/>
  <c r="O83" i="7"/>
  <c r="LB47" i="9" l="1"/>
  <c r="LB46" i="9"/>
  <c r="FC48" i="9"/>
  <c r="FL48" i="9" s="1"/>
  <c r="LB52" i="9"/>
  <c r="LB48" i="9"/>
  <c r="FC49" i="9"/>
  <c r="FL49" i="9" s="1"/>
  <c r="FC51" i="9"/>
  <c r="FL51" i="9" s="1"/>
  <c r="FC47" i="9"/>
  <c r="FL47" i="9" s="1"/>
  <c r="FC45" i="9"/>
  <c r="FL45" i="9" s="1"/>
  <c r="LB49" i="9"/>
  <c r="LB51" i="9"/>
  <c r="EV45" i="9"/>
  <c r="IJ45" i="9"/>
  <c r="KU45" i="9"/>
  <c r="FC44" i="9"/>
  <c r="FL44" i="9" s="1"/>
  <c r="EV48" i="9"/>
  <c r="IJ48" i="9"/>
  <c r="KU48" i="9"/>
  <c r="FC52" i="9"/>
  <c r="FL52" i="9" s="1"/>
  <c r="EV46" i="9"/>
  <c r="IJ46" i="9"/>
  <c r="KU46" i="9"/>
  <c r="EV52" i="9"/>
  <c r="IJ52" i="9"/>
  <c r="KU52" i="9"/>
  <c r="EV49" i="9"/>
  <c r="IJ49" i="9"/>
  <c r="KU49" i="9"/>
  <c r="EV51" i="9"/>
  <c r="IJ51" i="9"/>
  <c r="KU51" i="9"/>
  <c r="FC46" i="9"/>
  <c r="FL46" i="9" s="1"/>
  <c r="EV44" i="9"/>
  <c r="IJ44" i="9"/>
  <c r="KU44" i="9"/>
  <c r="EV47" i="9"/>
  <c r="IJ47" i="9"/>
  <c r="KU47" i="9"/>
  <c r="LB45" i="9"/>
  <c r="GT46" i="9"/>
  <c r="IM46" i="9" s="1"/>
  <c r="GT47" i="9"/>
  <c r="IM47" i="9" s="1"/>
  <c r="J38" i="8"/>
  <c r="AD40" i="11"/>
  <c r="DP39" i="8"/>
  <c r="MD39" i="9" s="1"/>
  <c r="R38" i="8"/>
  <c r="R37" i="8" a="1"/>
  <c r="J37" i="8" a="1"/>
  <c r="Q82" i="7"/>
  <c r="O82" i="7"/>
  <c r="LD51" i="9" l="1"/>
  <c r="LD44" i="9"/>
  <c r="FE45" i="9"/>
  <c r="FN45" i="9" s="1"/>
  <c r="FE49" i="9"/>
  <c r="FN49" i="9" s="1"/>
  <c r="FE46" i="9"/>
  <c r="FN46" i="9" s="1"/>
  <c r="LD52" i="9"/>
  <c r="LD45" i="9"/>
  <c r="FE44" i="9"/>
  <c r="FN44" i="9" s="1"/>
  <c r="LD49" i="9"/>
  <c r="LD46" i="9"/>
  <c r="FE48" i="9"/>
  <c r="FN48" i="9" s="1"/>
  <c r="LD47" i="9"/>
  <c r="FE52" i="9"/>
  <c r="FN52" i="9" s="1"/>
  <c r="FE47" i="9"/>
  <c r="FN47" i="9" s="1"/>
  <c r="FE51" i="9"/>
  <c r="FN51" i="9" s="1"/>
  <c r="LD48" i="9"/>
  <c r="J37" i="8"/>
  <c r="AD39" i="11"/>
  <c r="DP38" i="8"/>
  <c r="MD38" i="9" s="1"/>
  <c r="R37" i="8"/>
  <c r="R36" i="8" a="1"/>
  <c r="J36" i="8" a="1"/>
  <c r="Q81" i="7"/>
  <c r="O81" i="7"/>
  <c r="J36" i="8" l="1"/>
  <c r="AD38" i="11"/>
  <c r="DP37" i="8"/>
  <c r="MD37" i="9" s="1"/>
  <c r="R36" i="8"/>
  <c r="R35" i="8" a="1"/>
  <c r="J35" i="8" a="1"/>
  <c r="Q80" i="7"/>
  <c r="O80" i="7"/>
  <c r="J35" i="8" l="1"/>
  <c r="AD37" i="11"/>
  <c r="DP36" i="8"/>
  <c r="MD36" i="9" s="1"/>
  <c r="R35" i="8"/>
  <c r="R34" i="8" a="1"/>
  <c r="J34" i="8" a="1"/>
  <c r="Q79" i="7"/>
  <c r="O79" i="7"/>
  <c r="J34" i="8" l="1"/>
  <c r="AD36" i="11"/>
  <c r="DP35" i="8"/>
  <c r="MD35" i="9" s="1"/>
  <c r="R34" i="8"/>
  <c r="R32" i="8" a="1"/>
  <c r="J32" i="8" a="1"/>
  <c r="J32" i="8" l="1"/>
  <c r="AD35" i="11"/>
  <c r="DP34" i="8"/>
  <c r="MD34" i="9" s="1"/>
  <c r="R32" i="8"/>
  <c r="R33" i="8" a="1"/>
  <c r="J33" i="8" a="1"/>
  <c r="Q78" i="7"/>
  <c r="O78" i="7"/>
  <c r="J33" i="8" l="1"/>
  <c r="AD33" i="11"/>
  <c r="DP32" i="8"/>
  <c r="MD32" i="9" s="1"/>
  <c r="R33" i="8"/>
  <c r="Q77" i="7"/>
  <c r="O77" i="7"/>
  <c r="AD34" i="11" l="1"/>
  <c r="DP33" i="8"/>
  <c r="MD33" i="9" s="1"/>
  <c r="R31" i="8" a="1"/>
  <c r="J31" i="8" a="1"/>
  <c r="J31" i="8" l="1"/>
  <c r="R31" i="8"/>
  <c r="Q76" i="7"/>
  <c r="O76" i="7"/>
  <c r="AD32" i="11" l="1"/>
  <c r="DP31" i="8"/>
  <c r="MD31" i="9" s="1"/>
  <c r="A31" i="8"/>
  <c r="R30" i="8" a="1"/>
  <c r="J30" i="8" a="1"/>
  <c r="A31" i="9" l="1"/>
  <c r="A31" i="12"/>
  <c r="J30" i="8"/>
  <c r="R30" i="8"/>
  <c r="R29" i="8" a="1"/>
  <c r="J29" i="8" a="1"/>
  <c r="J29" i="8" l="1"/>
  <c r="AD31" i="11"/>
  <c r="DP30" i="8"/>
  <c r="MD30" i="9" s="1"/>
  <c r="R29" i="8"/>
  <c r="R28" i="8" a="1"/>
  <c r="J28" i="8" a="1"/>
  <c r="J28" i="8" l="1"/>
  <c r="AD30" i="11"/>
  <c r="DP29" i="8"/>
  <c r="MD29" i="9" s="1"/>
  <c r="R28" i="8"/>
  <c r="R27" i="8" a="1"/>
  <c r="J27" i="8" a="1"/>
  <c r="J27" i="8" l="1"/>
  <c r="AD29" i="11"/>
  <c r="DP28" i="8"/>
  <c r="MD28" i="9" s="1"/>
  <c r="R27" i="8"/>
  <c r="R26" i="8" a="1"/>
  <c r="J26" i="8" a="1"/>
  <c r="J26" i="8" l="1"/>
  <c r="AD28" i="11"/>
  <c r="DP27" i="8"/>
  <c r="MD27" i="9" s="1"/>
  <c r="R26" i="8"/>
  <c r="R25" i="8" a="1"/>
  <c r="J25" i="8" a="1"/>
  <c r="J25" i="8" l="1"/>
  <c r="AD27" i="11"/>
  <c r="DP26" i="8"/>
  <c r="MD26" i="9" s="1"/>
  <c r="R25" i="8"/>
  <c r="R24" i="8" a="1"/>
  <c r="J24" i="8" a="1"/>
  <c r="J24" i="8" l="1"/>
  <c r="AD26" i="11"/>
  <c r="DP25" i="8"/>
  <c r="MD25" i="9" s="1"/>
  <c r="R24" i="8"/>
  <c r="R23" i="8" a="1"/>
  <c r="J23" i="8" a="1"/>
  <c r="J23" i="8" l="1"/>
  <c r="AD25" i="11"/>
  <c r="DP24" i="8"/>
  <c r="MD24" i="9" s="1"/>
  <c r="R23" i="8"/>
  <c r="R22" i="8" a="1"/>
  <c r="J22" i="8" a="1"/>
  <c r="J22" i="8" l="1"/>
  <c r="AD24" i="11"/>
  <c r="DP23" i="8"/>
  <c r="MD23" i="9" s="1"/>
  <c r="R22" i="8"/>
  <c r="R21" i="8" a="1"/>
  <c r="J21" i="8" a="1"/>
  <c r="J21" i="8" l="1"/>
  <c r="AD23" i="11"/>
  <c r="DP22" i="8"/>
  <c r="MD22" i="9" s="1"/>
  <c r="R21" i="8"/>
  <c r="R20" i="8" a="1"/>
  <c r="J20" i="8" a="1"/>
  <c r="J20" i="8" l="1"/>
  <c r="AD22" i="11"/>
  <c r="DP21" i="8"/>
  <c r="MD21" i="9" s="1"/>
  <c r="R20" i="8"/>
  <c r="R19" i="8" a="1"/>
  <c r="J19" i="8" a="1"/>
  <c r="J19" i="8" l="1"/>
  <c r="AD21" i="11"/>
  <c r="DP20" i="8"/>
  <c r="MD20" i="9" s="1"/>
  <c r="R19" i="8"/>
  <c r="R18" i="8" a="1"/>
  <c r="J18" i="8" a="1"/>
  <c r="J18" i="8" l="1"/>
  <c r="AD20" i="11"/>
  <c r="DP19" i="8"/>
  <c r="MD19" i="9" s="1"/>
  <c r="R18" i="8"/>
  <c r="R17" i="8" a="1"/>
  <c r="J17" i="8" a="1"/>
  <c r="J17" i="8" l="1"/>
  <c r="AD19" i="11"/>
  <c r="DP18" i="8"/>
  <c r="MD18" i="9" s="1"/>
  <c r="R17" i="8"/>
  <c r="R16" i="8" a="1"/>
  <c r="J16" i="8" a="1"/>
  <c r="J16" i="8" l="1"/>
  <c r="AD18" i="11"/>
  <c r="DP17" i="8"/>
  <c r="MD17" i="9" s="1"/>
  <c r="R16" i="8"/>
  <c r="R15" i="8" a="1"/>
  <c r="J15" i="8" a="1"/>
  <c r="J15" i="8" l="1"/>
  <c r="AD17" i="11"/>
  <c r="DP16" i="8"/>
  <c r="MD16" i="9" s="1"/>
  <c r="R15" i="8"/>
  <c r="R14" i="8" a="1"/>
  <c r="J14" i="8" a="1"/>
  <c r="J14" i="8" l="1"/>
  <c r="AD16" i="11"/>
  <c r="DP15" i="8"/>
  <c r="MD15" i="9" s="1"/>
  <c r="R14" i="8"/>
  <c r="R13" i="8" a="1"/>
  <c r="J13" i="8" a="1"/>
  <c r="J13" i="8" l="1"/>
  <c r="AD15" i="11"/>
  <c r="DP14" i="8"/>
  <c r="MD14" i="9" s="1"/>
  <c r="R13" i="8"/>
  <c r="R12" i="8" a="1"/>
  <c r="J12" i="8" a="1"/>
  <c r="J12" i="8" l="1"/>
  <c r="AD14" i="11"/>
  <c r="DP13" i="8"/>
  <c r="MD13" i="9" s="1"/>
  <c r="R12" i="8"/>
  <c r="R11" i="8" a="1"/>
  <c r="J11" i="8" a="1"/>
  <c r="J11" i="8" l="1"/>
  <c r="AD13" i="11"/>
  <c r="DP12" i="8"/>
  <c r="MD12" i="9" s="1"/>
  <c r="R11" i="8"/>
  <c r="R10" i="8" a="1"/>
  <c r="J10" i="8" a="1"/>
  <c r="J10" i="8" l="1"/>
  <c r="AD12" i="11"/>
  <c r="DP11" i="8"/>
  <c r="MD11" i="9" s="1"/>
  <c r="R10" i="8"/>
  <c r="R9" i="8" a="1"/>
  <c r="J9" i="8" a="1"/>
  <c r="J9" i="8" l="1"/>
  <c r="AD11" i="11"/>
  <c r="DP10" i="8"/>
  <c r="MD10" i="9" s="1"/>
  <c r="R9" i="8"/>
  <c r="R8" i="8" a="1"/>
  <c r="J8" i="8" a="1"/>
  <c r="J8" i="8" l="1"/>
  <c r="AD10" i="11"/>
  <c r="DP9" i="8"/>
  <c r="MD9" i="9" s="1"/>
  <c r="R8" i="8"/>
  <c r="R7" i="8" a="1"/>
  <c r="J7" i="8" a="1"/>
  <c r="J7" i="8" l="1"/>
  <c r="AD9" i="11"/>
  <c r="DP8" i="8"/>
  <c r="MD8" i="9" s="1"/>
  <c r="R7" i="8"/>
  <c r="R6" i="8" a="1"/>
  <c r="J6" i="8" a="1"/>
  <c r="J6" i="8" l="1"/>
  <c r="AD8" i="11"/>
  <c r="DP7" i="8"/>
  <c r="MD7" i="9" s="1"/>
  <c r="R6" i="8"/>
  <c r="R5" i="8" a="1"/>
  <c r="J5" i="8" a="1"/>
  <c r="J5" i="8" l="1"/>
  <c r="AD7" i="11"/>
  <c r="DP6" i="8"/>
  <c r="MD6" i="9" s="1"/>
  <c r="R5" i="8"/>
  <c r="R4" i="8" a="1"/>
  <c r="J4" i="8" a="1"/>
  <c r="J4" i="8" l="1"/>
  <c r="AD6" i="11"/>
  <c r="DP5" i="8"/>
  <c r="MD5" i="9" s="1"/>
  <c r="R4" i="8"/>
  <c r="CR3" i="8"/>
  <c r="CR4" i="8"/>
  <c r="CR5" i="8"/>
  <c r="CR6" i="8"/>
  <c r="CR7" i="8"/>
  <c r="CR8" i="8"/>
  <c r="CR9" i="8"/>
  <c r="CR10" i="8"/>
  <c r="CR11" i="8"/>
  <c r="CR12" i="8"/>
  <c r="CR13" i="8"/>
  <c r="CR14" i="8"/>
  <c r="CR15" i="8"/>
  <c r="CR16" i="8"/>
  <c r="CR17" i="8"/>
  <c r="CR18" i="8"/>
  <c r="CR19" i="8"/>
  <c r="CR20" i="8"/>
  <c r="CR21" i="8"/>
  <c r="CR22" i="8"/>
  <c r="CR23" i="8"/>
  <c r="CR24" i="8"/>
  <c r="CR25" i="8"/>
  <c r="CR26" i="8"/>
  <c r="CR27" i="8"/>
  <c r="CR28" i="8"/>
  <c r="CR29" i="8"/>
  <c r="CR30" i="8"/>
  <c r="CR31" i="8"/>
  <c r="CR32" i="8"/>
  <c r="CR33" i="8"/>
  <c r="CR34" i="8"/>
  <c r="CR35" i="8"/>
  <c r="CR36" i="8"/>
  <c r="CR37" i="8"/>
  <c r="CR38" i="8"/>
  <c r="CR39" i="8"/>
  <c r="CR40" i="8"/>
  <c r="CR41" i="8"/>
  <c r="CR42" i="8"/>
  <c r="CR43" i="8"/>
  <c r="CR44" i="8"/>
  <c r="CR45" i="8"/>
  <c r="CR46" i="8"/>
  <c r="CR47" i="8"/>
  <c r="CR48" i="8"/>
  <c r="CR49" i="8"/>
  <c r="CR2" i="8"/>
  <c r="R3" i="8" a="1"/>
  <c r="J3" i="8" a="1"/>
  <c r="J3" i="8" l="1"/>
  <c r="AD5" i="11"/>
  <c r="DP4" i="8"/>
  <c r="MD4" i="9" s="1"/>
  <c r="R3" i="8"/>
  <c r="DF3" i="8"/>
  <c r="DF4" i="8"/>
  <c r="DF5" i="8"/>
  <c r="DF6" i="8"/>
  <c r="DF7" i="8"/>
  <c r="DF8" i="8"/>
  <c r="DF9" i="8"/>
  <c r="DF10" i="8"/>
  <c r="DF11" i="8"/>
  <c r="DF12" i="8"/>
  <c r="DF13" i="8"/>
  <c r="DF14" i="8"/>
  <c r="DF15" i="8"/>
  <c r="DF16" i="8"/>
  <c r="DF17" i="8"/>
  <c r="DF18" i="8"/>
  <c r="DF19" i="8"/>
  <c r="DF20" i="8"/>
  <c r="DF21" i="8"/>
  <c r="DF22" i="8"/>
  <c r="DF23" i="8"/>
  <c r="DF24" i="8"/>
  <c r="DF25" i="8"/>
  <c r="DF26" i="8"/>
  <c r="DF27" i="8"/>
  <c r="DF28" i="8"/>
  <c r="DF29" i="8"/>
  <c r="DF30" i="8"/>
  <c r="DF31" i="8"/>
  <c r="DF32" i="8"/>
  <c r="DF33" i="8"/>
  <c r="DF34" i="8"/>
  <c r="DF35" i="8"/>
  <c r="DF36" i="8"/>
  <c r="DF37" i="8"/>
  <c r="DF38" i="8"/>
  <c r="DF39" i="8"/>
  <c r="DF40" i="8"/>
  <c r="DF41" i="8"/>
  <c r="DF42" i="8"/>
  <c r="DF2" i="8"/>
  <c r="IV2" i="9" s="1"/>
  <c r="DE3" i="8"/>
  <c r="DE4" i="8"/>
  <c r="DE5" i="8"/>
  <c r="DE6" i="8"/>
  <c r="DE7" i="8"/>
  <c r="DE8" i="8"/>
  <c r="DE9" i="8"/>
  <c r="DE10" i="8"/>
  <c r="DE11" i="8"/>
  <c r="DE12" i="8"/>
  <c r="DE13" i="8"/>
  <c r="DE14" i="8"/>
  <c r="DE15" i="8"/>
  <c r="DE16" i="8"/>
  <c r="DE17" i="8"/>
  <c r="DE18" i="8"/>
  <c r="DE19" i="8"/>
  <c r="DE20" i="8"/>
  <c r="DE21" i="8"/>
  <c r="DE22" i="8"/>
  <c r="DE23" i="8"/>
  <c r="DE24" i="8"/>
  <c r="DE25" i="8"/>
  <c r="DE26" i="8"/>
  <c r="DE27" i="8"/>
  <c r="DE28" i="8"/>
  <c r="DE29" i="8"/>
  <c r="DE30" i="8"/>
  <c r="DE31" i="8"/>
  <c r="DE32" i="8"/>
  <c r="DE33" i="8"/>
  <c r="DE34" i="8"/>
  <c r="DE35" i="8"/>
  <c r="DE36" i="8"/>
  <c r="DE37" i="8"/>
  <c r="DE38" i="8"/>
  <c r="DE39" i="8"/>
  <c r="DE40" i="8"/>
  <c r="DE2" i="8"/>
  <c r="DD3" i="8"/>
  <c r="C3" i="10" s="1"/>
  <c r="DD4" i="8"/>
  <c r="C4" i="10" s="1"/>
  <c r="DD5" i="8"/>
  <c r="C5" i="10" s="1"/>
  <c r="DD6" i="8"/>
  <c r="C6" i="10" s="1"/>
  <c r="DD7" i="8"/>
  <c r="C7" i="10" s="1"/>
  <c r="DD8" i="8"/>
  <c r="C8" i="10" s="1"/>
  <c r="DD9" i="8"/>
  <c r="C9" i="10" s="1"/>
  <c r="DD10" i="8"/>
  <c r="C10" i="10" s="1"/>
  <c r="DD11" i="8"/>
  <c r="C11" i="10" s="1"/>
  <c r="DD12" i="8"/>
  <c r="C12" i="10" s="1"/>
  <c r="DD13" i="8"/>
  <c r="C13" i="10" s="1"/>
  <c r="DD14" i="8"/>
  <c r="C14" i="10" s="1"/>
  <c r="DD15" i="8"/>
  <c r="C15" i="10" s="1"/>
  <c r="DD16" i="8"/>
  <c r="C16" i="10" s="1"/>
  <c r="DD17" i="8"/>
  <c r="C17" i="10" s="1"/>
  <c r="DD18" i="8"/>
  <c r="C18" i="10" s="1"/>
  <c r="DD19" i="8"/>
  <c r="C19" i="10" s="1"/>
  <c r="DD20" i="8"/>
  <c r="C20" i="10" s="1"/>
  <c r="DD21" i="8"/>
  <c r="C21" i="10" s="1"/>
  <c r="DD22" i="8"/>
  <c r="C22" i="10" s="1"/>
  <c r="DD23" i="8"/>
  <c r="C23" i="10" s="1"/>
  <c r="DD24" i="8"/>
  <c r="C24" i="10" s="1"/>
  <c r="DD25" i="8"/>
  <c r="C25" i="10" s="1"/>
  <c r="DD26" i="8"/>
  <c r="C26" i="10" s="1"/>
  <c r="DD27" i="8"/>
  <c r="C27" i="10" s="1"/>
  <c r="DD28" i="8"/>
  <c r="C28" i="10" s="1"/>
  <c r="DD29" i="8"/>
  <c r="C29" i="10" s="1"/>
  <c r="DD30" i="8"/>
  <c r="C30" i="10" s="1"/>
  <c r="DD31" i="8"/>
  <c r="C31" i="10" s="1"/>
  <c r="DD32" i="8"/>
  <c r="C32" i="10" s="1"/>
  <c r="DD33" i="8"/>
  <c r="C33" i="10" s="1"/>
  <c r="DD34" i="8"/>
  <c r="C34" i="10" s="1"/>
  <c r="DD35" i="8"/>
  <c r="C35" i="10" s="1"/>
  <c r="DD36" i="8"/>
  <c r="C36" i="10" s="1"/>
  <c r="DD37" i="8"/>
  <c r="C37" i="10" s="1"/>
  <c r="DD38" i="8"/>
  <c r="C38" i="10" s="1"/>
  <c r="DD39" i="8"/>
  <c r="C39" i="10" s="1"/>
  <c r="DD40" i="8"/>
  <c r="C40" i="10" s="1"/>
  <c r="DD41" i="8"/>
  <c r="C41" i="10" s="1"/>
  <c r="DD42" i="8"/>
  <c r="C42" i="10" s="1"/>
  <c r="DD2" i="8"/>
  <c r="C2" i="10" s="1"/>
  <c r="DC3" i="8"/>
  <c r="DC4" i="8"/>
  <c r="DC5" i="8"/>
  <c r="DC6" i="8"/>
  <c r="DC7" i="8"/>
  <c r="DC8" i="8"/>
  <c r="DC9" i="8"/>
  <c r="DC10" i="8"/>
  <c r="DC11" i="8"/>
  <c r="DC12" i="8"/>
  <c r="DC13" i="8"/>
  <c r="DC14" i="8"/>
  <c r="DC15" i="8"/>
  <c r="DC16" i="8"/>
  <c r="DC17" i="8"/>
  <c r="DC18" i="8"/>
  <c r="DC19" i="8"/>
  <c r="DC20" i="8"/>
  <c r="DC21" i="8"/>
  <c r="DC22" i="8"/>
  <c r="DC23" i="8"/>
  <c r="DC24" i="8"/>
  <c r="DC25" i="8"/>
  <c r="DC26" i="8"/>
  <c r="DC27" i="8"/>
  <c r="DC28" i="8"/>
  <c r="DC29" i="8"/>
  <c r="DC30" i="8"/>
  <c r="DC31" i="8"/>
  <c r="DC32" i="8"/>
  <c r="DC33" i="8"/>
  <c r="DC34" i="8"/>
  <c r="DC35" i="8"/>
  <c r="DC36" i="8"/>
  <c r="DC37" i="8"/>
  <c r="DC38" i="8"/>
  <c r="DC39" i="8"/>
  <c r="DC40" i="8"/>
  <c r="DC41" i="8"/>
  <c r="DC42" i="8"/>
  <c r="DC43" i="8"/>
  <c r="DC44" i="8"/>
  <c r="DC45" i="8"/>
  <c r="DC2" i="8"/>
  <c r="DB3" i="8"/>
  <c r="DB4" i="8"/>
  <c r="DB5" i="8"/>
  <c r="DB6" i="8"/>
  <c r="DB7" i="8"/>
  <c r="DB8" i="8"/>
  <c r="DB9" i="8"/>
  <c r="DB10" i="8"/>
  <c r="DB13" i="8"/>
  <c r="DB14" i="8"/>
  <c r="DB15" i="8"/>
  <c r="DB16" i="8"/>
  <c r="DB17" i="8"/>
  <c r="DB18" i="8"/>
  <c r="DB19" i="8"/>
  <c r="DB20" i="8"/>
  <c r="DB21" i="8"/>
  <c r="DB22" i="8"/>
  <c r="DB23" i="8"/>
  <c r="DB24" i="8"/>
  <c r="DB25" i="8"/>
  <c r="DB26" i="8"/>
  <c r="DB27" i="8"/>
  <c r="DB28" i="8"/>
  <c r="DB29" i="8"/>
  <c r="DB30" i="8"/>
  <c r="DB31" i="8"/>
  <c r="DB32" i="8"/>
  <c r="DB33" i="8"/>
  <c r="DB34" i="8"/>
  <c r="DB35" i="8"/>
  <c r="DB36" i="8"/>
  <c r="DB37" i="8"/>
  <c r="DB38" i="8"/>
  <c r="DB39" i="8"/>
  <c r="DB40" i="8"/>
  <c r="DB41" i="8"/>
  <c r="DB42" i="8"/>
  <c r="DB43" i="8"/>
  <c r="DB2" i="8"/>
  <c r="DA3" i="8"/>
  <c r="DA4" i="8"/>
  <c r="DA5" i="8"/>
  <c r="DA6" i="8"/>
  <c r="DA7" i="8"/>
  <c r="DA8" i="8"/>
  <c r="DA9" i="8"/>
  <c r="DA10" i="8"/>
  <c r="DA11" i="8"/>
  <c r="DA12" i="8"/>
  <c r="DA13" i="8"/>
  <c r="DA14" i="8"/>
  <c r="DA15" i="8"/>
  <c r="DA16" i="8"/>
  <c r="DA17" i="8"/>
  <c r="DA18" i="8"/>
  <c r="DA19" i="8"/>
  <c r="DA20" i="8"/>
  <c r="DA21" i="8"/>
  <c r="DA22" i="8"/>
  <c r="DA23" i="8"/>
  <c r="DA24" i="8"/>
  <c r="DA25" i="8"/>
  <c r="DA26" i="8"/>
  <c r="DA27" i="8"/>
  <c r="DA28" i="8"/>
  <c r="DA29" i="8"/>
  <c r="DA30" i="8"/>
  <c r="DA31" i="8"/>
  <c r="DA32" i="8"/>
  <c r="DA33" i="8"/>
  <c r="DA34" i="8"/>
  <c r="DA35" i="8"/>
  <c r="DA36" i="8"/>
  <c r="DA37" i="8"/>
  <c r="DA38" i="8"/>
  <c r="DA39" i="8"/>
  <c r="DA40" i="8"/>
  <c r="DA41" i="8"/>
  <c r="DA42" i="8"/>
  <c r="DA2" i="8"/>
  <c r="CZ3" i="8"/>
  <c r="CZ4" i="8"/>
  <c r="CZ5" i="8"/>
  <c r="CZ6" i="8"/>
  <c r="CZ7" i="8"/>
  <c r="CZ8" i="8"/>
  <c r="CZ9" i="8"/>
  <c r="CZ10" i="8"/>
  <c r="CZ11" i="8"/>
  <c r="CZ12" i="8"/>
  <c r="CZ13" i="8"/>
  <c r="CZ14" i="8"/>
  <c r="CZ15" i="8"/>
  <c r="CZ16" i="8"/>
  <c r="CZ17" i="8"/>
  <c r="CZ18" i="8"/>
  <c r="CZ19" i="8"/>
  <c r="CZ20" i="8"/>
  <c r="CZ21" i="8"/>
  <c r="CZ22" i="8"/>
  <c r="CZ23" i="8"/>
  <c r="CZ24" i="8"/>
  <c r="CZ25" i="8"/>
  <c r="CZ26" i="8"/>
  <c r="CZ27" i="8"/>
  <c r="CZ28" i="8"/>
  <c r="CZ29" i="8"/>
  <c r="CZ30" i="8"/>
  <c r="CZ31" i="8"/>
  <c r="CZ32" i="8"/>
  <c r="CZ33" i="8"/>
  <c r="CZ34" i="8"/>
  <c r="CZ35" i="8"/>
  <c r="CZ36" i="8"/>
  <c r="CZ37" i="8"/>
  <c r="CZ38" i="8"/>
  <c r="CZ39" i="8"/>
  <c r="CZ2" i="8"/>
  <c r="CX3" i="8"/>
  <c r="CX4" i="8"/>
  <c r="CX5" i="8"/>
  <c r="CX6" i="8"/>
  <c r="CX7" i="8"/>
  <c r="CX8" i="8"/>
  <c r="CX9" i="8"/>
  <c r="CX10" i="8"/>
  <c r="CX11" i="8"/>
  <c r="CX12" i="8"/>
  <c r="CX13" i="8"/>
  <c r="CX14" i="8"/>
  <c r="CX15" i="8"/>
  <c r="CX16" i="8"/>
  <c r="CX17" i="8"/>
  <c r="CX18" i="8"/>
  <c r="CX19" i="8"/>
  <c r="CX20" i="8"/>
  <c r="CX21" i="8"/>
  <c r="CX22" i="8"/>
  <c r="CX23" i="8"/>
  <c r="CX24" i="8"/>
  <c r="CX25" i="8"/>
  <c r="CX26" i="8"/>
  <c r="CX27" i="8"/>
  <c r="CX28" i="8"/>
  <c r="CX29" i="8"/>
  <c r="CX30" i="8"/>
  <c r="CX31" i="8"/>
  <c r="CX32" i="8"/>
  <c r="CX33" i="8"/>
  <c r="CX34" i="8"/>
  <c r="CX35" i="8"/>
  <c r="CX36" i="8"/>
  <c r="CX37" i="8"/>
  <c r="CX38" i="8"/>
  <c r="CX39" i="8"/>
  <c r="CX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3" i="12" s="1"/>
  <c r="A24" i="8"/>
  <c r="A25" i="8"/>
  <c r="A26" i="8"/>
  <c r="A27" i="8"/>
  <c r="A28" i="8"/>
  <c r="A29" i="8"/>
  <c r="A30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7" i="8"/>
  <c r="A48" i="8"/>
  <c r="A2" i="8"/>
  <c r="DR2" i="8" l="1"/>
  <c r="BJ43" i="8"/>
  <c r="DR43" i="8"/>
  <c r="DT43" i="8" s="1"/>
  <c r="CE6" i="9"/>
  <c r="S6" i="9" s="1"/>
  <c r="AB6" i="9" s="1"/>
  <c r="IV6" i="9"/>
  <c r="CN6" i="9"/>
  <c r="JE6" i="9"/>
  <c r="DN6" i="8"/>
  <c r="BD6" i="9"/>
  <c r="AU6" i="9"/>
  <c r="K6" i="9"/>
  <c r="T6" i="9" s="1"/>
  <c r="CW6" i="9"/>
  <c r="DK8" i="9" a="1"/>
  <c r="DK8" i="9" s="1"/>
  <c r="DL8" i="9" a="1"/>
  <c r="DL8" i="9" s="1"/>
  <c r="DF8" i="9"/>
  <c r="DM8" i="9" a="1"/>
  <c r="DM8" i="9" s="1"/>
  <c r="DJ8" i="9" a="1"/>
  <c r="DJ8" i="9" s="1"/>
  <c r="DG8" i="9"/>
  <c r="DN8" i="9" a="1"/>
  <c r="DN8" i="9" s="1"/>
  <c r="DH8" i="9" a="1"/>
  <c r="DH8" i="9" s="1"/>
  <c r="DI8" i="9" a="1"/>
  <c r="DI8" i="9" s="1"/>
  <c r="BJ8" i="8"/>
  <c r="DO8" i="9"/>
  <c r="DX8" i="9" s="1"/>
  <c r="DQ8" i="9"/>
  <c r="AN8" i="9" s="1"/>
  <c r="DP8" i="9"/>
  <c r="AM8" i="9" s="1"/>
  <c r="BD37" i="9"/>
  <c r="JE37" i="9"/>
  <c r="DN37" i="8"/>
  <c r="IV37" i="9"/>
  <c r="KF37" i="9" s="1"/>
  <c r="K37" i="9"/>
  <c r="T37" i="9" s="1"/>
  <c r="BD29" i="9"/>
  <c r="JE29" i="9"/>
  <c r="DN29" i="8"/>
  <c r="IV29" i="9"/>
  <c r="K29" i="9"/>
  <c r="T29" i="9" s="1"/>
  <c r="BD21" i="9"/>
  <c r="JE21" i="9"/>
  <c r="DN21" i="8"/>
  <c r="IV21" i="9"/>
  <c r="K21" i="9"/>
  <c r="T21" i="9" s="1"/>
  <c r="BD13" i="9"/>
  <c r="JE13" i="9"/>
  <c r="DN13" i="8"/>
  <c r="IV13" i="9"/>
  <c r="K13" i="9"/>
  <c r="T13" i="9" s="1"/>
  <c r="CN5" i="9"/>
  <c r="JE5" i="9"/>
  <c r="CE5" i="9"/>
  <c r="S5" i="9" s="1"/>
  <c r="AB5" i="9" s="1"/>
  <c r="DN5" i="8"/>
  <c r="AU5" i="9"/>
  <c r="BD5" i="9"/>
  <c r="IV5" i="9"/>
  <c r="K5" i="9"/>
  <c r="T5" i="9" s="1"/>
  <c r="CW5" i="9"/>
  <c r="DF7" i="9"/>
  <c r="DM7" i="9" a="1"/>
  <c r="DM7" i="9" s="1"/>
  <c r="DG7" i="9"/>
  <c r="DN7" i="9" a="1"/>
  <c r="DN7" i="9" s="1"/>
  <c r="DH7" i="9" a="1"/>
  <c r="DH7" i="9" s="1"/>
  <c r="DL7" i="9" a="1"/>
  <c r="DL7" i="9" s="1"/>
  <c r="DI7" i="9" a="1"/>
  <c r="DI7" i="9" s="1"/>
  <c r="DJ7" i="9" a="1"/>
  <c r="DJ7" i="9" s="1"/>
  <c r="DK7" i="9" a="1"/>
  <c r="DK7" i="9" s="1"/>
  <c r="BJ7" i="8"/>
  <c r="DO7" i="9"/>
  <c r="DX7" i="9" s="1"/>
  <c r="DP7" i="9"/>
  <c r="AM7" i="9" s="1"/>
  <c r="DQ7" i="9"/>
  <c r="AN7" i="9" s="1"/>
  <c r="BD36" i="9"/>
  <c r="DN36" i="8"/>
  <c r="JE36" i="9"/>
  <c r="IV36" i="9"/>
  <c r="K36" i="9"/>
  <c r="T36" i="9" s="1"/>
  <c r="BD28" i="9"/>
  <c r="DN28" i="8"/>
  <c r="IV28" i="9"/>
  <c r="JE28" i="9"/>
  <c r="K28" i="9"/>
  <c r="T28" i="9" s="1"/>
  <c r="BD20" i="9"/>
  <c r="JE20" i="9"/>
  <c r="DN20" i="8"/>
  <c r="IV20" i="9"/>
  <c r="K20" i="9"/>
  <c r="T20" i="9" s="1"/>
  <c r="BD12" i="9"/>
  <c r="DN12" i="8"/>
  <c r="JE12" i="9"/>
  <c r="IV12" i="9"/>
  <c r="K12" i="9"/>
  <c r="T12" i="9" s="1"/>
  <c r="DN4" i="8"/>
  <c r="AU4" i="9"/>
  <c r="BD4" i="9"/>
  <c r="CE4" i="9"/>
  <c r="S4" i="9" s="1"/>
  <c r="AB4" i="9" s="1"/>
  <c r="CN4" i="9"/>
  <c r="IV4" i="9"/>
  <c r="JE4" i="9"/>
  <c r="K4" i="9"/>
  <c r="T4" i="9" s="1"/>
  <c r="CW4" i="9"/>
  <c r="DO9" i="9"/>
  <c r="DX9" i="9" s="1"/>
  <c r="DP9" i="9"/>
  <c r="AM9" i="9" s="1"/>
  <c r="DQ9" i="9"/>
  <c r="AN9" i="9" s="1"/>
  <c r="BD14" i="9"/>
  <c r="JE14" i="9"/>
  <c r="IV14" i="9"/>
  <c r="DN14" i="8"/>
  <c r="K14" i="9"/>
  <c r="T14" i="9" s="1"/>
  <c r="DJ6" i="9" a="1"/>
  <c r="DJ6" i="9" s="1"/>
  <c r="DN6" i="9" a="1"/>
  <c r="DN6" i="9" s="1"/>
  <c r="DK6" i="9" a="1"/>
  <c r="DK6" i="9" s="1"/>
  <c r="DI6" i="9" a="1"/>
  <c r="DI6" i="9" s="1"/>
  <c r="DF6" i="9"/>
  <c r="DL6" i="9" a="1"/>
  <c r="DL6" i="9" s="1"/>
  <c r="DG6" i="9"/>
  <c r="DH6" i="9" a="1"/>
  <c r="DH6" i="9" s="1"/>
  <c r="DM6" i="9" a="1"/>
  <c r="DM6" i="9" s="1"/>
  <c r="DO6" i="9"/>
  <c r="DP6" i="9"/>
  <c r="AM6" i="9" s="1"/>
  <c r="DQ6" i="9"/>
  <c r="AN6" i="9" s="1"/>
  <c r="CN2" i="9"/>
  <c r="JE2" i="9"/>
  <c r="KF2" i="9" s="1"/>
  <c r="CE2" i="9"/>
  <c r="S2" i="9" s="1"/>
  <c r="AB2" i="9" s="1"/>
  <c r="DN2" i="8"/>
  <c r="AU2" i="9"/>
  <c r="BD2" i="9"/>
  <c r="K2" i="9"/>
  <c r="T2" i="9" s="1"/>
  <c r="CW2" i="9"/>
  <c r="BD35" i="9"/>
  <c r="DN35" i="8"/>
  <c r="IV35" i="9"/>
  <c r="JE35" i="9"/>
  <c r="K35" i="9"/>
  <c r="T35" i="9" s="1"/>
  <c r="BD27" i="9"/>
  <c r="DN27" i="8"/>
  <c r="IV27" i="9"/>
  <c r="JE27" i="9"/>
  <c r="K27" i="9"/>
  <c r="T27" i="9" s="1"/>
  <c r="BD19" i="9"/>
  <c r="DN19" i="8"/>
  <c r="IV19" i="9"/>
  <c r="JE19" i="9"/>
  <c r="K19" i="9"/>
  <c r="T19" i="9" s="1"/>
  <c r="BD11" i="9"/>
  <c r="DN11" i="8"/>
  <c r="IV11" i="9"/>
  <c r="JE11" i="9"/>
  <c r="K11" i="9"/>
  <c r="T11" i="9" s="1"/>
  <c r="DN3" i="8"/>
  <c r="AU3" i="9"/>
  <c r="BD3" i="9"/>
  <c r="CE3" i="9"/>
  <c r="S3" i="9" s="1"/>
  <c r="AB3" i="9" s="1"/>
  <c r="CN3" i="9"/>
  <c r="IV3" i="9"/>
  <c r="JE3" i="9"/>
  <c r="K3" i="9"/>
  <c r="T3" i="9" s="1"/>
  <c r="CW3" i="9"/>
  <c r="BD22" i="9"/>
  <c r="JE22" i="9"/>
  <c r="IV22" i="9"/>
  <c r="DN22" i="8"/>
  <c r="K22" i="9"/>
  <c r="T22" i="9" s="1"/>
  <c r="DL5" i="9" a="1"/>
  <c r="DL5" i="9" s="1"/>
  <c r="DK5" i="9" a="1"/>
  <c r="DK5" i="9" s="1"/>
  <c r="DM5" i="9" a="1"/>
  <c r="DM5" i="9" s="1"/>
  <c r="DF5" i="9"/>
  <c r="DN5" i="9" a="1"/>
  <c r="DN5" i="9" s="1"/>
  <c r="DG5" i="9"/>
  <c r="DH5" i="9" a="1"/>
  <c r="DH5" i="9" s="1"/>
  <c r="DI5" i="9" a="1"/>
  <c r="DI5" i="9" s="1"/>
  <c r="DJ5" i="9" a="1"/>
  <c r="DJ5" i="9" s="1"/>
  <c r="DO5" i="9"/>
  <c r="DX5" i="9" s="1"/>
  <c r="DP5" i="9"/>
  <c r="AM5" i="9" s="1"/>
  <c r="DQ5" i="9"/>
  <c r="AN5" i="9" s="1"/>
  <c r="BD42" i="9"/>
  <c r="DN42" i="8"/>
  <c r="IV42" i="9"/>
  <c r="JE42" i="9"/>
  <c r="K42" i="9"/>
  <c r="T42" i="9" s="1"/>
  <c r="BD34" i="9"/>
  <c r="IV34" i="9"/>
  <c r="KF34" i="9" s="1"/>
  <c r="JE34" i="9"/>
  <c r="DN34" i="8"/>
  <c r="K34" i="9"/>
  <c r="T34" i="9" s="1"/>
  <c r="BD26" i="9"/>
  <c r="IV26" i="9"/>
  <c r="DN26" i="8"/>
  <c r="JE26" i="9"/>
  <c r="K26" i="9"/>
  <c r="T26" i="9" s="1"/>
  <c r="BD18" i="9"/>
  <c r="IV18" i="9"/>
  <c r="DN18" i="8"/>
  <c r="JE18" i="9"/>
  <c r="K18" i="9"/>
  <c r="T18" i="9" s="1"/>
  <c r="BD10" i="9"/>
  <c r="IV10" i="9"/>
  <c r="JE10" i="9"/>
  <c r="DN10" i="8"/>
  <c r="K10" i="9"/>
  <c r="T10" i="9" s="1"/>
  <c r="DG4" i="9"/>
  <c r="DN4" i="9" a="1"/>
  <c r="DN4" i="9" s="1"/>
  <c r="DH4" i="9" a="1"/>
  <c r="DH4" i="9" s="1"/>
  <c r="DI4" i="9" a="1"/>
  <c r="DI4" i="9" s="1"/>
  <c r="DM4" i="9" a="1"/>
  <c r="DM4" i="9" s="1"/>
  <c r="DJ4" i="9" a="1"/>
  <c r="DJ4" i="9" s="1"/>
  <c r="DF4" i="9"/>
  <c r="DK4" i="9" a="1"/>
  <c r="DK4" i="9" s="1"/>
  <c r="DL4" i="9" a="1"/>
  <c r="DL4" i="9" s="1"/>
  <c r="DO4" i="9"/>
  <c r="DX4" i="9" s="1"/>
  <c r="DP4" i="9"/>
  <c r="AM4" i="9" s="1"/>
  <c r="DQ4" i="9"/>
  <c r="AN4" i="9" s="1"/>
  <c r="BD41" i="9"/>
  <c r="IV41" i="9"/>
  <c r="KF41" i="9" s="1"/>
  <c r="JE41" i="9"/>
  <c r="DN41" i="8"/>
  <c r="K41" i="9"/>
  <c r="T41" i="9" s="1"/>
  <c r="BD33" i="9"/>
  <c r="IV33" i="9"/>
  <c r="JE33" i="9"/>
  <c r="DN33" i="8"/>
  <c r="K33" i="9"/>
  <c r="T33" i="9" s="1"/>
  <c r="BD25" i="9"/>
  <c r="IV25" i="9"/>
  <c r="JE25" i="9"/>
  <c r="DN25" i="8"/>
  <c r="K25" i="9"/>
  <c r="T25" i="9" s="1"/>
  <c r="BD17" i="9"/>
  <c r="IV17" i="9"/>
  <c r="JE17" i="9"/>
  <c r="DN17" i="8"/>
  <c r="K17" i="9"/>
  <c r="T17" i="9" s="1"/>
  <c r="AU9" i="9"/>
  <c r="BD9" i="9"/>
  <c r="CE9" i="9"/>
  <c r="S9" i="9" s="1"/>
  <c r="AB9" i="9" s="1"/>
  <c r="IV9" i="9"/>
  <c r="CN9" i="9"/>
  <c r="JE9" i="9"/>
  <c r="DN9" i="8"/>
  <c r="K9" i="9"/>
  <c r="T9" i="9" s="1"/>
  <c r="CW9" i="9"/>
  <c r="BD30" i="9"/>
  <c r="JE30" i="9"/>
  <c r="DN30" i="8"/>
  <c r="IV30" i="9"/>
  <c r="K30" i="9"/>
  <c r="T30" i="9" s="1"/>
  <c r="DK2" i="9" a="1"/>
  <c r="DK2" i="9" s="1"/>
  <c r="DL2" i="9" a="1"/>
  <c r="DL2" i="9" s="1"/>
  <c r="DF2" i="9"/>
  <c r="DM2" i="9" a="1"/>
  <c r="DM2" i="9" s="1"/>
  <c r="DG2" i="9"/>
  <c r="DN2" i="9" a="1"/>
  <c r="DN2" i="9" s="1"/>
  <c r="DH2" i="9" a="1"/>
  <c r="DH2" i="9" s="1"/>
  <c r="DI2" i="9" a="1"/>
  <c r="DI2" i="9" s="1"/>
  <c r="DJ2" i="9" a="1"/>
  <c r="DJ2" i="9" s="1"/>
  <c r="DH3" i="9" a="1"/>
  <c r="DH3" i="9" s="1"/>
  <c r="DI3" i="9" a="1"/>
  <c r="DI3" i="9" s="1"/>
  <c r="DJ3" i="9" a="1"/>
  <c r="DJ3" i="9" s="1"/>
  <c r="DG3" i="9"/>
  <c r="DK3" i="9" a="1"/>
  <c r="DK3" i="9" s="1"/>
  <c r="DL3" i="9" a="1"/>
  <c r="DL3" i="9" s="1"/>
  <c r="DM3" i="9" a="1"/>
  <c r="DM3" i="9" s="1"/>
  <c r="DF3" i="9"/>
  <c r="DN3" i="9" a="1"/>
  <c r="DN3" i="9" s="1"/>
  <c r="DP3" i="9"/>
  <c r="AM3" i="9" s="1"/>
  <c r="DQ3" i="9"/>
  <c r="AN3" i="9" s="1"/>
  <c r="DO3" i="9"/>
  <c r="DX3" i="9" s="1"/>
  <c r="BD40" i="9"/>
  <c r="IV40" i="9"/>
  <c r="JE40" i="9"/>
  <c r="DN40" i="8"/>
  <c r="K40" i="9"/>
  <c r="T40" i="9" s="1"/>
  <c r="BD32" i="9"/>
  <c r="IV32" i="9"/>
  <c r="JE32" i="9"/>
  <c r="DN32" i="8"/>
  <c r="K32" i="9"/>
  <c r="T32" i="9" s="1"/>
  <c r="BD24" i="9"/>
  <c r="IV24" i="9"/>
  <c r="JE24" i="9"/>
  <c r="DN24" i="8"/>
  <c r="K24" i="9"/>
  <c r="T24" i="9" s="1"/>
  <c r="BD16" i="9"/>
  <c r="IV16" i="9"/>
  <c r="JE16" i="9"/>
  <c r="DN16" i="8"/>
  <c r="K16" i="9"/>
  <c r="T16" i="9" s="1"/>
  <c r="CE8" i="9"/>
  <c r="S8" i="9" s="1"/>
  <c r="AB8" i="9" s="1"/>
  <c r="CN8" i="9"/>
  <c r="IV8" i="9"/>
  <c r="BD8" i="9"/>
  <c r="JE8" i="9"/>
  <c r="DN8" i="8"/>
  <c r="AU8" i="9"/>
  <c r="K8" i="9"/>
  <c r="T8" i="9" s="1"/>
  <c r="CW8" i="9"/>
  <c r="DN9" i="9" a="1"/>
  <c r="DN9" i="9" s="1"/>
  <c r="DH9" i="9" a="1"/>
  <c r="DH9" i="9" s="1"/>
  <c r="DI9" i="9" a="1"/>
  <c r="DI9" i="9" s="1"/>
  <c r="DJ9" i="9" a="1"/>
  <c r="DJ9" i="9" s="1"/>
  <c r="DK9" i="9" a="1"/>
  <c r="DK9" i="9" s="1"/>
  <c r="DF9" i="9"/>
  <c r="DL9" i="9" a="1"/>
  <c r="DL9" i="9" s="1"/>
  <c r="DG9" i="9"/>
  <c r="DM9" i="9" a="1"/>
  <c r="DM9" i="9" s="1"/>
  <c r="BD38" i="9"/>
  <c r="JE38" i="9"/>
  <c r="DN38" i="8"/>
  <c r="IV38" i="9"/>
  <c r="K38" i="9"/>
  <c r="T38" i="9" s="1"/>
  <c r="DO2" i="9"/>
  <c r="DX2" i="9" s="1"/>
  <c r="DP2" i="9"/>
  <c r="AM2" i="9" s="1"/>
  <c r="DQ2" i="9"/>
  <c r="AN2" i="9" s="1"/>
  <c r="BD39" i="9"/>
  <c r="IV39" i="9"/>
  <c r="JE39" i="9"/>
  <c r="DN39" i="8"/>
  <c r="K39" i="9"/>
  <c r="T39" i="9" s="1"/>
  <c r="BD31" i="9"/>
  <c r="IV31" i="9"/>
  <c r="JE31" i="9"/>
  <c r="DN31" i="8"/>
  <c r="K31" i="9"/>
  <c r="T31" i="9" s="1"/>
  <c r="BD23" i="9"/>
  <c r="IV23" i="9"/>
  <c r="JE23" i="9"/>
  <c r="DN23" i="8"/>
  <c r="K23" i="9"/>
  <c r="T23" i="9" s="1"/>
  <c r="BD15" i="9"/>
  <c r="IV15" i="9"/>
  <c r="JE15" i="9"/>
  <c r="DN15" i="8"/>
  <c r="K15" i="9"/>
  <c r="T15" i="9" s="1"/>
  <c r="IV7" i="9"/>
  <c r="JE7" i="9"/>
  <c r="AU7" i="9"/>
  <c r="DN7" i="8"/>
  <c r="BD7" i="9"/>
  <c r="CE7" i="9"/>
  <c r="S7" i="9" s="1"/>
  <c r="AB7" i="9" s="1"/>
  <c r="CN7" i="9"/>
  <c r="K7" i="9"/>
  <c r="T7" i="9" s="1"/>
  <c r="CW7" i="9"/>
  <c r="AC35" i="10"/>
  <c r="W35" i="10"/>
  <c r="X35" i="10"/>
  <c r="BQ35" i="10" s="1"/>
  <c r="Y35" i="10"/>
  <c r="AB35" i="10"/>
  <c r="V35" i="10"/>
  <c r="Z35" i="10"/>
  <c r="AA35" i="10"/>
  <c r="B36" i="10"/>
  <c r="DR40" i="9"/>
  <c r="DT40" i="9"/>
  <c r="DS40" i="9"/>
  <c r="DU40" i="9"/>
  <c r="DV40" i="9"/>
  <c r="DW40" i="9"/>
  <c r="DP40" i="9"/>
  <c r="DQ40" i="9"/>
  <c r="DO40" i="9"/>
  <c r="DX40" i="9" s="1"/>
  <c r="DK41" i="9" a="1"/>
  <c r="DK41" i="9" s="1"/>
  <c r="DN41" i="9" a="1"/>
  <c r="DN41" i="9" s="1"/>
  <c r="DG41" i="9"/>
  <c r="DH41" i="9" a="1"/>
  <c r="DH41" i="9" s="1"/>
  <c r="DI41" i="9" a="1"/>
  <c r="DI41" i="9" s="1"/>
  <c r="DF41" i="9"/>
  <c r="DJ41" i="9" a="1"/>
  <c r="DJ41" i="9" s="1"/>
  <c r="DL41" i="9" a="1"/>
  <c r="DL41" i="9" s="1"/>
  <c r="DM41" i="9" a="1"/>
  <c r="DM41" i="9" s="1"/>
  <c r="DH33" i="9" a="1"/>
  <c r="DH33" i="9" s="1"/>
  <c r="DJ33" i="9" a="1"/>
  <c r="DJ33" i="9" s="1"/>
  <c r="DK33" i="9" a="1"/>
  <c r="DK33" i="9" s="1"/>
  <c r="DL33" i="9" a="1"/>
  <c r="DL33" i="9" s="1"/>
  <c r="DM33" i="9" a="1"/>
  <c r="DM33" i="9" s="1"/>
  <c r="DN33" i="9" a="1"/>
  <c r="DN33" i="9" s="1"/>
  <c r="DF33" i="9"/>
  <c r="DG33" i="9"/>
  <c r="DI33" i="9" a="1"/>
  <c r="DI33" i="9" s="1"/>
  <c r="DJ25" i="9" a="1"/>
  <c r="DJ25" i="9" s="1"/>
  <c r="DL25" i="9" a="1"/>
  <c r="DL25" i="9" s="1"/>
  <c r="DM25" i="9" a="1"/>
  <c r="DM25" i="9" s="1"/>
  <c r="DN25" i="9" a="1"/>
  <c r="DN25" i="9" s="1"/>
  <c r="DG25" i="9"/>
  <c r="DH25" i="9" a="1"/>
  <c r="DH25" i="9" s="1"/>
  <c r="DI25" i="9" a="1"/>
  <c r="DI25" i="9" s="1"/>
  <c r="DF25" i="9"/>
  <c r="DK25" i="9" a="1"/>
  <c r="DK25" i="9" s="1"/>
  <c r="DK17" i="9" a="1"/>
  <c r="DK17" i="9" s="1"/>
  <c r="DL17" i="9" a="1"/>
  <c r="DL17" i="9" s="1"/>
  <c r="DM17" i="9" a="1"/>
  <c r="DM17" i="9" s="1"/>
  <c r="DG17" i="9"/>
  <c r="DN17" i="9" a="1"/>
  <c r="DN17" i="9" s="1"/>
  <c r="DH17" i="9" a="1"/>
  <c r="DH17" i="9" s="1"/>
  <c r="DI17" i="9" a="1"/>
  <c r="DI17" i="9" s="1"/>
  <c r="DF17" i="9"/>
  <c r="DJ17" i="9" a="1"/>
  <c r="DJ17" i="9" s="1"/>
  <c r="DP43" i="9"/>
  <c r="DQ43" i="9"/>
  <c r="DR43" i="9"/>
  <c r="DS43" i="9"/>
  <c r="DT43" i="9"/>
  <c r="DU43" i="9"/>
  <c r="DW43" i="9"/>
  <c r="DV43" i="9"/>
  <c r="DO43" i="9"/>
  <c r="DG43" i="9"/>
  <c r="DH43" i="9" a="1"/>
  <c r="DH43" i="9" s="1"/>
  <c r="DI43" i="9" a="1"/>
  <c r="DI43" i="9" s="1"/>
  <c r="DJ43" i="9" a="1"/>
  <c r="DJ43" i="9" s="1"/>
  <c r="DL43" i="9" a="1"/>
  <c r="DL43" i="9" s="1"/>
  <c r="LM43" i="9" s="1"/>
  <c r="CB43" i="9" s="1"/>
  <c r="P43" i="9" s="1"/>
  <c r="Y43" i="9" s="1"/>
  <c r="DM43" i="9" a="1"/>
  <c r="DM43" i="9" s="1"/>
  <c r="DN43" i="9" a="1"/>
  <c r="DN43" i="9" s="1"/>
  <c r="DK43" i="9" a="1"/>
  <c r="DK43" i="9" s="1"/>
  <c r="DF43" i="9"/>
  <c r="DP35" i="9"/>
  <c r="DQ35" i="9"/>
  <c r="DR35" i="9"/>
  <c r="DT35" i="9"/>
  <c r="DS35" i="9"/>
  <c r="DV35" i="9"/>
  <c r="DU35" i="9"/>
  <c r="DW35" i="9"/>
  <c r="DO35" i="9"/>
  <c r="EG35" i="9" s="1"/>
  <c r="DP27" i="9"/>
  <c r="DQ27" i="9"/>
  <c r="DR27" i="9"/>
  <c r="DS27" i="9"/>
  <c r="DT27" i="9"/>
  <c r="DV27" i="9"/>
  <c r="DU27" i="9"/>
  <c r="DW27" i="9"/>
  <c r="DO27" i="9"/>
  <c r="DX27" i="9" s="1"/>
  <c r="DP19" i="9"/>
  <c r="DQ19" i="9"/>
  <c r="DR19" i="9"/>
  <c r="DS19" i="9"/>
  <c r="DT19" i="9"/>
  <c r="DU19" i="9"/>
  <c r="DV19" i="9"/>
  <c r="DW19" i="9"/>
  <c r="DO19" i="9"/>
  <c r="DX19" i="9" s="1"/>
  <c r="DR9" i="9"/>
  <c r="AO9" i="9" s="1"/>
  <c r="DT9" i="9"/>
  <c r="AQ9" i="9" s="1"/>
  <c r="DS9" i="9"/>
  <c r="AP9" i="9" s="1"/>
  <c r="DU9" i="9"/>
  <c r="AR9" i="9" s="1"/>
  <c r="DV9" i="9"/>
  <c r="AS9" i="9" s="1"/>
  <c r="DW9" i="9"/>
  <c r="AT9" i="9" s="1"/>
  <c r="U45" i="10"/>
  <c r="AC45" i="10"/>
  <c r="BV45" i="10" s="1"/>
  <c r="V45" i="10"/>
  <c r="BO45" i="10" s="1"/>
  <c r="W45" i="10"/>
  <c r="X45" i="10"/>
  <c r="Y45" i="10"/>
  <c r="Z45" i="10"/>
  <c r="AA45" i="10"/>
  <c r="BT45" i="10" s="1"/>
  <c r="AB45" i="10"/>
  <c r="AC37" i="10"/>
  <c r="BV37" i="10" s="1"/>
  <c r="W37" i="10"/>
  <c r="X37" i="10"/>
  <c r="Y37" i="10"/>
  <c r="AB37" i="10"/>
  <c r="V37" i="10"/>
  <c r="Z37" i="10"/>
  <c r="BS37" i="10" s="1"/>
  <c r="AA37" i="10"/>
  <c r="AC29" i="10"/>
  <c r="BV29" i="10" s="1"/>
  <c r="W29" i="10"/>
  <c r="X29" i="10"/>
  <c r="Y29" i="10"/>
  <c r="AA29" i="10"/>
  <c r="AB29" i="10"/>
  <c r="V29" i="10"/>
  <c r="Z29" i="10"/>
  <c r="AC21" i="10"/>
  <c r="V21" i="10"/>
  <c r="W21" i="10"/>
  <c r="X21" i="10"/>
  <c r="Y21" i="10"/>
  <c r="Z21" i="10"/>
  <c r="AA21" i="10"/>
  <c r="BT21" i="10" s="1"/>
  <c r="AB21" i="10"/>
  <c r="AC13" i="10"/>
  <c r="V13" i="10"/>
  <c r="W13" i="10"/>
  <c r="X13" i="10"/>
  <c r="Y13" i="10"/>
  <c r="Z13" i="10"/>
  <c r="AA13" i="10"/>
  <c r="BT13" i="10" s="1"/>
  <c r="AB13" i="10"/>
  <c r="AC5" i="10"/>
  <c r="BV5" i="10" s="1"/>
  <c r="V5" i="10"/>
  <c r="W5" i="10"/>
  <c r="BP5" i="10" s="1"/>
  <c r="X5" i="10"/>
  <c r="Y5" i="10"/>
  <c r="Z5" i="10"/>
  <c r="AA5" i="10"/>
  <c r="AB5" i="10"/>
  <c r="B38" i="10"/>
  <c r="AD38" i="10" s="1"/>
  <c r="B30" i="10"/>
  <c r="B22" i="10"/>
  <c r="B14" i="10"/>
  <c r="B6" i="10"/>
  <c r="DM15" i="9" a="1"/>
  <c r="DM15" i="9" s="1"/>
  <c r="DL15" i="9" a="1"/>
  <c r="DL15" i="9" s="1"/>
  <c r="DN15" i="9" a="1"/>
  <c r="DN15" i="9" s="1"/>
  <c r="DG15" i="9"/>
  <c r="DH15" i="9" a="1"/>
  <c r="DH15" i="9" s="1"/>
  <c r="DI15" i="9" a="1"/>
  <c r="DI15" i="9" s="1"/>
  <c r="DF15" i="9"/>
  <c r="DJ15" i="9" a="1"/>
  <c r="DJ15" i="9" s="1"/>
  <c r="DK15" i="9" a="1"/>
  <c r="DK15" i="9" s="1"/>
  <c r="DP17" i="9"/>
  <c r="DQ17" i="9"/>
  <c r="DR17" i="9"/>
  <c r="DT17" i="9"/>
  <c r="DS17" i="9"/>
  <c r="DV17" i="9"/>
  <c r="DU17" i="9"/>
  <c r="DW17" i="9"/>
  <c r="DO17" i="9"/>
  <c r="DX17" i="9" s="1"/>
  <c r="AC19" i="10"/>
  <c r="V19" i="10"/>
  <c r="W19" i="10"/>
  <c r="X19" i="10"/>
  <c r="Y19" i="10"/>
  <c r="BR19" i="10" s="1"/>
  <c r="Z19" i="10"/>
  <c r="BS19" i="10" s="1"/>
  <c r="AA19" i="10"/>
  <c r="BT19" i="10" s="1"/>
  <c r="AB19" i="10"/>
  <c r="B20" i="10"/>
  <c r="DN14" i="9" a="1"/>
  <c r="DN14" i="9" s="1"/>
  <c r="DK14" i="9" a="1"/>
  <c r="DK14" i="9" s="1"/>
  <c r="DL14" i="9" a="1"/>
  <c r="DL14" i="9" s="1"/>
  <c r="DM14" i="9" a="1"/>
  <c r="DM14" i="9" s="1"/>
  <c r="DG14" i="9"/>
  <c r="DF14" i="9"/>
  <c r="DH14" i="9" a="1"/>
  <c r="DH14" i="9" s="1"/>
  <c r="DI14" i="9" a="1"/>
  <c r="DI14" i="9" s="1"/>
  <c r="DJ14" i="9" a="1"/>
  <c r="DJ14" i="9" s="1"/>
  <c r="AC34" i="10"/>
  <c r="W34" i="10"/>
  <c r="BP34" i="10" s="1"/>
  <c r="X34" i="10"/>
  <c r="Y34" i="10"/>
  <c r="V34" i="10"/>
  <c r="Z34" i="10"/>
  <c r="AA34" i="10"/>
  <c r="AB34" i="10"/>
  <c r="BU34" i="10" s="1"/>
  <c r="DL40" i="9" a="1"/>
  <c r="DL40" i="9" s="1"/>
  <c r="DN40" i="9" a="1"/>
  <c r="DN40" i="9" s="1"/>
  <c r="DG40" i="9"/>
  <c r="DH40" i="9" a="1"/>
  <c r="DH40" i="9" s="1"/>
  <c r="DF40" i="9"/>
  <c r="DI40" i="9" a="1"/>
  <c r="DI40" i="9" s="1"/>
  <c r="DJ40" i="9" a="1"/>
  <c r="DJ40" i="9" s="1"/>
  <c r="DK40" i="9" a="1"/>
  <c r="DK40" i="9" s="1"/>
  <c r="LL40" i="9" s="1"/>
  <c r="CA40" i="9" s="1"/>
  <c r="O40" i="9" s="1"/>
  <c r="X40" i="9" s="1"/>
  <c r="DM40" i="9" a="1"/>
  <c r="DM40" i="9" s="1"/>
  <c r="DI32" i="9" a="1"/>
  <c r="DI32" i="9" s="1"/>
  <c r="DJ32" i="9" a="1"/>
  <c r="DJ32" i="9" s="1"/>
  <c r="DK32" i="9" a="1"/>
  <c r="DK32" i="9" s="1"/>
  <c r="DL32" i="9" a="1"/>
  <c r="DL32" i="9" s="1"/>
  <c r="DM32" i="9" a="1"/>
  <c r="DM32" i="9" s="1"/>
  <c r="DF32" i="9"/>
  <c r="DN32" i="9" a="1"/>
  <c r="DN32" i="9" s="1"/>
  <c r="DG32" i="9"/>
  <c r="DH32" i="9" a="1"/>
  <c r="DH32" i="9" s="1"/>
  <c r="DJ24" i="9" a="1"/>
  <c r="DJ24" i="9" s="1"/>
  <c r="DK24" i="9" a="1"/>
  <c r="DK24" i="9" s="1"/>
  <c r="DL24" i="9" a="1"/>
  <c r="DL24" i="9" s="1"/>
  <c r="DM24" i="9" a="1"/>
  <c r="DM24" i="9" s="1"/>
  <c r="DN24" i="9" a="1"/>
  <c r="DN24" i="9" s="1"/>
  <c r="DG24" i="9"/>
  <c r="DF24" i="9"/>
  <c r="DH24" i="9" a="1"/>
  <c r="DH24" i="9" s="1"/>
  <c r="DI24" i="9" a="1"/>
  <c r="DI24" i="9" s="1"/>
  <c r="DL16" i="9" a="1"/>
  <c r="DL16" i="9" s="1"/>
  <c r="DK16" i="9" a="1"/>
  <c r="DK16" i="9" s="1"/>
  <c r="DM16" i="9" a="1"/>
  <c r="DM16" i="9" s="1"/>
  <c r="DN16" i="9" a="1"/>
  <c r="DN16" i="9" s="1"/>
  <c r="DG16" i="9"/>
  <c r="DH16" i="9" a="1"/>
  <c r="DH16" i="9" s="1"/>
  <c r="DI16" i="9" a="1"/>
  <c r="DI16" i="9" s="1"/>
  <c r="DJ16" i="9" a="1"/>
  <c r="DJ16" i="9" s="1"/>
  <c r="DF16" i="9"/>
  <c r="DR42" i="9"/>
  <c r="DT42" i="9"/>
  <c r="DV42" i="9"/>
  <c r="DS42" i="9"/>
  <c r="DU42" i="9"/>
  <c r="DW42" i="9"/>
  <c r="DP42" i="9"/>
  <c r="DQ42" i="9"/>
  <c r="DO42" i="9"/>
  <c r="EG42" i="9" s="1"/>
  <c r="DR34" i="9"/>
  <c r="DV34" i="9"/>
  <c r="DS34" i="9"/>
  <c r="DT34" i="9"/>
  <c r="DU34" i="9"/>
  <c r="DW34" i="9"/>
  <c r="DP34" i="9"/>
  <c r="DQ34" i="9"/>
  <c r="DO34" i="9"/>
  <c r="DX34" i="9" s="1"/>
  <c r="DP26" i="9"/>
  <c r="DR26" i="9"/>
  <c r="DT26" i="9"/>
  <c r="DV26" i="9"/>
  <c r="DS26" i="9"/>
  <c r="DU26" i="9"/>
  <c r="DW26" i="9"/>
  <c r="DQ26" i="9"/>
  <c r="DO26" i="9"/>
  <c r="DX26" i="9" s="1"/>
  <c r="DP18" i="9"/>
  <c r="DR18" i="9"/>
  <c r="DT18" i="9"/>
  <c r="DV18" i="9"/>
  <c r="DS18" i="9"/>
  <c r="DU18" i="9"/>
  <c r="DW18" i="9"/>
  <c r="DQ18" i="9"/>
  <c r="DO18" i="9"/>
  <c r="EG18" i="9" s="1"/>
  <c r="DR8" i="9"/>
  <c r="DV8" i="9"/>
  <c r="AS8" i="9" s="1"/>
  <c r="DS8" i="9"/>
  <c r="AP8" i="9" s="1"/>
  <c r="DT8" i="9"/>
  <c r="AQ8" i="9" s="1"/>
  <c r="DU8" i="9"/>
  <c r="AR8" i="9" s="1"/>
  <c r="DW8" i="9"/>
  <c r="AT8" i="9" s="1"/>
  <c r="W44" i="10"/>
  <c r="U44" i="10"/>
  <c r="BN44" i="10" s="1"/>
  <c r="AC44" i="10"/>
  <c r="V44" i="10"/>
  <c r="X44" i="10"/>
  <c r="Y44" i="10"/>
  <c r="Z44" i="10"/>
  <c r="AA44" i="10"/>
  <c r="AB44" i="10"/>
  <c r="BU44" i="10" s="1"/>
  <c r="AC36" i="10"/>
  <c r="BV36" i="10" s="1"/>
  <c r="W36" i="10"/>
  <c r="X36" i="10"/>
  <c r="Y36" i="10"/>
  <c r="V36" i="10"/>
  <c r="Z36" i="10"/>
  <c r="AA36" i="10"/>
  <c r="AB36" i="10"/>
  <c r="BU36" i="10" s="1"/>
  <c r="AC28" i="10"/>
  <c r="BV28" i="10" s="1"/>
  <c r="V28" i="10"/>
  <c r="W28" i="10"/>
  <c r="X28" i="10"/>
  <c r="Y28" i="10"/>
  <c r="Z28" i="10"/>
  <c r="AA28" i="10"/>
  <c r="AB28" i="10"/>
  <c r="AC20" i="10"/>
  <c r="BV20" i="10" s="1"/>
  <c r="V20" i="10"/>
  <c r="W20" i="10"/>
  <c r="X20" i="10"/>
  <c r="Y20" i="10"/>
  <c r="AB20" i="10"/>
  <c r="Z20" i="10"/>
  <c r="AA20" i="10"/>
  <c r="AC12" i="10"/>
  <c r="V12" i="10"/>
  <c r="W12" i="10"/>
  <c r="X12" i="10"/>
  <c r="Y12" i="10"/>
  <c r="AB12" i="10"/>
  <c r="Z12" i="10"/>
  <c r="AA12" i="10"/>
  <c r="AC4" i="10"/>
  <c r="BV4" i="10" s="1"/>
  <c r="V4" i="10"/>
  <c r="W4" i="10"/>
  <c r="X4" i="10"/>
  <c r="Y4" i="10"/>
  <c r="AB4" i="10"/>
  <c r="AA4" i="10"/>
  <c r="Z4" i="10"/>
  <c r="B37" i="10"/>
  <c r="AD37" i="10" s="1"/>
  <c r="B29" i="10"/>
  <c r="B21" i="10"/>
  <c r="AD21" i="10" s="1"/>
  <c r="B13" i="10"/>
  <c r="B5" i="10"/>
  <c r="DJ23" i="9" a="1"/>
  <c r="DJ23" i="9" s="1"/>
  <c r="DI23" i="9" a="1"/>
  <c r="DI23" i="9" s="1"/>
  <c r="DK23" i="9" a="1"/>
  <c r="DK23" i="9" s="1"/>
  <c r="DL23" i="9" a="1"/>
  <c r="DL23" i="9" s="1"/>
  <c r="DM23" i="9" a="1"/>
  <c r="DM23" i="9" s="1"/>
  <c r="DN23" i="9" a="1"/>
  <c r="DN23" i="9" s="1"/>
  <c r="DF23" i="9"/>
  <c r="DG23" i="9"/>
  <c r="DH23" i="9" a="1"/>
  <c r="DH23" i="9" s="1"/>
  <c r="DP33" i="9"/>
  <c r="DQ33" i="9"/>
  <c r="DR33" i="9"/>
  <c r="DT33" i="9"/>
  <c r="DS33" i="9"/>
  <c r="DV33" i="9"/>
  <c r="DU33" i="9"/>
  <c r="DW33" i="9"/>
  <c r="DO33" i="9"/>
  <c r="EG33" i="9" s="1"/>
  <c r="AC43" i="10"/>
  <c r="W43" i="10"/>
  <c r="X43" i="10"/>
  <c r="U43" i="10"/>
  <c r="BN43" i="10" s="1"/>
  <c r="AA43" i="10"/>
  <c r="BT43" i="10" s="1"/>
  <c r="AB43" i="10"/>
  <c r="V43" i="10"/>
  <c r="Y43" i="10"/>
  <c r="Z43" i="10"/>
  <c r="BS43" i="10" s="1"/>
  <c r="AC3" i="10"/>
  <c r="V3" i="10"/>
  <c r="W3" i="10"/>
  <c r="X3" i="10"/>
  <c r="BQ3" i="10" s="1"/>
  <c r="Y3" i="10"/>
  <c r="Z3" i="10"/>
  <c r="AA3" i="10"/>
  <c r="AB3" i="10"/>
  <c r="B4" i="10"/>
  <c r="DJ22" i="9" a="1"/>
  <c r="DJ22" i="9" s="1"/>
  <c r="DH22" i="9" a="1"/>
  <c r="DH22" i="9" s="1"/>
  <c r="DI22" i="9" a="1"/>
  <c r="DI22" i="9" s="1"/>
  <c r="DK22" i="9" a="1"/>
  <c r="DK22" i="9" s="1"/>
  <c r="DL22" i="9" a="1"/>
  <c r="DL22" i="9" s="1"/>
  <c r="DF22" i="9"/>
  <c r="DM22" i="9" a="1"/>
  <c r="DM22" i="9" s="1"/>
  <c r="DN22" i="9" a="1"/>
  <c r="DN22" i="9" s="1"/>
  <c r="DG22" i="9"/>
  <c r="DR32" i="9"/>
  <c r="DS32" i="9"/>
  <c r="DT32" i="9"/>
  <c r="DU32" i="9"/>
  <c r="DV32" i="9"/>
  <c r="DW32" i="9"/>
  <c r="DP32" i="9"/>
  <c r="DQ32" i="9"/>
  <c r="DO32" i="9"/>
  <c r="DX32" i="9" s="1"/>
  <c r="AC42" i="10"/>
  <c r="W42" i="10"/>
  <c r="BP42" i="10" s="1"/>
  <c r="X42" i="10"/>
  <c r="Y42" i="10"/>
  <c r="V42" i="10"/>
  <c r="Z42" i="10"/>
  <c r="AA42" i="10"/>
  <c r="AB42" i="10"/>
  <c r="AC10" i="10"/>
  <c r="V10" i="10"/>
  <c r="W10" i="10"/>
  <c r="X10" i="10"/>
  <c r="BQ10" i="10" s="1"/>
  <c r="Y10" i="10"/>
  <c r="Z10" i="10"/>
  <c r="AA10" i="10"/>
  <c r="BT10" i="10" s="1"/>
  <c r="AB10" i="10"/>
  <c r="B35" i="10"/>
  <c r="B19" i="10"/>
  <c r="B3" i="10"/>
  <c r="DL37" i="9" a="1"/>
  <c r="DL37" i="9" s="1"/>
  <c r="DJ37" i="9" a="1"/>
  <c r="DJ37" i="9" s="1"/>
  <c r="DF37" i="9"/>
  <c r="DK37" i="9" a="1"/>
  <c r="DK37" i="9" s="1"/>
  <c r="DM37" i="9" a="1"/>
  <c r="DM37" i="9" s="1"/>
  <c r="DN37" i="9" a="1"/>
  <c r="DN37" i="9" s="1"/>
  <c r="DG37" i="9"/>
  <c r="DH37" i="9" a="1"/>
  <c r="DH37" i="9" s="1"/>
  <c r="DI37" i="9" a="1"/>
  <c r="DI37" i="9" s="1"/>
  <c r="DI29" i="9" a="1"/>
  <c r="DI29" i="9" s="1"/>
  <c r="DG29" i="9"/>
  <c r="DF29" i="9"/>
  <c r="DH29" i="9" a="1"/>
  <c r="DH29" i="9" s="1"/>
  <c r="DJ29" i="9" a="1"/>
  <c r="DJ29" i="9" s="1"/>
  <c r="DK29" i="9" a="1"/>
  <c r="DK29" i="9" s="1"/>
  <c r="DL29" i="9" a="1"/>
  <c r="DL29" i="9" s="1"/>
  <c r="DM29" i="9" a="1"/>
  <c r="DM29" i="9" s="1"/>
  <c r="DN29" i="9" a="1"/>
  <c r="DN29" i="9" s="1"/>
  <c r="DL21" i="9" a="1"/>
  <c r="DL21" i="9" s="1"/>
  <c r="DI21" i="9" a="1"/>
  <c r="DI21" i="9" s="1"/>
  <c r="DJ21" i="9" a="1"/>
  <c r="DJ21" i="9" s="1"/>
  <c r="DK21" i="9" a="1"/>
  <c r="DK21" i="9" s="1"/>
  <c r="DF21" i="9"/>
  <c r="DM21" i="9" a="1"/>
  <c r="DM21" i="9" s="1"/>
  <c r="DN21" i="9" a="1"/>
  <c r="DN21" i="9" s="1"/>
  <c r="DG21" i="9"/>
  <c r="DH21" i="9" a="1"/>
  <c r="DH21" i="9" s="1"/>
  <c r="DN13" i="9" a="1"/>
  <c r="DN13" i="9" s="1"/>
  <c r="DJ13" i="9" a="1"/>
  <c r="DJ13" i="9" s="1"/>
  <c r="DK13" i="9" a="1"/>
  <c r="DK13" i="9" s="1"/>
  <c r="DL13" i="9" a="1"/>
  <c r="DL13" i="9" s="1"/>
  <c r="DM13" i="9" a="1"/>
  <c r="DM13" i="9" s="1"/>
  <c r="DF13" i="9"/>
  <c r="DG13" i="9"/>
  <c r="DH13" i="9" a="1"/>
  <c r="DH13" i="9" s="1"/>
  <c r="DI13" i="9" a="1"/>
  <c r="DI13" i="9" s="1"/>
  <c r="DP39" i="9"/>
  <c r="DQ39" i="9"/>
  <c r="DR39" i="9"/>
  <c r="DS39" i="9"/>
  <c r="DT39" i="9"/>
  <c r="DV39" i="9"/>
  <c r="DU39" i="9"/>
  <c r="DW39" i="9"/>
  <c r="DO39" i="9"/>
  <c r="DX39" i="9" s="1"/>
  <c r="DP31" i="9"/>
  <c r="DQ31" i="9"/>
  <c r="DV31" i="9"/>
  <c r="DR31" i="9"/>
  <c r="DT31" i="9"/>
  <c r="DS31" i="9"/>
  <c r="DU31" i="9"/>
  <c r="DW31" i="9"/>
  <c r="DO31" i="9"/>
  <c r="DX31" i="9" s="1"/>
  <c r="DP23" i="9"/>
  <c r="DQ23" i="9"/>
  <c r="DR23" i="9"/>
  <c r="DV23" i="9"/>
  <c r="DS23" i="9"/>
  <c r="DT23" i="9"/>
  <c r="DU23" i="9"/>
  <c r="DW23" i="9"/>
  <c r="DO23" i="9"/>
  <c r="EG23" i="9" s="1"/>
  <c r="DP15" i="9"/>
  <c r="DQ15" i="9"/>
  <c r="DR15" i="9"/>
  <c r="DT15" i="9"/>
  <c r="DV15" i="9"/>
  <c r="DS15" i="9"/>
  <c r="DU15" i="9"/>
  <c r="DW15" i="9"/>
  <c r="DO15" i="9"/>
  <c r="EG15" i="9" s="1"/>
  <c r="DR5" i="9"/>
  <c r="AO5" i="9" s="1"/>
  <c r="DT5" i="9"/>
  <c r="AQ5" i="9" s="1"/>
  <c r="DS5" i="9"/>
  <c r="AP5" i="9" s="1"/>
  <c r="DU5" i="9"/>
  <c r="AR5" i="9" s="1"/>
  <c r="DV5" i="9"/>
  <c r="AS5" i="9" s="1"/>
  <c r="DW5" i="9"/>
  <c r="AT5" i="9" s="1"/>
  <c r="AC41" i="10"/>
  <c r="W41" i="10"/>
  <c r="X41" i="10"/>
  <c r="Y41" i="10"/>
  <c r="BR41" i="10" s="1"/>
  <c r="AB41" i="10"/>
  <c r="V41" i="10"/>
  <c r="BO41" i="10" s="1"/>
  <c r="Z41" i="10"/>
  <c r="AA41" i="10"/>
  <c r="AC33" i="10"/>
  <c r="W33" i="10"/>
  <c r="X33" i="10"/>
  <c r="Y33" i="10"/>
  <c r="BR33" i="10" s="1"/>
  <c r="AB33" i="10"/>
  <c r="AA33" i="10"/>
  <c r="BT33" i="10" s="1"/>
  <c r="V33" i="10"/>
  <c r="Z33" i="10"/>
  <c r="AC25" i="10"/>
  <c r="V25" i="10"/>
  <c r="W25" i="10"/>
  <c r="X25" i="10"/>
  <c r="BQ25" i="10" s="1"/>
  <c r="Y25" i="10"/>
  <c r="Z25" i="10"/>
  <c r="BS25" i="10" s="1"/>
  <c r="AA25" i="10"/>
  <c r="AB25" i="10"/>
  <c r="AC17" i="10"/>
  <c r="V17" i="10"/>
  <c r="W17" i="10"/>
  <c r="X17" i="10"/>
  <c r="Y17" i="10"/>
  <c r="Z17" i="10"/>
  <c r="BS17" i="10" s="1"/>
  <c r="AA17" i="10"/>
  <c r="AB17" i="10"/>
  <c r="AC9" i="10"/>
  <c r="V9" i="10"/>
  <c r="W9" i="10"/>
  <c r="X9" i="10"/>
  <c r="Y9" i="10"/>
  <c r="Z9" i="10"/>
  <c r="AA9" i="10"/>
  <c r="AB9" i="10"/>
  <c r="B42" i="10"/>
  <c r="B34" i="10"/>
  <c r="B26" i="10"/>
  <c r="B18" i="10"/>
  <c r="B10" i="10"/>
  <c r="DP16" i="9"/>
  <c r="DR16" i="9"/>
  <c r="DS16" i="9"/>
  <c r="DT16" i="9"/>
  <c r="DU16" i="9"/>
  <c r="DV16" i="9"/>
  <c r="DW16" i="9"/>
  <c r="DQ16" i="9"/>
  <c r="DO16" i="9"/>
  <c r="EG16" i="9" s="1"/>
  <c r="DM36" i="9" a="1"/>
  <c r="DM36" i="9" s="1"/>
  <c r="DF36" i="9"/>
  <c r="DJ36" i="9" a="1"/>
  <c r="DJ36" i="9" s="1"/>
  <c r="DK36" i="9" a="1"/>
  <c r="DK36" i="9" s="1"/>
  <c r="DL36" i="9" a="1"/>
  <c r="DL36" i="9" s="1"/>
  <c r="DN36" i="9" a="1"/>
  <c r="DN36" i="9" s="1"/>
  <c r="DG36" i="9"/>
  <c r="DH36" i="9" a="1"/>
  <c r="DH36" i="9" s="1"/>
  <c r="DI36" i="9" a="1"/>
  <c r="DI36" i="9" s="1"/>
  <c r="DI28" i="9" a="1"/>
  <c r="DI28" i="9" s="1"/>
  <c r="DF28" i="9"/>
  <c r="DN28" i="9" a="1"/>
  <c r="DN28" i="9" s="1"/>
  <c r="DG28" i="9"/>
  <c r="DH28" i="9" a="1"/>
  <c r="DH28" i="9" s="1"/>
  <c r="DJ28" i="9" a="1"/>
  <c r="DJ28" i="9" s="1"/>
  <c r="DK28" i="9" a="1"/>
  <c r="DK28" i="9" s="1"/>
  <c r="DL28" i="9" a="1"/>
  <c r="DL28" i="9" s="1"/>
  <c r="DM28" i="9" a="1"/>
  <c r="DM28" i="9" s="1"/>
  <c r="DM20" i="9" a="1"/>
  <c r="DM20" i="9" s="1"/>
  <c r="DF20" i="9"/>
  <c r="DI20" i="9" a="1"/>
  <c r="DI20" i="9" s="1"/>
  <c r="DJ20" i="9" a="1"/>
  <c r="DJ20" i="9" s="1"/>
  <c r="DK20" i="9" a="1"/>
  <c r="DK20" i="9" s="1"/>
  <c r="DL20" i="9" a="1"/>
  <c r="DL20" i="9" s="1"/>
  <c r="DN20" i="9" a="1"/>
  <c r="DN20" i="9" s="1"/>
  <c r="DG20" i="9"/>
  <c r="DH20" i="9" a="1"/>
  <c r="DH20" i="9" s="1"/>
  <c r="DR38" i="9"/>
  <c r="DT38" i="9"/>
  <c r="DS38" i="9"/>
  <c r="DU38" i="9"/>
  <c r="DW38" i="9"/>
  <c r="DP38" i="9"/>
  <c r="DQ38" i="9"/>
  <c r="DV38" i="9"/>
  <c r="DO38" i="9"/>
  <c r="EG38" i="9" s="1"/>
  <c r="DP30" i="9"/>
  <c r="DR30" i="9"/>
  <c r="DV30" i="9"/>
  <c r="DS30" i="9"/>
  <c r="DT30" i="9"/>
  <c r="DU30" i="9"/>
  <c r="DW30" i="9"/>
  <c r="DQ30" i="9"/>
  <c r="DO30" i="9"/>
  <c r="DP22" i="9"/>
  <c r="DR22" i="9"/>
  <c r="DT22" i="9"/>
  <c r="DS22" i="9"/>
  <c r="DU22" i="9"/>
  <c r="DV22" i="9"/>
  <c r="DW22" i="9"/>
  <c r="DQ22" i="9"/>
  <c r="DO22" i="9"/>
  <c r="DP14" i="9"/>
  <c r="DR14" i="9"/>
  <c r="DV14" i="9"/>
  <c r="DS14" i="9"/>
  <c r="DT14" i="9"/>
  <c r="DU14" i="9"/>
  <c r="DW14" i="9"/>
  <c r="DQ14" i="9"/>
  <c r="DO14" i="9"/>
  <c r="EG14" i="9" s="1"/>
  <c r="DR4" i="9"/>
  <c r="AO4" i="9" s="1"/>
  <c r="DT4" i="9"/>
  <c r="AQ4" i="9" s="1"/>
  <c r="DS4" i="9"/>
  <c r="AP4" i="9" s="1"/>
  <c r="DV4" i="9"/>
  <c r="AS4" i="9" s="1"/>
  <c r="DU4" i="9"/>
  <c r="AR4" i="9" s="1"/>
  <c r="DW4" i="9"/>
  <c r="AT4" i="9" s="1"/>
  <c r="AC40" i="10"/>
  <c r="W40" i="10"/>
  <c r="BP40" i="10" s="1"/>
  <c r="X40" i="10"/>
  <c r="Y40" i="10"/>
  <c r="V40" i="10"/>
  <c r="Z40" i="10"/>
  <c r="AA40" i="10"/>
  <c r="AB40" i="10"/>
  <c r="AC32" i="10"/>
  <c r="W32" i="10"/>
  <c r="BP32" i="10" s="1"/>
  <c r="X32" i="10"/>
  <c r="Y32" i="10"/>
  <c r="V32" i="10"/>
  <c r="Z32" i="10"/>
  <c r="AA32" i="10"/>
  <c r="AB32" i="10"/>
  <c r="BU32" i="10" s="1"/>
  <c r="AC24" i="10"/>
  <c r="V24" i="10"/>
  <c r="W24" i="10"/>
  <c r="X24" i="10"/>
  <c r="Y24" i="10"/>
  <c r="AA24" i="10"/>
  <c r="AB24" i="10"/>
  <c r="Z24" i="10"/>
  <c r="BS24" i="10" s="1"/>
  <c r="AC16" i="10"/>
  <c r="V16" i="10"/>
  <c r="BO16" i="10" s="1"/>
  <c r="W16" i="10"/>
  <c r="BP16" i="10" s="1"/>
  <c r="X16" i="10"/>
  <c r="Y16" i="10"/>
  <c r="Z16" i="10"/>
  <c r="AA16" i="10"/>
  <c r="AB16" i="10"/>
  <c r="AC8" i="10"/>
  <c r="V8" i="10"/>
  <c r="BO8" i="10" s="1"/>
  <c r="W8" i="10"/>
  <c r="X8" i="10"/>
  <c r="Y8" i="10"/>
  <c r="Z8" i="10"/>
  <c r="AA8" i="10"/>
  <c r="AB8" i="10"/>
  <c r="BU8" i="10" s="1"/>
  <c r="B41" i="10"/>
  <c r="B33" i="10"/>
  <c r="B25" i="10"/>
  <c r="B17" i="10"/>
  <c r="B9" i="10"/>
  <c r="DL39" i="9" a="1"/>
  <c r="DL39" i="9" s="1"/>
  <c r="DM39" i="9" a="1"/>
  <c r="DM39" i="9" s="1"/>
  <c r="DN39" i="9" a="1"/>
  <c r="DN39" i="9" s="1"/>
  <c r="DF39" i="9"/>
  <c r="DG39" i="9"/>
  <c r="DH39" i="9" a="1"/>
  <c r="DH39" i="9" s="1"/>
  <c r="DI39" i="9" a="1"/>
  <c r="DI39" i="9" s="1"/>
  <c r="DJ39" i="9" a="1"/>
  <c r="DJ39" i="9" s="1"/>
  <c r="DK39" i="9" a="1"/>
  <c r="DK39" i="9" s="1"/>
  <c r="DP41" i="9"/>
  <c r="DQ41" i="9"/>
  <c r="DV41" i="9"/>
  <c r="DR41" i="9"/>
  <c r="DS41" i="9"/>
  <c r="DT41" i="9"/>
  <c r="DU41" i="9"/>
  <c r="DW41" i="9"/>
  <c r="DO41" i="9"/>
  <c r="DX41" i="9" s="1"/>
  <c r="DR7" i="9"/>
  <c r="AO7" i="9" s="1"/>
  <c r="DT7" i="9"/>
  <c r="AQ7" i="9" s="1"/>
  <c r="DS7" i="9"/>
  <c r="AP7" i="9" s="1"/>
  <c r="DU7" i="9"/>
  <c r="AR7" i="9" s="1"/>
  <c r="DV7" i="9"/>
  <c r="AS7" i="9" s="1"/>
  <c r="DW7" i="9"/>
  <c r="AT7" i="9" s="1"/>
  <c r="AC11" i="10"/>
  <c r="V11" i="10"/>
  <c r="W11" i="10"/>
  <c r="X11" i="10"/>
  <c r="Y11" i="10"/>
  <c r="BR11" i="10" s="1"/>
  <c r="Z11" i="10"/>
  <c r="AA11" i="10"/>
  <c r="AB11" i="10"/>
  <c r="B12" i="10"/>
  <c r="AD12" i="10" s="1"/>
  <c r="DI30" i="9" a="1"/>
  <c r="DI30" i="9" s="1"/>
  <c r="DG30" i="9"/>
  <c r="LH30" i="9" s="1"/>
  <c r="BW30" i="9" s="1"/>
  <c r="DH30" i="9" a="1"/>
  <c r="DH30" i="9" s="1"/>
  <c r="DJ30" i="9" a="1"/>
  <c r="DJ30" i="9" s="1"/>
  <c r="DF30" i="9"/>
  <c r="DK30" i="9" a="1"/>
  <c r="DK30" i="9" s="1"/>
  <c r="DL30" i="9" a="1"/>
  <c r="DL30" i="9" s="1"/>
  <c r="LM30" i="9" s="1"/>
  <c r="CB30" i="9" s="1"/>
  <c r="P30" i="9" s="1"/>
  <c r="Y30" i="9" s="1"/>
  <c r="DM30" i="9" a="1"/>
  <c r="DM30" i="9" s="1"/>
  <c r="DN30" i="9" a="1"/>
  <c r="DN30" i="9" s="1"/>
  <c r="DP24" i="9"/>
  <c r="DR24" i="9"/>
  <c r="DT24" i="9"/>
  <c r="DS24" i="9"/>
  <c r="DV24" i="9"/>
  <c r="DU24" i="9"/>
  <c r="DW24" i="9"/>
  <c r="DQ24" i="9"/>
  <c r="DO24" i="9"/>
  <c r="DX24" i="9" s="1"/>
  <c r="AC26" i="10"/>
  <c r="V26" i="10"/>
  <c r="W26" i="10"/>
  <c r="X26" i="10"/>
  <c r="BQ26" i="10" s="1"/>
  <c r="Y26" i="10"/>
  <c r="Z26" i="10"/>
  <c r="AB26" i="10"/>
  <c r="AA26" i="10"/>
  <c r="B27" i="10"/>
  <c r="DH35" i="9" a="1"/>
  <c r="DH35" i="9" s="1"/>
  <c r="LI35" i="9" s="1"/>
  <c r="BX35" i="9" s="1"/>
  <c r="L35" i="9" s="1"/>
  <c r="U35" i="9" s="1"/>
  <c r="DN35" i="9" a="1"/>
  <c r="DN35" i="9" s="1"/>
  <c r="DK35" i="9" a="1"/>
  <c r="DK35" i="9" s="1"/>
  <c r="LL35" i="9" s="1"/>
  <c r="CA35" i="9" s="1"/>
  <c r="O35" i="9" s="1"/>
  <c r="X35" i="9" s="1"/>
  <c r="DL35" i="9" a="1"/>
  <c r="DL35" i="9" s="1"/>
  <c r="DM35" i="9" a="1"/>
  <c r="DM35" i="9" s="1"/>
  <c r="DG35" i="9"/>
  <c r="LH35" i="9" s="1"/>
  <c r="BW35" i="9" s="1"/>
  <c r="DI35" i="9" a="1"/>
  <c r="DI35" i="9" s="1"/>
  <c r="DF35" i="9"/>
  <c r="LG35" i="9" s="1"/>
  <c r="DJ35" i="9" a="1"/>
  <c r="DJ35" i="9" s="1"/>
  <c r="DJ27" i="9" a="1"/>
  <c r="DJ27" i="9" s="1"/>
  <c r="DF27" i="9"/>
  <c r="LG27" i="9" s="1"/>
  <c r="DN27" i="9" a="1"/>
  <c r="DN27" i="9" s="1"/>
  <c r="LO27" i="9" s="1"/>
  <c r="CD27" i="9" s="1"/>
  <c r="R27" i="9" s="1"/>
  <c r="AA27" i="9" s="1"/>
  <c r="DG27" i="9"/>
  <c r="LH27" i="9" s="1"/>
  <c r="BW27" i="9" s="1"/>
  <c r="DH27" i="9" a="1"/>
  <c r="DH27" i="9" s="1"/>
  <c r="DI27" i="9" a="1"/>
  <c r="DI27" i="9" s="1"/>
  <c r="DK27" i="9" a="1"/>
  <c r="DK27" i="9" s="1"/>
  <c r="DL27" i="9" a="1"/>
  <c r="DL27" i="9" s="1"/>
  <c r="LM27" i="9" s="1"/>
  <c r="CB27" i="9" s="1"/>
  <c r="P27" i="9" s="1"/>
  <c r="Y27" i="9" s="1"/>
  <c r="DM27" i="9" a="1"/>
  <c r="DM27" i="9" s="1"/>
  <c r="DH19" i="9" a="1"/>
  <c r="DH19" i="9" s="1"/>
  <c r="LI19" i="9" s="1"/>
  <c r="BX19" i="9" s="1"/>
  <c r="L19" i="9" s="1"/>
  <c r="U19" i="9" s="1"/>
  <c r="DN19" i="9" a="1"/>
  <c r="DN19" i="9" s="1"/>
  <c r="LO19" i="9" s="1"/>
  <c r="CD19" i="9" s="1"/>
  <c r="R19" i="9" s="1"/>
  <c r="AA19" i="9" s="1"/>
  <c r="DJ19" i="9" a="1"/>
  <c r="DJ19" i="9" s="1"/>
  <c r="DF19" i="9"/>
  <c r="DK19" i="9" a="1"/>
  <c r="DK19" i="9" s="1"/>
  <c r="DL19" i="9" a="1"/>
  <c r="DL19" i="9" s="1"/>
  <c r="DM19" i="9" a="1"/>
  <c r="DM19" i="9" s="1"/>
  <c r="LN19" i="9" s="1"/>
  <c r="CC19" i="9" s="1"/>
  <c r="Q19" i="9" s="1"/>
  <c r="Z19" i="9" s="1"/>
  <c r="DG19" i="9"/>
  <c r="DI19" i="9" a="1"/>
  <c r="DI19" i="9" s="1"/>
  <c r="DP37" i="9"/>
  <c r="DQ37" i="9"/>
  <c r="DR37" i="9"/>
  <c r="DT37" i="9"/>
  <c r="DV37" i="9"/>
  <c r="DS37" i="9"/>
  <c r="DU37" i="9"/>
  <c r="DW37" i="9"/>
  <c r="DO37" i="9"/>
  <c r="EG37" i="9" s="1"/>
  <c r="DP29" i="9"/>
  <c r="DQ29" i="9"/>
  <c r="DR29" i="9"/>
  <c r="DT29" i="9"/>
  <c r="DS29" i="9"/>
  <c r="DU29" i="9"/>
  <c r="DW29" i="9"/>
  <c r="DV29" i="9"/>
  <c r="DO29" i="9"/>
  <c r="EG29" i="9" s="1"/>
  <c r="DP21" i="9"/>
  <c r="DQ21" i="9"/>
  <c r="DR21" i="9"/>
  <c r="DS21" i="9"/>
  <c r="DT21" i="9"/>
  <c r="DV21" i="9"/>
  <c r="DU21" i="9"/>
  <c r="DW21" i="9"/>
  <c r="DO21" i="9"/>
  <c r="EG21" i="9" s="1"/>
  <c r="DP13" i="9"/>
  <c r="DQ13" i="9"/>
  <c r="DR13" i="9"/>
  <c r="DT13" i="9"/>
  <c r="DS13" i="9"/>
  <c r="DU13" i="9"/>
  <c r="DV13" i="9"/>
  <c r="DW13" i="9"/>
  <c r="DO13" i="9"/>
  <c r="DX13" i="9" s="1"/>
  <c r="DR3" i="9"/>
  <c r="AO3" i="9" s="1"/>
  <c r="DV3" i="9"/>
  <c r="AS3" i="9" s="1"/>
  <c r="DS3" i="9"/>
  <c r="AP3" i="9" s="1"/>
  <c r="DT3" i="9"/>
  <c r="AQ3" i="9" s="1"/>
  <c r="DU3" i="9"/>
  <c r="AR3" i="9" s="1"/>
  <c r="DW3" i="9"/>
  <c r="AT3" i="9" s="1"/>
  <c r="AC39" i="10"/>
  <c r="W39" i="10"/>
  <c r="X39" i="10"/>
  <c r="Y39" i="10"/>
  <c r="AB39" i="10"/>
  <c r="Z39" i="10"/>
  <c r="AA39" i="10"/>
  <c r="V39" i="10"/>
  <c r="AC31" i="10"/>
  <c r="W31" i="10"/>
  <c r="X31" i="10"/>
  <c r="Y31" i="10"/>
  <c r="AB31" i="10"/>
  <c r="V31" i="10"/>
  <c r="Z31" i="10"/>
  <c r="AA31" i="10"/>
  <c r="AA23" i="10"/>
  <c r="X23" i="10"/>
  <c r="Z23" i="10"/>
  <c r="BS23" i="10" s="1"/>
  <c r="W23" i="10"/>
  <c r="AC23" i="10"/>
  <c r="AB23" i="10"/>
  <c r="Y23" i="10"/>
  <c r="BR23" i="10" s="1"/>
  <c r="V23" i="10"/>
  <c r="AC15" i="10"/>
  <c r="V15" i="10"/>
  <c r="W15" i="10"/>
  <c r="X15" i="10"/>
  <c r="Y15" i="10"/>
  <c r="AA15" i="10"/>
  <c r="AB15" i="10"/>
  <c r="Z15" i="10"/>
  <c r="AC7" i="10"/>
  <c r="V7" i="10"/>
  <c r="W7" i="10"/>
  <c r="BP7" i="10" s="1"/>
  <c r="X7" i="10"/>
  <c r="Y7" i="10"/>
  <c r="AA7" i="10"/>
  <c r="AB7" i="10"/>
  <c r="Z7" i="10"/>
  <c r="B40" i="10"/>
  <c r="B32" i="10"/>
  <c r="B24" i="10"/>
  <c r="B16" i="10"/>
  <c r="B8" i="10"/>
  <c r="DI31" i="9" a="1"/>
  <c r="DI31" i="9" s="1"/>
  <c r="LJ31" i="9" s="1"/>
  <c r="BY31" i="9" s="1"/>
  <c r="M31" i="9" s="1"/>
  <c r="V31" i="9" s="1"/>
  <c r="DH31" i="9" a="1"/>
  <c r="DH31" i="9" s="1"/>
  <c r="DJ31" i="9" a="1"/>
  <c r="DJ31" i="9" s="1"/>
  <c r="DK31" i="9" a="1"/>
  <c r="DK31" i="9" s="1"/>
  <c r="LL31" i="9" s="1"/>
  <c r="CA31" i="9" s="1"/>
  <c r="O31" i="9" s="1"/>
  <c r="X31" i="9" s="1"/>
  <c r="DL31" i="9" a="1"/>
  <c r="DL31" i="9" s="1"/>
  <c r="DF31" i="9"/>
  <c r="DM31" i="9" a="1"/>
  <c r="DM31" i="9" s="1"/>
  <c r="DN31" i="9" a="1"/>
  <c r="DN31" i="9" s="1"/>
  <c r="DG31" i="9"/>
  <c r="DP25" i="9"/>
  <c r="DQ25" i="9"/>
  <c r="DR25" i="9"/>
  <c r="DS25" i="9"/>
  <c r="DT25" i="9"/>
  <c r="DU25" i="9"/>
  <c r="DV25" i="9"/>
  <c r="DW25" i="9"/>
  <c r="DO25" i="9"/>
  <c r="DX25" i="9" s="1"/>
  <c r="AC27" i="10"/>
  <c r="V27" i="10"/>
  <c r="W27" i="10"/>
  <c r="X27" i="10"/>
  <c r="Y27" i="10"/>
  <c r="Z27" i="10"/>
  <c r="AA27" i="10"/>
  <c r="BT27" i="10" s="1"/>
  <c r="AB27" i="10"/>
  <c r="B28" i="10"/>
  <c r="DL38" i="9" a="1"/>
  <c r="DL38" i="9" s="1"/>
  <c r="DK38" i="9" a="1"/>
  <c r="DK38" i="9" s="1"/>
  <c r="LL38" i="9" s="1"/>
  <c r="CA38" i="9" s="1"/>
  <c r="O38" i="9" s="1"/>
  <c r="X38" i="9" s="1"/>
  <c r="DM38" i="9" a="1"/>
  <c r="DM38" i="9" s="1"/>
  <c r="DF38" i="9"/>
  <c r="DN38" i="9" a="1"/>
  <c r="DN38" i="9" s="1"/>
  <c r="LO38" i="9" s="1"/>
  <c r="CD38" i="9" s="1"/>
  <c r="R38" i="9" s="1"/>
  <c r="AA38" i="9" s="1"/>
  <c r="DG38" i="9"/>
  <c r="LH38" i="9" s="1"/>
  <c r="BW38" i="9" s="1"/>
  <c r="DH38" i="9" a="1"/>
  <c r="DH38" i="9" s="1"/>
  <c r="DI38" i="9" a="1"/>
  <c r="DI38" i="9" s="1"/>
  <c r="DJ38" i="9" a="1"/>
  <c r="DJ38" i="9" s="1"/>
  <c r="DR6" i="9"/>
  <c r="AO6" i="9" s="1"/>
  <c r="DV6" i="9"/>
  <c r="AS6" i="9" s="1"/>
  <c r="DS6" i="9"/>
  <c r="AP6" i="9" s="1"/>
  <c r="DT6" i="9"/>
  <c r="AQ6" i="9" s="1"/>
  <c r="DU6" i="9"/>
  <c r="AR6" i="9" s="1"/>
  <c r="DW6" i="9"/>
  <c r="AT6" i="9" s="1"/>
  <c r="EG6" i="9"/>
  <c r="AC18" i="10"/>
  <c r="V18" i="10"/>
  <c r="W18" i="10"/>
  <c r="X18" i="10"/>
  <c r="Y18" i="10"/>
  <c r="Z18" i="10"/>
  <c r="BS18" i="10" s="1"/>
  <c r="AA18" i="10"/>
  <c r="AB18" i="10"/>
  <c r="B2" i="10"/>
  <c r="B11" i="10"/>
  <c r="DK42" i="9" a="1"/>
  <c r="DK42" i="9" s="1"/>
  <c r="DG42" i="9"/>
  <c r="DH42" i="9" a="1"/>
  <c r="DH42" i="9" s="1"/>
  <c r="DI42" i="9" a="1"/>
  <c r="DI42" i="9" s="1"/>
  <c r="LJ42" i="9" s="1"/>
  <c r="BY42" i="9" s="1"/>
  <c r="M42" i="9" s="1"/>
  <c r="V42" i="9" s="1"/>
  <c r="DJ42" i="9" a="1"/>
  <c r="DJ42" i="9" s="1"/>
  <c r="DL42" i="9" a="1"/>
  <c r="DL42" i="9" s="1"/>
  <c r="DF42" i="9"/>
  <c r="LG42" i="9" s="1"/>
  <c r="DM42" i="9" a="1"/>
  <c r="DM42" i="9" s="1"/>
  <c r="DN42" i="9" a="1"/>
  <c r="DN42" i="9" s="1"/>
  <c r="DH34" i="9" a="1"/>
  <c r="DH34" i="9" s="1"/>
  <c r="LI34" i="9" s="1"/>
  <c r="BX34" i="9" s="1"/>
  <c r="L34" i="9" s="1"/>
  <c r="U34" i="9" s="1"/>
  <c r="DK34" i="9" a="1"/>
  <c r="DK34" i="9" s="1"/>
  <c r="LL34" i="9" s="1"/>
  <c r="CA34" i="9" s="1"/>
  <c r="O34" i="9" s="1"/>
  <c r="X34" i="9" s="1"/>
  <c r="DL34" i="9" a="1"/>
  <c r="DL34" i="9" s="1"/>
  <c r="LM34" i="9" s="1"/>
  <c r="CB34" i="9" s="1"/>
  <c r="P34" i="9" s="1"/>
  <c r="Y34" i="9" s="1"/>
  <c r="DM34" i="9" a="1"/>
  <c r="DM34" i="9" s="1"/>
  <c r="DN34" i="9" a="1"/>
  <c r="DN34" i="9" s="1"/>
  <c r="DG34" i="9"/>
  <c r="DI34" i="9" a="1"/>
  <c r="DI34" i="9" s="1"/>
  <c r="DF34" i="9"/>
  <c r="DJ34" i="9" a="1"/>
  <c r="DJ34" i="9" s="1"/>
  <c r="DJ26" i="9" a="1"/>
  <c r="DJ26" i="9" s="1"/>
  <c r="DM26" i="9" a="1"/>
  <c r="DM26" i="9" s="1"/>
  <c r="LN26" i="9" s="1"/>
  <c r="CC26" i="9" s="1"/>
  <c r="Q26" i="9" s="1"/>
  <c r="Z26" i="9" s="1"/>
  <c r="DN26" i="9" a="1"/>
  <c r="DN26" i="9" s="1"/>
  <c r="DG26" i="9"/>
  <c r="DH26" i="9" a="1"/>
  <c r="DH26" i="9" s="1"/>
  <c r="DI26" i="9" a="1"/>
  <c r="DI26" i="9" s="1"/>
  <c r="DK26" i="9" a="1"/>
  <c r="DK26" i="9" s="1"/>
  <c r="DF26" i="9"/>
  <c r="DL26" i="9" a="1"/>
  <c r="DL26" i="9" s="1"/>
  <c r="DI18" i="9" a="1"/>
  <c r="DI18" i="9" s="1"/>
  <c r="LJ18" i="9" s="1"/>
  <c r="BY18" i="9" s="1"/>
  <c r="M18" i="9" s="1"/>
  <c r="V18" i="9" s="1"/>
  <c r="DK18" i="9" a="1"/>
  <c r="DK18" i="9" s="1"/>
  <c r="DF18" i="9"/>
  <c r="DL18" i="9" a="1"/>
  <c r="DL18" i="9" s="1"/>
  <c r="LM18" i="9" s="1"/>
  <c r="CB18" i="9" s="1"/>
  <c r="P18" i="9" s="1"/>
  <c r="Y18" i="9" s="1"/>
  <c r="DM18" i="9" a="1"/>
  <c r="DM18" i="9" s="1"/>
  <c r="DN18" i="9" a="1"/>
  <c r="DN18" i="9" s="1"/>
  <c r="DG18" i="9"/>
  <c r="DH18" i="9" a="1"/>
  <c r="DH18" i="9" s="1"/>
  <c r="DJ18" i="9" a="1"/>
  <c r="DJ18" i="9" s="1"/>
  <c r="DI10" i="9" a="1"/>
  <c r="DI10" i="9" s="1"/>
  <c r="DJ10" i="9" a="1"/>
  <c r="DJ10" i="9" s="1"/>
  <c r="DK10" i="9" a="1"/>
  <c r="DK10" i="9" s="1"/>
  <c r="DF10" i="9"/>
  <c r="DL10" i="9" a="1"/>
  <c r="DL10" i="9" s="1"/>
  <c r="DM10" i="9" a="1"/>
  <c r="DM10" i="9" s="1"/>
  <c r="DN10" i="9" a="1"/>
  <c r="DN10" i="9" s="1"/>
  <c r="DG10" i="9"/>
  <c r="DH10" i="9" a="1"/>
  <c r="DH10" i="9" s="1"/>
  <c r="DR36" i="9"/>
  <c r="DS36" i="9"/>
  <c r="DT36" i="9"/>
  <c r="DU36" i="9"/>
  <c r="DV36" i="9"/>
  <c r="DW36" i="9"/>
  <c r="DP36" i="9"/>
  <c r="DQ36" i="9"/>
  <c r="DO36" i="9"/>
  <c r="EG36" i="9" s="1"/>
  <c r="DR28" i="9"/>
  <c r="DT28" i="9"/>
  <c r="DS28" i="9"/>
  <c r="DU28" i="9"/>
  <c r="DV28" i="9"/>
  <c r="DW28" i="9"/>
  <c r="DP28" i="9"/>
  <c r="DQ28" i="9"/>
  <c r="DO28" i="9"/>
  <c r="DX28" i="9" s="1"/>
  <c r="DP20" i="9"/>
  <c r="DR20" i="9"/>
  <c r="DT20" i="9"/>
  <c r="DV20" i="9"/>
  <c r="DS20" i="9"/>
  <c r="DU20" i="9"/>
  <c r="DW20" i="9"/>
  <c r="DQ20" i="9"/>
  <c r="DO20" i="9"/>
  <c r="EG20" i="9" s="1"/>
  <c r="DP10" i="9"/>
  <c r="DR10" i="9"/>
  <c r="DV10" i="9"/>
  <c r="DS10" i="9"/>
  <c r="DT10" i="9"/>
  <c r="DU10" i="9"/>
  <c r="DW10" i="9"/>
  <c r="DQ10" i="9"/>
  <c r="DO10" i="9"/>
  <c r="EG10" i="9" s="1"/>
  <c r="V2" i="10"/>
  <c r="X2" i="10"/>
  <c r="Y2" i="10"/>
  <c r="Z2" i="10"/>
  <c r="AA2" i="10"/>
  <c r="AB2" i="10"/>
  <c r="AC2" i="10"/>
  <c r="W2" i="10"/>
  <c r="BP2" i="10" s="1"/>
  <c r="AC38" i="10"/>
  <c r="W38" i="10"/>
  <c r="X38" i="10"/>
  <c r="Y38" i="10"/>
  <c r="V38" i="10"/>
  <c r="Z38" i="10"/>
  <c r="AA38" i="10"/>
  <c r="AB38" i="10"/>
  <c r="BU38" i="10" s="1"/>
  <c r="AC30" i="10"/>
  <c r="W30" i="10"/>
  <c r="X30" i="10"/>
  <c r="Y30" i="10"/>
  <c r="V30" i="10"/>
  <c r="Z30" i="10"/>
  <c r="AA30" i="10"/>
  <c r="AB30" i="10"/>
  <c r="BU30" i="10" s="1"/>
  <c r="AC22" i="10"/>
  <c r="V22" i="10"/>
  <c r="W22" i="10"/>
  <c r="X22" i="10"/>
  <c r="BQ22" i="10" s="1"/>
  <c r="Y22" i="10"/>
  <c r="Z22" i="10"/>
  <c r="AA22" i="10"/>
  <c r="AB22" i="10"/>
  <c r="BU22" i="10" s="1"/>
  <c r="AC14" i="10"/>
  <c r="V14" i="10"/>
  <c r="W14" i="10"/>
  <c r="X14" i="10"/>
  <c r="Y14" i="10"/>
  <c r="Z14" i="10"/>
  <c r="AA14" i="10"/>
  <c r="AB14" i="10"/>
  <c r="AC6" i="10"/>
  <c r="V6" i="10"/>
  <c r="W6" i="10"/>
  <c r="X6" i="10"/>
  <c r="Y6" i="10"/>
  <c r="Z6" i="10"/>
  <c r="AA6" i="10"/>
  <c r="AB6" i="10"/>
  <c r="BU6" i="10" s="1"/>
  <c r="B39" i="10"/>
  <c r="B31" i="10"/>
  <c r="B23" i="10"/>
  <c r="B15" i="10"/>
  <c r="B7" i="10"/>
  <c r="A12" i="9"/>
  <c r="A12" i="12"/>
  <c r="A44" i="9"/>
  <c r="A44" i="12"/>
  <c r="A36" i="9"/>
  <c r="A36" i="12"/>
  <c r="A27" i="9"/>
  <c r="A27" i="12"/>
  <c r="A19" i="9"/>
  <c r="A19" i="12"/>
  <c r="A11" i="9"/>
  <c r="A11" i="12"/>
  <c r="A3" i="9"/>
  <c r="A3" i="12"/>
  <c r="AU37" i="9"/>
  <c r="CW37" i="9"/>
  <c r="AU29" i="9"/>
  <c r="CW29" i="9"/>
  <c r="AU21" i="9"/>
  <c r="CW21" i="9"/>
  <c r="AU13" i="9"/>
  <c r="CW13" i="9"/>
  <c r="A10" i="9"/>
  <c r="A10" i="12"/>
  <c r="BP35" i="10"/>
  <c r="AU36" i="9"/>
  <c r="CW36" i="9"/>
  <c r="AU28" i="9"/>
  <c r="CW28" i="9"/>
  <c r="AU20" i="9"/>
  <c r="CW20" i="9"/>
  <c r="AU12" i="9"/>
  <c r="CW12" i="9"/>
  <c r="A45" i="9"/>
  <c r="A45" i="12"/>
  <c r="A20" i="9"/>
  <c r="A20" i="12"/>
  <c r="AU30" i="9"/>
  <c r="CW30" i="9"/>
  <c r="A26" i="9"/>
  <c r="A26" i="12"/>
  <c r="A18" i="9"/>
  <c r="A18" i="12"/>
  <c r="A42" i="9"/>
  <c r="A42" i="12"/>
  <c r="A34" i="9"/>
  <c r="A34" i="12"/>
  <c r="A25" i="9"/>
  <c r="A25" i="12"/>
  <c r="A17" i="9"/>
  <c r="A17" i="12"/>
  <c r="A9" i="9"/>
  <c r="A9" i="12"/>
  <c r="AU35" i="9"/>
  <c r="CW35" i="9"/>
  <c r="AU27" i="9"/>
  <c r="CW27" i="9"/>
  <c r="AU19" i="9"/>
  <c r="CW19" i="9"/>
  <c r="AU11" i="9"/>
  <c r="CW11" i="9"/>
  <c r="A4" i="9"/>
  <c r="A4" i="12"/>
  <c r="AU14" i="9"/>
  <c r="CW14" i="9"/>
  <c r="A8" i="9"/>
  <c r="A8" i="12"/>
  <c r="AU42" i="9"/>
  <c r="CW42" i="9"/>
  <c r="AU34" i="9"/>
  <c r="CW34" i="9"/>
  <c r="AU26" i="9"/>
  <c r="CW26" i="9"/>
  <c r="AU18" i="9"/>
  <c r="CW18" i="9"/>
  <c r="AU10" i="9"/>
  <c r="CW10" i="9"/>
  <c r="A37" i="9"/>
  <c r="A37" i="12"/>
  <c r="A35" i="9"/>
  <c r="A35" i="12"/>
  <c r="A24" i="9"/>
  <c r="A24" i="12"/>
  <c r="A40" i="9"/>
  <c r="A40" i="12"/>
  <c r="A32" i="9"/>
  <c r="A32" i="12"/>
  <c r="A23" i="9"/>
  <c r="A15" i="9"/>
  <c r="A15" i="12"/>
  <c r="A7" i="9"/>
  <c r="A7" i="12"/>
  <c r="DX30" i="9"/>
  <c r="DX22" i="9"/>
  <c r="BU16" i="10"/>
  <c r="AU41" i="9"/>
  <c r="CW41" i="9"/>
  <c r="AU33" i="9"/>
  <c r="CW33" i="9"/>
  <c r="AU25" i="9"/>
  <c r="CW25" i="9"/>
  <c r="AU17" i="9"/>
  <c r="CW17" i="9"/>
  <c r="AU38" i="9"/>
  <c r="CW38" i="9"/>
  <c r="A43" i="9"/>
  <c r="A43" i="12"/>
  <c r="A33" i="9"/>
  <c r="A33" i="12"/>
  <c r="A39" i="9"/>
  <c r="A39" i="12"/>
  <c r="A22" i="9"/>
  <c r="A22" i="12"/>
  <c r="A6" i="9"/>
  <c r="A6" i="12"/>
  <c r="AU40" i="9"/>
  <c r="CW40" i="9"/>
  <c r="AU32" i="9"/>
  <c r="CW32" i="9"/>
  <c r="AU24" i="9"/>
  <c r="CW24" i="9"/>
  <c r="AU16" i="9"/>
  <c r="CW16" i="9"/>
  <c r="A28" i="9"/>
  <c r="A28" i="12"/>
  <c r="AU22" i="9"/>
  <c r="CW22" i="9"/>
  <c r="A41" i="9"/>
  <c r="A41" i="12"/>
  <c r="A16" i="9"/>
  <c r="A16" i="12"/>
  <c r="A2" i="9"/>
  <c r="A2" i="12"/>
  <c r="A48" i="9"/>
  <c r="A48" i="12"/>
  <c r="A30" i="9"/>
  <c r="A30" i="12"/>
  <c r="A14" i="9"/>
  <c r="A14" i="12"/>
  <c r="A47" i="9"/>
  <c r="A47" i="12"/>
  <c r="A38" i="9"/>
  <c r="A38" i="12"/>
  <c r="A29" i="9"/>
  <c r="A29" i="12"/>
  <c r="A21" i="9"/>
  <c r="A21" i="12"/>
  <c r="A13" i="9"/>
  <c r="A13" i="12"/>
  <c r="A5" i="9"/>
  <c r="A5" i="12"/>
  <c r="DR2" i="9"/>
  <c r="AO2" i="9" s="1"/>
  <c r="AU39" i="9"/>
  <c r="CW39" i="9"/>
  <c r="AU31" i="9"/>
  <c r="CW31" i="9"/>
  <c r="AU23" i="9"/>
  <c r="CW23" i="9"/>
  <c r="AU15" i="9"/>
  <c r="CW15" i="9"/>
  <c r="AD4" i="11"/>
  <c r="BD42" i="8"/>
  <c r="BB42" i="8"/>
  <c r="AZ42" i="8"/>
  <c r="BD26" i="8"/>
  <c r="BB26" i="8"/>
  <c r="AZ26" i="8"/>
  <c r="BD18" i="8"/>
  <c r="BB18" i="8"/>
  <c r="AZ18" i="8"/>
  <c r="AZ8" i="8"/>
  <c r="BD8" i="8"/>
  <c r="BB8" i="8"/>
  <c r="AZ32" i="8"/>
  <c r="BD32" i="8"/>
  <c r="BB32" i="8"/>
  <c r="AZ16" i="8"/>
  <c r="BD16" i="8"/>
  <c r="BB16" i="8"/>
  <c r="CN27" i="9"/>
  <c r="CE27" i="9"/>
  <c r="CN11" i="9"/>
  <c r="CE11" i="9"/>
  <c r="HL3" i="9"/>
  <c r="CN42" i="9"/>
  <c r="CE42" i="9"/>
  <c r="CN34" i="9"/>
  <c r="CE34" i="9"/>
  <c r="CN26" i="9"/>
  <c r="CE26" i="9"/>
  <c r="CN18" i="9"/>
  <c r="CE18" i="9"/>
  <c r="CN10" i="9"/>
  <c r="CE10" i="9"/>
  <c r="AZ38" i="8"/>
  <c r="BB38" i="8"/>
  <c r="BD38" i="8"/>
  <c r="AZ30" i="8"/>
  <c r="BD30" i="8"/>
  <c r="BB30" i="8"/>
  <c r="AZ22" i="8"/>
  <c r="BB22" i="8"/>
  <c r="BD22" i="8"/>
  <c r="AZ14" i="8"/>
  <c r="BB14" i="8"/>
  <c r="BD14" i="8"/>
  <c r="BD4" i="8"/>
  <c r="BB4" i="8"/>
  <c r="AZ4" i="8"/>
  <c r="CE41" i="9"/>
  <c r="CN41" i="9"/>
  <c r="CE33" i="9"/>
  <c r="CN33" i="9"/>
  <c r="CE25" i="9"/>
  <c r="CN25" i="9"/>
  <c r="CE17" i="9"/>
  <c r="CN17" i="9"/>
  <c r="BD34" i="8"/>
  <c r="BB34" i="8"/>
  <c r="AZ34" i="8"/>
  <c r="CN35" i="9"/>
  <c r="CE35" i="9"/>
  <c r="AZ39" i="8"/>
  <c r="BD39" i="8"/>
  <c r="BB39" i="8"/>
  <c r="AZ5" i="8"/>
  <c r="BD5" i="8"/>
  <c r="BB5" i="8"/>
  <c r="AZ37" i="8"/>
  <c r="BD37" i="8"/>
  <c r="BB37" i="8"/>
  <c r="AZ29" i="8"/>
  <c r="BD29" i="8"/>
  <c r="BB29" i="8"/>
  <c r="AZ21" i="8"/>
  <c r="BB21" i="8"/>
  <c r="BD21" i="8"/>
  <c r="AZ13" i="8"/>
  <c r="BB13" i="8"/>
  <c r="BD13" i="8"/>
  <c r="BD3" i="8"/>
  <c r="BB3" i="8"/>
  <c r="AZ3" i="8"/>
  <c r="CE40" i="9"/>
  <c r="CN40" i="9"/>
  <c r="CE32" i="9"/>
  <c r="CN32" i="9"/>
  <c r="CE24" i="9"/>
  <c r="CN24" i="9"/>
  <c r="CE16" i="9"/>
  <c r="CN16" i="9"/>
  <c r="HL8" i="9"/>
  <c r="AZ40" i="8"/>
  <c r="BD40" i="8"/>
  <c r="BB40" i="8"/>
  <c r="AZ24" i="8"/>
  <c r="BD24" i="8"/>
  <c r="BB24" i="8"/>
  <c r="AZ6" i="8"/>
  <c r="BB6" i="8"/>
  <c r="BD6" i="8"/>
  <c r="CN19" i="9"/>
  <c r="CE19" i="9"/>
  <c r="AZ31" i="8"/>
  <c r="BD31" i="8"/>
  <c r="BB31" i="8"/>
  <c r="AZ23" i="8"/>
  <c r="BD23" i="8"/>
  <c r="BB23" i="8"/>
  <c r="AZ15" i="8"/>
  <c r="BD15" i="8"/>
  <c r="BB15" i="8"/>
  <c r="BD2" i="8"/>
  <c r="BB2" i="8"/>
  <c r="DT2" i="9"/>
  <c r="AQ2" i="9" s="1"/>
  <c r="DS2" i="9"/>
  <c r="EK2" i="9" s="1"/>
  <c r="DV2" i="9"/>
  <c r="AS2" i="9" s="1"/>
  <c r="DW2" i="9"/>
  <c r="AT2" i="9" s="1"/>
  <c r="DU2" i="9"/>
  <c r="BD36" i="8"/>
  <c r="BB36" i="8"/>
  <c r="AZ36" i="8"/>
  <c r="BD28" i="8"/>
  <c r="BB28" i="8"/>
  <c r="AZ28" i="8"/>
  <c r="BD20" i="8"/>
  <c r="BB20" i="8"/>
  <c r="AZ20" i="8"/>
  <c r="BD10" i="8"/>
  <c r="BB10" i="8"/>
  <c r="AZ10" i="8"/>
  <c r="CE39" i="9"/>
  <c r="CN39" i="9"/>
  <c r="CE31" i="9"/>
  <c r="CN31" i="9"/>
  <c r="CE23" i="9"/>
  <c r="CN23" i="9"/>
  <c r="CE15" i="9"/>
  <c r="CN15" i="9"/>
  <c r="BD43" i="8"/>
  <c r="BB43" i="8"/>
  <c r="AZ43" i="8"/>
  <c r="BD35" i="8"/>
  <c r="BB35" i="8"/>
  <c r="AZ35" i="8"/>
  <c r="BD27" i="8"/>
  <c r="BB27" i="8"/>
  <c r="AZ27" i="8"/>
  <c r="BD19" i="8"/>
  <c r="BB19" i="8"/>
  <c r="AZ19" i="8"/>
  <c r="BD9" i="8"/>
  <c r="BB9" i="8"/>
  <c r="AZ9" i="8"/>
  <c r="CN38" i="9"/>
  <c r="CE38" i="9"/>
  <c r="EG30" i="9"/>
  <c r="CN30" i="9"/>
  <c r="CE30" i="9"/>
  <c r="CN22" i="9"/>
  <c r="CE22" i="9"/>
  <c r="CN14" i="9"/>
  <c r="CE14" i="9"/>
  <c r="HL6" i="9"/>
  <c r="CN37" i="9"/>
  <c r="CE37" i="9"/>
  <c r="CN29" i="9"/>
  <c r="CE29" i="9"/>
  <c r="CN21" i="9"/>
  <c r="CE21" i="9"/>
  <c r="CN13" i="9"/>
  <c r="CE13" i="9"/>
  <c r="BD41" i="8"/>
  <c r="BB41" i="8"/>
  <c r="AZ41" i="8"/>
  <c r="BD33" i="8"/>
  <c r="BB33" i="8"/>
  <c r="AZ33" i="8"/>
  <c r="BD25" i="8"/>
  <c r="BB25" i="8"/>
  <c r="AZ25" i="8"/>
  <c r="BD17" i="8"/>
  <c r="BB17" i="8"/>
  <c r="AZ17" i="8"/>
  <c r="AZ7" i="8"/>
  <c r="BD7" i="8"/>
  <c r="BB7" i="8"/>
  <c r="CN36" i="9"/>
  <c r="CE36" i="9"/>
  <c r="CN28" i="9"/>
  <c r="CE28" i="9"/>
  <c r="CN20" i="9"/>
  <c r="CE20" i="9"/>
  <c r="CN12" i="9"/>
  <c r="CE12" i="9"/>
  <c r="DP3" i="8"/>
  <c r="MD3" i="9" s="1"/>
  <c r="BF38" i="8"/>
  <c r="BL38" i="8"/>
  <c r="BP38" i="8"/>
  <c r="BJ38" i="8"/>
  <c r="BJ31" i="8"/>
  <c r="BF37" i="8"/>
  <c r="BL37" i="8"/>
  <c r="BP37" i="8"/>
  <c r="BJ37" i="8"/>
  <c r="BL36" i="8"/>
  <c r="BJ36" i="8"/>
  <c r="BN43" i="8"/>
  <c r="BL43" i="8"/>
  <c r="BP43" i="8"/>
  <c r="BF43" i="8"/>
  <c r="BL35" i="8"/>
  <c r="BJ35" i="8"/>
  <c r="BN42" i="8"/>
  <c r="BL42" i="8"/>
  <c r="BP42" i="8"/>
  <c r="BJ42" i="8"/>
  <c r="BF42" i="8"/>
  <c r="BJ34" i="8"/>
  <c r="BJ39" i="8"/>
  <c r="BF39" i="8"/>
  <c r="BL39" i="8"/>
  <c r="BP39" i="8"/>
  <c r="BL41" i="8"/>
  <c r="BP41" i="8"/>
  <c r="BJ41" i="8"/>
  <c r="BF41" i="8"/>
  <c r="BN41" i="8"/>
  <c r="BJ33" i="8"/>
  <c r="BJ40" i="8"/>
  <c r="BF40" i="8"/>
  <c r="BL40" i="8"/>
  <c r="BP40" i="8"/>
  <c r="BN40" i="8"/>
  <c r="BJ32" i="8"/>
  <c r="BL5" i="8"/>
  <c r="BF5" i="8"/>
  <c r="BN5" i="8"/>
  <c r="BJ5" i="8"/>
  <c r="BH5" i="8"/>
  <c r="BP5" i="8"/>
  <c r="BF20" i="8"/>
  <c r="BN20" i="8"/>
  <c r="BJ20" i="8"/>
  <c r="BH20" i="8"/>
  <c r="BP20" i="8"/>
  <c r="BL20" i="8"/>
  <c r="BH43" i="8"/>
  <c r="BH35" i="8"/>
  <c r="BP35" i="8"/>
  <c r="BN35" i="8"/>
  <c r="BF35" i="8"/>
  <c r="BJ27" i="8"/>
  <c r="BH27" i="8"/>
  <c r="BP27" i="8"/>
  <c r="BL27" i="8"/>
  <c r="BN27" i="8"/>
  <c r="BF27" i="8"/>
  <c r="BJ19" i="8"/>
  <c r="BH19" i="8"/>
  <c r="BP19" i="8"/>
  <c r="BL19" i="8"/>
  <c r="BN19" i="8"/>
  <c r="BF19" i="8"/>
  <c r="BJ3" i="8"/>
  <c r="BH3" i="8"/>
  <c r="BP3" i="8"/>
  <c r="BL3" i="8"/>
  <c r="BN3" i="8"/>
  <c r="BF3" i="8"/>
  <c r="BL21" i="8"/>
  <c r="BF21" i="8"/>
  <c r="BN21" i="8"/>
  <c r="BJ21" i="8"/>
  <c r="BH21" i="8"/>
  <c r="BP21" i="8"/>
  <c r="BF36" i="8"/>
  <c r="BN36" i="8"/>
  <c r="BH36" i="8"/>
  <c r="BP36" i="8"/>
  <c r="BH42" i="8"/>
  <c r="BH34" i="8"/>
  <c r="BL34" i="8"/>
  <c r="BF34" i="8"/>
  <c r="BN34" i="8"/>
  <c r="BP34" i="8"/>
  <c r="BJ26" i="8"/>
  <c r="BH26" i="8"/>
  <c r="BL26" i="8"/>
  <c r="BF26" i="8"/>
  <c r="BN26" i="8"/>
  <c r="BP26" i="8"/>
  <c r="BJ18" i="8"/>
  <c r="BH18" i="8"/>
  <c r="BL18" i="8"/>
  <c r="BF18" i="8"/>
  <c r="BN18" i="8"/>
  <c r="BP18" i="8"/>
  <c r="BJ10" i="8"/>
  <c r="BH10" i="8"/>
  <c r="BL10" i="8"/>
  <c r="BF10" i="8"/>
  <c r="BN10" i="8"/>
  <c r="BP10" i="8"/>
  <c r="BN2" i="8"/>
  <c r="AZ2" i="8"/>
  <c r="BL2" i="8"/>
  <c r="BJ2" i="8"/>
  <c r="BH2" i="8"/>
  <c r="BF2" i="8"/>
  <c r="BP2" i="8"/>
  <c r="BH41" i="8"/>
  <c r="BH33" i="8"/>
  <c r="BP33" i="8"/>
  <c r="BF33" i="8"/>
  <c r="BN33" i="8"/>
  <c r="BL33" i="8"/>
  <c r="BH25" i="8"/>
  <c r="BP25" i="8"/>
  <c r="BF25" i="8"/>
  <c r="BN25" i="8"/>
  <c r="BL25" i="8"/>
  <c r="BJ25" i="8"/>
  <c r="BH17" i="8"/>
  <c r="BP17" i="8"/>
  <c r="BF17" i="8"/>
  <c r="BN17" i="8"/>
  <c r="BL17" i="8"/>
  <c r="BJ17" i="8"/>
  <c r="BH9" i="8"/>
  <c r="BP9" i="8"/>
  <c r="BF9" i="8"/>
  <c r="BN9" i="8"/>
  <c r="BL9" i="8"/>
  <c r="BJ9" i="8"/>
  <c r="BN37" i="8"/>
  <c r="BH37" i="8"/>
  <c r="BF4" i="8"/>
  <c r="BN4" i="8"/>
  <c r="BJ4" i="8"/>
  <c r="BH4" i="8"/>
  <c r="BP4" i="8"/>
  <c r="BL4" i="8"/>
  <c r="BH40" i="8"/>
  <c r="BP32" i="8"/>
  <c r="BL32" i="8"/>
  <c r="BF32" i="8"/>
  <c r="BN32" i="8"/>
  <c r="BH32" i="8"/>
  <c r="BP24" i="8"/>
  <c r="BL24" i="8"/>
  <c r="BJ24" i="8"/>
  <c r="BF24" i="8"/>
  <c r="BN24" i="8"/>
  <c r="BH24" i="8"/>
  <c r="BP16" i="8"/>
  <c r="BL16" i="8"/>
  <c r="BJ16" i="8"/>
  <c r="BF16" i="8"/>
  <c r="BN16" i="8"/>
  <c r="BH16" i="8"/>
  <c r="BP8" i="8"/>
  <c r="BL8" i="8"/>
  <c r="BF8" i="8"/>
  <c r="BN8" i="8"/>
  <c r="BH8" i="8"/>
  <c r="BL29" i="8"/>
  <c r="BF29" i="8"/>
  <c r="BN29" i="8"/>
  <c r="BJ29" i="8"/>
  <c r="BH29" i="8"/>
  <c r="BP29" i="8"/>
  <c r="BN39" i="8"/>
  <c r="BH39" i="8"/>
  <c r="BP31" i="8"/>
  <c r="BL31" i="8"/>
  <c r="BF31" i="8"/>
  <c r="BN31" i="8"/>
  <c r="BH31" i="8"/>
  <c r="BP23" i="8"/>
  <c r="BL23" i="8"/>
  <c r="BF23" i="8"/>
  <c r="BN23" i="8"/>
  <c r="BJ23" i="8"/>
  <c r="BH23" i="8"/>
  <c r="BP15" i="8"/>
  <c r="BL15" i="8"/>
  <c r="BF15" i="8"/>
  <c r="BN15" i="8"/>
  <c r="BJ15" i="8"/>
  <c r="BH15" i="8"/>
  <c r="BP7" i="8"/>
  <c r="BL7" i="8"/>
  <c r="BF7" i="8"/>
  <c r="BN7" i="8"/>
  <c r="BH7" i="8"/>
  <c r="BL13" i="8"/>
  <c r="BF13" i="8"/>
  <c r="BN13" i="8"/>
  <c r="BJ13" i="8"/>
  <c r="BH13" i="8"/>
  <c r="BP13" i="8"/>
  <c r="BF28" i="8"/>
  <c r="BN28" i="8"/>
  <c r="BJ28" i="8"/>
  <c r="BH28" i="8"/>
  <c r="BP28" i="8"/>
  <c r="BL28" i="8"/>
  <c r="BN38" i="8"/>
  <c r="BH38" i="8"/>
  <c r="BP30" i="8"/>
  <c r="BL30" i="8"/>
  <c r="BF30" i="8"/>
  <c r="BN30" i="8"/>
  <c r="BH30" i="8"/>
  <c r="BJ30" i="8"/>
  <c r="BP22" i="8"/>
  <c r="BL22" i="8"/>
  <c r="BF22" i="8"/>
  <c r="BN22" i="8"/>
  <c r="BH22" i="8"/>
  <c r="BJ22" i="8"/>
  <c r="BP14" i="8"/>
  <c r="BL14" i="8"/>
  <c r="BF14" i="8"/>
  <c r="BN14" i="8"/>
  <c r="BH14" i="8"/>
  <c r="BJ14" i="8"/>
  <c r="BP6" i="8"/>
  <c r="BL6" i="8"/>
  <c r="BF6" i="8"/>
  <c r="BN6" i="8"/>
  <c r="BH6" i="8"/>
  <c r="BJ6" i="8"/>
  <c r="Q75" i="7"/>
  <c r="O75" i="7"/>
  <c r="KF7" i="9" l="1"/>
  <c r="LJ38" i="9"/>
  <c r="BY38" i="9" s="1"/>
  <c r="M38" i="9" s="1"/>
  <c r="V38" i="9" s="1"/>
  <c r="LO26" i="9"/>
  <c r="CD26" i="9" s="1"/>
  <c r="R26" i="9" s="1"/>
  <c r="AA26" i="9" s="1"/>
  <c r="DX38" i="9"/>
  <c r="KF23" i="9"/>
  <c r="KF38" i="9"/>
  <c r="KF40" i="9"/>
  <c r="KF30" i="9"/>
  <c r="KF17" i="9"/>
  <c r="KF10" i="9"/>
  <c r="LI6" i="9"/>
  <c r="BX6" i="9" s="1"/>
  <c r="L6" i="9" s="1"/>
  <c r="U6" i="9" s="1"/>
  <c r="KF36" i="9"/>
  <c r="LO31" i="9"/>
  <c r="CD31" i="9" s="1"/>
  <c r="R31" i="9" s="1"/>
  <c r="AA31" i="9" s="1"/>
  <c r="EG39" i="9"/>
  <c r="BM39" i="9" s="1"/>
  <c r="AK40" i="11" s="1"/>
  <c r="HL9" i="9"/>
  <c r="KF19" i="9"/>
  <c r="KF14" i="9"/>
  <c r="KF12" i="9"/>
  <c r="LK26" i="9"/>
  <c r="BZ26" i="9" s="1"/>
  <c r="N26" i="9" s="1"/>
  <c r="W26" i="9" s="1"/>
  <c r="DX29" i="9"/>
  <c r="BM29" i="9" s="1"/>
  <c r="AK30" i="11" s="1"/>
  <c r="LG38" i="9"/>
  <c r="LN31" i="9"/>
  <c r="CC31" i="9" s="1"/>
  <c r="Q31" i="9" s="1"/>
  <c r="Z31" i="9" s="1"/>
  <c r="LL26" i="9"/>
  <c r="CA26" i="9" s="1"/>
  <c r="O26" i="9" s="1"/>
  <c r="X26" i="9" s="1"/>
  <c r="LO42" i="9"/>
  <c r="CD42" i="9" s="1"/>
  <c r="R42" i="9" s="1"/>
  <c r="AA42" i="9" s="1"/>
  <c r="LH39" i="9"/>
  <c r="BW39" i="9" s="1"/>
  <c r="EG3" i="9"/>
  <c r="BM3" i="9" s="1"/>
  <c r="AK4" i="11" s="1"/>
  <c r="DX10" i="9"/>
  <c r="BM10" i="9" s="1"/>
  <c r="AK11" i="11" s="1"/>
  <c r="LJ27" i="9"/>
  <c r="BY27" i="9" s="1"/>
  <c r="M27" i="9" s="1"/>
  <c r="V27" i="9" s="1"/>
  <c r="KF31" i="9"/>
  <c r="KF25" i="9"/>
  <c r="LH42" i="9"/>
  <c r="BW42" i="9" s="1"/>
  <c r="HD42" i="9" s="1"/>
  <c r="HL7" i="9"/>
  <c r="LM40" i="9"/>
  <c r="CB40" i="9" s="1"/>
  <c r="P40" i="9" s="1"/>
  <c r="Y40" i="9" s="1"/>
  <c r="LM42" i="9"/>
  <c r="CB42" i="9" s="1"/>
  <c r="P42" i="9" s="1"/>
  <c r="Y42" i="9" s="1"/>
  <c r="LK31" i="9"/>
  <c r="BZ31" i="9" s="1"/>
  <c r="N31" i="9" s="1"/>
  <c r="W31" i="9" s="1"/>
  <c r="LL18" i="9"/>
  <c r="CA18" i="9" s="1"/>
  <c r="O18" i="9" s="1"/>
  <c r="X18" i="9" s="1"/>
  <c r="LM39" i="9"/>
  <c r="CB39" i="9" s="1"/>
  <c r="P39" i="9" s="1"/>
  <c r="Y39" i="9" s="1"/>
  <c r="KF21" i="9"/>
  <c r="KF15" i="9"/>
  <c r="KF39" i="9"/>
  <c r="KF33" i="9"/>
  <c r="KF3" i="9"/>
  <c r="KF11" i="9"/>
  <c r="KF8" i="9"/>
  <c r="KF4" i="9"/>
  <c r="LL27" i="9"/>
  <c r="CA27" i="9" s="1"/>
  <c r="O27" i="9" s="1"/>
  <c r="X27" i="9" s="1"/>
  <c r="LG39" i="9"/>
  <c r="BV39" i="9" s="1"/>
  <c r="DQ39" i="8" s="1"/>
  <c r="LN18" i="9"/>
  <c r="CC18" i="9" s="1"/>
  <c r="Q18" i="9" s="1"/>
  <c r="Z18" i="9" s="1"/>
  <c r="HL5" i="9"/>
  <c r="LO34" i="9"/>
  <c r="CD34" i="9" s="1"/>
  <c r="R34" i="9" s="1"/>
  <c r="AA34" i="9" s="1"/>
  <c r="LK40" i="9"/>
  <c r="BZ40" i="9" s="1"/>
  <c r="N40" i="9" s="1"/>
  <c r="W40" i="9" s="1"/>
  <c r="KF18" i="9"/>
  <c r="HL2" i="9"/>
  <c r="LN39" i="9"/>
  <c r="CC39" i="9" s="1"/>
  <c r="Q39" i="9" s="1"/>
  <c r="Z39" i="9" s="1"/>
  <c r="LJ40" i="9"/>
  <c r="BY40" i="9" s="1"/>
  <c r="M40" i="9" s="1"/>
  <c r="V40" i="9" s="1"/>
  <c r="KF24" i="9"/>
  <c r="KF29" i="9"/>
  <c r="LI38" i="9"/>
  <c r="BX38" i="9" s="1"/>
  <c r="L38" i="9" s="1"/>
  <c r="U38" i="9" s="1"/>
  <c r="LK19" i="9"/>
  <c r="BZ19" i="9" s="1"/>
  <c r="N19" i="9" s="1"/>
  <c r="W19" i="9" s="1"/>
  <c r="LN35" i="9"/>
  <c r="CC35" i="9" s="1"/>
  <c r="Q35" i="9" s="1"/>
  <c r="Z35" i="9" s="1"/>
  <c r="LG40" i="9"/>
  <c r="BV40" i="9" s="1"/>
  <c r="DQ40" i="8" s="1"/>
  <c r="DS2" i="8"/>
  <c r="DT2" i="8" s="1"/>
  <c r="KF20" i="9"/>
  <c r="DX23" i="9"/>
  <c r="BM23" i="9" s="1"/>
  <c r="AK24" i="11" s="1"/>
  <c r="AM16" i="10"/>
  <c r="L16" i="10"/>
  <c r="U16" i="10" s="1"/>
  <c r="AM17" i="10"/>
  <c r="L17" i="10"/>
  <c r="U17" i="10" s="1"/>
  <c r="AM35" i="10"/>
  <c r="L35" i="10"/>
  <c r="U35" i="10" s="1"/>
  <c r="AM13" i="10"/>
  <c r="L13" i="10"/>
  <c r="U13" i="10" s="1"/>
  <c r="AM14" i="10"/>
  <c r="L14" i="10"/>
  <c r="U14" i="10" s="1"/>
  <c r="KF16" i="9"/>
  <c r="KF9" i="9"/>
  <c r="KF35" i="9"/>
  <c r="AM9" i="10"/>
  <c r="L9" i="10"/>
  <c r="U9" i="10" s="1"/>
  <c r="AM19" i="10"/>
  <c r="L19" i="10"/>
  <c r="U19" i="10" s="1"/>
  <c r="AM11" i="10"/>
  <c r="L11" i="10"/>
  <c r="U11" i="10" s="1"/>
  <c r="LN38" i="9"/>
  <c r="CC38" i="9" s="1"/>
  <c r="Q38" i="9" s="1"/>
  <c r="Z38" i="9" s="1"/>
  <c r="AM24" i="10"/>
  <c r="L24" i="10"/>
  <c r="AM25" i="10"/>
  <c r="L25" i="10"/>
  <c r="AM21" i="10"/>
  <c r="AV21" i="10" s="1"/>
  <c r="L21" i="10"/>
  <c r="U21" i="10" s="1"/>
  <c r="AM22" i="10"/>
  <c r="L22" i="10"/>
  <c r="U22" i="10" s="1"/>
  <c r="KF26" i="9"/>
  <c r="LH34" i="9"/>
  <c r="BW34" i="9" s="1"/>
  <c r="HD34" i="9" s="1"/>
  <c r="AM2" i="10"/>
  <c r="L2" i="10"/>
  <c r="U2" i="10" s="1"/>
  <c r="AM32" i="10"/>
  <c r="L32" i="10"/>
  <c r="AM27" i="10"/>
  <c r="L27" i="10"/>
  <c r="U27" i="10" s="1"/>
  <c r="AM33" i="10"/>
  <c r="L33" i="10"/>
  <c r="U33" i="10" s="1"/>
  <c r="AM29" i="10"/>
  <c r="L29" i="10"/>
  <c r="U29" i="10" s="1"/>
  <c r="AO8" i="9"/>
  <c r="EJ8" i="9"/>
  <c r="AM30" i="10"/>
  <c r="L30" i="10"/>
  <c r="U30" i="10" s="1"/>
  <c r="KF32" i="9"/>
  <c r="KF42" i="9"/>
  <c r="AM5" i="10"/>
  <c r="L5" i="10"/>
  <c r="U5" i="10" s="1"/>
  <c r="AM6" i="10"/>
  <c r="L6" i="10"/>
  <c r="U6" i="10" s="1"/>
  <c r="BW6" i="10" s="1"/>
  <c r="EG9" i="9"/>
  <c r="BM9" i="9" s="1"/>
  <c r="AK10" i="11" s="1"/>
  <c r="AD5" i="10"/>
  <c r="AM7" i="10"/>
  <c r="L7" i="10"/>
  <c r="AM40" i="10"/>
  <c r="L40" i="10"/>
  <c r="U40" i="10" s="1"/>
  <c r="AM41" i="10"/>
  <c r="L41" i="10"/>
  <c r="U41" i="10" s="1"/>
  <c r="AM10" i="10"/>
  <c r="L10" i="10"/>
  <c r="U10" i="10" s="1"/>
  <c r="AM4" i="10"/>
  <c r="L4" i="10"/>
  <c r="AM37" i="10"/>
  <c r="AV37" i="10" s="1"/>
  <c r="L37" i="10"/>
  <c r="U37" i="10" s="1"/>
  <c r="AM38" i="10"/>
  <c r="L38" i="10"/>
  <c r="U38" i="10" s="1"/>
  <c r="BW38" i="10" s="1"/>
  <c r="KF22" i="9"/>
  <c r="KF27" i="9"/>
  <c r="KF6" i="9"/>
  <c r="AM39" i="10"/>
  <c r="L39" i="10"/>
  <c r="U39" i="10" s="1"/>
  <c r="AM8" i="10"/>
  <c r="L8" i="10"/>
  <c r="U8" i="10" s="1"/>
  <c r="AM42" i="10"/>
  <c r="L42" i="10"/>
  <c r="U42" i="10" s="1"/>
  <c r="EG5" i="9"/>
  <c r="BM5" i="9" s="1"/>
  <c r="AK6" i="11" s="1"/>
  <c r="AM15" i="10"/>
  <c r="L15" i="10"/>
  <c r="U15" i="10" s="1"/>
  <c r="AM28" i="10"/>
  <c r="L28" i="10"/>
  <c r="AM18" i="10"/>
  <c r="L18" i="10"/>
  <c r="U18" i="10" s="1"/>
  <c r="AM20" i="10"/>
  <c r="L20" i="10"/>
  <c r="U20" i="10" s="1"/>
  <c r="KF5" i="9"/>
  <c r="KF13" i="9"/>
  <c r="AM23" i="10"/>
  <c r="L23" i="10"/>
  <c r="U23" i="10" s="1"/>
  <c r="LK18" i="9"/>
  <c r="BZ18" i="9" s="1"/>
  <c r="N18" i="9" s="1"/>
  <c r="W18" i="9" s="1"/>
  <c r="LI31" i="9"/>
  <c r="BX31" i="9" s="1"/>
  <c r="L31" i="9" s="1"/>
  <c r="U31" i="9" s="1"/>
  <c r="AM12" i="10"/>
  <c r="AV12" i="10" s="1"/>
  <c r="L12" i="10"/>
  <c r="U12" i="10" s="1"/>
  <c r="AM26" i="10"/>
  <c r="L26" i="10"/>
  <c r="U26" i="10" s="1"/>
  <c r="AM36" i="10"/>
  <c r="L36" i="10"/>
  <c r="U36" i="10" s="1"/>
  <c r="BW36" i="10" s="1"/>
  <c r="KF28" i="9"/>
  <c r="AD6" i="10"/>
  <c r="AM31" i="10"/>
  <c r="L31" i="10"/>
  <c r="U31" i="10" s="1"/>
  <c r="LM26" i="9"/>
  <c r="CB26" i="9" s="1"/>
  <c r="P26" i="9" s="1"/>
  <c r="Y26" i="9" s="1"/>
  <c r="LI42" i="9"/>
  <c r="BX42" i="9" s="1"/>
  <c r="L42" i="9" s="1"/>
  <c r="U42" i="9" s="1"/>
  <c r="AM34" i="10"/>
  <c r="L34" i="10"/>
  <c r="U34" i="10" s="1"/>
  <c r="AM3" i="10"/>
  <c r="L3" i="10"/>
  <c r="U3" i="10" s="1"/>
  <c r="DR24" i="8"/>
  <c r="DS24" i="8"/>
  <c r="DS28" i="8"/>
  <c r="DR28" i="8"/>
  <c r="DS7" i="8"/>
  <c r="DR7" i="8"/>
  <c r="DR41" i="8"/>
  <c r="DS41" i="8"/>
  <c r="DR34" i="8"/>
  <c r="DS34" i="8"/>
  <c r="DR19" i="8"/>
  <c r="DS19" i="8"/>
  <c r="DS29" i="8"/>
  <c r="DR29" i="8"/>
  <c r="DS23" i="8"/>
  <c r="DR23" i="8"/>
  <c r="DR38" i="8"/>
  <c r="DS38" i="8"/>
  <c r="DR40" i="8"/>
  <c r="DS40" i="8"/>
  <c r="DS30" i="8"/>
  <c r="DR30" i="8"/>
  <c r="DR17" i="8"/>
  <c r="DS17" i="8"/>
  <c r="DR10" i="8"/>
  <c r="DS10" i="8"/>
  <c r="DS20" i="8"/>
  <c r="DR20" i="8"/>
  <c r="DR16" i="8"/>
  <c r="DS16" i="8"/>
  <c r="DR9" i="8"/>
  <c r="DS9" i="8"/>
  <c r="DR35" i="8"/>
  <c r="DS35" i="8"/>
  <c r="DS39" i="8"/>
  <c r="DR39" i="8"/>
  <c r="DR33" i="8"/>
  <c r="DS33" i="8"/>
  <c r="DS26" i="8"/>
  <c r="DR26" i="8"/>
  <c r="DS3" i="8"/>
  <c r="DR3" i="8"/>
  <c r="DS11" i="8"/>
  <c r="DS36" i="8"/>
  <c r="DR36" i="8"/>
  <c r="DS21" i="8"/>
  <c r="DR21" i="8"/>
  <c r="DS15" i="8"/>
  <c r="DR15" i="8"/>
  <c r="DR8" i="8"/>
  <c r="DS8" i="8"/>
  <c r="DR32" i="8"/>
  <c r="DS32" i="8"/>
  <c r="DR42" i="8"/>
  <c r="DS42" i="8"/>
  <c r="DS14" i="8"/>
  <c r="DR14" i="8"/>
  <c r="DS12" i="8"/>
  <c r="DS22" i="8"/>
  <c r="DR22" i="8"/>
  <c r="DR27" i="8"/>
  <c r="DS27" i="8"/>
  <c r="DS4" i="8"/>
  <c r="DR4" i="8"/>
  <c r="DS37" i="8"/>
  <c r="DR37" i="8"/>
  <c r="DS6" i="8"/>
  <c r="DR6" i="8"/>
  <c r="DS31" i="8"/>
  <c r="DR31" i="8"/>
  <c r="DR25" i="8"/>
  <c r="DS25" i="8"/>
  <c r="DS18" i="8"/>
  <c r="DR18" i="8"/>
  <c r="DS5" i="8"/>
  <c r="DR5" i="8"/>
  <c r="DS13" i="8"/>
  <c r="DR13" i="8"/>
  <c r="LL6" i="9"/>
  <c r="CA6" i="9" s="1"/>
  <c r="O6" i="9" s="1"/>
  <c r="X6" i="9" s="1"/>
  <c r="LI30" i="9"/>
  <c r="BX30" i="9" s="1"/>
  <c r="L30" i="9" s="1"/>
  <c r="U30" i="9" s="1"/>
  <c r="DX20" i="9"/>
  <c r="BM20" i="9" s="1"/>
  <c r="AK21" i="11" s="1"/>
  <c r="HL4" i="9"/>
  <c r="LH26" i="9"/>
  <c r="BW26" i="9" s="1"/>
  <c r="HD26" i="9" s="1"/>
  <c r="LM19" i="9"/>
  <c r="CB19" i="9" s="1"/>
  <c r="P19" i="9" s="1"/>
  <c r="Y19" i="9" s="1"/>
  <c r="LK30" i="9"/>
  <c r="BZ30" i="9" s="1"/>
  <c r="N30" i="9" s="1"/>
  <c r="W30" i="9" s="1"/>
  <c r="LJ39" i="9"/>
  <c r="BY39" i="9" s="1"/>
  <c r="M39" i="9" s="1"/>
  <c r="V39" i="9" s="1"/>
  <c r="LN34" i="9"/>
  <c r="CC34" i="9" s="1"/>
  <c r="Q34" i="9" s="1"/>
  <c r="Z34" i="9" s="1"/>
  <c r="AD36" i="10"/>
  <c r="LI40" i="9"/>
  <c r="BX40" i="9" s="1"/>
  <c r="L40" i="9" s="1"/>
  <c r="U40" i="9" s="1"/>
  <c r="LI18" i="9"/>
  <c r="BX18" i="9" s="1"/>
  <c r="L18" i="9" s="1"/>
  <c r="U18" i="9" s="1"/>
  <c r="LK38" i="9"/>
  <c r="BZ38" i="9" s="1"/>
  <c r="N38" i="9" s="1"/>
  <c r="W38" i="9" s="1"/>
  <c r="LH40" i="9"/>
  <c r="BW40" i="9" s="1"/>
  <c r="HD40" i="9" s="1"/>
  <c r="LG26" i="9"/>
  <c r="BV26" i="9" s="1"/>
  <c r="DQ26" i="8" s="1"/>
  <c r="LN40" i="9"/>
  <c r="CC40" i="9" s="1"/>
  <c r="Q40" i="9" s="1"/>
  <c r="Z40" i="9" s="1"/>
  <c r="AD32" i="10"/>
  <c r="AV32" i="10" s="1"/>
  <c r="LN42" i="9"/>
  <c r="CC42" i="9" s="1"/>
  <c r="Q42" i="9" s="1"/>
  <c r="Z42" i="9" s="1"/>
  <c r="LO35" i="9"/>
  <c r="CD35" i="9" s="1"/>
  <c r="R35" i="9" s="1"/>
  <c r="AA35" i="9" s="1"/>
  <c r="LL39" i="9"/>
  <c r="CA39" i="9" s="1"/>
  <c r="O39" i="9" s="1"/>
  <c r="X39" i="9" s="1"/>
  <c r="LL19" i="9"/>
  <c r="CA19" i="9" s="1"/>
  <c r="O19" i="9" s="1"/>
  <c r="X19" i="9" s="1"/>
  <c r="LM3" i="9"/>
  <c r="CB3" i="9" s="1"/>
  <c r="P3" i="9" s="1"/>
  <c r="Y3" i="9" s="1"/>
  <c r="LM35" i="9"/>
  <c r="CB35" i="9" s="1"/>
  <c r="P35" i="9" s="1"/>
  <c r="Y35" i="9" s="1"/>
  <c r="LN30" i="9"/>
  <c r="CC30" i="9" s="1"/>
  <c r="Q30" i="9" s="1"/>
  <c r="Z30" i="9" s="1"/>
  <c r="LO40" i="9"/>
  <c r="CD40" i="9" s="1"/>
  <c r="R40" i="9" s="1"/>
  <c r="AA40" i="9" s="1"/>
  <c r="AD40" i="10"/>
  <c r="DX15" i="9"/>
  <c r="BM15" i="9" s="1"/>
  <c r="AK16" i="11" s="1"/>
  <c r="AD8" i="10"/>
  <c r="LN27" i="9"/>
  <c r="CC27" i="9" s="1"/>
  <c r="Q27" i="9" s="1"/>
  <c r="Z27" i="9" s="1"/>
  <c r="LK39" i="9"/>
  <c r="BZ39" i="9" s="1"/>
  <c r="N39" i="9" s="1"/>
  <c r="W39" i="9" s="1"/>
  <c r="HL20" i="9"/>
  <c r="S20" i="9"/>
  <c r="AB20" i="9" s="1"/>
  <c r="HL29" i="9"/>
  <c r="S29" i="9"/>
  <c r="AB29" i="9" s="1"/>
  <c r="HL23" i="9"/>
  <c r="S23" i="9"/>
  <c r="AB23" i="9" s="1"/>
  <c r="HL40" i="9"/>
  <c r="S40" i="9"/>
  <c r="AB40" i="9" s="1"/>
  <c r="HL25" i="9"/>
  <c r="S25" i="9"/>
  <c r="AB25" i="9" s="1"/>
  <c r="HL26" i="9"/>
  <c r="S26" i="9"/>
  <c r="AB26" i="9" s="1"/>
  <c r="HL27" i="9"/>
  <c r="S27" i="9"/>
  <c r="AB27" i="9" s="1"/>
  <c r="HL22" i="9"/>
  <c r="S22" i="9"/>
  <c r="AB22" i="9" s="1"/>
  <c r="HL37" i="9"/>
  <c r="S37" i="9"/>
  <c r="AB37" i="9" s="1"/>
  <c r="HL31" i="9"/>
  <c r="S31" i="9"/>
  <c r="AB31" i="9" s="1"/>
  <c r="HL16" i="9"/>
  <c r="S16" i="9"/>
  <c r="AB16" i="9" s="1"/>
  <c r="HL33" i="9"/>
  <c r="S33" i="9"/>
  <c r="AB33" i="9" s="1"/>
  <c r="HL34" i="9"/>
  <c r="S34" i="9"/>
  <c r="AB34" i="9" s="1"/>
  <c r="LK3" i="9"/>
  <c r="BZ3" i="9" s="1"/>
  <c r="N3" i="9" s="1"/>
  <c r="W3" i="9" s="1"/>
  <c r="LJ4" i="9"/>
  <c r="BY4" i="9" s="1"/>
  <c r="M4" i="9" s="1"/>
  <c r="V4" i="9" s="1"/>
  <c r="LN43" i="9"/>
  <c r="CC43" i="9" s="1"/>
  <c r="Q43" i="9" s="1"/>
  <c r="Z43" i="9" s="1"/>
  <c r="HL36" i="9"/>
  <c r="S36" i="9"/>
  <c r="AB36" i="9" s="1"/>
  <c r="LK5" i="9"/>
  <c r="BZ5" i="9" s="1"/>
  <c r="N5" i="9" s="1"/>
  <c r="W5" i="9" s="1"/>
  <c r="HL12" i="9"/>
  <c r="S12" i="9"/>
  <c r="AB12" i="9" s="1"/>
  <c r="HL30" i="9"/>
  <c r="S30" i="9"/>
  <c r="AB30" i="9" s="1"/>
  <c r="HL13" i="9"/>
  <c r="S13" i="9"/>
  <c r="AB13" i="9" s="1"/>
  <c r="HL39" i="9"/>
  <c r="S39" i="9"/>
  <c r="AB39" i="9" s="1"/>
  <c r="HL24" i="9"/>
  <c r="S24" i="9"/>
  <c r="AB24" i="9" s="1"/>
  <c r="HL41" i="9"/>
  <c r="S41" i="9"/>
  <c r="AB41" i="9" s="1"/>
  <c r="HL10" i="9"/>
  <c r="S10" i="9"/>
  <c r="AB10" i="9" s="1"/>
  <c r="HL42" i="9"/>
  <c r="S42" i="9"/>
  <c r="AB42" i="9" s="1"/>
  <c r="LO6" i="9"/>
  <c r="CD6" i="9" s="1"/>
  <c r="R6" i="9" s="1"/>
  <c r="AA6" i="9" s="1"/>
  <c r="HL19" i="9"/>
  <c r="S19" i="9"/>
  <c r="AB19" i="9" s="1"/>
  <c r="BW45" i="10"/>
  <c r="HL21" i="9"/>
  <c r="S21" i="9"/>
  <c r="AB21" i="9" s="1"/>
  <c r="HL38" i="9"/>
  <c r="S38" i="9"/>
  <c r="AB38" i="9" s="1"/>
  <c r="HL15" i="9"/>
  <c r="S15" i="9"/>
  <c r="AB15" i="9" s="1"/>
  <c r="HL32" i="9"/>
  <c r="S32" i="9"/>
  <c r="AB32" i="9" s="1"/>
  <c r="HL17" i="9"/>
  <c r="S17" i="9"/>
  <c r="AB17" i="9" s="1"/>
  <c r="HL18" i="9"/>
  <c r="S18" i="9"/>
  <c r="AB18" i="9" s="1"/>
  <c r="BW44" i="10"/>
  <c r="CF44" i="10" s="1"/>
  <c r="CO44" i="10" s="1"/>
  <c r="HL28" i="9"/>
  <c r="S28" i="9"/>
  <c r="AB28" i="9" s="1"/>
  <c r="HL14" i="9"/>
  <c r="S14" i="9"/>
  <c r="AB14" i="9" s="1"/>
  <c r="HL35" i="9"/>
  <c r="S35" i="9"/>
  <c r="AB35" i="9" s="1"/>
  <c r="HL11" i="9"/>
  <c r="S11" i="9"/>
  <c r="AB11" i="9" s="1"/>
  <c r="CF43" i="10"/>
  <c r="CO43" i="10" s="1"/>
  <c r="BW43" i="10"/>
  <c r="BX31" i="10"/>
  <c r="CC26" i="10"/>
  <c r="CC8" i="10"/>
  <c r="CE41" i="10"/>
  <c r="BX3" i="10"/>
  <c r="CB20" i="10"/>
  <c r="CE19" i="10"/>
  <c r="CA45" i="10"/>
  <c r="CB6" i="10"/>
  <c r="CB14" i="10"/>
  <c r="CB22" i="10"/>
  <c r="CB30" i="10"/>
  <c r="CB38" i="10"/>
  <c r="CD2" i="10"/>
  <c r="BZ18" i="10"/>
  <c r="CE27" i="10"/>
  <c r="CA7" i="10"/>
  <c r="CA15" i="10"/>
  <c r="CE23" i="10"/>
  <c r="CD31" i="10"/>
  <c r="CD39" i="10"/>
  <c r="CD26" i="10"/>
  <c r="BY11" i="10"/>
  <c r="CB8" i="10"/>
  <c r="CB16" i="10"/>
  <c r="CC24" i="10"/>
  <c r="CB32" i="10"/>
  <c r="CB40" i="10"/>
  <c r="CD9" i="10"/>
  <c r="CD17" i="10"/>
  <c r="CD25" i="10"/>
  <c r="CB33" i="10"/>
  <c r="CC41" i="10"/>
  <c r="CA10" i="10"/>
  <c r="BX42" i="10"/>
  <c r="CE3" i="10"/>
  <c r="BY43" i="10"/>
  <c r="CD4" i="10"/>
  <c r="CD12" i="10"/>
  <c r="CD20" i="10"/>
  <c r="CB28" i="10"/>
  <c r="CB36" i="10"/>
  <c r="CB44" i="10"/>
  <c r="BX34" i="10"/>
  <c r="CD19" i="10"/>
  <c r="BZ5" i="10"/>
  <c r="BZ13" i="10"/>
  <c r="BZ21" i="10"/>
  <c r="CA29" i="10"/>
  <c r="CA37" i="10"/>
  <c r="BZ45" i="10"/>
  <c r="CB35" i="10"/>
  <c r="CC38" i="10"/>
  <c r="BX27" i="10"/>
  <c r="CB39" i="10"/>
  <c r="CC32" i="10"/>
  <c r="CE17" i="10"/>
  <c r="CC44" i="10"/>
  <c r="CA21" i="10"/>
  <c r="CA6" i="10"/>
  <c r="CA14" i="10"/>
  <c r="CA22" i="10"/>
  <c r="BX30" i="10"/>
  <c r="BX38" i="10"/>
  <c r="CC2" i="10"/>
  <c r="BY18" i="10"/>
  <c r="CD27" i="10"/>
  <c r="BZ7" i="10"/>
  <c r="BZ15" i="10"/>
  <c r="BY23" i="10"/>
  <c r="CA31" i="10"/>
  <c r="CA39" i="10"/>
  <c r="CB26" i="10"/>
  <c r="BX11" i="10"/>
  <c r="CA8" i="10"/>
  <c r="CA16" i="10"/>
  <c r="CA24" i="10"/>
  <c r="BX32" i="10"/>
  <c r="BX40" i="10"/>
  <c r="CC9" i="10"/>
  <c r="CC17" i="10"/>
  <c r="CC25" i="10"/>
  <c r="BX33" i="10"/>
  <c r="CB41" i="10"/>
  <c r="BZ10" i="10"/>
  <c r="CI10" i="10" s="1"/>
  <c r="CR10" i="10" s="1"/>
  <c r="CA42" i="10"/>
  <c r="CD3" i="10"/>
  <c r="CK43" i="10"/>
  <c r="CT43" i="10" s="1"/>
  <c r="CB43" i="10"/>
  <c r="CE43" i="10"/>
  <c r="CA4" i="10"/>
  <c r="CA12" i="10"/>
  <c r="CA20" i="10"/>
  <c r="CA28" i="10"/>
  <c r="BX36" i="10"/>
  <c r="CA44" i="10"/>
  <c r="CA34" i="10"/>
  <c r="CC19" i="10"/>
  <c r="CL19" i="10" s="1"/>
  <c r="CU19" i="10" s="1"/>
  <c r="BY5" i="10"/>
  <c r="CH5" i="10" s="1"/>
  <c r="CQ5" i="10" s="1"/>
  <c r="BY13" i="10"/>
  <c r="BY21" i="10"/>
  <c r="BZ29" i="10"/>
  <c r="BZ37" i="10"/>
  <c r="BY45" i="10"/>
  <c r="BX35" i="10"/>
  <c r="CC14" i="10"/>
  <c r="CC30" i="10"/>
  <c r="CD23" i="10"/>
  <c r="CB42" i="10"/>
  <c r="BZ43" i="10"/>
  <c r="CC28" i="10"/>
  <c r="CA5" i="10"/>
  <c r="CC29" i="10"/>
  <c r="BZ6" i="10"/>
  <c r="BZ14" i="10"/>
  <c r="BZ22" i="10"/>
  <c r="CI22" i="10" s="1"/>
  <c r="CR22" i="10" s="1"/>
  <c r="CA30" i="10"/>
  <c r="CA38" i="10"/>
  <c r="CB2" i="10"/>
  <c r="BX18" i="10"/>
  <c r="CL27" i="10"/>
  <c r="CU27" i="10" s="1"/>
  <c r="CC27" i="10"/>
  <c r="BY7" i="10"/>
  <c r="CH7" i="10" s="1"/>
  <c r="CQ7" i="10" s="1"/>
  <c r="BY15" i="10"/>
  <c r="CB23" i="10"/>
  <c r="CK23" i="10" s="1"/>
  <c r="CT23" i="10" s="1"/>
  <c r="BZ31" i="10"/>
  <c r="BZ39" i="10"/>
  <c r="CA26" i="10"/>
  <c r="CE11" i="10"/>
  <c r="BZ8" i="10"/>
  <c r="BZ16" i="10"/>
  <c r="BZ24" i="10"/>
  <c r="CA32" i="10"/>
  <c r="CA40" i="10"/>
  <c r="CB9" i="10"/>
  <c r="CB17" i="10"/>
  <c r="CK17" i="10" s="1"/>
  <c r="CT17" i="10" s="1"/>
  <c r="CK25" i="10"/>
  <c r="CT25" i="10" s="1"/>
  <c r="CB25" i="10"/>
  <c r="CC33" i="10"/>
  <c r="CL33" i="10" s="1"/>
  <c r="CU33" i="10" s="1"/>
  <c r="CG41" i="10"/>
  <c r="CP41" i="10" s="1"/>
  <c r="BX41" i="10"/>
  <c r="BY10" i="10"/>
  <c r="BZ42" i="10"/>
  <c r="CC3" i="10"/>
  <c r="CA43" i="10"/>
  <c r="BZ4" i="10"/>
  <c r="BZ12" i="10"/>
  <c r="BZ20" i="10"/>
  <c r="BZ28" i="10"/>
  <c r="CA36" i="10"/>
  <c r="BZ44" i="10"/>
  <c r="BZ34" i="10"/>
  <c r="CB19" i="10"/>
  <c r="CK19" i="10" s="1"/>
  <c r="CT19" i="10" s="1"/>
  <c r="BX5" i="10"/>
  <c r="BX13" i="10"/>
  <c r="BX21" i="10"/>
  <c r="BY29" i="10"/>
  <c r="BY37" i="10"/>
  <c r="BX45" i="10"/>
  <c r="CG45" i="10" s="1"/>
  <c r="CP45" i="10" s="1"/>
  <c r="CD35" i="10"/>
  <c r="CC7" i="10"/>
  <c r="CC40" i="10"/>
  <c r="CE9" i="10"/>
  <c r="CB10" i="10"/>
  <c r="CB12" i="10"/>
  <c r="CB34" i="10"/>
  <c r="CC35" i="10"/>
  <c r="BY6" i="10"/>
  <c r="BY14" i="10"/>
  <c r="BY22" i="10"/>
  <c r="BZ30" i="10"/>
  <c r="BZ38" i="10"/>
  <c r="CA2" i="10"/>
  <c r="CE18" i="10"/>
  <c r="CB27" i="10"/>
  <c r="BX7" i="10"/>
  <c r="BX15" i="10"/>
  <c r="BZ23" i="10"/>
  <c r="BY31" i="10"/>
  <c r="BY39" i="10"/>
  <c r="BZ26" i="10"/>
  <c r="CI26" i="10" s="1"/>
  <c r="CR26" i="10" s="1"/>
  <c r="CD11" i="10"/>
  <c r="BY8" i="10"/>
  <c r="BY16" i="10"/>
  <c r="CH16" i="10" s="1"/>
  <c r="CQ16" i="10" s="1"/>
  <c r="BY24" i="10"/>
  <c r="BZ32" i="10"/>
  <c r="BZ40" i="10"/>
  <c r="CA9" i="10"/>
  <c r="CA17" i="10"/>
  <c r="CA25" i="10"/>
  <c r="CD33" i="10"/>
  <c r="CD41" i="10"/>
  <c r="BX10" i="10"/>
  <c r="CH42" i="10"/>
  <c r="CQ42" i="10" s="1"/>
  <c r="BY42" i="10"/>
  <c r="CB3" i="10"/>
  <c r="BX43" i="10"/>
  <c r="BY4" i="10"/>
  <c r="BY12" i="10"/>
  <c r="BY20" i="10"/>
  <c r="BY28" i="10"/>
  <c r="BZ36" i="10"/>
  <c r="BX44" i="10"/>
  <c r="BY34" i="10"/>
  <c r="CH34" i="10" s="1"/>
  <c r="CQ34" i="10" s="1"/>
  <c r="CA19" i="10"/>
  <c r="CJ19" i="10" s="1"/>
  <c r="CS19" i="10" s="1"/>
  <c r="CE5" i="10"/>
  <c r="CN5" i="10" s="1"/>
  <c r="CW5" i="10" s="1"/>
  <c r="CE13" i="10"/>
  <c r="CE21" i="10"/>
  <c r="CE29" i="10"/>
  <c r="CN29" i="10" s="1"/>
  <c r="CW29" i="10" s="1"/>
  <c r="CE37" i="10"/>
  <c r="CN37" i="10" s="1"/>
  <c r="CW37" i="10" s="1"/>
  <c r="CE45" i="10"/>
  <c r="CN45" i="10" s="1"/>
  <c r="CW45" i="10" s="1"/>
  <c r="CA35" i="10"/>
  <c r="CC16" i="10"/>
  <c r="CE25" i="10"/>
  <c r="CC36" i="10"/>
  <c r="BX6" i="10"/>
  <c r="BX14" i="10"/>
  <c r="BX22" i="10"/>
  <c r="BY30" i="10"/>
  <c r="BY38" i="10"/>
  <c r="BZ2" i="10"/>
  <c r="CD18" i="10"/>
  <c r="CA27" i="10"/>
  <c r="CE7" i="10"/>
  <c r="CE15" i="10"/>
  <c r="CC23" i="10"/>
  <c r="CE31" i="10"/>
  <c r="CE39" i="10"/>
  <c r="BY26" i="10"/>
  <c r="CC11" i="10"/>
  <c r="BX8" i="10"/>
  <c r="CG8" i="10" s="1"/>
  <c r="CP8" i="10" s="1"/>
  <c r="BX16" i="10"/>
  <c r="CG16" i="10" s="1"/>
  <c r="CP16" i="10" s="1"/>
  <c r="BX24" i="10"/>
  <c r="BY32" i="10"/>
  <c r="CH32" i="10" s="1"/>
  <c r="CQ32" i="10" s="1"/>
  <c r="CH40" i="10"/>
  <c r="CQ40" i="10" s="1"/>
  <c r="BY40" i="10"/>
  <c r="BZ9" i="10"/>
  <c r="BZ17" i="10"/>
  <c r="CI25" i="10"/>
  <c r="CR25" i="10" s="1"/>
  <c r="BZ25" i="10"/>
  <c r="CA33" i="10"/>
  <c r="CJ33" i="10" s="1"/>
  <c r="CS33" i="10" s="1"/>
  <c r="CJ41" i="10"/>
  <c r="CS41" i="10" s="1"/>
  <c r="CA41" i="10"/>
  <c r="CE10" i="10"/>
  <c r="CE42" i="10"/>
  <c r="CA3" i="10"/>
  <c r="CD43" i="10"/>
  <c r="BX4" i="10"/>
  <c r="BX12" i="10"/>
  <c r="BX20" i="10"/>
  <c r="BX28" i="10"/>
  <c r="BY36" i="10"/>
  <c r="CE44" i="10"/>
  <c r="CE34" i="10"/>
  <c r="BZ19" i="10"/>
  <c r="CD5" i="10"/>
  <c r="CD13" i="10"/>
  <c r="CD21" i="10"/>
  <c r="CB29" i="10"/>
  <c r="CC37" i="10"/>
  <c r="CD45" i="10"/>
  <c r="BZ35" i="10"/>
  <c r="CI35" i="10" s="1"/>
  <c r="CR35" i="10" s="1"/>
  <c r="CD24" i="10"/>
  <c r="CE33" i="10"/>
  <c r="CC4" i="10"/>
  <c r="CE6" i="10"/>
  <c r="CE14" i="10"/>
  <c r="CE22" i="10"/>
  <c r="CE30" i="10"/>
  <c r="CE38" i="10"/>
  <c r="BX2" i="10"/>
  <c r="CC18" i="10"/>
  <c r="BZ27" i="10"/>
  <c r="CB7" i="10"/>
  <c r="CB15" i="10"/>
  <c r="BX23" i="10"/>
  <c r="CC31" i="10"/>
  <c r="BX39" i="10"/>
  <c r="BX26" i="10"/>
  <c r="CB11" i="10"/>
  <c r="CE8" i="10"/>
  <c r="CE16" i="10"/>
  <c r="CE24" i="10"/>
  <c r="CE32" i="10"/>
  <c r="CE40" i="10"/>
  <c r="BY9" i="10"/>
  <c r="BY17" i="10"/>
  <c r="BY25" i="10"/>
  <c r="BZ33" i="10"/>
  <c r="BZ41" i="10"/>
  <c r="CD10" i="10"/>
  <c r="CD42" i="10"/>
  <c r="BZ3" i="10"/>
  <c r="CI3" i="10" s="1"/>
  <c r="CR3" i="10" s="1"/>
  <c r="CL43" i="10"/>
  <c r="CU43" i="10" s="1"/>
  <c r="CC43" i="10"/>
  <c r="CE4" i="10"/>
  <c r="CN4" i="10" s="1"/>
  <c r="CW4" i="10" s="1"/>
  <c r="CE12" i="10"/>
  <c r="CE20" i="10"/>
  <c r="CN20" i="10" s="1"/>
  <c r="CW20" i="10" s="1"/>
  <c r="CN28" i="10"/>
  <c r="CW28" i="10" s="1"/>
  <c r="CE28" i="10"/>
  <c r="CE36" i="10"/>
  <c r="CN36" i="10" s="1"/>
  <c r="CW36" i="10" s="1"/>
  <c r="CD34" i="10"/>
  <c r="CM34" i="10" s="1"/>
  <c r="CV34" i="10" s="1"/>
  <c r="BY19" i="10"/>
  <c r="CC5" i="10"/>
  <c r="CC13" i="10"/>
  <c r="CL13" i="10" s="1"/>
  <c r="CU13" i="10" s="1"/>
  <c r="CC21" i="10"/>
  <c r="CL21" i="10" s="1"/>
  <c r="CU21" i="10" s="1"/>
  <c r="BX29" i="10"/>
  <c r="CB37" i="10"/>
  <c r="CK37" i="10" s="1"/>
  <c r="CT37" i="10" s="1"/>
  <c r="CC45" i="10"/>
  <c r="CL45" i="10" s="1"/>
  <c r="CU45" i="10" s="1"/>
  <c r="BY35" i="10"/>
  <c r="CH35" i="10" s="1"/>
  <c r="CQ35" i="10" s="1"/>
  <c r="CC6" i="10"/>
  <c r="CC22" i="10"/>
  <c r="CE2" i="10"/>
  <c r="CA18" i="10"/>
  <c r="CC15" i="10"/>
  <c r="BZ11" i="10"/>
  <c r="CA13" i="10"/>
  <c r="CD37" i="10"/>
  <c r="CD6" i="10"/>
  <c r="CM6" i="10" s="1"/>
  <c r="CV6" i="10" s="1"/>
  <c r="CD14" i="10"/>
  <c r="CD22" i="10"/>
  <c r="CM22" i="10" s="1"/>
  <c r="CV22" i="10" s="1"/>
  <c r="CD30" i="10"/>
  <c r="CM30" i="10" s="1"/>
  <c r="CV30" i="10" s="1"/>
  <c r="CD38" i="10"/>
  <c r="CM38" i="10" s="1"/>
  <c r="CV38" i="10" s="1"/>
  <c r="BY2" i="10"/>
  <c r="CH2" i="10" s="1"/>
  <c r="CQ2" i="10" s="1"/>
  <c r="CB18" i="10"/>
  <c r="CK18" i="10" s="1"/>
  <c r="CT18" i="10" s="1"/>
  <c r="BY27" i="10"/>
  <c r="CD7" i="10"/>
  <c r="CD15" i="10"/>
  <c r="CA23" i="10"/>
  <c r="CJ23" i="10" s="1"/>
  <c r="CS23" i="10" s="1"/>
  <c r="CB31" i="10"/>
  <c r="CC39" i="10"/>
  <c r="CE26" i="10"/>
  <c r="CA11" i="10"/>
  <c r="CJ11" i="10" s="1"/>
  <c r="CS11" i="10" s="1"/>
  <c r="CD8" i="10"/>
  <c r="CM8" i="10" s="1"/>
  <c r="CV8" i="10" s="1"/>
  <c r="CD16" i="10"/>
  <c r="CM16" i="10" s="1"/>
  <c r="CV16" i="10" s="1"/>
  <c r="CK24" i="10"/>
  <c r="CT24" i="10" s="1"/>
  <c r="CB24" i="10"/>
  <c r="CD32" i="10"/>
  <c r="CM32" i="10" s="1"/>
  <c r="CV32" i="10" s="1"/>
  <c r="CD40" i="10"/>
  <c r="BX9" i="10"/>
  <c r="BX17" i="10"/>
  <c r="BX25" i="10"/>
  <c r="BY33" i="10"/>
  <c r="BY41" i="10"/>
  <c r="CC10" i="10"/>
  <c r="CL10" i="10" s="1"/>
  <c r="CU10" i="10" s="1"/>
  <c r="CC42" i="10"/>
  <c r="BY3" i="10"/>
  <c r="CB4" i="10"/>
  <c r="CC12" i="10"/>
  <c r="CC20" i="10"/>
  <c r="CD28" i="10"/>
  <c r="CD36" i="10"/>
  <c r="CM36" i="10" s="1"/>
  <c r="CV36" i="10" s="1"/>
  <c r="CD44" i="10"/>
  <c r="CM44" i="10" s="1"/>
  <c r="CV44" i="10" s="1"/>
  <c r="BY44" i="10"/>
  <c r="CC34" i="10"/>
  <c r="BX19" i="10"/>
  <c r="CB5" i="10"/>
  <c r="CB13" i="10"/>
  <c r="CB21" i="10"/>
  <c r="CD29" i="10"/>
  <c r="BX37" i="10"/>
  <c r="CB45" i="10"/>
  <c r="CE35" i="10"/>
  <c r="BT22" i="10"/>
  <c r="BO27" i="10"/>
  <c r="BU24" i="10"/>
  <c r="CM24" i="10" s="1"/>
  <c r="BT40" i="10"/>
  <c r="CL40" i="10" s="1"/>
  <c r="BV17" i="10"/>
  <c r="BV41" i="10"/>
  <c r="CN41" i="10" s="1"/>
  <c r="BT28" i="10"/>
  <c r="CL28" i="10" s="1"/>
  <c r="BS6" i="10"/>
  <c r="BS14" i="10"/>
  <c r="BS22" i="10"/>
  <c r="BS30" i="10"/>
  <c r="BS38" i="10"/>
  <c r="BU2" i="10"/>
  <c r="CM2" i="10" s="1"/>
  <c r="BQ18" i="10"/>
  <c r="BV27" i="10"/>
  <c r="CN27" i="10" s="1"/>
  <c r="BR7" i="10"/>
  <c r="BR15" i="10"/>
  <c r="BU31" i="10"/>
  <c r="BU39" i="10"/>
  <c r="BU26" i="10"/>
  <c r="CM26" i="10" s="1"/>
  <c r="BP11" i="10"/>
  <c r="BS8" i="10"/>
  <c r="BS16" i="10"/>
  <c r="BT24" i="10"/>
  <c r="CL24" i="10" s="1"/>
  <c r="BS32" i="10"/>
  <c r="BS40" i="10"/>
  <c r="CK40" i="10" s="1"/>
  <c r="BU9" i="10"/>
  <c r="BU17" i="10"/>
  <c r="BU25" i="10"/>
  <c r="CM25" i="10" s="1"/>
  <c r="BS33" i="10"/>
  <c r="BT41" i="10"/>
  <c r="CL41" i="10" s="1"/>
  <c r="BR10" i="10"/>
  <c r="BO42" i="10"/>
  <c r="CG42" i="10" s="1"/>
  <c r="BV3" i="10"/>
  <c r="BP43" i="10"/>
  <c r="CH43" i="10" s="1"/>
  <c r="BU4" i="10"/>
  <c r="BU12" i="10"/>
  <c r="BU20" i="10"/>
  <c r="BS28" i="10"/>
  <c r="CK28" i="10" s="1"/>
  <c r="BS36" i="10"/>
  <c r="BS44" i="10"/>
  <c r="BO34" i="10"/>
  <c r="BU19" i="10"/>
  <c r="BQ5" i="10"/>
  <c r="BQ13" i="10"/>
  <c r="BQ21" i="10"/>
  <c r="BR29" i="10"/>
  <c r="BR37" i="10"/>
  <c r="BQ45" i="10"/>
  <c r="BS35" i="10"/>
  <c r="BO31" i="10"/>
  <c r="BT8" i="10"/>
  <c r="BT29" i="10"/>
  <c r="CL29" i="10" s="1"/>
  <c r="BU37" i="10"/>
  <c r="BR6" i="10"/>
  <c r="BQ15" i="10"/>
  <c r="BR16" i="10"/>
  <c r="BO40" i="10"/>
  <c r="CG40" i="10" s="1"/>
  <c r="BT17" i="10"/>
  <c r="BQ37" i="10"/>
  <c r="BR4" i="10"/>
  <c r="BO36" i="10"/>
  <c r="BQ6" i="10"/>
  <c r="BQ14" i="10"/>
  <c r="BR30" i="10"/>
  <c r="BR38" i="10"/>
  <c r="BS2" i="10"/>
  <c r="CK2" i="10" s="1"/>
  <c r="BO18" i="10"/>
  <c r="BP15" i="10"/>
  <c r="BQ31" i="10"/>
  <c r="BQ39" i="10"/>
  <c r="BR26" i="10"/>
  <c r="CJ26" i="10" s="1"/>
  <c r="BV11" i="10"/>
  <c r="BQ8" i="10"/>
  <c r="BQ16" i="10"/>
  <c r="BQ24" i="10"/>
  <c r="CI24" i="10" s="1"/>
  <c r="BR32" i="10"/>
  <c r="BR40" i="10"/>
  <c r="CJ40" i="10" s="1"/>
  <c r="BS9" i="10"/>
  <c r="BP10" i="10"/>
  <c r="BQ42" i="10"/>
  <c r="CI42" i="10" s="1"/>
  <c r="BT3" i="10"/>
  <c r="BR43" i="10"/>
  <c r="CJ43" i="10" s="1"/>
  <c r="BQ4" i="10"/>
  <c r="BQ12" i="10"/>
  <c r="BQ20" i="10"/>
  <c r="BQ28" i="10"/>
  <c r="BR36" i="10"/>
  <c r="BQ44" i="10"/>
  <c r="BQ34" i="10"/>
  <c r="BO5" i="10"/>
  <c r="BO13" i="10"/>
  <c r="BO21" i="10"/>
  <c r="BP29" i="10"/>
  <c r="BP37" i="10"/>
  <c r="BU35" i="10"/>
  <c r="BT6" i="10"/>
  <c r="BU23" i="10"/>
  <c r="BV9" i="10"/>
  <c r="BV33" i="10"/>
  <c r="BS10" i="10"/>
  <c r="BO3" i="10"/>
  <c r="BT4" i="10"/>
  <c r="BS20" i="10"/>
  <c r="BT36" i="10"/>
  <c r="BR13" i="10"/>
  <c r="BR22" i="10"/>
  <c r="BO38" i="10"/>
  <c r="BU27" i="10"/>
  <c r="CM27" i="10" s="1"/>
  <c r="BR31" i="10"/>
  <c r="BT25" i="10"/>
  <c r="CL25" i="10" s="1"/>
  <c r="BS41" i="10"/>
  <c r="CK41" i="10" s="1"/>
  <c r="BR20" i="10"/>
  <c r="BR44" i="10"/>
  <c r="BO35" i="10"/>
  <c r="BP6" i="10"/>
  <c r="BP14" i="10"/>
  <c r="BP22" i="10"/>
  <c r="BQ30" i="10"/>
  <c r="BQ38" i="10"/>
  <c r="BR2" i="10"/>
  <c r="CJ2" i="10" s="1"/>
  <c r="BV18" i="10"/>
  <c r="BS27" i="10"/>
  <c r="CK27" i="10" s="1"/>
  <c r="BO7" i="10"/>
  <c r="BO15" i="10"/>
  <c r="BQ23" i="10"/>
  <c r="BP31" i="10"/>
  <c r="BP39" i="10"/>
  <c r="BU11" i="10"/>
  <c r="BP8" i="10"/>
  <c r="BP24" i="10"/>
  <c r="CH24" i="10" s="1"/>
  <c r="BQ32" i="10"/>
  <c r="BQ40" i="10"/>
  <c r="CI40" i="10" s="1"/>
  <c r="BR9" i="10"/>
  <c r="BR17" i="10"/>
  <c r="BR25" i="10"/>
  <c r="CJ25" i="10" s="1"/>
  <c r="BU33" i="10"/>
  <c r="BU41" i="10"/>
  <c r="CM41" i="10" s="1"/>
  <c r="BO10" i="10"/>
  <c r="BS3" i="10"/>
  <c r="BO43" i="10"/>
  <c r="BP4" i="10"/>
  <c r="BP12" i="10"/>
  <c r="BP20" i="10"/>
  <c r="BP28" i="10"/>
  <c r="BQ36" i="10"/>
  <c r="BO44" i="10"/>
  <c r="BV13" i="10"/>
  <c r="BV21" i="10"/>
  <c r="BR35" i="10"/>
  <c r="BT14" i="10"/>
  <c r="BV2" i="10"/>
  <c r="CN2" i="10" s="1"/>
  <c r="BR18" i="10"/>
  <c r="BT7" i="10"/>
  <c r="BS39" i="10"/>
  <c r="BQ11" i="10"/>
  <c r="BV25" i="10"/>
  <c r="CN25" i="10" s="1"/>
  <c r="BS42" i="10"/>
  <c r="CK42" i="10" s="1"/>
  <c r="BR5" i="10"/>
  <c r="BP23" i="10"/>
  <c r="BR24" i="10"/>
  <c r="CJ24" i="10" s="1"/>
  <c r="BR42" i="10"/>
  <c r="CJ42" i="10" s="1"/>
  <c r="AD30" i="10"/>
  <c r="BR34" i="10"/>
  <c r="BP13" i="10"/>
  <c r="BR12" i="10"/>
  <c r="BO6" i="10"/>
  <c r="BO14" i="10"/>
  <c r="BO22" i="10"/>
  <c r="BP30" i="10"/>
  <c r="BP38" i="10"/>
  <c r="BQ2" i="10"/>
  <c r="BU18" i="10"/>
  <c r="BR27" i="10"/>
  <c r="CJ27" i="10" s="1"/>
  <c r="BV7" i="10"/>
  <c r="CN7" i="10" s="1"/>
  <c r="BV15" i="10"/>
  <c r="BT23" i="10"/>
  <c r="BV31" i="10"/>
  <c r="BV39" i="10"/>
  <c r="BP26" i="10"/>
  <c r="BT11" i="10"/>
  <c r="BO24" i="10"/>
  <c r="CG24" i="10" s="1"/>
  <c r="BQ9" i="10"/>
  <c r="BQ17" i="10"/>
  <c r="BV10" i="10"/>
  <c r="BV42" i="10"/>
  <c r="CN42" i="10" s="1"/>
  <c r="BR3" i="10"/>
  <c r="BU43" i="10"/>
  <c r="CM43" i="10" s="1"/>
  <c r="BO4" i="10"/>
  <c r="BO12" i="10"/>
  <c r="BO20" i="10"/>
  <c r="BO28" i="10"/>
  <c r="BP36" i="10"/>
  <c r="BV44" i="10"/>
  <c r="BV34" i="10"/>
  <c r="BQ19" i="10"/>
  <c r="BU5" i="10"/>
  <c r="BU13" i="10"/>
  <c r="BU21" i="10"/>
  <c r="BS29" i="10"/>
  <c r="BT37" i="10"/>
  <c r="BU45" i="10"/>
  <c r="BN45" i="10"/>
  <c r="BT30" i="10"/>
  <c r="BT15" i="10"/>
  <c r="BT16" i="10"/>
  <c r="BQ43" i="10"/>
  <c r="CI43" i="10" s="1"/>
  <c r="BS12" i="10"/>
  <c r="BT44" i="10"/>
  <c r="BV19" i="10"/>
  <c r="BR21" i="10"/>
  <c r="BR45" i="10"/>
  <c r="BR14" i="10"/>
  <c r="BO30" i="10"/>
  <c r="BT2" i="10"/>
  <c r="CL2" i="10" s="1"/>
  <c r="BP18" i="10"/>
  <c r="BQ7" i="10"/>
  <c r="BR39" i="10"/>
  <c r="BS26" i="10"/>
  <c r="CK26" i="10" s="1"/>
  <c r="BO11" i="10"/>
  <c r="BR8" i="10"/>
  <c r="BO32" i="10"/>
  <c r="BT9" i="10"/>
  <c r="BO33" i="10"/>
  <c r="BU3" i="10"/>
  <c r="BQ29" i="10"/>
  <c r="BV23" i="10"/>
  <c r="BP21" i="10"/>
  <c r="BV43" i="10"/>
  <c r="CN43" i="10" s="1"/>
  <c r="BV6" i="10"/>
  <c r="CN6" i="10" s="1"/>
  <c r="BV14" i="10"/>
  <c r="BV22" i="10"/>
  <c r="BV30" i="10"/>
  <c r="BV38" i="10"/>
  <c r="BO2" i="10"/>
  <c r="BT18" i="10"/>
  <c r="BQ27" i="10"/>
  <c r="BS7" i="10"/>
  <c r="BS15" i="10"/>
  <c r="BO23" i="10"/>
  <c r="BT31" i="10"/>
  <c r="BO39" i="10"/>
  <c r="BO26" i="10"/>
  <c r="BS11" i="10"/>
  <c r="BV8" i="10"/>
  <c r="BV16" i="10"/>
  <c r="CN16" i="10" s="1"/>
  <c r="BV24" i="10"/>
  <c r="CN24" i="10" s="1"/>
  <c r="BV32" i="10"/>
  <c r="BV40" i="10"/>
  <c r="CN40" i="10" s="1"/>
  <c r="BP9" i="10"/>
  <c r="BP17" i="10"/>
  <c r="BP25" i="10"/>
  <c r="BQ33" i="10"/>
  <c r="BQ41" i="10"/>
  <c r="CI41" i="10" s="1"/>
  <c r="BU10" i="10"/>
  <c r="BU42" i="10"/>
  <c r="CM42" i="10" s="1"/>
  <c r="BV12" i="10"/>
  <c r="BP19" i="10"/>
  <c r="BT5" i="10"/>
  <c r="BO29" i="10"/>
  <c r="BT38" i="10"/>
  <c r="BT26" i="10"/>
  <c r="CL26" i="10" s="1"/>
  <c r="BT32" i="10"/>
  <c r="BS34" i="10"/>
  <c r="BT35" i="10"/>
  <c r="BP45" i="10"/>
  <c r="BR28" i="10"/>
  <c r="CJ28" i="10" s="1"/>
  <c r="BU14" i="10"/>
  <c r="BP27" i="10"/>
  <c r="BU7" i="10"/>
  <c r="BU15" i="10"/>
  <c r="BS31" i="10"/>
  <c r="BT39" i="10"/>
  <c r="BV26" i="10"/>
  <c r="CN26" i="10" s="1"/>
  <c r="BU40" i="10"/>
  <c r="CM40" i="10" s="1"/>
  <c r="BO9" i="10"/>
  <c r="BO17" i="10"/>
  <c r="BO25" i="10"/>
  <c r="BP33" i="10"/>
  <c r="BP41" i="10"/>
  <c r="CH41" i="10" s="1"/>
  <c r="BT42" i="10"/>
  <c r="CL42" i="10" s="1"/>
  <c r="BP3" i="10"/>
  <c r="BS4" i="10"/>
  <c r="BT12" i="10"/>
  <c r="BT20" i="10"/>
  <c r="BU28" i="10"/>
  <c r="CM28" i="10" s="1"/>
  <c r="BP44" i="10"/>
  <c r="BT34" i="10"/>
  <c r="BO19" i="10"/>
  <c r="BS5" i="10"/>
  <c r="BS13" i="10"/>
  <c r="BS21" i="10"/>
  <c r="BU29" i="10"/>
  <c r="CM29" i="10" s="1"/>
  <c r="BO37" i="10"/>
  <c r="BS45" i="10"/>
  <c r="BV35" i="10"/>
  <c r="JW13" i="9"/>
  <c r="JW22" i="9"/>
  <c r="JW23" i="9"/>
  <c r="JW19" i="9"/>
  <c r="JW24" i="9"/>
  <c r="JW27" i="9"/>
  <c r="JW28" i="9"/>
  <c r="JW41" i="9"/>
  <c r="JW42" i="9"/>
  <c r="JW4" i="9"/>
  <c r="JW29" i="9"/>
  <c r="JW39" i="9"/>
  <c r="JW40" i="9"/>
  <c r="JW17" i="9"/>
  <c r="JW18" i="9"/>
  <c r="JW5" i="9"/>
  <c r="JW14" i="9"/>
  <c r="JW38" i="9"/>
  <c r="JW15" i="9"/>
  <c r="JW16" i="9"/>
  <c r="JW11" i="9"/>
  <c r="JW20" i="9"/>
  <c r="JW33" i="9"/>
  <c r="JW34" i="9"/>
  <c r="JW21" i="9"/>
  <c r="JW31" i="9"/>
  <c r="JW32" i="9"/>
  <c r="JW35" i="9"/>
  <c r="JW9" i="9"/>
  <c r="JW10" i="9"/>
  <c r="JW36" i="9"/>
  <c r="JW6" i="9"/>
  <c r="JW30" i="9"/>
  <c r="JW7" i="9"/>
  <c r="AL7" i="9" s="1"/>
  <c r="JW8" i="9"/>
  <c r="JW3" i="9"/>
  <c r="JW12" i="9"/>
  <c r="JW37" i="9"/>
  <c r="JW25" i="9"/>
  <c r="JW26" i="9"/>
  <c r="LG18" i="9"/>
  <c r="BV18" i="9" s="1"/>
  <c r="DQ18" i="8" s="1"/>
  <c r="LH31" i="9"/>
  <c r="BW31" i="9" s="1"/>
  <c r="HD31" i="9" s="1"/>
  <c r="LI39" i="9"/>
  <c r="BX39" i="9" s="1"/>
  <c r="L39" i="9" s="1"/>
  <c r="U39" i="9" s="1"/>
  <c r="LI10" i="9"/>
  <c r="BX10" i="9" s="1"/>
  <c r="L10" i="9" s="1"/>
  <c r="U10" i="9" s="1"/>
  <c r="LJ10" i="9"/>
  <c r="BY10" i="9" s="1"/>
  <c r="M10" i="9" s="1"/>
  <c r="V10" i="9" s="1"/>
  <c r="LK42" i="9"/>
  <c r="BZ42" i="9" s="1"/>
  <c r="N42" i="9" s="1"/>
  <c r="W42" i="9" s="1"/>
  <c r="LJ19" i="9"/>
  <c r="BY19" i="9" s="1"/>
  <c r="M19" i="9" s="1"/>
  <c r="V19" i="9" s="1"/>
  <c r="LL4" i="9"/>
  <c r="LH5" i="9"/>
  <c r="BW5" i="9" s="1"/>
  <c r="HD5" i="9" s="1"/>
  <c r="LJ23" i="9"/>
  <c r="BY23" i="9" s="1"/>
  <c r="M23" i="9" s="1"/>
  <c r="V23" i="9" s="1"/>
  <c r="LJ8" i="9"/>
  <c r="BY8" i="9" s="1"/>
  <c r="M8" i="9" s="1"/>
  <c r="V8" i="9" s="1"/>
  <c r="LK43" i="9"/>
  <c r="BZ43" i="9" s="1"/>
  <c r="N43" i="9" s="1"/>
  <c r="W43" i="9" s="1"/>
  <c r="LK27" i="9"/>
  <c r="BZ27" i="9" s="1"/>
  <c r="N27" i="9" s="1"/>
  <c r="W27" i="9" s="1"/>
  <c r="LJ43" i="9"/>
  <c r="BY43" i="9" s="1"/>
  <c r="LG31" i="9"/>
  <c r="BV31" i="9" s="1"/>
  <c r="DQ31" i="8" s="1"/>
  <c r="LK35" i="9"/>
  <c r="BZ35" i="9" s="1"/>
  <c r="LL30" i="9"/>
  <c r="CA30" i="9" s="1"/>
  <c r="O30" i="9" s="1"/>
  <c r="X30" i="9" s="1"/>
  <c r="LH18" i="9"/>
  <c r="BW18" i="9" s="1"/>
  <c r="HD18" i="9" s="1"/>
  <c r="LK34" i="9"/>
  <c r="BZ34" i="9" s="1"/>
  <c r="N34" i="9" s="1"/>
  <c r="W34" i="9" s="1"/>
  <c r="LM10" i="9"/>
  <c r="CB10" i="9" s="1"/>
  <c r="P10" i="9" s="1"/>
  <c r="Y10" i="9" s="1"/>
  <c r="LJ26" i="9"/>
  <c r="BY26" i="9" s="1"/>
  <c r="M26" i="9" s="1"/>
  <c r="V26" i="9" s="1"/>
  <c r="LO43" i="9"/>
  <c r="CD43" i="9" s="1"/>
  <c r="R43" i="9" s="1"/>
  <c r="AA43" i="9" s="1"/>
  <c r="LJ30" i="9"/>
  <c r="BY30" i="9" s="1"/>
  <c r="BV38" i="9"/>
  <c r="DQ38" i="8" s="1"/>
  <c r="BV27" i="9"/>
  <c r="DQ27" i="8" s="1"/>
  <c r="LO2" i="9"/>
  <c r="CD2" i="9" s="1"/>
  <c r="R2" i="9" s="1"/>
  <c r="AA2" i="9" s="1"/>
  <c r="LM20" i="9"/>
  <c r="CB20" i="9" s="1"/>
  <c r="P20" i="9" s="1"/>
  <c r="Y20" i="9" s="1"/>
  <c r="LL28" i="9"/>
  <c r="CA28" i="9" s="1"/>
  <c r="O28" i="9" s="1"/>
  <c r="X28" i="9" s="1"/>
  <c r="LI36" i="9"/>
  <c r="BX36" i="9" s="1"/>
  <c r="LJ5" i="9"/>
  <c r="BY5" i="9" s="1"/>
  <c r="M5" i="9" s="1"/>
  <c r="V5" i="9" s="1"/>
  <c r="LK13" i="9"/>
  <c r="BZ13" i="9" s="1"/>
  <c r="LK21" i="9"/>
  <c r="BZ21" i="9" s="1"/>
  <c r="LI29" i="9"/>
  <c r="BX29" i="9" s="1"/>
  <c r="L29" i="9" s="1"/>
  <c r="U29" i="9" s="1"/>
  <c r="LN37" i="9"/>
  <c r="CC37" i="9" s="1"/>
  <c r="LM22" i="9"/>
  <c r="CB22" i="9" s="1"/>
  <c r="P22" i="9" s="1"/>
  <c r="Y22" i="9" s="1"/>
  <c r="LO16" i="9"/>
  <c r="CD16" i="9" s="1"/>
  <c r="R16" i="9" s="1"/>
  <c r="AA16" i="9" s="1"/>
  <c r="LG32" i="9"/>
  <c r="BV32" i="9" s="1"/>
  <c r="DQ32" i="8" s="1"/>
  <c r="LJ14" i="9"/>
  <c r="BY14" i="9" s="1"/>
  <c r="LH15" i="9"/>
  <c r="BW15" i="9" s="1"/>
  <c r="HD15" i="9" s="1"/>
  <c r="LN9" i="9"/>
  <c r="LG25" i="9"/>
  <c r="BV25" i="9" s="1"/>
  <c r="DQ25" i="8" s="1"/>
  <c r="LJ33" i="9"/>
  <c r="BY33" i="9" s="1"/>
  <c r="M33" i="9" s="1"/>
  <c r="V33" i="9" s="1"/>
  <c r="LI33" i="9"/>
  <c r="BX33" i="9" s="1"/>
  <c r="L33" i="9" s="1"/>
  <c r="U33" i="9" s="1"/>
  <c r="LO41" i="9"/>
  <c r="CD41" i="9" s="1"/>
  <c r="R41" i="9" s="1"/>
  <c r="AA41" i="9" s="1"/>
  <c r="LH7" i="9"/>
  <c r="BW7" i="9" s="1"/>
  <c r="LG30" i="9"/>
  <c r="BV30" i="9" s="1"/>
  <c r="DQ30" i="8" s="1"/>
  <c r="LI4" i="9"/>
  <c r="LH4" i="9"/>
  <c r="BW4" i="9" s="1"/>
  <c r="HD4" i="9" s="1"/>
  <c r="LM5" i="9"/>
  <c r="CB5" i="9" s="1"/>
  <c r="P5" i="9" s="1"/>
  <c r="Y5" i="9" s="1"/>
  <c r="LO8" i="9"/>
  <c r="CD8" i="9" s="1"/>
  <c r="R8" i="9" s="1"/>
  <c r="AA8" i="9" s="1"/>
  <c r="LL10" i="9"/>
  <c r="CA10" i="9" s="1"/>
  <c r="O10" i="9" s="1"/>
  <c r="X10" i="9" s="1"/>
  <c r="LI26" i="9"/>
  <c r="BX26" i="9" s="1"/>
  <c r="HE26" i="9" s="1"/>
  <c r="BV42" i="9"/>
  <c r="DQ42" i="8" s="1"/>
  <c r="LI3" i="9"/>
  <c r="BX3" i="9" s="1"/>
  <c r="L3" i="9" s="1"/>
  <c r="U3" i="9" s="1"/>
  <c r="LM2" i="9"/>
  <c r="LN4" i="9"/>
  <c r="CC4" i="9" s="1"/>
  <c r="Q4" i="9" s="1"/>
  <c r="Z4" i="9" s="1"/>
  <c r="LH20" i="9"/>
  <c r="BW20" i="9" s="1"/>
  <c r="HD20" i="9" s="1"/>
  <c r="LN28" i="9"/>
  <c r="CC28" i="9" s="1"/>
  <c r="Q28" i="9" s="1"/>
  <c r="Z28" i="9" s="1"/>
  <c r="LJ28" i="9"/>
  <c r="BY28" i="9" s="1"/>
  <c r="M28" i="9" s="1"/>
  <c r="V28" i="9" s="1"/>
  <c r="LG36" i="9"/>
  <c r="BV36" i="9" s="1"/>
  <c r="DQ36" i="8" s="1"/>
  <c r="LM13" i="9"/>
  <c r="CB13" i="9" s="1"/>
  <c r="LG21" i="9"/>
  <c r="BV21" i="9" s="1"/>
  <c r="DQ21" i="8" s="1"/>
  <c r="LL29" i="9"/>
  <c r="CA29" i="9" s="1"/>
  <c r="LH37" i="9"/>
  <c r="BW37" i="9" s="1"/>
  <c r="HD37" i="9" s="1"/>
  <c r="LN22" i="9"/>
  <c r="CC22" i="9" s="1"/>
  <c r="LM23" i="9"/>
  <c r="CB23" i="9" s="1"/>
  <c r="P23" i="9" s="1"/>
  <c r="Y23" i="9" s="1"/>
  <c r="LM8" i="9"/>
  <c r="CB8" i="9" s="1"/>
  <c r="P8" i="9" s="1"/>
  <c r="Y8" i="9" s="1"/>
  <c r="LI16" i="9"/>
  <c r="BX16" i="9" s="1"/>
  <c r="LG24" i="9"/>
  <c r="BV24" i="9" s="1"/>
  <c r="DQ24" i="8" s="1"/>
  <c r="LH32" i="9"/>
  <c r="BW32" i="9" s="1"/>
  <c r="HD32" i="9" s="1"/>
  <c r="LL14" i="9"/>
  <c r="CA14" i="9" s="1"/>
  <c r="LJ15" i="9"/>
  <c r="BY15" i="9" s="1"/>
  <c r="M15" i="9" s="1"/>
  <c r="V15" i="9" s="1"/>
  <c r="LH9" i="9"/>
  <c r="BW9" i="9" s="1"/>
  <c r="HD9" i="9" s="1"/>
  <c r="LK17" i="9"/>
  <c r="BZ17" i="9" s="1"/>
  <c r="N17" i="9" s="1"/>
  <c r="W17" i="9" s="1"/>
  <c r="LL17" i="9"/>
  <c r="CA17" i="9" s="1"/>
  <c r="O17" i="9" s="1"/>
  <c r="X17" i="9" s="1"/>
  <c r="LM25" i="9"/>
  <c r="CB25" i="9" s="1"/>
  <c r="LL33" i="9"/>
  <c r="CA33" i="9" s="1"/>
  <c r="O33" i="9" s="1"/>
  <c r="X33" i="9" s="1"/>
  <c r="LI41" i="9"/>
  <c r="BX41" i="9" s="1"/>
  <c r="L41" i="9" s="1"/>
  <c r="U41" i="9" s="1"/>
  <c r="LG7" i="9"/>
  <c r="BV7" i="9" s="1"/>
  <c r="DQ7" i="8" s="1"/>
  <c r="LK10" i="9"/>
  <c r="BZ10" i="9" s="1"/>
  <c r="N10" i="9" s="1"/>
  <c r="W10" i="9" s="1"/>
  <c r="LK6" i="9"/>
  <c r="BZ6" i="9" s="1"/>
  <c r="N6" i="9" s="1"/>
  <c r="W6" i="9" s="1"/>
  <c r="LO3" i="9"/>
  <c r="LH3" i="9"/>
  <c r="BW3" i="9" s="1"/>
  <c r="HD3" i="9" s="1"/>
  <c r="LN2" i="9"/>
  <c r="LO30" i="9"/>
  <c r="CD30" i="9" s="1"/>
  <c r="HK30" i="9" s="1"/>
  <c r="LM4" i="9"/>
  <c r="LO20" i="9"/>
  <c r="CD20" i="9" s="1"/>
  <c r="R20" i="9" s="1"/>
  <c r="AA20" i="9" s="1"/>
  <c r="LM28" i="9"/>
  <c r="CB28" i="9" s="1"/>
  <c r="P28" i="9" s="1"/>
  <c r="Y28" i="9" s="1"/>
  <c r="LJ36" i="9"/>
  <c r="BY36" i="9" s="1"/>
  <c r="LN36" i="9"/>
  <c r="CC36" i="9" s="1"/>
  <c r="Q36" i="9" s="1"/>
  <c r="Z36" i="9" s="1"/>
  <c r="LN5" i="9"/>
  <c r="CC5" i="9" s="1"/>
  <c r="Q5" i="9" s="1"/>
  <c r="Z5" i="9" s="1"/>
  <c r="LL13" i="9"/>
  <c r="CA13" i="9" s="1"/>
  <c r="LL21" i="9"/>
  <c r="CA21" i="9" s="1"/>
  <c r="O21" i="9" s="1"/>
  <c r="X21" i="9" s="1"/>
  <c r="LK29" i="9"/>
  <c r="BZ29" i="9" s="1"/>
  <c r="LO37" i="9"/>
  <c r="CD37" i="9" s="1"/>
  <c r="R37" i="9" s="1"/>
  <c r="AA37" i="9" s="1"/>
  <c r="LG22" i="9"/>
  <c r="BV22" i="9" s="1"/>
  <c r="DQ22" i="8" s="1"/>
  <c r="LL23" i="9"/>
  <c r="CA23" i="9" s="1"/>
  <c r="LL8" i="9"/>
  <c r="CA8" i="9" s="1"/>
  <c r="O8" i="9" s="1"/>
  <c r="X8" i="9" s="1"/>
  <c r="LH16" i="9"/>
  <c r="BW16" i="9" s="1"/>
  <c r="HD16" i="9" s="1"/>
  <c r="LH24" i="9"/>
  <c r="BW24" i="9" s="1"/>
  <c r="HD24" i="9" s="1"/>
  <c r="LO32" i="9"/>
  <c r="CD32" i="9" s="1"/>
  <c r="LK14" i="9"/>
  <c r="BZ14" i="9" s="1"/>
  <c r="LO14" i="9"/>
  <c r="CD14" i="9" s="1"/>
  <c r="R14" i="9" s="1"/>
  <c r="AA14" i="9" s="1"/>
  <c r="LI15" i="9"/>
  <c r="BX15" i="9" s="1"/>
  <c r="L15" i="9" s="1"/>
  <c r="U15" i="9" s="1"/>
  <c r="LO9" i="9"/>
  <c r="LG17" i="9"/>
  <c r="BV17" i="9" s="1"/>
  <c r="DQ17" i="8" s="1"/>
  <c r="LL25" i="9"/>
  <c r="CA25" i="9" s="1"/>
  <c r="O25" i="9" s="1"/>
  <c r="X25" i="9" s="1"/>
  <c r="LK25" i="9"/>
  <c r="BZ25" i="9" s="1"/>
  <c r="LK33" i="9"/>
  <c r="BZ33" i="9" s="1"/>
  <c r="N33" i="9" s="1"/>
  <c r="W33" i="9" s="1"/>
  <c r="LH41" i="9"/>
  <c r="BW41" i="9" s="1"/>
  <c r="HD41" i="9" s="1"/>
  <c r="LO7" i="9"/>
  <c r="CD7" i="9" s="1"/>
  <c r="R7" i="9" s="1"/>
  <c r="AA7" i="9" s="1"/>
  <c r="LO24" i="9"/>
  <c r="CD24" i="9" s="1"/>
  <c r="R24" i="9" s="1"/>
  <c r="AA24" i="9" s="1"/>
  <c r="LJ17" i="9"/>
  <c r="BY17" i="9" s="1"/>
  <c r="M17" i="9" s="1"/>
  <c r="V17" i="9" s="1"/>
  <c r="LH10" i="9"/>
  <c r="BW10" i="9" s="1"/>
  <c r="HD10" i="9" s="1"/>
  <c r="LH19" i="9"/>
  <c r="BW19" i="9" s="1"/>
  <c r="LG2" i="9"/>
  <c r="BV2" i="9" s="1"/>
  <c r="DQ2" i="8" s="1"/>
  <c r="LK4" i="9"/>
  <c r="BZ4" i="9" s="1"/>
  <c r="N4" i="9" s="1"/>
  <c r="W4" i="9" s="1"/>
  <c r="LL20" i="9"/>
  <c r="CA20" i="9" s="1"/>
  <c r="O20" i="9" s="1"/>
  <c r="X20" i="9" s="1"/>
  <c r="LK28" i="9"/>
  <c r="BZ28" i="9" s="1"/>
  <c r="LH36" i="9"/>
  <c r="BW36" i="9" s="1"/>
  <c r="HD36" i="9" s="1"/>
  <c r="LI5" i="9"/>
  <c r="BX5" i="9" s="1"/>
  <c r="L5" i="9" s="1"/>
  <c r="U5" i="9" s="1"/>
  <c r="LJ13" i="9"/>
  <c r="BY13" i="9" s="1"/>
  <c r="LO13" i="9"/>
  <c r="CD13" i="9" s="1"/>
  <c r="LJ21" i="9"/>
  <c r="BY21" i="9" s="1"/>
  <c r="M21" i="9" s="1"/>
  <c r="V21" i="9" s="1"/>
  <c r="LG29" i="9"/>
  <c r="BV29" i="9" s="1"/>
  <c r="DQ29" i="8" s="1"/>
  <c r="LL37" i="9"/>
  <c r="CA37" i="9" s="1"/>
  <c r="O37" i="9" s="1"/>
  <c r="X37" i="9" s="1"/>
  <c r="LL22" i="9"/>
  <c r="CA22" i="9" s="1"/>
  <c r="O22" i="9" s="1"/>
  <c r="X22" i="9" s="1"/>
  <c r="LI23" i="9"/>
  <c r="BX23" i="9" s="1"/>
  <c r="L23" i="9" s="1"/>
  <c r="U23" i="9" s="1"/>
  <c r="LK23" i="9"/>
  <c r="BZ23" i="9" s="1"/>
  <c r="LI8" i="9"/>
  <c r="LN16" i="9"/>
  <c r="CC16" i="9" s="1"/>
  <c r="LN24" i="9"/>
  <c r="CC24" i="9" s="1"/>
  <c r="Q24" i="9" s="1"/>
  <c r="Z24" i="9" s="1"/>
  <c r="LN32" i="9"/>
  <c r="CC32" i="9" s="1"/>
  <c r="LI14" i="9"/>
  <c r="BX14" i="9" s="1"/>
  <c r="L14" i="9" s="1"/>
  <c r="U14" i="9" s="1"/>
  <c r="LO15" i="9"/>
  <c r="CD15" i="9" s="1"/>
  <c r="R15" i="9" s="1"/>
  <c r="AA15" i="9" s="1"/>
  <c r="LM9" i="9"/>
  <c r="CB9" i="9" s="1"/>
  <c r="P9" i="9" s="1"/>
  <c r="Y9" i="9" s="1"/>
  <c r="LI17" i="9"/>
  <c r="BX17" i="9" s="1"/>
  <c r="LJ25" i="9"/>
  <c r="BY25" i="9" s="1"/>
  <c r="LH33" i="9"/>
  <c r="BW33" i="9" s="1"/>
  <c r="HD33" i="9" s="1"/>
  <c r="LN41" i="9"/>
  <c r="CC41" i="9" s="1"/>
  <c r="Q41" i="9" s="1"/>
  <c r="Z41" i="9" s="1"/>
  <c r="LL41" i="9"/>
  <c r="CA41" i="9" s="1"/>
  <c r="O41" i="9" s="1"/>
  <c r="X41" i="9" s="1"/>
  <c r="LN7" i="9"/>
  <c r="CC7" i="9" s="1"/>
  <c r="Q7" i="9" s="1"/>
  <c r="Z7" i="9" s="1"/>
  <c r="LJ6" i="9"/>
  <c r="BY6" i="9" s="1"/>
  <c r="M6" i="9" s="1"/>
  <c r="V6" i="9" s="1"/>
  <c r="LO10" i="9"/>
  <c r="CD10" i="9" s="1"/>
  <c r="R10" i="9" s="1"/>
  <c r="AA10" i="9" s="1"/>
  <c r="LH6" i="9"/>
  <c r="LM6" i="9"/>
  <c r="LG3" i="9"/>
  <c r="BV3" i="9" s="1"/>
  <c r="DQ3" i="8" s="1"/>
  <c r="LH2" i="9"/>
  <c r="LO39" i="9"/>
  <c r="CD39" i="9" s="1"/>
  <c r="HK39" i="9" s="1"/>
  <c r="LK20" i="9"/>
  <c r="BZ20" i="9" s="1"/>
  <c r="N20" i="9" s="1"/>
  <c r="W20" i="9" s="1"/>
  <c r="LI28" i="9"/>
  <c r="BX28" i="9" s="1"/>
  <c r="L28" i="9" s="1"/>
  <c r="U28" i="9" s="1"/>
  <c r="LO36" i="9"/>
  <c r="CD36" i="9" s="1"/>
  <c r="LO5" i="9"/>
  <c r="LI13" i="9"/>
  <c r="BX13" i="9" s="1"/>
  <c r="LI21" i="9"/>
  <c r="BX21" i="9" s="1"/>
  <c r="L21" i="9" s="1"/>
  <c r="U21" i="9" s="1"/>
  <c r="LM21" i="9"/>
  <c r="CB21" i="9" s="1"/>
  <c r="P21" i="9" s="1"/>
  <c r="Y21" i="9" s="1"/>
  <c r="LH29" i="9"/>
  <c r="BW29" i="9" s="1"/>
  <c r="HD29" i="9" s="1"/>
  <c r="LG37" i="9"/>
  <c r="BV37" i="9" s="1"/>
  <c r="DQ37" i="8" s="1"/>
  <c r="LJ22" i="9"/>
  <c r="BY22" i="9" s="1"/>
  <c r="M22" i="9" s="1"/>
  <c r="V22" i="9" s="1"/>
  <c r="LH23" i="9"/>
  <c r="BW23" i="9" s="1"/>
  <c r="HD23" i="9" s="1"/>
  <c r="LG8" i="9"/>
  <c r="BV8" i="9" s="1"/>
  <c r="DQ8" i="8" s="1"/>
  <c r="LK8" i="9"/>
  <c r="LL16" i="9"/>
  <c r="CA16" i="9" s="1"/>
  <c r="O16" i="9" s="1"/>
  <c r="X16" i="9" s="1"/>
  <c r="LM24" i="9"/>
  <c r="CB24" i="9" s="1"/>
  <c r="P24" i="9" s="1"/>
  <c r="Y24" i="9" s="1"/>
  <c r="LM32" i="9"/>
  <c r="CB32" i="9" s="1"/>
  <c r="P32" i="9" s="1"/>
  <c r="Y32" i="9" s="1"/>
  <c r="LG14" i="9"/>
  <c r="BV14" i="9" s="1"/>
  <c r="DQ14" i="8" s="1"/>
  <c r="LM15" i="9"/>
  <c r="CB15" i="9" s="1"/>
  <c r="P15" i="9" s="1"/>
  <c r="Y15" i="9" s="1"/>
  <c r="LI43" i="9"/>
  <c r="BX43" i="9" s="1"/>
  <c r="LL9" i="9"/>
  <c r="LO17" i="9"/>
  <c r="CD17" i="9" s="1"/>
  <c r="R17" i="9" s="1"/>
  <c r="AA17" i="9" s="1"/>
  <c r="LI25" i="9"/>
  <c r="BX25" i="9" s="1"/>
  <c r="LG33" i="9"/>
  <c r="BV33" i="9" s="1"/>
  <c r="DQ33" i="8" s="1"/>
  <c r="LM41" i="9"/>
  <c r="CB41" i="9" s="1"/>
  <c r="P41" i="9" s="1"/>
  <c r="Y41" i="9" s="1"/>
  <c r="LM7" i="9"/>
  <c r="LN3" i="9"/>
  <c r="CC3" i="9" s="1"/>
  <c r="Q3" i="9" s="1"/>
  <c r="Z3" i="9" s="1"/>
  <c r="LN10" i="9"/>
  <c r="CC10" i="9" s="1"/>
  <c r="LG6" i="9"/>
  <c r="BV6" i="9" s="1"/>
  <c r="DQ6" i="8" s="1"/>
  <c r="LM38" i="9"/>
  <c r="CB38" i="9" s="1"/>
  <c r="LM31" i="9"/>
  <c r="CB31" i="9" s="1"/>
  <c r="P31" i="9" s="1"/>
  <c r="Y31" i="9" s="1"/>
  <c r="LL3" i="9"/>
  <c r="CA3" i="9" s="1"/>
  <c r="O3" i="9" s="1"/>
  <c r="X3" i="9" s="1"/>
  <c r="BV35" i="9"/>
  <c r="DQ35" i="8" s="1"/>
  <c r="LI2" i="9"/>
  <c r="BX2" i="9" s="1"/>
  <c r="L2" i="9" s="1"/>
  <c r="U2" i="9" s="1"/>
  <c r="LL2" i="9"/>
  <c r="CA2" i="9" s="1"/>
  <c r="O2" i="9" s="1"/>
  <c r="X2" i="9" s="1"/>
  <c r="LG4" i="9"/>
  <c r="BV4" i="9" s="1"/>
  <c r="DQ4" i="8" s="1"/>
  <c r="LJ20" i="9"/>
  <c r="BY20" i="9" s="1"/>
  <c r="LH28" i="9"/>
  <c r="BW28" i="9" s="1"/>
  <c r="HD28" i="9" s="1"/>
  <c r="LM36" i="9"/>
  <c r="CB36" i="9" s="1"/>
  <c r="LG5" i="9"/>
  <c r="BV5" i="9" s="1"/>
  <c r="DQ5" i="8" s="1"/>
  <c r="LH13" i="9"/>
  <c r="BW13" i="9" s="1"/>
  <c r="HD13" i="9" s="1"/>
  <c r="LH21" i="9"/>
  <c r="BW21" i="9" s="1"/>
  <c r="HD21" i="9" s="1"/>
  <c r="LO29" i="9"/>
  <c r="CD29" i="9" s="1"/>
  <c r="LJ29" i="9"/>
  <c r="BY29" i="9" s="1"/>
  <c r="M29" i="9" s="1"/>
  <c r="V29" i="9" s="1"/>
  <c r="LK37" i="9"/>
  <c r="BZ37" i="9" s="1"/>
  <c r="LI22" i="9"/>
  <c r="BX22" i="9" s="1"/>
  <c r="L22" i="9" s="1"/>
  <c r="U22" i="9" s="1"/>
  <c r="LG23" i="9"/>
  <c r="BV23" i="9" s="1"/>
  <c r="DQ23" i="8" s="1"/>
  <c r="LH8" i="9"/>
  <c r="BW8" i="9" s="1"/>
  <c r="LG16" i="9"/>
  <c r="BV16" i="9" s="1"/>
  <c r="DQ16" i="8" s="1"/>
  <c r="LM16" i="9"/>
  <c r="CB16" i="9" s="1"/>
  <c r="P16" i="9" s="1"/>
  <c r="Y16" i="9" s="1"/>
  <c r="LL24" i="9"/>
  <c r="CA24" i="9" s="1"/>
  <c r="LL32" i="9"/>
  <c r="CA32" i="9" s="1"/>
  <c r="O32" i="9" s="1"/>
  <c r="X32" i="9" s="1"/>
  <c r="LH14" i="9"/>
  <c r="BW14" i="9" s="1"/>
  <c r="HD14" i="9" s="1"/>
  <c r="LL15" i="9"/>
  <c r="CA15" i="9" s="1"/>
  <c r="O15" i="9" s="1"/>
  <c r="X15" i="9" s="1"/>
  <c r="LN15" i="9"/>
  <c r="CC15" i="9" s="1"/>
  <c r="Q15" i="9" s="1"/>
  <c r="Z15" i="9" s="1"/>
  <c r="LG43" i="9"/>
  <c r="BV43" i="9" s="1"/>
  <c r="DQ43" i="8" s="1"/>
  <c r="LH43" i="9"/>
  <c r="BW43" i="9" s="1"/>
  <c r="HD43" i="9" s="1"/>
  <c r="LK9" i="9"/>
  <c r="BZ9" i="9" s="1"/>
  <c r="N9" i="9" s="1"/>
  <c r="W9" i="9" s="1"/>
  <c r="LH17" i="9"/>
  <c r="BW17" i="9" s="1"/>
  <c r="HD17" i="9" s="1"/>
  <c r="LH25" i="9"/>
  <c r="BW25" i="9" s="1"/>
  <c r="HD25" i="9" s="1"/>
  <c r="LO33" i="9"/>
  <c r="CD33" i="9" s="1"/>
  <c r="LK41" i="9"/>
  <c r="BZ41" i="9" s="1"/>
  <c r="N41" i="9" s="1"/>
  <c r="W41" i="9" s="1"/>
  <c r="LK7" i="9"/>
  <c r="BZ7" i="9" s="1"/>
  <c r="N7" i="9" s="1"/>
  <c r="W7" i="9" s="1"/>
  <c r="LO18" i="9"/>
  <c r="CD18" i="9" s="1"/>
  <c r="LG34" i="9"/>
  <c r="BV34" i="9" s="1"/>
  <c r="DQ34" i="8" s="1"/>
  <c r="LL42" i="9"/>
  <c r="CA42" i="9" s="1"/>
  <c r="O42" i="9" s="1"/>
  <c r="X42" i="9" s="1"/>
  <c r="LJ35" i="9"/>
  <c r="BY35" i="9" s="1"/>
  <c r="LJ2" i="9"/>
  <c r="BY2" i="9" s="1"/>
  <c r="M2" i="9" s="1"/>
  <c r="V2" i="9" s="1"/>
  <c r="LG20" i="9"/>
  <c r="BV20" i="9" s="1"/>
  <c r="DQ20" i="8" s="1"/>
  <c r="LO28" i="9"/>
  <c r="CD28" i="9" s="1"/>
  <c r="R28" i="9" s="1"/>
  <c r="AA28" i="9" s="1"/>
  <c r="LL36" i="9"/>
  <c r="CA36" i="9" s="1"/>
  <c r="LG13" i="9"/>
  <c r="BV13" i="9" s="1"/>
  <c r="DQ13" i="8" s="1"/>
  <c r="LO21" i="9"/>
  <c r="CD21" i="9" s="1"/>
  <c r="LN29" i="9"/>
  <c r="CC29" i="9" s="1"/>
  <c r="Q29" i="9" s="1"/>
  <c r="Z29" i="9" s="1"/>
  <c r="LJ37" i="9"/>
  <c r="BY37" i="9" s="1"/>
  <c r="LM37" i="9"/>
  <c r="CB37" i="9" s="1"/>
  <c r="P37" i="9" s="1"/>
  <c r="Y37" i="9" s="1"/>
  <c r="LH22" i="9"/>
  <c r="BW22" i="9" s="1"/>
  <c r="HD22" i="9" s="1"/>
  <c r="LK22" i="9"/>
  <c r="BZ22" i="9" s="1"/>
  <c r="N22" i="9" s="1"/>
  <c r="W22" i="9" s="1"/>
  <c r="LO23" i="9"/>
  <c r="CD23" i="9" s="1"/>
  <c r="LK16" i="9"/>
  <c r="BZ16" i="9" s="1"/>
  <c r="N16" i="9" s="1"/>
  <c r="W16" i="9" s="1"/>
  <c r="LJ24" i="9"/>
  <c r="BY24" i="9" s="1"/>
  <c r="M24" i="9" s="1"/>
  <c r="V24" i="9" s="1"/>
  <c r="LK24" i="9"/>
  <c r="BZ24" i="9" s="1"/>
  <c r="LK32" i="9"/>
  <c r="BZ32" i="9" s="1"/>
  <c r="LN14" i="9"/>
  <c r="CC14" i="9" s="1"/>
  <c r="LK15" i="9"/>
  <c r="BZ15" i="9" s="1"/>
  <c r="N15" i="9" s="1"/>
  <c r="W15" i="9" s="1"/>
  <c r="LL43" i="9"/>
  <c r="CA43" i="9" s="1"/>
  <c r="LG9" i="9"/>
  <c r="BV9" i="9" s="1"/>
  <c r="DQ9" i="8" s="1"/>
  <c r="LN17" i="9"/>
  <c r="CC17" i="9" s="1"/>
  <c r="LO25" i="9"/>
  <c r="CD25" i="9" s="1"/>
  <c r="LN33" i="9"/>
  <c r="CC33" i="9" s="1"/>
  <c r="LG41" i="9"/>
  <c r="BV41" i="9" s="1"/>
  <c r="DQ41" i="8" s="1"/>
  <c r="LJ7" i="9"/>
  <c r="LG10" i="9"/>
  <c r="BV10" i="9" s="1"/>
  <c r="DQ10" i="8" s="1"/>
  <c r="LJ34" i="9"/>
  <c r="BY34" i="9" s="1"/>
  <c r="LN6" i="9"/>
  <c r="CC6" i="9" s="1"/>
  <c r="Q6" i="9" s="1"/>
  <c r="Z6" i="9" s="1"/>
  <c r="LJ3" i="9"/>
  <c r="BY3" i="9" s="1"/>
  <c r="M3" i="9" s="1"/>
  <c r="V3" i="9" s="1"/>
  <c r="LG19" i="9"/>
  <c r="BV19" i="9" s="1"/>
  <c r="DQ19" i="8" s="1"/>
  <c r="LI27" i="9"/>
  <c r="BX27" i="9" s="1"/>
  <c r="LK2" i="9"/>
  <c r="BZ2" i="9" s="1"/>
  <c r="N2" i="9" s="1"/>
  <c r="W2" i="9" s="1"/>
  <c r="LO4" i="9"/>
  <c r="LI20" i="9"/>
  <c r="BX20" i="9" s="1"/>
  <c r="LN20" i="9"/>
  <c r="CC20" i="9" s="1"/>
  <c r="Q20" i="9" s="1"/>
  <c r="Z20" i="9" s="1"/>
  <c r="LG28" i="9"/>
  <c r="BV28" i="9" s="1"/>
  <c r="DQ28" i="8" s="1"/>
  <c r="LK36" i="9"/>
  <c r="BZ36" i="9" s="1"/>
  <c r="N36" i="9" s="1"/>
  <c r="W36" i="9" s="1"/>
  <c r="LL5" i="9"/>
  <c r="LN13" i="9"/>
  <c r="CC13" i="9" s="1"/>
  <c r="LN21" i="9"/>
  <c r="CC21" i="9" s="1"/>
  <c r="LM29" i="9"/>
  <c r="CB29" i="9" s="1"/>
  <c r="LI37" i="9"/>
  <c r="BX37" i="9" s="1"/>
  <c r="LO22" i="9"/>
  <c r="CD22" i="9" s="1"/>
  <c r="R22" i="9" s="1"/>
  <c r="AA22" i="9" s="1"/>
  <c r="LN23" i="9"/>
  <c r="CC23" i="9" s="1"/>
  <c r="LN8" i="9"/>
  <c r="CC8" i="9" s="1"/>
  <c r="Q8" i="9" s="1"/>
  <c r="Z8" i="9" s="1"/>
  <c r="LJ16" i="9"/>
  <c r="BY16" i="9" s="1"/>
  <c r="LI24" i="9"/>
  <c r="BX24" i="9" s="1"/>
  <c r="LI32" i="9"/>
  <c r="BX32" i="9" s="1"/>
  <c r="L32" i="9" s="1"/>
  <c r="U32" i="9" s="1"/>
  <c r="LJ32" i="9"/>
  <c r="BY32" i="9" s="1"/>
  <c r="M32" i="9" s="1"/>
  <c r="V32" i="9" s="1"/>
  <c r="LM14" i="9"/>
  <c r="CB14" i="9" s="1"/>
  <c r="LG15" i="9"/>
  <c r="BV15" i="9" s="1"/>
  <c r="DQ15" i="8" s="1"/>
  <c r="LI9" i="9"/>
  <c r="BX9" i="9" s="1"/>
  <c r="L9" i="9" s="1"/>
  <c r="U9" i="9" s="1"/>
  <c r="LJ9" i="9"/>
  <c r="LM17" i="9"/>
  <c r="CB17" i="9" s="1"/>
  <c r="LN25" i="9"/>
  <c r="CC25" i="9" s="1"/>
  <c r="LM33" i="9"/>
  <c r="CB33" i="9" s="1"/>
  <c r="LJ41" i="9"/>
  <c r="BY41" i="9" s="1"/>
  <c r="M41" i="9" s="1"/>
  <c r="V41" i="9" s="1"/>
  <c r="LI7" i="9"/>
  <c r="BX7" i="9" s="1"/>
  <c r="L7" i="9" s="1"/>
  <c r="U7" i="9" s="1"/>
  <c r="LL7" i="9"/>
  <c r="CA7" i="9" s="1"/>
  <c r="O7" i="9" s="1"/>
  <c r="X7" i="9" s="1"/>
  <c r="AD25" i="10"/>
  <c r="EG7" i="9"/>
  <c r="AD7" i="10"/>
  <c r="AD10" i="10"/>
  <c r="AD42" i="10"/>
  <c r="AD39" i="10"/>
  <c r="AD31" i="10"/>
  <c r="DX14" i="9"/>
  <c r="BM14" i="9" s="1"/>
  <c r="AK15" i="11" s="1"/>
  <c r="DX6" i="9"/>
  <c r="BM6" i="9" s="1"/>
  <c r="AK7" i="11" s="1"/>
  <c r="DX18" i="9"/>
  <c r="BM18" i="9" s="1"/>
  <c r="AK19" i="11" s="1"/>
  <c r="AD41" i="10"/>
  <c r="DX16" i="9"/>
  <c r="BM16" i="9" s="1"/>
  <c r="AK17" i="11" s="1"/>
  <c r="DX33" i="9"/>
  <c r="BM33" i="9" s="1"/>
  <c r="AK34" i="11" s="1"/>
  <c r="U4" i="10"/>
  <c r="AD2" i="10"/>
  <c r="AD17" i="10"/>
  <c r="AD34" i="10"/>
  <c r="AD3" i="10"/>
  <c r="DX36" i="9"/>
  <c r="BM36" i="9" s="1"/>
  <c r="AK37" i="11" s="1"/>
  <c r="AD9" i="10"/>
  <c r="EG19" i="9"/>
  <c r="BM19" i="9" s="1"/>
  <c r="AK20" i="11" s="1"/>
  <c r="U24" i="10"/>
  <c r="AD22" i="10"/>
  <c r="AD24" i="10"/>
  <c r="AD35" i="10"/>
  <c r="AD23" i="10"/>
  <c r="DX21" i="9"/>
  <c r="BM21" i="9" s="1"/>
  <c r="AK22" i="11" s="1"/>
  <c r="AD29" i="10"/>
  <c r="AD20" i="10"/>
  <c r="AD18" i="10"/>
  <c r="DX42" i="9"/>
  <c r="BM42" i="9" s="1"/>
  <c r="AK43" i="11" s="1"/>
  <c r="EO10" i="9"/>
  <c r="EF10" i="9"/>
  <c r="JV10" i="9"/>
  <c r="EX10" i="9" s="1"/>
  <c r="EM6" i="9"/>
  <c r="ED6" i="9"/>
  <c r="EH37" i="9"/>
  <c r="DY37" i="9"/>
  <c r="JO37" i="9"/>
  <c r="EQ37" i="9" s="1"/>
  <c r="AM37" i="9"/>
  <c r="DY41" i="9"/>
  <c r="EH41" i="9"/>
  <c r="JO41" i="9"/>
  <c r="EQ41" i="9" s="1"/>
  <c r="AM41" i="9"/>
  <c r="EL23" i="9"/>
  <c r="EC23" i="9"/>
  <c r="JS23" i="9"/>
  <c r="EU23" i="9" s="1"/>
  <c r="AQ23" i="9"/>
  <c r="EI26" i="9"/>
  <c r="DZ26" i="9"/>
  <c r="JP26" i="9"/>
  <c r="ER26" i="9" s="1"/>
  <c r="AN26" i="9"/>
  <c r="EN9" i="9"/>
  <c r="EE9" i="9"/>
  <c r="JU9" i="9"/>
  <c r="EW9" i="9" s="1"/>
  <c r="EI35" i="9"/>
  <c r="DZ35" i="9"/>
  <c r="AN35" i="9"/>
  <c r="JP35" i="9"/>
  <c r="ER35" i="9" s="1"/>
  <c r="HE35" i="9"/>
  <c r="EJ24" i="9"/>
  <c r="EA24" i="9"/>
  <c r="AO24" i="9"/>
  <c r="JQ24" i="9"/>
  <c r="ES24" i="9" s="1"/>
  <c r="EJ5" i="9"/>
  <c r="EA5" i="9"/>
  <c r="JQ5" i="9"/>
  <c r="ES5" i="9" s="1"/>
  <c r="EM39" i="9"/>
  <c r="ED39" i="9"/>
  <c r="HI39" i="9"/>
  <c r="EN32" i="9"/>
  <c r="EE32" i="9"/>
  <c r="AS32" i="9"/>
  <c r="JU32" i="9"/>
  <c r="EW32" i="9" s="1"/>
  <c r="EF26" i="9"/>
  <c r="EO26" i="9"/>
  <c r="HK26" i="9"/>
  <c r="JV26" i="9"/>
  <c r="EX26" i="9" s="1"/>
  <c r="EN19" i="9"/>
  <c r="EE19" i="9"/>
  <c r="AS19" i="9"/>
  <c r="JU19" i="9"/>
  <c r="EW19" i="9" s="1"/>
  <c r="HJ19" i="9"/>
  <c r="EJ40" i="9"/>
  <c r="EA40" i="9"/>
  <c r="AO40" i="9"/>
  <c r="JQ40" i="9"/>
  <c r="ES40" i="9" s="1"/>
  <c r="EG4" i="9"/>
  <c r="BM4" i="9" s="1"/>
  <c r="AK5" i="11" s="1"/>
  <c r="AD11" i="10"/>
  <c r="AV11" i="10" s="1"/>
  <c r="EH10" i="9"/>
  <c r="DY10" i="9"/>
  <c r="JO10" i="9"/>
  <c r="EQ10" i="9" s="1"/>
  <c r="AM10" i="9"/>
  <c r="EJ20" i="9"/>
  <c r="EA20" i="9"/>
  <c r="JQ20" i="9"/>
  <c r="ES20" i="9" s="1"/>
  <c r="AO20" i="9"/>
  <c r="EK28" i="9"/>
  <c r="EB28" i="9"/>
  <c r="ED36" i="9"/>
  <c r="EM36" i="9"/>
  <c r="EI6" i="9"/>
  <c r="DZ6" i="9"/>
  <c r="HE6" i="9"/>
  <c r="JP6" i="9"/>
  <c r="ER6" i="9" s="1"/>
  <c r="EM25" i="9"/>
  <c r="ED25" i="9"/>
  <c r="EO3" i="9"/>
  <c r="EF3" i="9"/>
  <c r="JV3" i="9"/>
  <c r="EX3" i="9" s="1"/>
  <c r="EO13" i="9"/>
  <c r="EF13" i="9"/>
  <c r="JV13" i="9"/>
  <c r="EX13" i="9" s="1"/>
  <c r="DY21" i="9"/>
  <c r="EH21" i="9"/>
  <c r="AM21" i="9"/>
  <c r="JO21" i="9"/>
  <c r="EQ21" i="9" s="1"/>
  <c r="EI29" i="9"/>
  <c r="DZ29" i="9"/>
  <c r="AN29" i="9"/>
  <c r="JP29" i="9"/>
  <c r="ER29" i="9" s="1"/>
  <c r="EA37" i="9"/>
  <c r="EJ37" i="9"/>
  <c r="JQ37" i="9"/>
  <c r="ES37" i="9" s="1"/>
  <c r="AO37" i="9"/>
  <c r="EN24" i="9"/>
  <c r="EE24" i="9"/>
  <c r="AS24" i="9"/>
  <c r="JU24" i="9"/>
  <c r="EW24" i="9" s="1"/>
  <c r="EI7" i="9"/>
  <c r="DZ7" i="9"/>
  <c r="JP7" i="9"/>
  <c r="ER7" i="9" s="1"/>
  <c r="EE41" i="9"/>
  <c r="EN41" i="9"/>
  <c r="JU41" i="9"/>
  <c r="EW41" i="9" s="1"/>
  <c r="AS41" i="9"/>
  <c r="EL4" i="9"/>
  <c r="EC4" i="9"/>
  <c r="JS4" i="9"/>
  <c r="EU4" i="9" s="1"/>
  <c r="EC14" i="9"/>
  <c r="EL14" i="9"/>
  <c r="AQ14" i="9"/>
  <c r="JS14" i="9"/>
  <c r="EU14" i="9" s="1"/>
  <c r="EN22" i="9"/>
  <c r="EE22" i="9"/>
  <c r="JU22" i="9"/>
  <c r="EW22" i="9" s="1"/>
  <c r="AS22" i="9"/>
  <c r="EO30" i="9"/>
  <c r="EF30" i="9"/>
  <c r="JV30" i="9"/>
  <c r="EX30" i="9" s="1"/>
  <c r="EN38" i="9"/>
  <c r="EE38" i="9"/>
  <c r="JU38" i="9"/>
  <c r="EW38" i="9" s="1"/>
  <c r="AS38" i="9"/>
  <c r="EE16" i="9"/>
  <c r="EN16" i="9"/>
  <c r="JU16" i="9"/>
  <c r="EW16" i="9" s="1"/>
  <c r="AS16" i="9"/>
  <c r="EM5" i="9"/>
  <c r="ED5" i="9"/>
  <c r="EM15" i="9"/>
  <c r="ED15" i="9"/>
  <c r="EO23" i="9"/>
  <c r="EF23" i="9"/>
  <c r="JV23" i="9"/>
  <c r="EX23" i="9" s="1"/>
  <c r="EH31" i="9"/>
  <c r="DY31" i="9"/>
  <c r="JO31" i="9"/>
  <c r="EQ31" i="9" s="1"/>
  <c r="AM31" i="9"/>
  <c r="EI39" i="9"/>
  <c r="DZ39" i="9"/>
  <c r="AN39" i="9"/>
  <c r="JP39" i="9"/>
  <c r="ER39" i="9" s="1"/>
  <c r="EI32" i="9"/>
  <c r="DZ32" i="9"/>
  <c r="AN32" i="9"/>
  <c r="JP32" i="9"/>
  <c r="ER32" i="9" s="1"/>
  <c r="EN33" i="9"/>
  <c r="EE33" i="9"/>
  <c r="JU33" i="9"/>
  <c r="EW33" i="9" s="1"/>
  <c r="AS33" i="9"/>
  <c r="EI8" i="9"/>
  <c r="DZ8" i="9"/>
  <c r="JP8" i="9"/>
  <c r="ER8" i="9" s="1"/>
  <c r="EH18" i="9"/>
  <c r="DY18" i="9"/>
  <c r="JO18" i="9"/>
  <c r="EQ18" i="9" s="1"/>
  <c r="AM18" i="9"/>
  <c r="EJ26" i="9"/>
  <c r="EA26" i="9"/>
  <c r="HF26" i="9"/>
  <c r="JQ26" i="9"/>
  <c r="ES26" i="9" s="1"/>
  <c r="AO26" i="9"/>
  <c r="EK34" i="9"/>
  <c r="EB34" i="9"/>
  <c r="EK42" i="9"/>
  <c r="EB42" i="9"/>
  <c r="EM17" i="9"/>
  <c r="ED17" i="9"/>
  <c r="DY9" i="9"/>
  <c r="EH9" i="9"/>
  <c r="JO9" i="9"/>
  <c r="EQ9" i="9" s="1"/>
  <c r="EI19" i="9"/>
  <c r="DZ19" i="9"/>
  <c r="AN19" i="9"/>
  <c r="JP19" i="9"/>
  <c r="ER19" i="9" s="1"/>
  <c r="HE19" i="9"/>
  <c r="EJ27" i="9"/>
  <c r="EA27" i="9"/>
  <c r="JQ27" i="9"/>
  <c r="ES27" i="9" s="1"/>
  <c r="AO27" i="9"/>
  <c r="EL35" i="9"/>
  <c r="EC35" i="9"/>
  <c r="AQ35" i="9"/>
  <c r="JS35" i="9"/>
  <c r="EU35" i="9" s="1"/>
  <c r="HH35" i="9"/>
  <c r="EM43" i="9"/>
  <c r="ED43" i="9"/>
  <c r="HI43" i="9"/>
  <c r="EM40" i="9"/>
  <c r="ED40" i="9"/>
  <c r="HI40" i="9"/>
  <c r="EJ28" i="9"/>
  <c r="EA28" i="9"/>
  <c r="AO28" i="9"/>
  <c r="JQ28" i="9"/>
  <c r="ES28" i="9" s="1"/>
  <c r="EM21" i="9"/>
  <c r="ED21" i="9"/>
  <c r="EO7" i="9"/>
  <c r="EF7" i="9"/>
  <c r="JV7" i="9"/>
  <c r="EX7" i="9" s="1"/>
  <c r="EH38" i="9"/>
  <c r="DY38" i="9"/>
  <c r="JO38" i="9"/>
  <c r="EQ38" i="9" s="1"/>
  <c r="AM38" i="9"/>
  <c r="HD38" i="9"/>
  <c r="EL16" i="9"/>
  <c r="EC16" i="9"/>
  <c r="JS16" i="9"/>
  <c r="EU16" i="9" s="1"/>
  <c r="AQ16" i="9"/>
  <c r="EL33" i="9"/>
  <c r="EC33" i="9"/>
  <c r="AQ33" i="9"/>
  <c r="JS33" i="9"/>
  <c r="EU33" i="9" s="1"/>
  <c r="EM8" i="9"/>
  <c r="ED8" i="9"/>
  <c r="EC40" i="9"/>
  <c r="EL40" i="9"/>
  <c r="HH40" i="9"/>
  <c r="JS40" i="9"/>
  <c r="EU40" i="9" s="1"/>
  <c r="AQ40" i="9"/>
  <c r="AD4" i="10"/>
  <c r="AV4" i="10" s="1"/>
  <c r="EA36" i="9"/>
  <c r="EJ36" i="9"/>
  <c r="AO36" i="9"/>
  <c r="JQ36" i="9"/>
  <c r="ES36" i="9" s="1"/>
  <c r="EB13" i="9"/>
  <c r="EK13" i="9"/>
  <c r="EH4" i="9"/>
  <c r="DY4" i="9"/>
  <c r="JO4" i="9"/>
  <c r="EQ4" i="9" s="1"/>
  <c r="EK30" i="9"/>
  <c r="EB30" i="9"/>
  <c r="EK23" i="9"/>
  <c r="EB23" i="9"/>
  <c r="EM9" i="9"/>
  <c r="ED9" i="9"/>
  <c r="AD28" i="10"/>
  <c r="AD26" i="10"/>
  <c r="EG34" i="9"/>
  <c r="BM34" i="9" s="1"/>
  <c r="AK35" i="11" s="1"/>
  <c r="EI10" i="9"/>
  <c r="DZ10" i="9"/>
  <c r="JP10" i="9"/>
  <c r="ER10" i="9" s="1"/>
  <c r="AN10" i="9"/>
  <c r="EH20" i="9"/>
  <c r="DY20" i="9"/>
  <c r="JO20" i="9"/>
  <c r="EQ20" i="9" s="1"/>
  <c r="AM20" i="9"/>
  <c r="EC28" i="9"/>
  <c r="EL28" i="9"/>
  <c r="AQ28" i="9"/>
  <c r="JS28" i="9"/>
  <c r="EU28" i="9" s="1"/>
  <c r="EL36" i="9"/>
  <c r="EC36" i="9"/>
  <c r="JS36" i="9"/>
  <c r="EU36" i="9" s="1"/>
  <c r="AQ36" i="9"/>
  <c r="EO6" i="9"/>
  <c r="EF6" i="9"/>
  <c r="JV6" i="9"/>
  <c r="EX6" i="9" s="1"/>
  <c r="EL25" i="9"/>
  <c r="EC25" i="9"/>
  <c r="JS25" i="9"/>
  <c r="EU25" i="9" s="1"/>
  <c r="AQ25" i="9"/>
  <c r="EM3" i="9"/>
  <c r="ED3" i="9"/>
  <c r="EN13" i="9"/>
  <c r="EE13" i="9"/>
  <c r="JU13" i="9"/>
  <c r="EW13" i="9" s="1"/>
  <c r="AS13" i="9"/>
  <c r="EF21" i="9"/>
  <c r="EO21" i="9"/>
  <c r="JV21" i="9"/>
  <c r="EX21" i="9" s="1"/>
  <c r="EH29" i="9"/>
  <c r="DY29" i="9"/>
  <c r="AM29" i="9"/>
  <c r="JO29" i="9"/>
  <c r="EQ29" i="9" s="1"/>
  <c r="EI37" i="9"/>
  <c r="DZ37" i="9"/>
  <c r="JP37" i="9"/>
  <c r="ER37" i="9" s="1"/>
  <c r="AN37" i="9"/>
  <c r="EK24" i="9"/>
  <c r="EB24" i="9"/>
  <c r="EH7" i="9"/>
  <c r="DY7" i="9"/>
  <c r="JO7" i="9"/>
  <c r="EQ7" i="9" s="1"/>
  <c r="HD7" i="9"/>
  <c r="EI41" i="9"/>
  <c r="DZ41" i="9"/>
  <c r="JP41" i="9"/>
  <c r="ER41" i="9" s="1"/>
  <c r="AN41" i="9"/>
  <c r="EJ4" i="9"/>
  <c r="EA4" i="9"/>
  <c r="JQ4" i="9"/>
  <c r="ES4" i="9" s="1"/>
  <c r="EK14" i="9"/>
  <c r="EB14" i="9"/>
  <c r="ED22" i="9"/>
  <c r="EM22" i="9"/>
  <c r="EM30" i="9"/>
  <c r="ED30" i="9"/>
  <c r="HI30" i="9"/>
  <c r="EI38" i="9"/>
  <c r="DZ38" i="9"/>
  <c r="JP38" i="9"/>
  <c r="ER38" i="9" s="1"/>
  <c r="AN38" i="9"/>
  <c r="HE38" i="9"/>
  <c r="EM16" i="9"/>
  <c r="ED16" i="9"/>
  <c r="EK5" i="9"/>
  <c r="EB5" i="9"/>
  <c r="EK15" i="9"/>
  <c r="EB15" i="9"/>
  <c r="ED23" i="9"/>
  <c r="EM23" i="9"/>
  <c r="EO31" i="9"/>
  <c r="EF31" i="9"/>
  <c r="JV31" i="9"/>
  <c r="EX31" i="9" s="1"/>
  <c r="HK31" i="9"/>
  <c r="EH39" i="9"/>
  <c r="DY39" i="9"/>
  <c r="JO39" i="9"/>
  <c r="EQ39" i="9" s="1"/>
  <c r="AM39" i="9"/>
  <c r="HD39" i="9"/>
  <c r="EH32" i="9"/>
  <c r="DY32" i="9"/>
  <c r="JO32" i="9"/>
  <c r="EQ32" i="9" s="1"/>
  <c r="AM32" i="9"/>
  <c r="EK33" i="9"/>
  <c r="EB33" i="9"/>
  <c r="EO8" i="9"/>
  <c r="EF8" i="9"/>
  <c r="JV8" i="9"/>
  <c r="EX8" i="9" s="1"/>
  <c r="DZ18" i="9"/>
  <c r="EI18" i="9"/>
  <c r="AN18" i="9"/>
  <c r="JP18" i="9"/>
  <c r="ER18" i="9" s="1"/>
  <c r="EH26" i="9"/>
  <c r="DY26" i="9"/>
  <c r="AM26" i="9"/>
  <c r="JO26" i="9"/>
  <c r="EQ26" i="9" s="1"/>
  <c r="EN34" i="9"/>
  <c r="EE34" i="9"/>
  <c r="JU34" i="9"/>
  <c r="EW34" i="9" s="1"/>
  <c r="AS34" i="9"/>
  <c r="HJ34" i="9"/>
  <c r="EE42" i="9"/>
  <c r="EN42" i="9"/>
  <c r="JU42" i="9"/>
  <c r="EW42" i="9" s="1"/>
  <c r="AS42" i="9"/>
  <c r="EE17" i="9"/>
  <c r="EN17" i="9"/>
  <c r="JU17" i="9"/>
  <c r="EW17" i="9" s="1"/>
  <c r="AS17" i="9"/>
  <c r="EO9" i="9"/>
  <c r="EF9" i="9"/>
  <c r="JV9" i="9"/>
  <c r="EX9" i="9" s="1"/>
  <c r="EH19" i="9"/>
  <c r="DY19" i="9"/>
  <c r="JO19" i="9"/>
  <c r="EQ19" i="9" s="1"/>
  <c r="AM19" i="9"/>
  <c r="EI27" i="9"/>
  <c r="DZ27" i="9"/>
  <c r="AN27" i="9"/>
  <c r="JP27" i="9"/>
  <c r="ER27" i="9" s="1"/>
  <c r="EJ35" i="9"/>
  <c r="EA35" i="9"/>
  <c r="AO35" i="9"/>
  <c r="JQ35" i="9"/>
  <c r="ES35" i="9" s="1"/>
  <c r="EC43" i="9"/>
  <c r="EL43" i="9"/>
  <c r="JS43" i="9"/>
  <c r="EU43" i="9" s="1"/>
  <c r="AQ43" i="9"/>
  <c r="EK40" i="9"/>
  <c r="EB40" i="9"/>
  <c r="EK36" i="9"/>
  <c r="EB36" i="9"/>
  <c r="EB25" i="9"/>
  <c r="EK25" i="9"/>
  <c r="EN14" i="9"/>
  <c r="EE14" i="9"/>
  <c r="AS14" i="9"/>
  <c r="JU14" i="9"/>
  <c r="EW14" i="9" s="1"/>
  <c r="EL5" i="9"/>
  <c r="EC5" i="9"/>
  <c r="JS5" i="9"/>
  <c r="EU5" i="9" s="1"/>
  <c r="EF32" i="9"/>
  <c r="EO32" i="9"/>
  <c r="JV32" i="9"/>
  <c r="EX32" i="9" s="1"/>
  <c r="EL3" i="9"/>
  <c r="EC3" i="9"/>
  <c r="JS3" i="9"/>
  <c r="EU3" i="9" s="1"/>
  <c r="EO39" i="9"/>
  <c r="EF39" i="9"/>
  <c r="JV39" i="9"/>
  <c r="EX39" i="9" s="1"/>
  <c r="EO19" i="9"/>
  <c r="EF19" i="9"/>
  <c r="JV19" i="9"/>
  <c r="EX19" i="9" s="1"/>
  <c r="HK19" i="9"/>
  <c r="EO29" i="9"/>
  <c r="EF29" i="9"/>
  <c r="JV29" i="9"/>
  <c r="EX29" i="9" s="1"/>
  <c r="AD15" i="10"/>
  <c r="EG40" i="9"/>
  <c r="BM40" i="9" s="1"/>
  <c r="AK41" i="11" s="1"/>
  <c r="EL10" i="9"/>
  <c r="EC10" i="9"/>
  <c r="AQ10" i="9"/>
  <c r="JS10" i="9"/>
  <c r="EU10" i="9" s="1"/>
  <c r="EM20" i="9"/>
  <c r="ED20" i="9"/>
  <c r="EH28" i="9"/>
  <c r="DY28" i="9"/>
  <c r="JO28" i="9"/>
  <c r="EQ28" i="9" s="1"/>
  <c r="AM28" i="9"/>
  <c r="EI36" i="9"/>
  <c r="DZ36" i="9"/>
  <c r="AN36" i="9"/>
  <c r="JP36" i="9"/>
  <c r="ER36" i="9" s="1"/>
  <c r="EK6" i="9"/>
  <c r="EB6" i="9"/>
  <c r="EI25" i="9"/>
  <c r="DZ25" i="9"/>
  <c r="JP25" i="9"/>
  <c r="ER25" i="9" s="1"/>
  <c r="AN25" i="9"/>
  <c r="EN3" i="9"/>
  <c r="EE3" i="9"/>
  <c r="JU3" i="9"/>
  <c r="EW3" i="9" s="1"/>
  <c r="EL13" i="9"/>
  <c r="EC13" i="9"/>
  <c r="AQ13" i="9"/>
  <c r="JS13" i="9"/>
  <c r="EU13" i="9" s="1"/>
  <c r="EL21" i="9"/>
  <c r="EC21" i="9"/>
  <c r="JS21" i="9"/>
  <c r="EU21" i="9" s="1"/>
  <c r="AQ21" i="9"/>
  <c r="EM29" i="9"/>
  <c r="ED29" i="9"/>
  <c r="EM37" i="9"/>
  <c r="ED37" i="9"/>
  <c r="EH24" i="9"/>
  <c r="DY24" i="9"/>
  <c r="AM24" i="9"/>
  <c r="JO24" i="9"/>
  <c r="EQ24" i="9" s="1"/>
  <c r="ED7" i="9"/>
  <c r="EM7" i="9"/>
  <c r="EM41" i="9"/>
  <c r="ED41" i="9"/>
  <c r="EO4" i="9"/>
  <c r="EF4" i="9"/>
  <c r="JV4" i="9"/>
  <c r="EX4" i="9" s="1"/>
  <c r="EH14" i="9"/>
  <c r="DY14" i="9"/>
  <c r="AM14" i="9"/>
  <c r="JO14" i="9"/>
  <c r="EQ14" i="9" s="1"/>
  <c r="EA22" i="9"/>
  <c r="EJ22" i="9"/>
  <c r="AO22" i="9"/>
  <c r="JQ22" i="9"/>
  <c r="ES22" i="9" s="1"/>
  <c r="EN30" i="9"/>
  <c r="EE30" i="9"/>
  <c r="JU30" i="9"/>
  <c r="EW30" i="9" s="1"/>
  <c r="AS30" i="9"/>
  <c r="ED38" i="9"/>
  <c r="EM38" i="9"/>
  <c r="EA16" i="9"/>
  <c r="EJ16" i="9"/>
  <c r="JQ16" i="9"/>
  <c r="ES16" i="9" s="1"/>
  <c r="AO16" i="9"/>
  <c r="DZ5" i="9"/>
  <c r="EI5" i="9"/>
  <c r="JP5" i="9"/>
  <c r="ER5" i="9" s="1"/>
  <c r="EJ15" i="9"/>
  <c r="EA15" i="9"/>
  <c r="AO15" i="9"/>
  <c r="JQ15" i="9"/>
  <c r="ES15" i="9" s="1"/>
  <c r="EN23" i="9"/>
  <c r="EE23" i="9"/>
  <c r="AS23" i="9"/>
  <c r="JU23" i="9"/>
  <c r="EW23" i="9" s="1"/>
  <c r="EL31" i="9"/>
  <c r="EC31" i="9"/>
  <c r="HH31" i="9"/>
  <c r="AQ31" i="9"/>
  <c r="JS31" i="9"/>
  <c r="EU31" i="9" s="1"/>
  <c r="EN39" i="9"/>
  <c r="EE39" i="9"/>
  <c r="JU39" i="9"/>
  <c r="EW39" i="9" s="1"/>
  <c r="AS39" i="9"/>
  <c r="EM32" i="9"/>
  <c r="ED32" i="9"/>
  <c r="EI33" i="9"/>
  <c r="DZ33" i="9"/>
  <c r="JP33" i="9"/>
  <c r="ER33" i="9" s="1"/>
  <c r="AN33" i="9"/>
  <c r="EB8" i="9"/>
  <c r="EK8" i="9"/>
  <c r="EK18" i="9"/>
  <c r="EB18" i="9"/>
  <c r="ED26" i="9"/>
  <c r="EM26" i="9"/>
  <c r="EH34" i="9"/>
  <c r="DY34" i="9"/>
  <c r="JO34" i="9"/>
  <c r="EQ34" i="9" s="1"/>
  <c r="AM34" i="9"/>
  <c r="DZ42" i="9"/>
  <c r="EI42" i="9"/>
  <c r="AN42" i="9"/>
  <c r="JP42" i="9"/>
  <c r="ER42" i="9" s="1"/>
  <c r="EA17" i="9"/>
  <c r="EJ17" i="9"/>
  <c r="JQ17" i="9"/>
  <c r="ES17" i="9" s="1"/>
  <c r="AO17" i="9"/>
  <c r="EB9" i="9"/>
  <c r="EK9" i="9"/>
  <c r="ED19" i="9"/>
  <c r="EM19" i="9"/>
  <c r="EM27" i="9"/>
  <c r="ED27" i="9"/>
  <c r="HI27" i="9"/>
  <c r="EF35" i="9"/>
  <c r="EO35" i="9"/>
  <c r="JV35" i="9"/>
  <c r="EX35" i="9" s="1"/>
  <c r="DZ43" i="9"/>
  <c r="EI43" i="9"/>
  <c r="JP43" i="9"/>
  <c r="ER43" i="9" s="1"/>
  <c r="AN43" i="9"/>
  <c r="EI40" i="9"/>
  <c r="DZ40" i="9"/>
  <c r="JP40" i="9"/>
  <c r="ER40" i="9" s="1"/>
  <c r="AN40" i="9"/>
  <c r="DZ20" i="9"/>
  <c r="EI20" i="9"/>
  <c r="JP20" i="9"/>
  <c r="ER20" i="9" s="1"/>
  <c r="AN20" i="9"/>
  <c r="EI4" i="9"/>
  <c r="DZ4" i="9"/>
  <c r="JP4" i="9"/>
  <c r="ER4" i="9" s="1"/>
  <c r="EM31" i="9"/>
  <c r="ED31" i="9"/>
  <c r="EL42" i="9"/>
  <c r="EC42" i="9"/>
  <c r="JS42" i="9"/>
  <c r="EU42" i="9" s="1"/>
  <c r="AQ42" i="9"/>
  <c r="EK17" i="9"/>
  <c r="EB17" i="9"/>
  <c r="EO20" i="9"/>
  <c r="EF20" i="9"/>
  <c r="JV20" i="9"/>
  <c r="EX20" i="9" s="1"/>
  <c r="EK3" i="9"/>
  <c r="EB3" i="9"/>
  <c r="EF37" i="9"/>
  <c r="EO37" i="9"/>
  <c r="JV37" i="9"/>
  <c r="EX37" i="9" s="1"/>
  <c r="EO41" i="9"/>
  <c r="EF41" i="9"/>
  <c r="JV41" i="9"/>
  <c r="EX41" i="9" s="1"/>
  <c r="EL22" i="9"/>
  <c r="EC22" i="9"/>
  <c r="AQ22" i="9"/>
  <c r="JS22" i="9"/>
  <c r="EU22" i="9" s="1"/>
  <c r="EC15" i="9"/>
  <c r="EL15" i="9"/>
  <c r="AQ15" i="9"/>
  <c r="JS15" i="9"/>
  <c r="EU15" i="9" s="1"/>
  <c r="EC8" i="9"/>
  <c r="EL8" i="9"/>
  <c r="JS8" i="9"/>
  <c r="EU8" i="9" s="1"/>
  <c r="EI34" i="9"/>
  <c r="DZ34" i="9"/>
  <c r="JP34" i="9"/>
  <c r="ER34" i="9" s="1"/>
  <c r="AN34" i="9"/>
  <c r="HE34" i="9"/>
  <c r="EO27" i="9"/>
  <c r="EF27" i="9"/>
  <c r="JV27" i="9"/>
  <c r="EX27" i="9" s="1"/>
  <c r="HK27" i="9"/>
  <c r="EH35" i="9"/>
  <c r="DY35" i="9"/>
  <c r="JO35" i="9"/>
  <c r="EQ35" i="9" s="1"/>
  <c r="AM35" i="9"/>
  <c r="HD35" i="9"/>
  <c r="EA43" i="9"/>
  <c r="EJ43" i="9"/>
  <c r="JQ43" i="9"/>
  <c r="ES43" i="9" s="1"/>
  <c r="AO43" i="9"/>
  <c r="AD13" i="10"/>
  <c r="AD14" i="10"/>
  <c r="AD33" i="10"/>
  <c r="EB10" i="9"/>
  <c r="EK10" i="9"/>
  <c r="EK20" i="9"/>
  <c r="EB20" i="9"/>
  <c r="EO28" i="9"/>
  <c r="EF28" i="9"/>
  <c r="JV28" i="9"/>
  <c r="EX28" i="9" s="1"/>
  <c r="DY36" i="9"/>
  <c r="EH36" i="9"/>
  <c r="AM36" i="9"/>
  <c r="JO36" i="9"/>
  <c r="EQ36" i="9" s="1"/>
  <c r="EN6" i="9"/>
  <c r="EE6" i="9"/>
  <c r="JU6" i="9"/>
  <c r="EW6" i="9" s="1"/>
  <c r="EH25" i="9"/>
  <c r="DY25" i="9"/>
  <c r="AM25" i="9"/>
  <c r="JO25" i="9"/>
  <c r="EQ25" i="9" s="1"/>
  <c r="EJ3" i="9"/>
  <c r="EA3" i="9"/>
  <c r="JQ3" i="9"/>
  <c r="ES3" i="9" s="1"/>
  <c r="EJ13" i="9"/>
  <c r="EA13" i="9"/>
  <c r="AO13" i="9"/>
  <c r="JQ13" i="9"/>
  <c r="ES13" i="9" s="1"/>
  <c r="EK21" i="9"/>
  <c r="EB21" i="9"/>
  <c r="EK29" i="9"/>
  <c r="EB29" i="9"/>
  <c r="EB37" i="9"/>
  <c r="EK37" i="9"/>
  <c r="DZ24" i="9"/>
  <c r="EI24" i="9"/>
  <c r="AN24" i="9"/>
  <c r="JP24" i="9"/>
  <c r="ER24" i="9" s="1"/>
  <c r="EB7" i="9"/>
  <c r="EK7" i="9"/>
  <c r="EL41" i="9"/>
  <c r="EC41" i="9"/>
  <c r="JS41" i="9"/>
  <c r="EU41" i="9" s="1"/>
  <c r="AQ41" i="9"/>
  <c r="EM4" i="9"/>
  <c r="ED4" i="9"/>
  <c r="DZ14" i="9"/>
  <c r="EI14" i="9"/>
  <c r="AN14" i="9"/>
  <c r="JP14" i="9"/>
  <c r="ER14" i="9" s="1"/>
  <c r="DY22" i="9"/>
  <c r="EH22" i="9"/>
  <c r="AM22" i="9"/>
  <c r="JO22" i="9"/>
  <c r="EQ22" i="9" s="1"/>
  <c r="EJ30" i="9"/>
  <c r="EA30" i="9"/>
  <c r="AO30" i="9"/>
  <c r="JQ30" i="9"/>
  <c r="ES30" i="9" s="1"/>
  <c r="EK38" i="9"/>
  <c r="EB38" i="9"/>
  <c r="EH16" i="9"/>
  <c r="DY16" i="9"/>
  <c r="JO16" i="9"/>
  <c r="EQ16" i="9" s="1"/>
  <c r="AM16" i="9"/>
  <c r="EH5" i="9"/>
  <c r="DY5" i="9"/>
  <c r="JO5" i="9"/>
  <c r="EQ5" i="9" s="1"/>
  <c r="EI15" i="9"/>
  <c r="DZ15" i="9"/>
  <c r="JP15" i="9"/>
  <c r="ER15" i="9" s="1"/>
  <c r="AN15" i="9"/>
  <c r="EA23" i="9"/>
  <c r="EJ23" i="9"/>
  <c r="AO23" i="9"/>
  <c r="JQ23" i="9"/>
  <c r="ES23" i="9" s="1"/>
  <c r="EA31" i="9"/>
  <c r="EJ31" i="9"/>
  <c r="HF31" i="9"/>
  <c r="AO31" i="9"/>
  <c r="JQ31" i="9"/>
  <c r="ES31" i="9" s="1"/>
  <c r="EL39" i="9"/>
  <c r="EC39" i="9"/>
  <c r="JS39" i="9"/>
  <c r="EU39" i="9" s="1"/>
  <c r="AQ39" i="9"/>
  <c r="EL32" i="9"/>
  <c r="EC32" i="9"/>
  <c r="AQ32" i="9"/>
  <c r="JS32" i="9"/>
  <c r="EU32" i="9" s="1"/>
  <c r="EH33" i="9"/>
  <c r="DY33" i="9"/>
  <c r="AM33" i="9"/>
  <c r="JO33" i="9"/>
  <c r="EQ33" i="9" s="1"/>
  <c r="EN8" i="9"/>
  <c r="EE8" i="9"/>
  <c r="JU8" i="9"/>
  <c r="EW8" i="9" s="1"/>
  <c r="EE18" i="9"/>
  <c r="EN18" i="9"/>
  <c r="AS18" i="9"/>
  <c r="JU18" i="9"/>
  <c r="EW18" i="9" s="1"/>
  <c r="EK26" i="9"/>
  <c r="EB26" i="9"/>
  <c r="EO34" i="9"/>
  <c r="EF34" i="9"/>
  <c r="JV34" i="9"/>
  <c r="EX34" i="9" s="1"/>
  <c r="EH42" i="9"/>
  <c r="DY42" i="9"/>
  <c r="JO42" i="9"/>
  <c r="EQ42" i="9" s="1"/>
  <c r="AM42" i="9"/>
  <c r="EI17" i="9"/>
  <c r="DZ17" i="9"/>
  <c r="AN17" i="9"/>
  <c r="JP17" i="9"/>
  <c r="ER17" i="9" s="1"/>
  <c r="EL9" i="9"/>
  <c r="EC9" i="9"/>
  <c r="JS9" i="9"/>
  <c r="EU9" i="9" s="1"/>
  <c r="EL19" i="9"/>
  <c r="EC19" i="9"/>
  <c r="JS19" i="9"/>
  <c r="EU19" i="9" s="1"/>
  <c r="AQ19" i="9"/>
  <c r="HH19" i="9"/>
  <c r="EN27" i="9"/>
  <c r="EE27" i="9"/>
  <c r="AS27" i="9"/>
  <c r="JU27" i="9"/>
  <c r="EW27" i="9" s="1"/>
  <c r="ED35" i="9"/>
  <c r="EM35" i="9"/>
  <c r="EH43" i="9"/>
  <c r="DY43" i="9"/>
  <c r="AM43" i="9"/>
  <c r="JO43" i="9"/>
  <c r="EQ43" i="9" s="1"/>
  <c r="EH40" i="9"/>
  <c r="DY40" i="9"/>
  <c r="JO40" i="9"/>
  <c r="EQ40" i="9" s="1"/>
  <c r="AM40" i="9"/>
  <c r="EM13" i="9"/>
  <c r="ED13" i="9"/>
  <c r="EC30" i="9"/>
  <c r="EL30" i="9"/>
  <c r="AQ30" i="9"/>
  <c r="JS30" i="9"/>
  <c r="EU30" i="9" s="1"/>
  <c r="EO18" i="9"/>
  <c r="EF18" i="9"/>
  <c r="JV18" i="9"/>
  <c r="EX18" i="9" s="1"/>
  <c r="EH27" i="9"/>
  <c r="DY27" i="9"/>
  <c r="JO27" i="9"/>
  <c r="EQ27" i="9" s="1"/>
  <c r="AM27" i="9"/>
  <c r="HD27" i="9"/>
  <c r="EI28" i="9"/>
  <c r="DZ28" i="9"/>
  <c r="JP28" i="9"/>
  <c r="ER28" i="9" s="1"/>
  <c r="AN28" i="9"/>
  <c r="EJ14" i="9"/>
  <c r="EA14" i="9"/>
  <c r="AO14" i="9"/>
  <c r="JQ14" i="9"/>
  <c r="ES14" i="9" s="1"/>
  <c r="EK31" i="9"/>
  <c r="EB31" i="9"/>
  <c r="EJ33" i="9"/>
  <c r="EA33" i="9"/>
  <c r="AO33" i="9"/>
  <c r="JQ33" i="9"/>
  <c r="ES33" i="9" s="1"/>
  <c r="ED18" i="9"/>
  <c r="EM18" i="9"/>
  <c r="HI18" i="9"/>
  <c r="AD19" i="10"/>
  <c r="AD16" i="10"/>
  <c r="AD27" i="10"/>
  <c r="DX35" i="9"/>
  <c r="BM35" i="9" s="1"/>
  <c r="AK36" i="11" s="1"/>
  <c r="EN10" i="9"/>
  <c r="EE10" i="9"/>
  <c r="AS10" i="9"/>
  <c r="JU10" i="9"/>
  <c r="EW10" i="9" s="1"/>
  <c r="EN20" i="9"/>
  <c r="EE20" i="9"/>
  <c r="AS20" i="9"/>
  <c r="JU20" i="9"/>
  <c r="EW20" i="9" s="1"/>
  <c r="EN28" i="9"/>
  <c r="EE28" i="9"/>
  <c r="JU28" i="9"/>
  <c r="EW28" i="9" s="1"/>
  <c r="AS28" i="9"/>
  <c r="EO36" i="9"/>
  <c r="EF36" i="9"/>
  <c r="JV36" i="9"/>
  <c r="EX36" i="9" s="1"/>
  <c r="EJ6" i="9"/>
  <c r="EA6" i="9"/>
  <c r="JQ6" i="9"/>
  <c r="ES6" i="9" s="1"/>
  <c r="EO25" i="9"/>
  <c r="EF25" i="9"/>
  <c r="JV25" i="9"/>
  <c r="EX25" i="9" s="1"/>
  <c r="DY3" i="9"/>
  <c r="EH3" i="9"/>
  <c r="JO3" i="9"/>
  <c r="EQ3" i="9" s="1"/>
  <c r="EI13" i="9"/>
  <c r="DZ13" i="9"/>
  <c r="AN13" i="9"/>
  <c r="JP13" i="9"/>
  <c r="ER13" i="9" s="1"/>
  <c r="EA21" i="9"/>
  <c r="EJ21" i="9"/>
  <c r="JQ21" i="9"/>
  <c r="ES21" i="9" s="1"/>
  <c r="AO21" i="9"/>
  <c r="EL29" i="9"/>
  <c r="EC29" i="9"/>
  <c r="AQ29" i="9"/>
  <c r="JS29" i="9"/>
  <c r="EU29" i="9" s="1"/>
  <c r="EN37" i="9"/>
  <c r="EE37" i="9"/>
  <c r="AS37" i="9"/>
  <c r="JU37" i="9"/>
  <c r="EW37" i="9" s="1"/>
  <c r="EO24" i="9"/>
  <c r="EF24" i="9"/>
  <c r="JV24" i="9"/>
  <c r="EX24" i="9" s="1"/>
  <c r="EL7" i="9"/>
  <c r="EC7" i="9"/>
  <c r="JS7" i="9"/>
  <c r="EU7" i="9" s="1"/>
  <c r="EK41" i="9"/>
  <c r="EB41" i="9"/>
  <c r="EN4" i="9"/>
  <c r="EE4" i="9"/>
  <c r="JU4" i="9"/>
  <c r="EW4" i="9" s="1"/>
  <c r="EF14" i="9"/>
  <c r="EO14" i="9"/>
  <c r="JV14" i="9"/>
  <c r="EX14" i="9" s="1"/>
  <c r="EI22" i="9"/>
  <c r="DZ22" i="9"/>
  <c r="AN22" i="9"/>
  <c r="JP22" i="9"/>
  <c r="ER22" i="9" s="1"/>
  <c r="EH30" i="9"/>
  <c r="DY30" i="9"/>
  <c r="HD30" i="9"/>
  <c r="JO30" i="9"/>
  <c r="EQ30" i="9" s="1"/>
  <c r="AM30" i="9"/>
  <c r="EL38" i="9"/>
  <c r="EC38" i="9"/>
  <c r="AQ38" i="9"/>
  <c r="JS38" i="9"/>
  <c r="EU38" i="9" s="1"/>
  <c r="HH38" i="9"/>
  <c r="DZ16" i="9"/>
  <c r="EI16" i="9"/>
  <c r="JP16" i="9"/>
  <c r="ER16" i="9" s="1"/>
  <c r="AN16" i="9"/>
  <c r="EO5" i="9"/>
  <c r="EF5" i="9"/>
  <c r="JV5" i="9"/>
  <c r="EX5" i="9" s="1"/>
  <c r="EH15" i="9"/>
  <c r="DY15" i="9"/>
  <c r="JO15" i="9"/>
  <c r="EQ15" i="9" s="1"/>
  <c r="AM15" i="9"/>
  <c r="EI23" i="9"/>
  <c r="DZ23" i="9"/>
  <c r="JP23" i="9"/>
  <c r="ER23" i="9" s="1"/>
  <c r="AN23" i="9"/>
  <c r="EE31" i="9"/>
  <c r="EN31" i="9"/>
  <c r="JU31" i="9"/>
  <c r="EW31" i="9" s="1"/>
  <c r="AS31" i="9"/>
  <c r="EB39" i="9"/>
  <c r="EK39" i="9"/>
  <c r="EK32" i="9"/>
  <c r="EB32" i="9"/>
  <c r="EF33" i="9"/>
  <c r="EO33" i="9"/>
  <c r="JV33" i="9"/>
  <c r="EX33" i="9" s="1"/>
  <c r="EA8" i="9"/>
  <c r="JQ8" i="9"/>
  <c r="ES8" i="9" s="1"/>
  <c r="EC18" i="9"/>
  <c r="EL18" i="9"/>
  <c r="AQ18" i="9"/>
  <c r="JS18" i="9"/>
  <c r="EU18" i="9" s="1"/>
  <c r="EE26" i="9"/>
  <c r="EN26" i="9"/>
  <c r="HJ26" i="9"/>
  <c r="JU26" i="9"/>
  <c r="EW26" i="9" s="1"/>
  <c r="AS26" i="9"/>
  <c r="ED34" i="9"/>
  <c r="EM34" i="9"/>
  <c r="HI34" i="9"/>
  <c r="EO42" i="9"/>
  <c r="EF42" i="9"/>
  <c r="JV42" i="9"/>
  <c r="EX42" i="9" s="1"/>
  <c r="EH17" i="9"/>
  <c r="DY17" i="9"/>
  <c r="AM17" i="9"/>
  <c r="JO17" i="9"/>
  <c r="EQ17" i="9" s="1"/>
  <c r="EJ9" i="9"/>
  <c r="EA9" i="9"/>
  <c r="JQ9" i="9"/>
  <c r="ES9" i="9" s="1"/>
  <c r="EK19" i="9"/>
  <c r="EB19" i="9"/>
  <c r="EC27" i="9"/>
  <c r="EL27" i="9"/>
  <c r="AQ27" i="9"/>
  <c r="JS27" i="9"/>
  <c r="EU27" i="9" s="1"/>
  <c r="EN35" i="9"/>
  <c r="EE35" i="9"/>
  <c r="AS35" i="9"/>
  <c r="JU35" i="9"/>
  <c r="EW35" i="9" s="1"/>
  <c r="EE43" i="9"/>
  <c r="EN43" i="9"/>
  <c r="JU43" i="9"/>
  <c r="EW43" i="9" s="1"/>
  <c r="AS43" i="9"/>
  <c r="EO40" i="9"/>
  <c r="EF40" i="9"/>
  <c r="JV40" i="9"/>
  <c r="EX40" i="9" s="1"/>
  <c r="EN29" i="9"/>
  <c r="EE29" i="9"/>
  <c r="JU29" i="9"/>
  <c r="EW29" i="9" s="1"/>
  <c r="AS29" i="9"/>
  <c r="EC24" i="9"/>
  <c r="EL24" i="9"/>
  <c r="JS24" i="9"/>
  <c r="EU24" i="9" s="1"/>
  <c r="AQ24" i="9"/>
  <c r="EK22" i="9"/>
  <c r="EB22" i="9"/>
  <c r="EN15" i="9"/>
  <c r="EE15" i="9"/>
  <c r="JU15" i="9"/>
  <c r="EW15" i="9" s="1"/>
  <c r="AS15" i="9"/>
  <c r="EA34" i="9"/>
  <c r="EJ34" i="9"/>
  <c r="AO34" i="9"/>
  <c r="JQ34" i="9"/>
  <c r="ES34" i="9" s="1"/>
  <c r="EK43" i="9"/>
  <c r="EB43" i="9"/>
  <c r="EM10" i="9"/>
  <c r="ED10" i="9"/>
  <c r="EC6" i="9"/>
  <c r="EL6" i="9"/>
  <c r="JS6" i="9"/>
  <c r="EU6" i="9" s="1"/>
  <c r="EJ25" i="9"/>
  <c r="EA25" i="9"/>
  <c r="AO25" i="9"/>
  <c r="JQ25" i="9"/>
  <c r="ES25" i="9" s="1"/>
  <c r="EN21" i="9"/>
  <c r="EE21" i="9"/>
  <c r="JU21" i="9"/>
  <c r="EW21" i="9" s="1"/>
  <c r="AS21" i="9"/>
  <c r="EN7" i="9"/>
  <c r="EE7" i="9"/>
  <c r="JU7" i="9"/>
  <c r="EW7" i="9" s="1"/>
  <c r="EF38" i="9"/>
  <c r="EO38" i="9"/>
  <c r="JV38" i="9"/>
  <c r="EX38" i="9" s="1"/>
  <c r="HK38" i="9"/>
  <c r="EK16" i="9"/>
  <c r="EB16" i="9"/>
  <c r="EJ42" i="9"/>
  <c r="EA42" i="9"/>
  <c r="HF42" i="9"/>
  <c r="JQ42" i="9"/>
  <c r="ES42" i="9" s="1"/>
  <c r="AO42" i="9"/>
  <c r="EL17" i="9"/>
  <c r="EC17" i="9"/>
  <c r="AQ17" i="9"/>
  <c r="JS17" i="9"/>
  <c r="EU17" i="9" s="1"/>
  <c r="EJ10" i="9"/>
  <c r="EA10" i="9"/>
  <c r="AO10" i="9"/>
  <c r="JQ10" i="9"/>
  <c r="ES10" i="9" s="1"/>
  <c r="HF10" i="9"/>
  <c r="EC20" i="9"/>
  <c r="EL20" i="9"/>
  <c r="AQ20" i="9"/>
  <c r="JS20" i="9"/>
  <c r="EU20" i="9" s="1"/>
  <c r="ED28" i="9"/>
  <c r="EM28" i="9"/>
  <c r="EN36" i="9"/>
  <c r="EE36" i="9"/>
  <c r="AS36" i="9"/>
  <c r="JU36" i="9"/>
  <c r="EW36" i="9" s="1"/>
  <c r="EH6" i="9"/>
  <c r="DY6" i="9"/>
  <c r="JO6" i="9"/>
  <c r="EQ6" i="9" s="1"/>
  <c r="EN25" i="9"/>
  <c r="EE25" i="9"/>
  <c r="AS25" i="9"/>
  <c r="JU25" i="9"/>
  <c r="EW25" i="9" s="1"/>
  <c r="EI3" i="9"/>
  <c r="DZ3" i="9"/>
  <c r="JP3" i="9"/>
  <c r="ER3" i="9" s="1"/>
  <c r="DY13" i="9"/>
  <c r="EH13" i="9"/>
  <c r="AM13" i="9"/>
  <c r="JO13" i="9"/>
  <c r="EQ13" i="9" s="1"/>
  <c r="EI21" i="9"/>
  <c r="DZ21" i="9"/>
  <c r="AN21" i="9"/>
  <c r="JP21" i="9"/>
  <c r="ER21" i="9" s="1"/>
  <c r="EJ29" i="9"/>
  <c r="EA29" i="9"/>
  <c r="AO29" i="9"/>
  <c r="JQ29" i="9"/>
  <c r="ES29" i="9" s="1"/>
  <c r="EL37" i="9"/>
  <c r="EC37" i="9"/>
  <c r="JS37" i="9"/>
  <c r="EU37" i="9" s="1"/>
  <c r="AQ37" i="9"/>
  <c r="EM24" i="9"/>
  <c r="ED24" i="9"/>
  <c r="EJ7" i="9"/>
  <c r="EA7" i="9"/>
  <c r="JQ7" i="9"/>
  <c r="ES7" i="9" s="1"/>
  <c r="EJ41" i="9"/>
  <c r="EA41" i="9"/>
  <c r="AO41" i="9"/>
  <c r="JQ41" i="9"/>
  <c r="ES41" i="9" s="1"/>
  <c r="EB4" i="9"/>
  <c r="EK4" i="9"/>
  <c r="EM14" i="9"/>
  <c r="ED14" i="9"/>
  <c r="EF22" i="9"/>
  <c r="EO22" i="9"/>
  <c r="JV22" i="9"/>
  <c r="EX22" i="9" s="1"/>
  <c r="EI30" i="9"/>
  <c r="DZ30" i="9"/>
  <c r="AN30" i="9"/>
  <c r="JP30" i="9"/>
  <c r="ER30" i="9" s="1"/>
  <c r="EA38" i="9"/>
  <c r="EJ38" i="9"/>
  <c r="JQ38" i="9"/>
  <c r="ES38" i="9" s="1"/>
  <c r="AO38" i="9"/>
  <c r="HF38" i="9"/>
  <c r="EF16" i="9"/>
  <c r="EO16" i="9"/>
  <c r="JV16" i="9"/>
  <c r="EX16" i="9" s="1"/>
  <c r="EN5" i="9"/>
  <c r="EE5" i="9"/>
  <c r="JU5" i="9"/>
  <c r="EW5" i="9" s="1"/>
  <c r="EO15" i="9"/>
  <c r="EF15" i="9"/>
  <c r="JV15" i="9"/>
  <c r="EX15" i="9" s="1"/>
  <c r="EH23" i="9"/>
  <c r="DY23" i="9"/>
  <c r="JO23" i="9"/>
  <c r="EQ23" i="9" s="1"/>
  <c r="AM23" i="9"/>
  <c r="EI31" i="9"/>
  <c r="DZ31" i="9"/>
  <c r="JP31" i="9"/>
  <c r="ER31" i="9" s="1"/>
  <c r="AN31" i="9"/>
  <c r="EJ39" i="9"/>
  <c r="EA39" i="9"/>
  <c r="AO39" i="9"/>
  <c r="JQ39" i="9"/>
  <c r="ES39" i="9" s="1"/>
  <c r="EA32" i="9"/>
  <c r="EJ32" i="9"/>
  <c r="JQ32" i="9"/>
  <c r="ES32" i="9" s="1"/>
  <c r="AO32" i="9"/>
  <c r="ED33" i="9"/>
  <c r="EM33" i="9"/>
  <c r="EH8" i="9"/>
  <c r="DY8" i="9"/>
  <c r="JO8" i="9"/>
  <c r="EQ8" i="9" s="1"/>
  <c r="EJ18" i="9"/>
  <c r="EA18" i="9"/>
  <c r="AO18" i="9"/>
  <c r="JQ18" i="9"/>
  <c r="ES18" i="9" s="1"/>
  <c r="HF18" i="9"/>
  <c r="EL26" i="9"/>
  <c r="EC26" i="9"/>
  <c r="JS26" i="9"/>
  <c r="EU26" i="9" s="1"/>
  <c r="AQ26" i="9"/>
  <c r="EL34" i="9"/>
  <c r="EC34" i="9"/>
  <c r="JS34" i="9"/>
  <c r="EU34" i="9" s="1"/>
  <c r="AQ34" i="9"/>
  <c r="HH34" i="9"/>
  <c r="ED42" i="9"/>
  <c r="EM42" i="9"/>
  <c r="EO17" i="9"/>
  <c r="EF17" i="9"/>
  <c r="JV17" i="9"/>
  <c r="EX17" i="9" s="1"/>
  <c r="EI9" i="9"/>
  <c r="DZ9" i="9"/>
  <c r="JP9" i="9"/>
  <c r="ER9" i="9" s="1"/>
  <c r="EA19" i="9"/>
  <c r="EJ19" i="9"/>
  <c r="AO19" i="9"/>
  <c r="JQ19" i="9"/>
  <c r="ES19" i="9" s="1"/>
  <c r="EK27" i="9"/>
  <c r="EB27" i="9"/>
  <c r="HG27" i="9"/>
  <c r="EB35" i="9"/>
  <c r="EK35" i="9"/>
  <c r="EO43" i="9"/>
  <c r="EF43" i="9"/>
  <c r="JV43" i="9"/>
  <c r="EX43" i="9" s="1"/>
  <c r="EN40" i="9"/>
  <c r="EE40" i="9"/>
  <c r="JU40" i="9"/>
  <c r="EW40" i="9" s="1"/>
  <c r="AS40" i="9"/>
  <c r="BM38" i="9"/>
  <c r="AK39" i="11" s="1"/>
  <c r="EG22" i="9"/>
  <c r="BM22" i="9" s="1"/>
  <c r="AK23" i="11" s="1"/>
  <c r="DX37" i="9"/>
  <c r="BM37" i="9" s="1"/>
  <c r="AK38" i="11" s="1"/>
  <c r="EG32" i="9"/>
  <c r="BM32" i="9" s="1"/>
  <c r="AK33" i="11" s="1"/>
  <c r="DX43" i="9"/>
  <c r="AL43" i="9"/>
  <c r="BM30" i="9"/>
  <c r="AK31" i="11" s="1"/>
  <c r="AT32" i="9"/>
  <c r="AT43" i="9"/>
  <c r="AT30" i="9"/>
  <c r="AT33" i="9"/>
  <c r="AT41" i="9"/>
  <c r="AT10" i="9"/>
  <c r="AT15" i="9"/>
  <c r="AT40" i="9"/>
  <c r="AT21" i="9"/>
  <c r="AT24" i="9"/>
  <c r="AT14" i="9"/>
  <c r="AT19" i="9"/>
  <c r="AT39" i="9"/>
  <c r="AT18" i="9"/>
  <c r="AT17" i="9"/>
  <c r="AT27" i="9"/>
  <c r="AT35" i="9"/>
  <c r="AT20" i="9"/>
  <c r="AT23" i="9"/>
  <c r="AT29" i="9"/>
  <c r="AT37" i="9"/>
  <c r="AT16" i="9"/>
  <c r="AT42" i="9"/>
  <c r="AT36" i="9"/>
  <c r="AT34" i="9"/>
  <c r="AT22" i="9"/>
  <c r="AT26" i="9"/>
  <c r="AT25" i="9"/>
  <c r="AT28" i="9"/>
  <c r="AT31" i="9"/>
  <c r="AT13" i="9"/>
  <c r="AT38" i="9"/>
  <c r="AV38" i="10"/>
  <c r="EG31" i="9"/>
  <c r="BM31" i="9" s="1"/>
  <c r="AK32" i="11" s="1"/>
  <c r="EG13" i="9"/>
  <c r="BM13" i="9" s="1"/>
  <c r="AK14" i="11" s="1"/>
  <c r="EG28" i="9"/>
  <c r="L18" i="11"/>
  <c r="L34" i="11"/>
  <c r="L21" i="11"/>
  <c r="L37" i="11"/>
  <c r="EH2" i="9"/>
  <c r="JO2" i="9"/>
  <c r="EQ2" i="9" s="1"/>
  <c r="DY2" i="9"/>
  <c r="L5" i="11"/>
  <c r="L23" i="11"/>
  <c r="L39" i="11"/>
  <c r="EG26" i="9"/>
  <c r="BM26" i="9" s="1"/>
  <c r="AK27" i="11" s="1"/>
  <c r="EG27" i="9"/>
  <c r="BM27" i="9" s="1"/>
  <c r="AK28" i="11" s="1"/>
  <c r="JP2" i="9"/>
  <c r="ER2" i="9" s="1"/>
  <c r="DZ2" i="9"/>
  <c r="EI2" i="9"/>
  <c r="EG17" i="9"/>
  <c r="BM17" i="9" s="1"/>
  <c r="AK18" i="11" s="1"/>
  <c r="L25" i="11"/>
  <c r="L6" i="11"/>
  <c r="L27" i="11"/>
  <c r="L10" i="11"/>
  <c r="L28" i="11"/>
  <c r="JN43" i="9"/>
  <c r="EP43" i="9" s="1"/>
  <c r="L44" i="11"/>
  <c r="EG43" i="9"/>
  <c r="JQ2" i="9"/>
  <c r="ES2" i="9" s="1"/>
  <c r="EJ2" i="9"/>
  <c r="EA2" i="9"/>
  <c r="L16" i="11"/>
  <c r="L32" i="11"/>
  <c r="EG24" i="9"/>
  <c r="BM24" i="9" s="1"/>
  <c r="AK25" i="11" s="1"/>
  <c r="L14" i="11"/>
  <c r="L30" i="11"/>
  <c r="EG41" i="9"/>
  <c r="BM41" i="9" s="1"/>
  <c r="AK42" i="11" s="1"/>
  <c r="L33" i="11"/>
  <c r="JU2" i="9"/>
  <c r="EW2" i="9" s="1"/>
  <c r="EN2" i="9"/>
  <c r="EE2" i="9"/>
  <c r="JW2" i="9"/>
  <c r="AL2" i="9" s="1"/>
  <c r="L9" i="11"/>
  <c r="BE21" i="10"/>
  <c r="EB2" i="9"/>
  <c r="L7" i="11"/>
  <c r="L41" i="11"/>
  <c r="L40" i="11"/>
  <c r="L19" i="11"/>
  <c r="L43" i="11"/>
  <c r="L8" i="11"/>
  <c r="L26" i="11"/>
  <c r="L42" i="11"/>
  <c r="L11" i="11"/>
  <c r="L29" i="11"/>
  <c r="L2" i="11"/>
  <c r="EC2" i="9"/>
  <c r="JS2" i="9"/>
  <c r="EU2" i="9" s="1"/>
  <c r="EL2" i="9"/>
  <c r="L35" i="11"/>
  <c r="EG25" i="9"/>
  <c r="BM25" i="9" s="1"/>
  <c r="AK26" i="11" s="1"/>
  <c r="L15" i="11"/>
  <c r="L31" i="11"/>
  <c r="EG2" i="9"/>
  <c r="BM2" i="9" s="1"/>
  <c r="ED2" i="9"/>
  <c r="EM2" i="9"/>
  <c r="EG8" i="9"/>
  <c r="L20" i="11"/>
  <c r="L36" i="11"/>
  <c r="JV2" i="9"/>
  <c r="EX2" i="9" s="1"/>
  <c r="EF2" i="9"/>
  <c r="EO2" i="9"/>
  <c r="L24" i="11"/>
  <c r="L4" i="11"/>
  <c r="L22" i="11"/>
  <c r="L38" i="11"/>
  <c r="L17" i="11"/>
  <c r="Q74" i="7"/>
  <c r="O74" i="7"/>
  <c r="Q73" i="7"/>
  <c r="O73" i="7"/>
  <c r="HH27" i="9" l="1"/>
  <c r="HJ31" i="9"/>
  <c r="HJ18" i="9"/>
  <c r="HK42" i="9"/>
  <c r="HF39" i="9"/>
  <c r="AV19" i="10"/>
  <c r="AV30" i="10"/>
  <c r="BE12" i="10"/>
  <c r="BN12" i="10" s="1"/>
  <c r="HF27" i="9"/>
  <c r="AL8" i="9"/>
  <c r="HK34" i="9"/>
  <c r="HG40" i="9"/>
  <c r="AV18" i="10"/>
  <c r="BE38" i="10"/>
  <c r="BN38" i="10" s="1"/>
  <c r="BE6" i="10"/>
  <c r="BN6" i="10" s="1"/>
  <c r="CF6" i="10" s="1"/>
  <c r="HI42" i="9"/>
  <c r="HE30" i="9"/>
  <c r="HG19" i="9"/>
  <c r="HG31" i="9"/>
  <c r="AV42" i="10"/>
  <c r="HE31" i="9"/>
  <c r="CG25" i="10"/>
  <c r="CP25" i="10" s="1"/>
  <c r="HF8" i="9"/>
  <c r="HG26" i="9"/>
  <c r="HJ42" i="9"/>
  <c r="CH27" i="10"/>
  <c r="CQ27" i="10" s="1"/>
  <c r="AV6" i="10"/>
  <c r="AV14" i="10"/>
  <c r="AV41" i="10"/>
  <c r="HE40" i="9"/>
  <c r="HJ30" i="9"/>
  <c r="AV5" i="10"/>
  <c r="AV27" i="10"/>
  <c r="HG18" i="9"/>
  <c r="HK35" i="9"/>
  <c r="AV16" i="10"/>
  <c r="AV20" i="10"/>
  <c r="AV22" i="10"/>
  <c r="AV31" i="10"/>
  <c r="HH6" i="9"/>
  <c r="AV17" i="10"/>
  <c r="HH26" i="9"/>
  <c r="HI35" i="9"/>
  <c r="DT27" i="8"/>
  <c r="DT33" i="8"/>
  <c r="DT16" i="8"/>
  <c r="AV8" i="10"/>
  <c r="AV35" i="10"/>
  <c r="AL9" i="9"/>
  <c r="AC9" i="9" s="1"/>
  <c r="AL4" i="9"/>
  <c r="AC4" i="9" s="1"/>
  <c r="DT35" i="8"/>
  <c r="DT34" i="8"/>
  <c r="HE9" i="9"/>
  <c r="HJ38" i="9"/>
  <c r="AV33" i="10"/>
  <c r="HJ35" i="9"/>
  <c r="HH18" i="9"/>
  <c r="HF2" i="9"/>
  <c r="HJ6" i="9"/>
  <c r="AV15" i="10"/>
  <c r="AL6" i="9"/>
  <c r="AC6" i="9" s="1"/>
  <c r="AL5" i="9"/>
  <c r="AC5" i="9" s="1"/>
  <c r="HI26" i="9"/>
  <c r="AV24" i="10"/>
  <c r="AL3" i="9"/>
  <c r="AC3" i="9" s="1"/>
  <c r="AV36" i="10"/>
  <c r="AV28" i="10"/>
  <c r="AV2" i="10"/>
  <c r="AV25" i="10"/>
  <c r="HJ43" i="9"/>
  <c r="AV26" i="10"/>
  <c r="AV7" i="10"/>
  <c r="CG26" i="10"/>
  <c r="CP26" i="10" s="1"/>
  <c r="HF41" i="9"/>
  <c r="HF32" i="9"/>
  <c r="HJ5" i="9"/>
  <c r="HI19" i="9"/>
  <c r="HG30" i="9"/>
  <c r="HJ39" i="9"/>
  <c r="HJ27" i="9"/>
  <c r="BE5" i="10"/>
  <c r="BN5" i="10" s="1"/>
  <c r="CF5" i="10" s="1"/>
  <c r="HE42" i="9"/>
  <c r="BE35" i="10"/>
  <c r="BN35" i="10" s="1"/>
  <c r="AV9" i="10"/>
  <c r="AV39" i="10"/>
  <c r="HF40" i="9"/>
  <c r="HE10" i="9"/>
  <c r="DT9" i="8"/>
  <c r="HG2" i="9"/>
  <c r="HH2" i="9"/>
  <c r="HE23" i="9"/>
  <c r="HI3" i="9"/>
  <c r="HH28" i="9"/>
  <c r="DT42" i="8"/>
  <c r="AV29" i="10"/>
  <c r="DT39" i="8"/>
  <c r="DT20" i="8"/>
  <c r="DT28" i="8"/>
  <c r="AV13" i="10"/>
  <c r="AV34" i="10"/>
  <c r="BE40" i="10"/>
  <c r="BN40" i="10" s="1"/>
  <c r="CF40" i="10" s="1"/>
  <c r="CH26" i="10"/>
  <c r="CQ26" i="10" s="1"/>
  <c r="CI28" i="10"/>
  <c r="CR28" i="10" s="1"/>
  <c r="DT4" i="8"/>
  <c r="DT14" i="8"/>
  <c r="DT3" i="8"/>
  <c r="CG43" i="10"/>
  <c r="CP43" i="10" s="1"/>
  <c r="BE37" i="10"/>
  <c r="DT31" i="8"/>
  <c r="DT21" i="8"/>
  <c r="DT26" i="8"/>
  <c r="HE3" i="9"/>
  <c r="HI24" i="9"/>
  <c r="HI21" i="9"/>
  <c r="DT5" i="8"/>
  <c r="DT22" i="8"/>
  <c r="DT36" i="8"/>
  <c r="DT29" i="8"/>
  <c r="DT7" i="8"/>
  <c r="CI27" i="10"/>
  <c r="CR27" i="10" s="1"/>
  <c r="HG4" i="9"/>
  <c r="HH41" i="9"/>
  <c r="HI31" i="9"/>
  <c r="CM15" i="10"/>
  <c r="CV15" i="10" s="1"/>
  <c r="HG39" i="9"/>
  <c r="CH25" i="10"/>
  <c r="CQ25" i="10" s="1"/>
  <c r="HG7" i="9"/>
  <c r="DT41" i="8"/>
  <c r="DT13" i="8"/>
  <c r="DT25" i="8"/>
  <c r="DT37" i="8"/>
  <c r="DT32" i="8"/>
  <c r="DT40" i="8"/>
  <c r="DT8" i="8"/>
  <c r="DT10" i="8"/>
  <c r="DT38" i="8"/>
  <c r="DT19" i="8"/>
  <c r="DT15" i="8"/>
  <c r="DT17" i="8"/>
  <c r="DT23" i="8"/>
  <c r="DT18" i="8"/>
  <c r="DT6" i="8"/>
  <c r="DT30" i="8"/>
  <c r="DT24" i="8"/>
  <c r="CI2" i="10"/>
  <c r="CR2" i="10" s="1"/>
  <c r="CG19" i="10"/>
  <c r="CP19" i="10" s="1"/>
  <c r="CK4" i="10"/>
  <c r="CT4" i="10" s="1"/>
  <c r="CG9" i="10"/>
  <c r="CJ13" i="10"/>
  <c r="CS13" i="10" s="1"/>
  <c r="CL31" i="10"/>
  <c r="CU31" i="10" s="1"/>
  <c r="CN30" i="10"/>
  <c r="CW30" i="10" s="1"/>
  <c r="CM45" i="10"/>
  <c r="CV45" i="10" s="1"/>
  <c r="CN44" i="10"/>
  <c r="CW44" i="10" s="1"/>
  <c r="CI9" i="10"/>
  <c r="CR9" i="10" s="1"/>
  <c r="CL16" i="10"/>
  <c r="CU16" i="10" s="1"/>
  <c r="CJ17" i="10"/>
  <c r="CN18" i="10"/>
  <c r="CW18" i="10" s="1"/>
  <c r="CK34" i="10"/>
  <c r="CT34" i="10" s="1"/>
  <c r="CH37" i="10"/>
  <c r="CQ37" i="10" s="1"/>
  <c r="CJ36" i="10"/>
  <c r="CS36" i="10" s="1"/>
  <c r="CH10" i="10"/>
  <c r="CQ10" i="10" s="1"/>
  <c r="CI31" i="10"/>
  <c r="CR31" i="10" s="1"/>
  <c r="CJ38" i="10"/>
  <c r="CS38" i="10" s="1"/>
  <c r="CI29" i="10"/>
  <c r="CR29" i="10" s="1"/>
  <c r="CG32" i="10"/>
  <c r="CP32" i="10" s="1"/>
  <c r="CH23" i="10"/>
  <c r="CQ23" i="10" s="1"/>
  <c r="CJ22" i="10"/>
  <c r="CS22" i="10" s="1"/>
  <c r="CG27" i="10"/>
  <c r="CP27" i="10" s="1"/>
  <c r="CI5" i="10"/>
  <c r="CR5" i="10" s="1"/>
  <c r="CM4" i="10"/>
  <c r="CV4" i="10" s="1"/>
  <c r="CM17" i="10"/>
  <c r="CV17" i="10" s="1"/>
  <c r="CK20" i="10"/>
  <c r="CN35" i="10"/>
  <c r="CW35" i="10" s="1"/>
  <c r="CL34" i="10"/>
  <c r="CU34" i="10" s="1"/>
  <c r="CH3" i="10"/>
  <c r="CQ3" i="10" s="1"/>
  <c r="CL39" i="10"/>
  <c r="CU39" i="10" s="1"/>
  <c r="CI11" i="10"/>
  <c r="CR11" i="10" s="1"/>
  <c r="CN32" i="10"/>
  <c r="CW32" i="10" s="1"/>
  <c r="CG23" i="10"/>
  <c r="CP23" i="10" s="1"/>
  <c r="CN22" i="10"/>
  <c r="CW22" i="10" s="1"/>
  <c r="CL37" i="10"/>
  <c r="CU37" i="10" s="1"/>
  <c r="CH36" i="10"/>
  <c r="CQ36" i="10" s="1"/>
  <c r="CN10" i="10"/>
  <c r="CW10" i="10" s="1"/>
  <c r="CN39" i="10"/>
  <c r="CW39" i="10" s="1"/>
  <c r="CH38" i="10"/>
  <c r="CQ38" i="10" s="1"/>
  <c r="CJ35" i="10"/>
  <c r="CS35" i="10" s="1"/>
  <c r="CK3" i="10"/>
  <c r="CT3" i="10" s="1"/>
  <c r="CJ9" i="10"/>
  <c r="CS9" i="10" s="1"/>
  <c r="CK12" i="10"/>
  <c r="CT12" i="10" s="1"/>
  <c r="CH29" i="10"/>
  <c r="CQ29" i="10" s="1"/>
  <c r="CJ32" i="10"/>
  <c r="CS32" i="10" s="1"/>
  <c r="CJ30" i="10"/>
  <c r="CS30" i="10" s="1"/>
  <c r="CH21" i="10"/>
  <c r="CQ21" i="10" s="1"/>
  <c r="CJ20" i="10"/>
  <c r="CS20" i="10" s="1"/>
  <c r="CI15" i="10"/>
  <c r="CR15" i="10" s="1"/>
  <c r="CJ14" i="10"/>
  <c r="CS14" i="10" s="1"/>
  <c r="CL38" i="10"/>
  <c r="CM19" i="10"/>
  <c r="CV19" i="10" s="1"/>
  <c r="CM9" i="10"/>
  <c r="CV9" i="10" s="1"/>
  <c r="CM39" i="10"/>
  <c r="CV39" i="10" s="1"/>
  <c r="CK38" i="10"/>
  <c r="CT38" i="10" s="1"/>
  <c r="CG3" i="10"/>
  <c r="CP3" i="10" s="1"/>
  <c r="CK45" i="10"/>
  <c r="CT45" i="10" s="1"/>
  <c r="CH44" i="10"/>
  <c r="CQ44" i="10" s="1"/>
  <c r="CK31" i="10"/>
  <c r="CT31" i="10" s="1"/>
  <c r="CL15" i="10"/>
  <c r="CU15" i="10" s="1"/>
  <c r="CG29" i="10"/>
  <c r="CP29" i="10" s="1"/>
  <c r="CM10" i="10"/>
  <c r="CV10" i="10" s="1"/>
  <c r="CK15" i="10"/>
  <c r="CT15" i="10" s="1"/>
  <c r="CN14" i="10"/>
  <c r="CW14" i="10" s="1"/>
  <c r="CK29" i="10"/>
  <c r="CT29" i="10" s="1"/>
  <c r="CG28" i="10"/>
  <c r="CN31" i="10"/>
  <c r="CW31" i="10" s="1"/>
  <c r="CH30" i="10"/>
  <c r="CQ30" i="10" s="1"/>
  <c r="CG44" i="10"/>
  <c r="CP44" i="10" s="1"/>
  <c r="CH39" i="10"/>
  <c r="CQ39" i="10" s="1"/>
  <c r="CI38" i="10"/>
  <c r="CR38" i="10" s="1"/>
  <c r="CK10" i="10"/>
  <c r="CT10" i="10" s="1"/>
  <c r="CG21" i="10"/>
  <c r="CP21" i="10" s="1"/>
  <c r="CI20" i="10"/>
  <c r="CR20" i="10" s="1"/>
  <c r="CH15" i="10"/>
  <c r="CQ15" i="10" s="1"/>
  <c r="CM23" i="10"/>
  <c r="CV23" i="10" s="1"/>
  <c r="CH13" i="10"/>
  <c r="CQ13" i="10" s="1"/>
  <c r="CJ12" i="10"/>
  <c r="CS12" i="10" s="1"/>
  <c r="CJ16" i="10"/>
  <c r="CS16" i="10" s="1"/>
  <c r="CI7" i="10"/>
  <c r="CR7" i="10" s="1"/>
  <c r="CJ6" i="10"/>
  <c r="CS6" i="10" s="1"/>
  <c r="CK35" i="10"/>
  <c r="CT35" i="10" s="1"/>
  <c r="CG34" i="10"/>
  <c r="CP34" i="10" s="1"/>
  <c r="CM31" i="10"/>
  <c r="CV31" i="10" s="1"/>
  <c r="CK30" i="10"/>
  <c r="CT30" i="10" s="1"/>
  <c r="CG37" i="10"/>
  <c r="CP37" i="10" s="1"/>
  <c r="CJ18" i="10"/>
  <c r="CS18" i="10" s="1"/>
  <c r="CK7" i="10"/>
  <c r="CT7" i="10" s="1"/>
  <c r="CM21" i="10"/>
  <c r="CV21" i="10" s="1"/>
  <c r="CG20" i="10"/>
  <c r="CP20" i="10" s="1"/>
  <c r="CL23" i="10"/>
  <c r="CU23" i="10" s="1"/>
  <c r="CG22" i="10"/>
  <c r="CP22" i="10" s="1"/>
  <c r="CI36" i="10"/>
  <c r="CR36" i="10" s="1"/>
  <c r="CI32" i="10"/>
  <c r="CR32" i="10" s="1"/>
  <c r="CH31" i="10"/>
  <c r="CQ31" i="10" s="1"/>
  <c r="CI30" i="10"/>
  <c r="CR30" i="10" s="1"/>
  <c r="CG13" i="10"/>
  <c r="CP13" i="10" s="1"/>
  <c r="CI12" i="10"/>
  <c r="CR12" i="10" s="1"/>
  <c r="CI16" i="10"/>
  <c r="CR16" i="10" s="1"/>
  <c r="CI14" i="10"/>
  <c r="CR14" i="10" s="1"/>
  <c r="CL30" i="10"/>
  <c r="CU30" i="10" s="1"/>
  <c r="CJ4" i="10"/>
  <c r="CS4" i="10" s="1"/>
  <c r="CG33" i="10"/>
  <c r="CP33" i="10" s="1"/>
  <c r="CJ8" i="10"/>
  <c r="CS8" i="10" s="1"/>
  <c r="CJ21" i="10"/>
  <c r="CS21" i="10" s="1"/>
  <c r="CI45" i="10"/>
  <c r="CR45" i="10" s="1"/>
  <c r="CK44" i="10"/>
  <c r="CT44" i="10" s="1"/>
  <c r="CK32" i="10"/>
  <c r="CT32" i="10" s="1"/>
  <c r="CN23" i="10"/>
  <c r="CW23" i="10" s="1"/>
  <c r="CK22" i="10"/>
  <c r="CT22" i="10" s="1"/>
  <c r="CL8" i="10"/>
  <c r="CU8" i="10" s="1"/>
  <c r="CN12" i="10"/>
  <c r="CW12" i="10" s="1"/>
  <c r="CI33" i="10"/>
  <c r="CR33" i="10" s="1"/>
  <c r="CL4" i="10"/>
  <c r="CU4" i="10" s="1"/>
  <c r="CM13" i="10"/>
  <c r="CV13" i="10" s="1"/>
  <c r="CG12" i="10"/>
  <c r="CP12" i="10" s="1"/>
  <c r="CG14" i="10"/>
  <c r="CP14" i="10" s="1"/>
  <c r="CH28" i="10"/>
  <c r="CQ28" i="10" s="1"/>
  <c r="CG10" i="10"/>
  <c r="CP10" i="10" s="1"/>
  <c r="CI23" i="10"/>
  <c r="CR23" i="10" s="1"/>
  <c r="CH22" i="10"/>
  <c r="CQ22" i="10" s="1"/>
  <c r="CG5" i="10"/>
  <c r="CP5" i="10" s="1"/>
  <c r="CI4" i="10"/>
  <c r="CR4" i="10" s="1"/>
  <c r="CI8" i="10"/>
  <c r="CR8" i="10" s="1"/>
  <c r="CI6" i="10"/>
  <c r="CR6" i="10" s="1"/>
  <c r="CL14" i="10"/>
  <c r="CU14" i="10" s="1"/>
  <c r="CG11" i="10"/>
  <c r="CP11" i="10" s="1"/>
  <c r="CH18" i="10"/>
  <c r="CQ18" i="10" s="1"/>
  <c r="CL44" i="10"/>
  <c r="CU44" i="10" s="1"/>
  <c r="CJ37" i="10"/>
  <c r="CS37" i="10" s="1"/>
  <c r="CK36" i="10"/>
  <c r="CT36" i="10" s="1"/>
  <c r="CJ10" i="10"/>
  <c r="CS10" i="10" s="1"/>
  <c r="CJ15" i="10"/>
  <c r="CS15" i="10" s="1"/>
  <c r="CK14" i="10"/>
  <c r="CT14" i="10" s="1"/>
  <c r="CK21" i="10"/>
  <c r="CT21" i="10" s="1"/>
  <c r="CH33" i="10"/>
  <c r="CQ33" i="10" s="1"/>
  <c r="CM7" i="10"/>
  <c r="CV7" i="10" s="1"/>
  <c r="CM14" i="10"/>
  <c r="CV14" i="10" s="1"/>
  <c r="CL22" i="10"/>
  <c r="CU22" i="10" s="1"/>
  <c r="CL5" i="10"/>
  <c r="CU5" i="10" s="1"/>
  <c r="CK11" i="10"/>
  <c r="CT11" i="10" s="1"/>
  <c r="CL18" i="10"/>
  <c r="CU18" i="10" s="1"/>
  <c r="CN33" i="10"/>
  <c r="CW33" i="10" s="1"/>
  <c r="CM5" i="10"/>
  <c r="CV5" i="10" s="1"/>
  <c r="CG4" i="10"/>
  <c r="CP4" i="10" s="1"/>
  <c r="CG6" i="10"/>
  <c r="CP6" i="10" s="1"/>
  <c r="CN21" i="10"/>
  <c r="CW21" i="10" s="1"/>
  <c r="CH20" i="10"/>
  <c r="CQ20" i="10" s="1"/>
  <c r="CG15" i="10"/>
  <c r="CP15" i="10" s="1"/>
  <c r="CH14" i="10"/>
  <c r="CQ14" i="10" s="1"/>
  <c r="CL7" i="10"/>
  <c r="CU7" i="10" s="1"/>
  <c r="CN11" i="10"/>
  <c r="CW11" i="10" s="1"/>
  <c r="CG35" i="10"/>
  <c r="CP35" i="10" s="1"/>
  <c r="CJ34" i="10"/>
  <c r="CS34" i="10" s="1"/>
  <c r="CL17" i="10"/>
  <c r="CU17" i="10" s="1"/>
  <c r="CN17" i="10"/>
  <c r="CW17" i="10" s="1"/>
  <c r="CJ29" i="10"/>
  <c r="CS29" i="10" s="1"/>
  <c r="CK16" i="10"/>
  <c r="CT16" i="10" s="1"/>
  <c r="CJ7" i="10"/>
  <c r="CS7" i="10" s="1"/>
  <c r="CK6" i="10"/>
  <c r="CT6" i="10" s="1"/>
  <c r="CG31" i="10"/>
  <c r="CP31" i="10" s="1"/>
  <c r="CK13" i="10"/>
  <c r="CT13" i="10" s="1"/>
  <c r="CL20" i="10"/>
  <c r="CU20" i="10" s="1"/>
  <c r="CL6" i="10"/>
  <c r="CU6" i="10" s="1"/>
  <c r="CH19" i="10"/>
  <c r="CQ19" i="10" s="1"/>
  <c r="CH17" i="10"/>
  <c r="CQ17" i="10" s="1"/>
  <c r="CI19" i="10"/>
  <c r="CR19" i="10" s="1"/>
  <c r="CL36" i="10"/>
  <c r="CU36" i="10" s="1"/>
  <c r="CN13" i="10"/>
  <c r="CW13" i="10" s="1"/>
  <c r="CH12" i="10"/>
  <c r="CQ12" i="10" s="1"/>
  <c r="CM33" i="10"/>
  <c r="CV33" i="10" s="1"/>
  <c r="CH8" i="10"/>
  <c r="CQ8" i="10" s="1"/>
  <c r="CG7" i="10"/>
  <c r="CP7" i="10" s="1"/>
  <c r="CH6" i="10"/>
  <c r="CQ6" i="10" s="1"/>
  <c r="CM35" i="10"/>
  <c r="CV35" i="10" s="1"/>
  <c r="CI34" i="10"/>
  <c r="CR34" i="10" s="1"/>
  <c r="CL3" i="10"/>
  <c r="CU3" i="10" s="1"/>
  <c r="CG18" i="10"/>
  <c r="CP18" i="10" s="1"/>
  <c r="CJ5" i="10"/>
  <c r="CS5" i="10" s="1"/>
  <c r="CH45" i="10"/>
  <c r="CQ45" i="10" s="1"/>
  <c r="CJ44" i="10"/>
  <c r="CS44" i="10" s="1"/>
  <c r="CL9" i="10"/>
  <c r="CU9" i="10" s="1"/>
  <c r="CJ39" i="10"/>
  <c r="CS39" i="10" s="1"/>
  <c r="CG38" i="10"/>
  <c r="CP38" i="10" s="1"/>
  <c r="CL32" i="10"/>
  <c r="CU32" i="10" s="1"/>
  <c r="CI21" i="10"/>
  <c r="CR21" i="10" s="1"/>
  <c r="CM20" i="10"/>
  <c r="CV20" i="10" s="1"/>
  <c r="CK33" i="10"/>
  <c r="CT33" i="10" s="1"/>
  <c r="CK8" i="10"/>
  <c r="CT8" i="10" s="1"/>
  <c r="CJ45" i="10"/>
  <c r="CS45" i="10" s="1"/>
  <c r="CK5" i="10"/>
  <c r="CT5" i="10" s="1"/>
  <c r="CL12" i="10"/>
  <c r="CU12" i="10" s="1"/>
  <c r="CG17" i="10"/>
  <c r="CP17" i="10" s="1"/>
  <c r="CM37" i="10"/>
  <c r="CV37" i="10" s="1"/>
  <c r="CH9" i="10"/>
  <c r="CQ9" i="10" s="1"/>
  <c r="CG39" i="10"/>
  <c r="CP39" i="10" s="1"/>
  <c r="CN38" i="10"/>
  <c r="CW38" i="10" s="1"/>
  <c r="CN34" i="10"/>
  <c r="CW34" i="10" s="1"/>
  <c r="CJ3" i="10"/>
  <c r="CS3" i="10" s="1"/>
  <c r="CI17" i="10"/>
  <c r="CR17" i="10" s="1"/>
  <c r="CL11" i="10"/>
  <c r="CU11" i="10" s="1"/>
  <c r="CM18" i="10"/>
  <c r="CV18" i="10" s="1"/>
  <c r="CH4" i="10"/>
  <c r="CQ4" i="10" s="1"/>
  <c r="CM11" i="10"/>
  <c r="CV11" i="10" s="1"/>
  <c r="CL35" i="10"/>
  <c r="CU35" i="10" s="1"/>
  <c r="CI44" i="10"/>
  <c r="CR44" i="10" s="1"/>
  <c r="CK9" i="10"/>
  <c r="CT9" i="10" s="1"/>
  <c r="CI39" i="10"/>
  <c r="CR39" i="10" s="1"/>
  <c r="CI37" i="10"/>
  <c r="CR37" i="10" s="1"/>
  <c r="CG36" i="10"/>
  <c r="CP36" i="10" s="1"/>
  <c r="CM3" i="10"/>
  <c r="CV3" i="10" s="1"/>
  <c r="CJ31" i="10"/>
  <c r="CS31" i="10" s="1"/>
  <c r="CG30" i="10"/>
  <c r="CP30" i="10" s="1"/>
  <c r="CK39" i="10"/>
  <c r="CT39" i="10" s="1"/>
  <c r="CI13" i="10"/>
  <c r="CR13" i="10" s="1"/>
  <c r="CM12" i="10"/>
  <c r="CV12" i="10" s="1"/>
  <c r="CH11" i="10"/>
  <c r="CQ11" i="10" s="1"/>
  <c r="CI18" i="10"/>
  <c r="CR18" i="10" s="1"/>
  <c r="CN19" i="10"/>
  <c r="CW19" i="10" s="1"/>
  <c r="CG2" i="10"/>
  <c r="CP2" i="10" s="1"/>
  <c r="CF45" i="10"/>
  <c r="CO45" i="10" s="1"/>
  <c r="CN3" i="10"/>
  <c r="CW3" i="10" s="1"/>
  <c r="CN15" i="10"/>
  <c r="CW15" i="10" s="1"/>
  <c r="HH25" i="9"/>
  <c r="HG9" i="9"/>
  <c r="HK8" i="9"/>
  <c r="CN8" i="10"/>
  <c r="CW8" i="10" s="1"/>
  <c r="HI9" i="9"/>
  <c r="HE15" i="9"/>
  <c r="HG16" i="9"/>
  <c r="HI28" i="9"/>
  <c r="HG5" i="9"/>
  <c r="HK40" i="9"/>
  <c r="HJ7" i="9"/>
  <c r="HK24" i="9"/>
  <c r="HF22" i="9"/>
  <c r="HG6" i="9"/>
  <c r="BE36" i="10"/>
  <c r="BN36" i="10" s="1"/>
  <c r="CF36" i="10" s="1"/>
  <c r="AV40" i="10"/>
  <c r="HF23" i="9"/>
  <c r="HF33" i="9"/>
  <c r="BE7" i="10"/>
  <c r="HK2" i="9"/>
  <c r="HI5" i="9"/>
  <c r="CN9" i="10"/>
  <c r="CW9" i="10" s="1"/>
  <c r="BE42" i="10"/>
  <c r="BN42" i="10" s="1"/>
  <c r="CF42" i="10" s="1"/>
  <c r="HF6" i="9"/>
  <c r="HE28" i="9"/>
  <c r="BE32" i="10"/>
  <c r="HG38" i="9"/>
  <c r="HJ40" i="9"/>
  <c r="HF21" i="9"/>
  <c r="HK7" i="9"/>
  <c r="HF4" i="9"/>
  <c r="HJ4" i="9"/>
  <c r="HE2" i="9"/>
  <c r="HF3" i="9"/>
  <c r="HE5" i="9"/>
  <c r="HJ3" i="9"/>
  <c r="HE18" i="9"/>
  <c r="U32" i="10"/>
  <c r="BW32" i="10" s="1"/>
  <c r="HH39" i="9"/>
  <c r="HF5" i="9"/>
  <c r="BE30" i="10"/>
  <c r="BN30" i="10" s="1"/>
  <c r="BE41" i="10"/>
  <c r="BN41" i="10" s="1"/>
  <c r="CF41" i="10" s="1"/>
  <c r="HJ8" i="9"/>
  <c r="HH8" i="9"/>
  <c r="HH22" i="9"/>
  <c r="HF17" i="9"/>
  <c r="HI8" i="9"/>
  <c r="HG43" i="9"/>
  <c r="HJ20" i="9"/>
  <c r="HH3" i="9"/>
  <c r="HF28" i="9"/>
  <c r="HJ36" i="9"/>
  <c r="HJ15" i="9"/>
  <c r="BE23" i="10"/>
  <c r="BN23" i="10" s="1"/>
  <c r="BE8" i="10"/>
  <c r="BN8" i="10" s="1"/>
  <c r="CF8" i="10" s="1"/>
  <c r="HK22" i="9"/>
  <c r="HI41" i="9"/>
  <c r="HG20" i="9"/>
  <c r="HG3" i="9"/>
  <c r="HK16" i="9"/>
  <c r="HH17" i="9"/>
  <c r="HK41" i="9"/>
  <c r="HH10" i="9"/>
  <c r="HK15" i="9"/>
  <c r="HI10" i="9"/>
  <c r="HH7" i="9"/>
  <c r="HK6" i="9"/>
  <c r="T44" i="12"/>
  <c r="GB44" i="9" s="1"/>
  <c r="B45" i="11"/>
  <c r="BW19" i="10"/>
  <c r="BW9" i="10"/>
  <c r="BW5" i="10"/>
  <c r="BW42" i="10"/>
  <c r="BW10" i="10"/>
  <c r="CA5" i="9"/>
  <c r="O5" i="9" s="1"/>
  <c r="X5" i="9" s="1"/>
  <c r="CD5" i="9"/>
  <c r="R5" i="9" s="1"/>
  <c r="AA5" i="9" s="1"/>
  <c r="CB6" i="9"/>
  <c r="P6" i="9" s="1"/>
  <c r="Y6" i="9" s="1"/>
  <c r="BX8" i="9"/>
  <c r="L8" i="9" s="1"/>
  <c r="U8" i="9" s="1"/>
  <c r="AC2" i="9"/>
  <c r="B2" i="9" s="1"/>
  <c r="BW14" i="10"/>
  <c r="BW21" i="10"/>
  <c r="BW40" i="10"/>
  <c r="BW17" i="10"/>
  <c r="BW41" i="10"/>
  <c r="BY9" i="9"/>
  <c r="M9" i="9" s="1"/>
  <c r="V9" i="9" s="1"/>
  <c r="BW6" i="9"/>
  <c r="HD6" i="9" s="1"/>
  <c r="CC2" i="9"/>
  <c r="Q2" i="9" s="1"/>
  <c r="Z2" i="9" s="1"/>
  <c r="BW13" i="10"/>
  <c r="BW12" i="10"/>
  <c r="BW8" i="10"/>
  <c r="BW18" i="10"/>
  <c r="BW2" i="10"/>
  <c r="CB7" i="9"/>
  <c r="P7" i="9" s="1"/>
  <c r="Y7" i="9" s="1"/>
  <c r="BW15" i="10"/>
  <c r="BW24" i="10"/>
  <c r="BW4" i="10"/>
  <c r="BW39" i="10"/>
  <c r="CD3" i="9"/>
  <c r="R3" i="9" s="1"/>
  <c r="AA3" i="9" s="1"/>
  <c r="BW22" i="10"/>
  <c r="BW26" i="10"/>
  <c r="BW34" i="10"/>
  <c r="CD9" i="9"/>
  <c r="R9" i="9" s="1"/>
  <c r="AA9" i="9" s="1"/>
  <c r="BM8" i="9"/>
  <c r="AK9" i="11" s="1"/>
  <c r="BW29" i="10"/>
  <c r="BW23" i="10"/>
  <c r="CD4" i="9"/>
  <c r="R4" i="9" s="1"/>
  <c r="AA4" i="9" s="1"/>
  <c r="BY7" i="9"/>
  <c r="M7" i="9" s="1"/>
  <c r="V7" i="9" s="1"/>
  <c r="BW2" i="9"/>
  <c r="HD2" i="9" s="1"/>
  <c r="BW30" i="10"/>
  <c r="AK2" i="11"/>
  <c r="BW27" i="10"/>
  <c r="BW33" i="10"/>
  <c r="BW20" i="10"/>
  <c r="BW3" i="10"/>
  <c r="BW31" i="10"/>
  <c r="BW11" i="10"/>
  <c r="BW16" i="10"/>
  <c r="BW37" i="10"/>
  <c r="BE25" i="10"/>
  <c r="BW35" i="10"/>
  <c r="CA9" i="9"/>
  <c r="O9" i="9" s="1"/>
  <c r="X9" i="9" s="1"/>
  <c r="BZ8" i="9"/>
  <c r="N8" i="9" s="1"/>
  <c r="W8" i="9" s="1"/>
  <c r="CB4" i="9"/>
  <c r="P4" i="9" s="1"/>
  <c r="Y4" i="9" s="1"/>
  <c r="CB2" i="9"/>
  <c r="P2" i="9" s="1"/>
  <c r="Y2" i="9" s="1"/>
  <c r="BX4" i="9"/>
  <c r="L4" i="9" s="1"/>
  <c r="U4" i="9" s="1"/>
  <c r="CC9" i="9"/>
  <c r="Q9" i="9" s="1"/>
  <c r="Z9" i="9" s="1"/>
  <c r="CA4" i="9"/>
  <c r="O4" i="9" s="1"/>
  <c r="X4" i="9" s="1"/>
  <c r="BM7" i="9"/>
  <c r="AC7" i="9" s="1"/>
  <c r="HG42" i="9"/>
  <c r="HK43" i="9"/>
  <c r="BS3" i="9"/>
  <c r="AI3" i="9" s="1"/>
  <c r="HG36" i="9"/>
  <c r="HH33" i="9"/>
  <c r="HF29" i="9"/>
  <c r="HH32" i="9"/>
  <c r="HG10" i="9"/>
  <c r="HF15" i="9"/>
  <c r="HI37" i="9"/>
  <c r="HK20" i="9"/>
  <c r="HE29" i="9"/>
  <c r="HK17" i="9"/>
  <c r="HE21" i="9"/>
  <c r="HK14" i="9"/>
  <c r="HK37" i="9"/>
  <c r="HH30" i="9"/>
  <c r="BU3" i="9"/>
  <c r="BS2" i="9"/>
  <c r="AQ2" i="11" s="1"/>
  <c r="BR2" i="9"/>
  <c r="AH2" i="9" s="1"/>
  <c r="BS5" i="9"/>
  <c r="AI5" i="9" s="1"/>
  <c r="HF24" i="9"/>
  <c r="BU2" i="9"/>
  <c r="AK2" i="9" s="1"/>
  <c r="BQ4" i="9"/>
  <c r="AG4" i="9" s="1"/>
  <c r="HE32" i="9"/>
  <c r="HH16" i="9"/>
  <c r="HI15" i="9"/>
  <c r="BO9" i="9"/>
  <c r="AE9" i="9" s="1"/>
  <c r="BR9" i="9"/>
  <c r="BN6" i="9"/>
  <c r="BP9" i="9"/>
  <c r="HG41" i="9"/>
  <c r="BT8" i="9"/>
  <c r="AJ8" i="9" s="1"/>
  <c r="HG17" i="9"/>
  <c r="HE33" i="9"/>
  <c r="HJ41" i="9"/>
  <c r="HK10" i="9"/>
  <c r="HH15" i="9"/>
  <c r="HI23" i="9"/>
  <c r="CU38" i="10"/>
  <c r="HH20" i="9"/>
  <c r="BQ7" i="9"/>
  <c r="AG7" i="9" s="1"/>
  <c r="HJ24" i="9"/>
  <c r="CT20" i="10"/>
  <c r="CS17" i="10"/>
  <c r="HH37" i="9"/>
  <c r="HE22" i="9"/>
  <c r="HK28" i="9"/>
  <c r="HI32" i="9"/>
  <c r="HI22" i="9"/>
  <c r="HJ28" i="9"/>
  <c r="HE14" i="9"/>
  <c r="HG34" i="9"/>
  <c r="HG22" i="9"/>
  <c r="BR8" i="9"/>
  <c r="AH8" i="9" s="1"/>
  <c r="BQ9" i="9"/>
  <c r="AG9" i="9" s="1"/>
  <c r="HI20" i="9"/>
  <c r="HE39" i="9"/>
  <c r="BR4" i="9"/>
  <c r="AP5" i="11" s="1"/>
  <c r="BO7" i="9"/>
  <c r="AE7" i="9" s="1"/>
  <c r="BS6" i="9"/>
  <c r="CP9" i="10"/>
  <c r="CS27" i="10"/>
  <c r="BE9" i="10"/>
  <c r="BN9" i="10" s="1"/>
  <c r="CF9" i="10" s="1"/>
  <c r="CV29" i="10"/>
  <c r="CW40" i="10"/>
  <c r="CP28" i="10"/>
  <c r="CV43" i="10"/>
  <c r="CS24" i="10"/>
  <c r="CW25" i="10"/>
  <c r="CU25" i="10"/>
  <c r="CP40" i="10"/>
  <c r="CT28" i="10"/>
  <c r="CQ43" i="10"/>
  <c r="CU41" i="10"/>
  <c r="CW27" i="10"/>
  <c r="CU40" i="10"/>
  <c r="CQ24" i="10"/>
  <c r="CU26" i="10"/>
  <c r="CV42" i="10"/>
  <c r="CU2" i="10"/>
  <c r="CS26" i="10"/>
  <c r="CU28" i="10"/>
  <c r="U7" i="10"/>
  <c r="CV41" i="10"/>
  <c r="CU29" i="10"/>
  <c r="CU42" i="10"/>
  <c r="CW26" i="10"/>
  <c r="CT26" i="10"/>
  <c r="CR43" i="10"/>
  <c r="CW2" i="10"/>
  <c r="CT27" i="10"/>
  <c r="CS43" i="10"/>
  <c r="CR24" i="10"/>
  <c r="CT40" i="10"/>
  <c r="CV24" i="10"/>
  <c r="U25" i="10"/>
  <c r="CQ41" i="10"/>
  <c r="CW24" i="10"/>
  <c r="CW42" i="10"/>
  <c r="CW43" i="10"/>
  <c r="CV27" i="10"/>
  <c r="CS28" i="10"/>
  <c r="CP42" i="10"/>
  <c r="CV25" i="10"/>
  <c r="CV2" i="10"/>
  <c r="CW41" i="10"/>
  <c r="CW7" i="10"/>
  <c r="CR40" i="10"/>
  <c r="CT2" i="10"/>
  <c r="CV28" i="10"/>
  <c r="CV40" i="10"/>
  <c r="CR41" i="10"/>
  <c r="CW16" i="10"/>
  <c r="CW6" i="10"/>
  <c r="CP24" i="10"/>
  <c r="CS42" i="10"/>
  <c r="CT42" i="10"/>
  <c r="CS25" i="10"/>
  <c r="CS2" i="10"/>
  <c r="CT41" i="10"/>
  <c r="CR42" i="10"/>
  <c r="CS40" i="10"/>
  <c r="CU24" i="10"/>
  <c r="CV26" i="10"/>
  <c r="BN9" i="9"/>
  <c r="AD9" i="9" s="1"/>
  <c r="HI16" i="9"/>
  <c r="BU6" i="9"/>
  <c r="AK6" i="9" s="1"/>
  <c r="BT3" i="9"/>
  <c r="AJ3" i="9" s="1"/>
  <c r="BU9" i="9"/>
  <c r="BS9" i="9"/>
  <c r="AI9" i="9" s="1"/>
  <c r="BT5" i="9"/>
  <c r="AJ5" i="9" s="1"/>
  <c r="HJ29" i="9"/>
  <c r="BT4" i="9"/>
  <c r="AJ4" i="9" s="1"/>
  <c r="BR5" i="9"/>
  <c r="HG15" i="9"/>
  <c r="BS7" i="9"/>
  <c r="HF19" i="9"/>
  <c r="HE41" i="9"/>
  <c r="BU5" i="9"/>
  <c r="BP3" i="9"/>
  <c r="AF3" i="9" s="1"/>
  <c r="BO4" i="9"/>
  <c r="BU4" i="9"/>
  <c r="HH21" i="9"/>
  <c r="HG33" i="9"/>
  <c r="BR6" i="9"/>
  <c r="AH6" i="9" s="1"/>
  <c r="BQ8" i="9"/>
  <c r="HJ13" i="9"/>
  <c r="Q13" i="9"/>
  <c r="Z13" i="9" s="1"/>
  <c r="HG32" i="9"/>
  <c r="N32" i="9"/>
  <c r="W32" i="9" s="1"/>
  <c r="HH24" i="9"/>
  <c r="O24" i="9"/>
  <c r="X24" i="9" s="1"/>
  <c r="HK13" i="9"/>
  <c r="R13" i="9"/>
  <c r="AA13" i="9" s="1"/>
  <c r="BN3" i="9"/>
  <c r="AD3" i="9" s="1"/>
  <c r="HI17" i="9"/>
  <c r="P17" i="9"/>
  <c r="Y17" i="9" s="1"/>
  <c r="HF16" i="9"/>
  <c r="M16" i="9"/>
  <c r="V16" i="9" s="1"/>
  <c r="HK25" i="9"/>
  <c r="R25" i="9"/>
  <c r="AA25" i="9" s="1"/>
  <c r="HG24" i="9"/>
  <c r="N24" i="9"/>
  <c r="W24" i="9" s="1"/>
  <c r="HJ10" i="9"/>
  <c r="Q10" i="9"/>
  <c r="Z10" i="9" s="1"/>
  <c r="HE43" i="9"/>
  <c r="L43" i="9"/>
  <c r="U43" i="9" s="1"/>
  <c r="HF25" i="9"/>
  <c r="M25" i="9"/>
  <c r="V25" i="9" s="1"/>
  <c r="HF13" i="9"/>
  <c r="M13" i="9"/>
  <c r="V13" i="9" s="1"/>
  <c r="HK32" i="9"/>
  <c r="R32" i="9"/>
  <c r="AA32" i="9" s="1"/>
  <c r="R30" i="9"/>
  <c r="AA30" i="9" s="1"/>
  <c r="HG13" i="9"/>
  <c r="N13" i="9"/>
  <c r="W13" i="9" s="1"/>
  <c r="HF30" i="9"/>
  <c r="M30" i="9"/>
  <c r="V30" i="9" s="1"/>
  <c r="L27" i="9"/>
  <c r="U27" i="9" s="1"/>
  <c r="HF37" i="9"/>
  <c r="M37" i="9"/>
  <c r="V37" i="9" s="1"/>
  <c r="HK29" i="9"/>
  <c r="R29" i="9"/>
  <c r="AA29" i="9" s="1"/>
  <c r="HE13" i="9"/>
  <c r="L13" i="9"/>
  <c r="U13" i="9" s="1"/>
  <c r="HJ16" i="9"/>
  <c r="Q16" i="9"/>
  <c r="Z16" i="9" s="1"/>
  <c r="HG29" i="9"/>
  <c r="N29" i="9"/>
  <c r="W29" i="9" s="1"/>
  <c r="BQ2" i="9"/>
  <c r="AO2" i="11" s="1"/>
  <c r="BP2" i="9"/>
  <c r="AF2" i="9" s="1"/>
  <c r="BO2" i="9"/>
  <c r="AE2" i="9" s="1"/>
  <c r="BO3" i="9"/>
  <c r="AE3" i="9" s="1"/>
  <c r="BT7" i="9"/>
  <c r="AJ7" i="9" s="1"/>
  <c r="BP4" i="9"/>
  <c r="AF4" i="9" s="1"/>
  <c r="HJ17" i="9"/>
  <c r="Q17" i="9"/>
  <c r="Z17" i="9" s="1"/>
  <c r="HK21" i="9"/>
  <c r="R21" i="9"/>
  <c r="AA21" i="9" s="1"/>
  <c r="HK36" i="9"/>
  <c r="R36" i="9"/>
  <c r="AA36" i="9" s="1"/>
  <c r="HE17" i="9"/>
  <c r="L17" i="9"/>
  <c r="U17" i="9" s="1"/>
  <c r="HG23" i="9"/>
  <c r="N23" i="9"/>
  <c r="W23" i="9" s="1"/>
  <c r="HG25" i="9"/>
  <c r="N25" i="9"/>
  <c r="W25" i="9" s="1"/>
  <c r="HH13" i="9"/>
  <c r="O13" i="9"/>
  <c r="X13" i="9" s="1"/>
  <c r="HI13" i="9"/>
  <c r="P13" i="9"/>
  <c r="Y13" i="9" s="1"/>
  <c r="HF14" i="9"/>
  <c r="M14" i="9"/>
  <c r="V14" i="9" s="1"/>
  <c r="HF43" i="9"/>
  <c r="M43" i="9"/>
  <c r="V43" i="9" s="1"/>
  <c r="HJ25" i="9"/>
  <c r="Q25" i="9"/>
  <c r="Z25" i="9" s="1"/>
  <c r="HJ33" i="9"/>
  <c r="Q33" i="9"/>
  <c r="Z33" i="9" s="1"/>
  <c r="M35" i="9"/>
  <c r="V35" i="9" s="1"/>
  <c r="HH14" i="9"/>
  <c r="O14" i="9"/>
  <c r="X14" i="9" s="1"/>
  <c r="HG21" i="9"/>
  <c r="N21" i="9"/>
  <c r="W21" i="9" s="1"/>
  <c r="BN8" i="9"/>
  <c r="AD8" i="9" s="1"/>
  <c r="BP8" i="9"/>
  <c r="AF8" i="9" s="1"/>
  <c r="BN5" i="9"/>
  <c r="AD5" i="9" s="1"/>
  <c r="BS4" i="9"/>
  <c r="BR3" i="9"/>
  <c r="AH3" i="9" s="1"/>
  <c r="BN7" i="9"/>
  <c r="AD7" i="9" s="1"/>
  <c r="BN4" i="9"/>
  <c r="AD4" i="9" s="1"/>
  <c r="BS8" i="9"/>
  <c r="AI8" i="9" s="1"/>
  <c r="HJ23" i="9"/>
  <c r="Q23" i="9"/>
  <c r="Z23" i="9" s="1"/>
  <c r="HK18" i="9"/>
  <c r="R18" i="9"/>
  <c r="AA18" i="9" s="1"/>
  <c r="HI25" i="9"/>
  <c r="P25" i="9"/>
  <c r="Y25" i="9" s="1"/>
  <c r="HE16" i="9"/>
  <c r="L16" i="9"/>
  <c r="U16" i="9" s="1"/>
  <c r="L26" i="9"/>
  <c r="U26" i="9" s="1"/>
  <c r="HE36" i="9"/>
  <c r="L36" i="9"/>
  <c r="U36" i="9" s="1"/>
  <c r="HE24" i="9"/>
  <c r="L24" i="9"/>
  <c r="U24" i="9" s="1"/>
  <c r="HG14" i="9"/>
  <c r="N14" i="9"/>
  <c r="W14" i="9" s="1"/>
  <c r="HH29" i="9"/>
  <c r="O29" i="9"/>
  <c r="X29" i="9" s="1"/>
  <c r="HG35" i="9"/>
  <c r="N35" i="9"/>
  <c r="W35" i="9" s="1"/>
  <c r="BQ3" i="9"/>
  <c r="AG3" i="9" s="1"/>
  <c r="BU8" i="9"/>
  <c r="AK8" i="9" s="1"/>
  <c r="BO8" i="9"/>
  <c r="AM9" i="11" s="1"/>
  <c r="BT9" i="9"/>
  <c r="HF34" i="9"/>
  <c r="M34" i="9"/>
  <c r="V34" i="9" s="1"/>
  <c r="HH43" i="9"/>
  <c r="O43" i="9"/>
  <c r="X43" i="9" s="1"/>
  <c r="HK23" i="9"/>
  <c r="R23" i="9"/>
  <c r="AA23" i="9" s="1"/>
  <c r="HH36" i="9"/>
  <c r="O36" i="9"/>
  <c r="X36" i="9" s="1"/>
  <c r="HI36" i="9"/>
  <c r="P36" i="9"/>
  <c r="Y36" i="9" s="1"/>
  <c r="HG28" i="9"/>
  <c r="N28" i="9"/>
  <c r="W28" i="9" s="1"/>
  <c r="BN2" i="9"/>
  <c r="HI14" i="9"/>
  <c r="P14" i="9"/>
  <c r="Y14" i="9" s="1"/>
  <c r="HE37" i="9"/>
  <c r="L37" i="9"/>
  <c r="U37" i="9" s="1"/>
  <c r="HE20" i="9"/>
  <c r="L20" i="9"/>
  <c r="U20" i="9" s="1"/>
  <c r="R39" i="9"/>
  <c r="AA39" i="9" s="1"/>
  <c r="HH23" i="9"/>
  <c r="O23" i="9"/>
  <c r="X23" i="9" s="1"/>
  <c r="HF36" i="9"/>
  <c r="M36" i="9"/>
  <c r="V36" i="9" s="1"/>
  <c r="BT6" i="9"/>
  <c r="AJ6" i="9" s="1"/>
  <c r="BO5" i="9"/>
  <c r="AE5" i="9" s="1"/>
  <c r="BQ5" i="9"/>
  <c r="AG5" i="9" s="1"/>
  <c r="BU7" i="9"/>
  <c r="AK7" i="9" s="1"/>
  <c r="HI29" i="9"/>
  <c r="P29" i="9"/>
  <c r="Y29" i="9" s="1"/>
  <c r="HJ14" i="9"/>
  <c r="Q14" i="9"/>
  <c r="Z14" i="9" s="1"/>
  <c r="HK33" i="9"/>
  <c r="R33" i="9"/>
  <c r="AA33" i="9" s="1"/>
  <c r="HG37" i="9"/>
  <c r="N37" i="9"/>
  <c r="W37" i="9" s="1"/>
  <c r="HF20" i="9"/>
  <c r="M20" i="9"/>
  <c r="V20" i="9" s="1"/>
  <c r="P38" i="9"/>
  <c r="Y38" i="9" s="1"/>
  <c r="HE25" i="9"/>
  <c r="L25" i="9"/>
  <c r="U25" i="9" s="1"/>
  <c r="HJ32" i="9"/>
  <c r="Q32" i="9"/>
  <c r="Z32" i="9" s="1"/>
  <c r="HJ22" i="9"/>
  <c r="Q22" i="9"/>
  <c r="Z22" i="9" s="1"/>
  <c r="HJ37" i="9"/>
  <c r="Q37" i="9"/>
  <c r="Z37" i="9" s="1"/>
  <c r="BT2" i="9"/>
  <c r="BP7" i="9"/>
  <c r="BR7" i="9"/>
  <c r="AH7" i="9" s="1"/>
  <c r="BP6" i="9"/>
  <c r="AF6" i="9" s="1"/>
  <c r="BQ6" i="9"/>
  <c r="AG6" i="9" s="1"/>
  <c r="BO6" i="9"/>
  <c r="AE6" i="9" s="1"/>
  <c r="BP5" i="9"/>
  <c r="AF5" i="9" s="1"/>
  <c r="HI33" i="9"/>
  <c r="P33" i="9"/>
  <c r="Y33" i="9" s="1"/>
  <c r="HJ21" i="9"/>
  <c r="Q21" i="9"/>
  <c r="Z21" i="9" s="1"/>
  <c r="HE27" i="9"/>
  <c r="HH42" i="9"/>
  <c r="HI38" i="9"/>
  <c r="G4" i="11"/>
  <c r="HF35" i="9"/>
  <c r="BO35" i="9"/>
  <c r="AM36" i="11" s="1"/>
  <c r="BE34" i="10"/>
  <c r="BN34" i="10" s="1"/>
  <c r="BE10" i="10"/>
  <c r="BN10" i="10" s="1"/>
  <c r="CF10" i="10" s="1"/>
  <c r="BE31" i="10"/>
  <c r="BN31" i="10" s="1"/>
  <c r="HD19" i="9"/>
  <c r="HD8" i="9"/>
  <c r="HE7" i="9"/>
  <c r="AV10" i="10"/>
  <c r="BE39" i="10"/>
  <c r="BN39" i="10" s="1"/>
  <c r="BE17" i="10"/>
  <c r="BN17" i="10" s="1"/>
  <c r="CF17" i="10" s="1"/>
  <c r="AV23" i="10"/>
  <c r="BE26" i="10"/>
  <c r="BN26" i="10" s="1"/>
  <c r="CF26" i="10" s="1"/>
  <c r="BQ32" i="9"/>
  <c r="AO33" i="11" s="1"/>
  <c r="BE22" i="10"/>
  <c r="BN22" i="10" s="1"/>
  <c r="BE4" i="10"/>
  <c r="BN4" i="10" s="1"/>
  <c r="CF4" i="10" s="1"/>
  <c r="BE15" i="10"/>
  <c r="BN15" i="10" s="1"/>
  <c r="CF15" i="10" s="1"/>
  <c r="BE19" i="10"/>
  <c r="BN19" i="10" s="1"/>
  <c r="JN2" i="9"/>
  <c r="EP2" i="9" s="1"/>
  <c r="BO31" i="9"/>
  <c r="AM32" i="11" s="1"/>
  <c r="JN8" i="9"/>
  <c r="EP8" i="9" s="1"/>
  <c r="BE3" i="10"/>
  <c r="BN3" i="10" s="1"/>
  <c r="CF3" i="10" s="1"/>
  <c r="BE20" i="10"/>
  <c r="BN20" i="10" s="1"/>
  <c r="BE11" i="10"/>
  <c r="HC42" i="9"/>
  <c r="HC10" i="9"/>
  <c r="AV3" i="10"/>
  <c r="HC33" i="9"/>
  <c r="HC41" i="9"/>
  <c r="HC29" i="9"/>
  <c r="HC19" i="9"/>
  <c r="HC37" i="9"/>
  <c r="BT26" i="9"/>
  <c r="AR27" i="11" s="1"/>
  <c r="HC13" i="9"/>
  <c r="HC5" i="9"/>
  <c r="HC31" i="9"/>
  <c r="HC8" i="9"/>
  <c r="HC20" i="9"/>
  <c r="HC3" i="9"/>
  <c r="HC39" i="9"/>
  <c r="HC28" i="9"/>
  <c r="HC26" i="9"/>
  <c r="HC36" i="9"/>
  <c r="HC21" i="9"/>
  <c r="HC2" i="9"/>
  <c r="HC14" i="9"/>
  <c r="BE24" i="10"/>
  <c r="BN24" i="10" s="1"/>
  <c r="CF24" i="10" s="1"/>
  <c r="HC17" i="9"/>
  <c r="HC18" i="9"/>
  <c r="HC32" i="9"/>
  <c r="HC24" i="9"/>
  <c r="HC25" i="9"/>
  <c r="HC9" i="9"/>
  <c r="HC27" i="9"/>
  <c r="HC16" i="9"/>
  <c r="HC7" i="9"/>
  <c r="HC15" i="9"/>
  <c r="HC35" i="9"/>
  <c r="HC23" i="9"/>
  <c r="HC34" i="9"/>
  <c r="HC6" i="9"/>
  <c r="BE2" i="10"/>
  <c r="BN2" i="10" s="1"/>
  <c r="CF2" i="10" s="1"/>
  <c r="HC38" i="9"/>
  <c r="HC40" i="9"/>
  <c r="HC22" i="9"/>
  <c r="HC30" i="9"/>
  <c r="HC43" i="9"/>
  <c r="B44" i="11" s="1"/>
  <c r="HC4" i="9"/>
  <c r="BP24" i="9"/>
  <c r="AN25" i="11" s="1"/>
  <c r="BS10" i="9"/>
  <c r="AQ11" i="11" s="1"/>
  <c r="BE14" i="10"/>
  <c r="BE33" i="10"/>
  <c r="BN33" i="10" s="1"/>
  <c r="BE29" i="10"/>
  <c r="BN29" i="10" s="1"/>
  <c r="CF29" i="10" s="1"/>
  <c r="BE28" i="10"/>
  <c r="BN21" i="10"/>
  <c r="BE18" i="10"/>
  <c r="BN18" i="10" s="1"/>
  <c r="BE16" i="10"/>
  <c r="BN16" i="10" s="1"/>
  <c r="CF16" i="10" s="1"/>
  <c r="BE27" i="10"/>
  <c r="BN27" i="10" s="1"/>
  <c r="CF27" i="10" s="1"/>
  <c r="BE13" i="10"/>
  <c r="BN13" i="10" s="1"/>
  <c r="AL23" i="9"/>
  <c r="AC23" i="9" s="1"/>
  <c r="AL40" i="9"/>
  <c r="AC40" i="9" s="1"/>
  <c r="U28" i="10"/>
  <c r="BM43" i="9"/>
  <c r="AK44" i="11" s="1"/>
  <c r="AL42" i="9"/>
  <c r="AC42" i="9" s="1"/>
  <c r="AL33" i="9"/>
  <c r="AC33" i="9" s="1"/>
  <c r="BR32" i="9"/>
  <c r="AP33" i="11" s="1"/>
  <c r="BR15" i="9"/>
  <c r="AP16" i="11" s="1"/>
  <c r="BT38" i="9"/>
  <c r="AR39" i="11" s="1"/>
  <c r="BU17" i="9"/>
  <c r="AS18" i="11" s="1"/>
  <c r="BR18" i="9"/>
  <c r="AP19" i="11" s="1"/>
  <c r="BO39" i="9"/>
  <c r="AM40" i="11" s="1"/>
  <c r="BQ23" i="9"/>
  <c r="AO24" i="11" s="1"/>
  <c r="BU21" i="9"/>
  <c r="AS22" i="11" s="1"/>
  <c r="BP37" i="9"/>
  <c r="AN38" i="11" s="1"/>
  <c r="BR28" i="9"/>
  <c r="AP29" i="11" s="1"/>
  <c r="BP38" i="9"/>
  <c r="AN39" i="11" s="1"/>
  <c r="BO36" i="9"/>
  <c r="AM37" i="11" s="1"/>
  <c r="BU41" i="9"/>
  <c r="AS42" i="11" s="1"/>
  <c r="BU30" i="9"/>
  <c r="BU29" i="9"/>
  <c r="AS30" i="11" s="1"/>
  <c r="BO24" i="9"/>
  <c r="AM25" i="11" s="1"/>
  <c r="AL19" i="9"/>
  <c r="AC19" i="9" s="1"/>
  <c r="BS18" i="9"/>
  <c r="BR19" i="9"/>
  <c r="AP20" i="11" s="1"/>
  <c r="AL38" i="9"/>
  <c r="AC38" i="9" s="1"/>
  <c r="BP41" i="9"/>
  <c r="AN42" i="11" s="1"/>
  <c r="BT25" i="9"/>
  <c r="AR26" i="11" s="1"/>
  <c r="BQ42" i="9"/>
  <c r="AO43" i="11" s="1"/>
  <c r="BN38" i="9"/>
  <c r="BO21" i="9"/>
  <c r="BQ31" i="9"/>
  <c r="AO32" i="11" s="1"/>
  <c r="BT16" i="9"/>
  <c r="BQ28" i="9"/>
  <c r="AO29" i="11" s="1"/>
  <c r="BU18" i="9"/>
  <c r="AS19" i="11" s="1"/>
  <c r="BO23" i="9"/>
  <c r="AM24" i="11" s="1"/>
  <c r="BU20" i="9"/>
  <c r="AL18" i="9"/>
  <c r="AC18" i="9" s="1"/>
  <c r="BP23" i="9"/>
  <c r="AN24" i="11" s="1"/>
  <c r="AL39" i="9"/>
  <c r="AC39" i="9" s="1"/>
  <c r="BQ33" i="9"/>
  <c r="AO34" i="11" s="1"/>
  <c r="BQ17" i="9"/>
  <c r="AO18" i="11" s="1"/>
  <c r="AL36" i="9"/>
  <c r="AC36" i="9" s="1"/>
  <c r="BR16" i="9"/>
  <c r="AP17" i="11" s="1"/>
  <c r="AL41" i="9"/>
  <c r="AC41" i="9" s="1"/>
  <c r="BO43" i="9"/>
  <c r="AM44" i="11" s="1"/>
  <c r="BU19" i="9"/>
  <c r="AS20" i="11" s="1"/>
  <c r="BT43" i="9"/>
  <c r="AR44" i="11" s="1"/>
  <c r="BU13" i="9"/>
  <c r="AS14" i="11" s="1"/>
  <c r="BN28" i="9"/>
  <c r="AL13" i="9"/>
  <c r="AC13" i="9" s="1"/>
  <c r="AL24" i="9"/>
  <c r="AC24" i="9" s="1"/>
  <c r="BO41" i="9"/>
  <c r="BS20" i="9"/>
  <c r="AL25" i="9"/>
  <c r="BT41" i="9"/>
  <c r="BO13" i="9"/>
  <c r="AM14" i="11" s="1"/>
  <c r="AL10" i="9"/>
  <c r="AC10" i="9" s="1"/>
  <c r="BP32" i="9"/>
  <c r="AN33" i="11" s="1"/>
  <c r="BT30" i="9"/>
  <c r="BT14" i="9"/>
  <c r="AR15" i="11" s="1"/>
  <c r="BT10" i="9"/>
  <c r="AR11" i="11" s="1"/>
  <c r="AL14" i="9"/>
  <c r="AC14" i="9" s="1"/>
  <c r="AL26" i="9"/>
  <c r="AC26" i="9" s="1"/>
  <c r="BU23" i="9"/>
  <c r="AS24" i="11" s="1"/>
  <c r="BN19" i="9"/>
  <c r="AL20" i="11" s="1"/>
  <c r="AL30" i="9"/>
  <c r="AC30" i="9" s="1"/>
  <c r="BP10" i="9"/>
  <c r="BQ25" i="9"/>
  <c r="AO26" i="11" s="1"/>
  <c r="BT19" i="9"/>
  <c r="BS32" i="9"/>
  <c r="AQ33" i="11" s="1"/>
  <c r="BT13" i="9"/>
  <c r="AR14" i="11" s="1"/>
  <c r="BT37" i="9"/>
  <c r="AR38" i="11" s="1"/>
  <c r="BT42" i="9"/>
  <c r="AR43" i="11" s="1"/>
  <c r="AL34" i="9"/>
  <c r="AC34" i="9" s="1"/>
  <c r="BT21" i="9"/>
  <c r="AR22" i="11" s="1"/>
  <c r="JN3" i="9"/>
  <c r="EP3" i="9" s="1"/>
  <c r="AL28" i="9"/>
  <c r="BP31" i="9"/>
  <c r="AN32" i="11" s="1"/>
  <c r="BP39" i="9"/>
  <c r="AN40" i="11" s="1"/>
  <c r="BN30" i="9"/>
  <c r="AL31" i="11" s="1"/>
  <c r="BN34" i="9"/>
  <c r="BQ20" i="9"/>
  <c r="AO21" i="11" s="1"/>
  <c r="BR27" i="9"/>
  <c r="AP28" i="11" s="1"/>
  <c r="BO10" i="9"/>
  <c r="BR22" i="9"/>
  <c r="AP23" i="11" s="1"/>
  <c r="BT20" i="9"/>
  <c r="AL22" i="9"/>
  <c r="AC22" i="9" s="1"/>
  <c r="BQ14" i="9"/>
  <c r="BR34" i="9"/>
  <c r="AP35" i="11" s="1"/>
  <c r="JN27" i="9"/>
  <c r="EP27" i="9" s="1"/>
  <c r="AL27" i="9"/>
  <c r="AL17" i="9"/>
  <c r="AC17" i="9" s="1"/>
  <c r="BS22" i="9"/>
  <c r="AQ23" i="11" s="1"/>
  <c r="BR13" i="9"/>
  <c r="AP14" i="11" s="1"/>
  <c r="BQ40" i="9"/>
  <c r="BN23" i="9"/>
  <c r="AL24" i="11" s="1"/>
  <c r="BT36" i="9"/>
  <c r="AR37" i="11" s="1"/>
  <c r="AL29" i="9"/>
  <c r="AC29" i="9" s="1"/>
  <c r="AL20" i="9"/>
  <c r="AC20" i="9" s="1"/>
  <c r="BO38" i="9"/>
  <c r="AM39" i="11" s="1"/>
  <c r="BS21" i="9"/>
  <c r="AQ22" i="11" s="1"/>
  <c r="BS24" i="9"/>
  <c r="AQ25" i="11" s="1"/>
  <c r="BN25" i="9"/>
  <c r="BS23" i="9"/>
  <c r="AQ24" i="11" s="1"/>
  <c r="BS43" i="9"/>
  <c r="AL21" i="9"/>
  <c r="AC21" i="9" s="1"/>
  <c r="JN35" i="9"/>
  <c r="EP35" i="9" s="1"/>
  <c r="AL35" i="9"/>
  <c r="AC35" i="9" s="1"/>
  <c r="BS29" i="9"/>
  <c r="BP15" i="9"/>
  <c r="AN16" i="11" s="1"/>
  <c r="BN33" i="9"/>
  <c r="AL34" i="11" s="1"/>
  <c r="BN17" i="9"/>
  <c r="AL18" i="11" s="1"/>
  <c r="BN42" i="9"/>
  <c r="AL43" i="11" s="1"/>
  <c r="BU34" i="9"/>
  <c r="AS35" i="11" s="1"/>
  <c r="BP20" i="9"/>
  <c r="AN21" i="11" s="1"/>
  <c r="JN25" i="9"/>
  <c r="EP25" i="9" s="1"/>
  <c r="BQ39" i="9"/>
  <c r="AO40" i="11" s="1"/>
  <c r="BR29" i="9"/>
  <c r="AP30" i="11" s="1"/>
  <c r="BU37" i="9"/>
  <c r="AS38" i="11" s="1"/>
  <c r="BU36" i="9"/>
  <c r="AS37" i="11" s="1"/>
  <c r="BO29" i="9"/>
  <c r="AL37" i="9"/>
  <c r="AC37" i="9" s="1"/>
  <c r="BM28" i="9"/>
  <c r="AK29" i="11" s="1"/>
  <c r="BU26" i="9"/>
  <c r="BP36" i="9"/>
  <c r="AN37" i="11" s="1"/>
  <c r="BQ34" i="9"/>
  <c r="AO35" i="11" s="1"/>
  <c r="BN39" i="9"/>
  <c r="BP29" i="9"/>
  <c r="AN30" i="11" s="1"/>
  <c r="AL31" i="9"/>
  <c r="AC31" i="9" s="1"/>
  <c r="BP22" i="9"/>
  <c r="AN23" i="11" s="1"/>
  <c r="BN14" i="9"/>
  <c r="AL15" i="11" s="1"/>
  <c r="BU10" i="9"/>
  <c r="AS11" i="11" s="1"/>
  <c r="AL16" i="9"/>
  <c r="AC16" i="9" s="1"/>
  <c r="BR35" i="9"/>
  <c r="BU25" i="9"/>
  <c r="AS26" i="11" s="1"/>
  <c r="BP19" i="9"/>
  <c r="AN20" i="11" s="1"/>
  <c r="BP28" i="9"/>
  <c r="AN29" i="11" s="1"/>
  <c r="AL15" i="9"/>
  <c r="BU27" i="9"/>
  <c r="AS28" i="11" s="1"/>
  <c r="JN32" i="9"/>
  <c r="EP32" i="9" s="1"/>
  <c r="AL32" i="9"/>
  <c r="BO40" i="9"/>
  <c r="BP21" i="9"/>
  <c r="BP35" i="9"/>
  <c r="AN36" i="11" s="1"/>
  <c r="BN36" i="9"/>
  <c r="AL37" i="11" s="1"/>
  <c r="BN18" i="9"/>
  <c r="AL19" i="11" s="1"/>
  <c r="BO30" i="9"/>
  <c r="BS40" i="9"/>
  <c r="AQ41" i="11" s="1"/>
  <c r="BT33" i="9"/>
  <c r="BT23" i="9"/>
  <c r="AR24" i="11" s="1"/>
  <c r="BN14" i="10"/>
  <c r="BN37" i="10"/>
  <c r="BN41" i="9"/>
  <c r="BO18" i="9"/>
  <c r="BN10" i="9"/>
  <c r="AL11" i="11" s="1"/>
  <c r="BR17" i="9"/>
  <c r="AP18" i="11" s="1"/>
  <c r="BO42" i="9"/>
  <c r="BU43" i="9"/>
  <c r="BO22" i="9"/>
  <c r="AM23" i="11" s="1"/>
  <c r="BS37" i="9"/>
  <c r="AQ38" i="11" s="1"/>
  <c r="BN20" i="9"/>
  <c r="AL21" i="11" s="1"/>
  <c r="BP27" i="9"/>
  <c r="AN28" i="11" s="1"/>
  <c r="BN37" i="9"/>
  <c r="AL38" i="11" s="1"/>
  <c r="BR10" i="9"/>
  <c r="BO33" i="9"/>
  <c r="AM34" i="11" s="1"/>
  <c r="BO17" i="9"/>
  <c r="AM18" i="11" s="1"/>
  <c r="BR42" i="9"/>
  <c r="AP43" i="11" s="1"/>
  <c r="BT32" i="9"/>
  <c r="BU38" i="9"/>
  <c r="AS39" i="11" s="1"/>
  <c r="BT31" i="9"/>
  <c r="BT15" i="9"/>
  <c r="BR41" i="9"/>
  <c r="AP42" i="11" s="1"/>
  <c r="BS42" i="9"/>
  <c r="AQ43" i="11" s="1"/>
  <c r="BT34" i="9"/>
  <c r="BQ38" i="9"/>
  <c r="AO39" i="11" s="1"/>
  <c r="BR38" i="9"/>
  <c r="BT40" i="9"/>
  <c r="AR41" i="11" s="1"/>
  <c r="BS19" i="9"/>
  <c r="AQ20" i="11" s="1"/>
  <c r="BR33" i="9"/>
  <c r="AP34" i="11" s="1"/>
  <c r="BU40" i="9"/>
  <c r="BU33" i="9"/>
  <c r="AS34" i="11" s="1"/>
  <c r="BN26" i="9"/>
  <c r="AL27" i="11" s="1"/>
  <c r="BS13" i="9"/>
  <c r="BR36" i="9"/>
  <c r="BT18" i="9"/>
  <c r="AR19" i="11" s="1"/>
  <c r="BU14" i="9"/>
  <c r="AS15" i="11" s="1"/>
  <c r="BN24" i="9"/>
  <c r="AL25" i="11" s="1"/>
  <c r="BP14" i="9"/>
  <c r="BQ24" i="9"/>
  <c r="BO19" i="9"/>
  <c r="BS33" i="9"/>
  <c r="BN40" i="9"/>
  <c r="AL41" i="11" s="1"/>
  <c r="BO16" i="9"/>
  <c r="AM17" i="11" s="1"/>
  <c r="BS39" i="9"/>
  <c r="AQ40" i="11" s="1"/>
  <c r="BO37" i="9"/>
  <c r="BN13" i="9"/>
  <c r="AL14" i="11" s="1"/>
  <c r="BR43" i="9"/>
  <c r="BT17" i="9"/>
  <c r="BS16" i="9"/>
  <c r="BO34" i="9"/>
  <c r="AM35" i="11" s="1"/>
  <c r="BU35" i="9"/>
  <c r="BU42" i="9"/>
  <c r="AS43" i="11" s="1"/>
  <c r="BS38" i="9"/>
  <c r="BP34" i="9"/>
  <c r="AN35" i="11" s="1"/>
  <c r="BU16" i="9"/>
  <c r="BQ30" i="9"/>
  <c r="BS14" i="9"/>
  <c r="BP13" i="9"/>
  <c r="AN14" i="11" s="1"/>
  <c r="BO27" i="9"/>
  <c r="AM28" i="11" s="1"/>
  <c r="BS25" i="9"/>
  <c r="AQ26" i="11" s="1"/>
  <c r="BT35" i="9"/>
  <c r="AR36" i="11" s="1"/>
  <c r="BP18" i="9"/>
  <c r="BO32" i="9"/>
  <c r="AM33" i="11" s="1"/>
  <c r="BR30" i="9"/>
  <c r="BR14" i="9"/>
  <c r="AP15" i="11" s="1"/>
  <c r="BQ10" i="9"/>
  <c r="AO11" i="11" s="1"/>
  <c r="BN43" i="9"/>
  <c r="AL44" i="11" s="1"/>
  <c r="BQ29" i="9"/>
  <c r="BQ15" i="9"/>
  <c r="BS27" i="9"/>
  <c r="AQ28" i="11" s="1"/>
  <c r="BR25" i="9"/>
  <c r="BO26" i="9"/>
  <c r="AM27" i="11" s="1"/>
  <c r="BN16" i="9"/>
  <c r="BO20" i="9"/>
  <c r="BQ27" i="9"/>
  <c r="AO28" i="11" s="1"/>
  <c r="BN32" i="9"/>
  <c r="AL33" i="11" s="1"/>
  <c r="BU24" i="9"/>
  <c r="AS25" i="11" s="1"/>
  <c r="BN27" i="9"/>
  <c r="BP26" i="9"/>
  <c r="AN27" i="11" s="1"/>
  <c r="BP16" i="9"/>
  <c r="BR39" i="9"/>
  <c r="BO28" i="9"/>
  <c r="BQ35" i="9"/>
  <c r="AO36" i="11" s="1"/>
  <c r="BT22" i="9"/>
  <c r="AR23" i="11" s="1"/>
  <c r="BS35" i="9"/>
  <c r="AQ36" i="11" s="1"/>
  <c r="BR26" i="9"/>
  <c r="BT39" i="9"/>
  <c r="BQ37" i="9"/>
  <c r="BR24" i="9"/>
  <c r="BU31" i="9"/>
  <c r="AS32" i="11" s="1"/>
  <c r="BU15" i="9"/>
  <c r="AS16" i="11" s="1"/>
  <c r="BO15" i="9"/>
  <c r="BT28" i="9"/>
  <c r="BQ13" i="9"/>
  <c r="BQ41" i="9"/>
  <c r="BN31" i="9"/>
  <c r="AL32" i="11" s="1"/>
  <c r="BR31" i="9"/>
  <c r="AP32" i="11" s="1"/>
  <c r="BU28" i="9"/>
  <c r="AS29" i="11" s="1"/>
  <c r="BP43" i="9"/>
  <c r="BT27" i="9"/>
  <c r="AR28" i="11" s="1"/>
  <c r="BP33" i="9"/>
  <c r="BP30" i="9"/>
  <c r="AN31" i="11" s="1"/>
  <c r="BO25" i="9"/>
  <c r="AM26" i="11" s="1"/>
  <c r="BS30" i="9"/>
  <c r="AQ31" i="11" s="1"/>
  <c r="BS28" i="9"/>
  <c r="AQ29" i="11" s="1"/>
  <c r="BP42" i="9"/>
  <c r="BS34" i="9"/>
  <c r="AQ35" i="11" s="1"/>
  <c r="BN21" i="9"/>
  <c r="BN35" i="9"/>
  <c r="AL36" i="11" s="1"/>
  <c r="BP25" i="9"/>
  <c r="AN26" i="11" s="1"/>
  <c r="BQ18" i="9"/>
  <c r="BT29" i="9"/>
  <c r="AR30" i="11" s="1"/>
  <c r="BP40" i="9"/>
  <c r="BS31" i="9"/>
  <c r="BS15" i="9"/>
  <c r="BS36" i="9"/>
  <c r="AQ37" i="11" s="1"/>
  <c r="BQ36" i="9"/>
  <c r="AO37" i="11" s="1"/>
  <c r="BP17" i="9"/>
  <c r="BR37" i="9"/>
  <c r="BN15" i="9"/>
  <c r="AL16" i="11" s="1"/>
  <c r="BU32" i="9"/>
  <c r="AS33" i="11" s="1"/>
  <c r="BQ22" i="9"/>
  <c r="BR40" i="9"/>
  <c r="BQ43" i="9"/>
  <c r="AO44" i="11" s="1"/>
  <c r="BS41" i="9"/>
  <c r="AQ42" i="11" s="1"/>
  <c r="BS17" i="9"/>
  <c r="BR23" i="9"/>
  <c r="BQ19" i="9"/>
  <c r="BS26" i="9"/>
  <c r="BQ16" i="9"/>
  <c r="AO17" i="11" s="1"/>
  <c r="BO14" i="9"/>
  <c r="AM15" i="11" s="1"/>
  <c r="BN29" i="9"/>
  <c r="BQ26" i="9"/>
  <c r="BU22" i="9"/>
  <c r="BQ21" i="9"/>
  <c r="BT24" i="9"/>
  <c r="AR25" i="11" s="1"/>
  <c r="BR20" i="9"/>
  <c r="AP21" i="11" s="1"/>
  <c r="BN22" i="9"/>
  <c r="BU39" i="9"/>
  <c r="BR21" i="9"/>
  <c r="AP22" i="11" s="1"/>
  <c r="JN42" i="9"/>
  <c r="EP42" i="9" s="1"/>
  <c r="JN19" i="9"/>
  <c r="EP19" i="9" s="1"/>
  <c r="JN37" i="9"/>
  <c r="JN14" i="9"/>
  <c r="EP14" i="9" s="1"/>
  <c r="JN38" i="9"/>
  <c r="EP38" i="9" s="1"/>
  <c r="JN22" i="9"/>
  <c r="EP22" i="9" s="1"/>
  <c r="JN23" i="9"/>
  <c r="EP23" i="9" s="1"/>
  <c r="JN40" i="9"/>
  <c r="EP40" i="9" s="1"/>
  <c r="JN9" i="9"/>
  <c r="JN36" i="9"/>
  <c r="EP36" i="9" s="1"/>
  <c r="JN34" i="9"/>
  <c r="EP34" i="9" s="1"/>
  <c r="JN21" i="9"/>
  <c r="EP21" i="9" s="1"/>
  <c r="IL2" i="9"/>
  <c r="JN16" i="9"/>
  <c r="EP16" i="9" s="1"/>
  <c r="JN18" i="9"/>
  <c r="EP18" i="9" s="1"/>
  <c r="JN15" i="9"/>
  <c r="EP15" i="9" s="1"/>
  <c r="JN30" i="9"/>
  <c r="EP30" i="9" s="1"/>
  <c r="JN6" i="9"/>
  <c r="EP6" i="9" s="1"/>
  <c r="JN20" i="9"/>
  <c r="JN39" i="9"/>
  <c r="EP39" i="9" s="1"/>
  <c r="JN41" i="9"/>
  <c r="JN31" i="9"/>
  <c r="EP31" i="9" s="1"/>
  <c r="II2" i="9"/>
  <c r="JN5" i="9"/>
  <c r="EP5" i="9" s="1"/>
  <c r="JN28" i="9"/>
  <c r="EP28" i="9" s="1"/>
  <c r="JN4" i="9"/>
  <c r="EP4" i="9" s="1"/>
  <c r="JN26" i="9"/>
  <c r="EP26" i="9" s="1"/>
  <c r="JN7" i="9"/>
  <c r="EP7" i="9" s="1"/>
  <c r="JN17" i="9"/>
  <c r="EP17" i="9" s="1"/>
  <c r="JN29" i="9"/>
  <c r="EP29" i="9" s="1"/>
  <c r="JN10" i="9"/>
  <c r="JN13" i="9"/>
  <c r="EP13" i="9" s="1"/>
  <c r="JN24" i="9"/>
  <c r="EP24" i="9" s="1"/>
  <c r="JN33" i="9"/>
  <c r="EP33" i="9" s="1"/>
  <c r="IL30" i="9"/>
  <c r="FG30" i="9" s="1"/>
  <c r="II29" i="9"/>
  <c r="FD29" i="9" s="1"/>
  <c r="IE32" i="9"/>
  <c r="IF30" i="9"/>
  <c r="FA30" i="9" s="1"/>
  <c r="IG8" i="9"/>
  <c r="IL35" i="9"/>
  <c r="FG35" i="9" s="1"/>
  <c r="IF7" i="9"/>
  <c r="IF15" i="9"/>
  <c r="FA15" i="9" s="1"/>
  <c r="IG18" i="9"/>
  <c r="FB18" i="9" s="1"/>
  <c r="IK38" i="9"/>
  <c r="II14" i="9"/>
  <c r="IF40" i="9"/>
  <c r="FA40" i="9" s="1"/>
  <c r="IG15" i="9"/>
  <c r="FB15" i="9" s="1"/>
  <c r="IK25" i="9"/>
  <c r="IL14" i="9"/>
  <c r="IG39" i="9"/>
  <c r="IF43" i="9"/>
  <c r="FA43" i="9" s="1"/>
  <c r="IF26" i="9"/>
  <c r="FA26" i="9" s="1"/>
  <c r="II32" i="9"/>
  <c r="FD32" i="9" s="1"/>
  <c r="IE34" i="9"/>
  <c r="IL18" i="9"/>
  <c r="II40" i="9"/>
  <c r="FD40" i="9" s="1"/>
  <c r="IG2" i="9"/>
  <c r="FB2" i="9" s="1"/>
  <c r="FK2" i="9" s="1"/>
  <c r="II35" i="9"/>
  <c r="IF19" i="9"/>
  <c r="IF28" i="9"/>
  <c r="FA28" i="9" s="1"/>
  <c r="IK4" i="9"/>
  <c r="FF4" i="9" s="1"/>
  <c r="IK5" i="9"/>
  <c r="FF5" i="9" s="1"/>
  <c r="IF37" i="9"/>
  <c r="IG3" i="9"/>
  <c r="FB3" i="9" s="1"/>
  <c r="IG10" i="9"/>
  <c r="IK14" i="9"/>
  <c r="IK29" i="9"/>
  <c r="FF29" i="9" s="1"/>
  <c r="IL37" i="9"/>
  <c r="IF42" i="9"/>
  <c r="FA42" i="9" s="1"/>
  <c r="IL16" i="9"/>
  <c r="IL40" i="9"/>
  <c r="FG40" i="9" s="1"/>
  <c r="IL17" i="9"/>
  <c r="IG27" i="9"/>
  <c r="IK7" i="9"/>
  <c r="IG25" i="9"/>
  <c r="IK18" i="9"/>
  <c r="IE38" i="9"/>
  <c r="IK13" i="9"/>
  <c r="FF13" i="9" s="1"/>
  <c r="IG40" i="9"/>
  <c r="FB40" i="9" s="1"/>
  <c r="II10" i="9"/>
  <c r="IK37" i="9"/>
  <c r="IE3" i="9"/>
  <c r="EZ3" i="9" s="1"/>
  <c r="IG24" i="9"/>
  <c r="FB24" i="9" s="1"/>
  <c r="II31" i="9"/>
  <c r="FD31" i="9" s="1"/>
  <c r="IK15" i="9"/>
  <c r="FF15" i="9" s="1"/>
  <c r="IL28" i="9"/>
  <c r="FG28" i="9" s="1"/>
  <c r="IG17" i="9"/>
  <c r="IE40" i="9"/>
  <c r="EZ40" i="9" s="1"/>
  <c r="IK42" i="9"/>
  <c r="FF42" i="9" s="1"/>
  <c r="IF16" i="9"/>
  <c r="IG38" i="9"/>
  <c r="IE28" i="9"/>
  <c r="EZ28" i="9" s="1"/>
  <c r="IK20" i="9"/>
  <c r="IG19" i="9"/>
  <c r="IK33" i="9"/>
  <c r="FF33" i="9" s="1"/>
  <c r="IE25" i="9"/>
  <c r="II8" i="9"/>
  <c r="FD8" i="9" s="1"/>
  <c r="II38" i="9"/>
  <c r="IL42" i="9"/>
  <c r="FG42" i="9" s="1"/>
  <c r="IF5" i="9"/>
  <c r="IF17" i="9"/>
  <c r="II18" i="9"/>
  <c r="IE19" i="9"/>
  <c r="IG32" i="9"/>
  <c r="IE5" i="9"/>
  <c r="IE41" i="9"/>
  <c r="IE26" i="9"/>
  <c r="EZ26" i="9" s="1"/>
  <c r="IF22" i="9"/>
  <c r="IF39" i="9"/>
  <c r="IG31" i="9"/>
  <c r="FB31" i="9" s="1"/>
  <c r="IK28" i="9"/>
  <c r="FF28" i="9" s="1"/>
  <c r="IE20" i="9"/>
  <c r="IF41" i="9"/>
  <c r="IG4" i="9"/>
  <c r="IL19" i="9"/>
  <c r="IE30" i="9"/>
  <c r="EZ30" i="9" s="1"/>
  <c r="IL10" i="9"/>
  <c r="IK27" i="9"/>
  <c r="IG14" i="9"/>
  <c r="IG26" i="9"/>
  <c r="FB26" i="9" s="1"/>
  <c r="IL32" i="9"/>
  <c r="IE10" i="9"/>
  <c r="IL25" i="9"/>
  <c r="IF14" i="9"/>
  <c r="FA14" i="9" s="1"/>
  <c r="IE13" i="9"/>
  <c r="EZ13" i="9" s="1"/>
  <c r="IE7" i="9"/>
  <c r="IK26" i="9"/>
  <c r="FF26" i="9" s="1"/>
  <c r="IF13" i="9"/>
  <c r="FA13" i="9" s="1"/>
  <c r="IL31" i="9"/>
  <c r="FG31" i="9" s="1"/>
  <c r="II33" i="9"/>
  <c r="FD33" i="9" s="1"/>
  <c r="IE22" i="9"/>
  <c r="II21" i="9"/>
  <c r="IL26" i="9"/>
  <c r="FG26" i="9" s="1"/>
  <c r="IK35" i="9"/>
  <c r="IL6" i="9"/>
  <c r="FG6" i="9" s="1"/>
  <c r="II37" i="9"/>
  <c r="IL36" i="9"/>
  <c r="FG36" i="9" s="1"/>
  <c r="IK40" i="9"/>
  <c r="FF40" i="9" s="1"/>
  <c r="II3" i="9"/>
  <c r="FD3" i="9" s="1"/>
  <c r="IE21" i="9"/>
  <c r="EZ21" i="9" s="1"/>
  <c r="IE33" i="9"/>
  <c r="EZ33" i="9" s="1"/>
  <c r="II7" i="9"/>
  <c r="IG22" i="9"/>
  <c r="IK6" i="9"/>
  <c r="FF6" i="9" s="1"/>
  <c r="IG20" i="9"/>
  <c r="II13" i="9"/>
  <c r="FD13" i="9" s="1"/>
  <c r="II15" i="9"/>
  <c r="FD15" i="9" s="1"/>
  <c r="IG33" i="9"/>
  <c r="FB33" i="9" s="1"/>
  <c r="IE15" i="9"/>
  <c r="EZ15" i="9" s="1"/>
  <c r="IE9" i="9"/>
  <c r="IG16" i="9"/>
  <c r="II39" i="9"/>
  <c r="IL29" i="9"/>
  <c r="FG29" i="9" s="1"/>
  <c r="IL13" i="9"/>
  <c r="FG13" i="9" s="1"/>
  <c r="IE36" i="9"/>
  <c r="IK8" i="9"/>
  <c r="IK17" i="9"/>
  <c r="IK23" i="9"/>
  <c r="IL22" i="9"/>
  <c r="IK24" i="9"/>
  <c r="FF24" i="9" s="1"/>
  <c r="IL15" i="9"/>
  <c r="FG15" i="9" s="1"/>
  <c r="II17" i="9"/>
  <c r="IL39" i="9"/>
  <c r="IL43" i="9"/>
  <c r="FG43" i="9" s="1"/>
  <c r="IK30" i="9"/>
  <c r="FF30" i="9" s="1"/>
  <c r="IE4" i="9"/>
  <c r="IE42" i="9"/>
  <c r="EZ42" i="9" s="1"/>
  <c r="IL34" i="9"/>
  <c r="IG5" i="9"/>
  <c r="IE37" i="9"/>
  <c r="IF18" i="9"/>
  <c r="IK34" i="9"/>
  <c r="IF24" i="9"/>
  <c r="FA24" i="9" s="1"/>
  <c r="IF10" i="9"/>
  <c r="IK22" i="9"/>
  <c r="IE29" i="9"/>
  <c r="EZ29" i="9" s="1"/>
  <c r="II26" i="9"/>
  <c r="FD26" i="9" s="1"/>
  <c r="IF6" i="9"/>
  <c r="FA6" i="9" s="1"/>
  <c r="IG30" i="9"/>
  <c r="FB30" i="9" s="1"/>
  <c r="IK21" i="9"/>
  <c r="II16" i="9"/>
  <c r="IG37" i="9"/>
  <c r="IF9" i="9"/>
  <c r="IK31" i="9"/>
  <c r="FF31" i="9" s="1"/>
  <c r="IG42" i="9"/>
  <c r="FB42" i="9" s="1"/>
  <c r="IF32" i="9"/>
  <c r="IE39" i="9"/>
  <c r="IG29" i="9"/>
  <c r="FB29" i="9" s="1"/>
  <c r="IG13" i="9"/>
  <c r="FB13" i="9" s="1"/>
  <c r="IF31" i="9"/>
  <c r="FA31" i="9" s="1"/>
  <c r="IE43" i="9"/>
  <c r="EZ43" i="9" s="1"/>
  <c r="IE35" i="9"/>
  <c r="IE17" i="9"/>
  <c r="IK19" i="9"/>
  <c r="II6" i="9"/>
  <c r="FD6" i="9" s="1"/>
  <c r="II25" i="9"/>
  <c r="IE31" i="9"/>
  <c r="EZ31" i="9" s="1"/>
  <c r="II42" i="9"/>
  <c r="FD42" i="9" s="1"/>
  <c r="IK32" i="9"/>
  <c r="IE16" i="9"/>
  <c r="IE23" i="9"/>
  <c r="IK36" i="9"/>
  <c r="IF20" i="9"/>
  <c r="IG35" i="9"/>
  <c r="II41" i="9"/>
  <c r="IK3" i="9"/>
  <c r="FF3" i="9" s="1"/>
  <c r="IL24" i="9"/>
  <c r="FG24" i="9" s="1"/>
  <c r="IE27" i="9"/>
  <c r="IF38" i="9"/>
  <c r="IF3" i="9"/>
  <c r="FA3" i="9" s="1"/>
  <c r="IL7" i="9"/>
  <c r="FG7" i="9" s="1"/>
  <c r="IF29" i="9"/>
  <c r="FA29" i="9" s="1"/>
  <c r="II23" i="9"/>
  <c r="IE18" i="9"/>
  <c r="IF36" i="9"/>
  <c r="II43" i="9"/>
  <c r="FD43" i="9" s="1"/>
  <c r="IK41" i="9"/>
  <c r="IK39" i="9"/>
  <c r="II24" i="9"/>
  <c r="FD24" i="9" s="1"/>
  <c r="IG28" i="9"/>
  <c r="FB28" i="9" s="1"/>
  <c r="II20" i="9"/>
  <c r="IL27" i="9"/>
  <c r="IL41" i="9"/>
  <c r="IG34" i="9"/>
  <c r="IE24" i="9"/>
  <c r="EZ24" i="9" s="1"/>
  <c r="IL23" i="9"/>
  <c r="II28" i="9"/>
  <c r="FD28" i="9" s="1"/>
  <c r="IF35" i="9"/>
  <c r="II27" i="9"/>
  <c r="IL21" i="9"/>
  <c r="II19" i="9"/>
  <c r="II34" i="9"/>
  <c r="FD34" i="9" s="1"/>
  <c r="IG6" i="9"/>
  <c r="FB6" i="9" s="1"/>
  <c r="IG36" i="9"/>
  <c r="IF27" i="9"/>
  <c r="IL33" i="9"/>
  <c r="FG33" i="9" s="1"/>
  <c r="II30" i="9"/>
  <c r="FD30" i="9" s="1"/>
  <c r="II36" i="9"/>
  <c r="IK10" i="9"/>
  <c r="IG41" i="9"/>
  <c r="IE8" i="9"/>
  <c r="IF21" i="9"/>
  <c r="IF33" i="9"/>
  <c r="FA33" i="9" s="1"/>
  <c r="IL38" i="9"/>
  <c r="IE14" i="9"/>
  <c r="IG21" i="9"/>
  <c r="IG43" i="9"/>
  <c r="FB43" i="9" s="1"/>
  <c r="IK16" i="9"/>
  <c r="IK43" i="9"/>
  <c r="FF43" i="9" s="1"/>
  <c r="IF23" i="9"/>
  <c r="ID43" i="9"/>
  <c r="IL20" i="9"/>
  <c r="II22" i="9"/>
  <c r="IG23" i="9"/>
  <c r="IF2" i="9"/>
  <c r="FA2" i="9" s="1"/>
  <c r="FJ2" i="9" s="1"/>
  <c r="IF34" i="9"/>
  <c r="IF25" i="9"/>
  <c r="IL8" i="9"/>
  <c r="R2" i="8" a="1"/>
  <c r="BN7" i="10" l="1"/>
  <c r="CF7" i="10" s="1"/>
  <c r="CO7" i="10" s="1"/>
  <c r="B8" i="11" s="1"/>
  <c r="AE4" i="9"/>
  <c r="IE2" i="9"/>
  <c r="EZ2" i="9" s="1"/>
  <c r="FI2" i="9" s="1"/>
  <c r="AP9" i="11"/>
  <c r="AO10" i="11"/>
  <c r="AK9" i="9"/>
  <c r="J9" i="9" s="1"/>
  <c r="IL9" i="9"/>
  <c r="FG9" i="9" s="1"/>
  <c r="FP9" i="9" s="1"/>
  <c r="AJ2" i="9"/>
  <c r="I2" i="9" s="1"/>
  <c r="GK44" i="9"/>
  <c r="GT44" i="9" s="1"/>
  <c r="IM44" i="9" s="1"/>
  <c r="CF37" i="10"/>
  <c r="CO37" i="10" s="1"/>
  <c r="B38" i="11" s="1"/>
  <c r="CF12" i="10"/>
  <c r="CO12" i="10" s="1"/>
  <c r="CF21" i="10"/>
  <c r="CO21" i="10" s="1"/>
  <c r="B22" i="11" s="1"/>
  <c r="CF14" i="10"/>
  <c r="CO14" i="10" s="1"/>
  <c r="B15" i="11" s="1"/>
  <c r="CF30" i="10"/>
  <c r="CO30" i="10" s="1"/>
  <c r="B31" i="11" s="1"/>
  <c r="CO36" i="10"/>
  <c r="B37" i="11" s="1"/>
  <c r="CF35" i="10"/>
  <c r="CO35" i="10" s="1"/>
  <c r="B36" i="11" s="1"/>
  <c r="CF38" i="10"/>
  <c r="CO38" i="10" s="1"/>
  <c r="B39" i="11" s="1"/>
  <c r="CF34" i="10"/>
  <c r="CO34" i="10" s="1"/>
  <c r="B35" i="11" s="1"/>
  <c r="IG9" i="9"/>
  <c r="FB9" i="9" s="1"/>
  <c r="FK9" i="9" s="1"/>
  <c r="AH5" i="9"/>
  <c r="G5" i="9" s="1"/>
  <c r="II4" i="9"/>
  <c r="FD4" i="9" s="1"/>
  <c r="FM4" i="9" s="1"/>
  <c r="IL3" i="9"/>
  <c r="FG3" i="9" s="1"/>
  <c r="FP3" i="9" s="1"/>
  <c r="II5" i="9"/>
  <c r="FD5" i="9" s="1"/>
  <c r="FM5" i="9" s="1"/>
  <c r="IL5" i="9"/>
  <c r="FG5" i="9" s="1"/>
  <c r="FP5" i="9" s="1"/>
  <c r="AK5" i="9"/>
  <c r="J5" i="9" s="1"/>
  <c r="AI6" i="9"/>
  <c r="AI7" i="9"/>
  <c r="AF9" i="9"/>
  <c r="E9" i="9" s="1"/>
  <c r="CF23" i="10"/>
  <c r="CO23" i="10" s="1"/>
  <c r="B24" i="11" s="1"/>
  <c r="KO32" i="9"/>
  <c r="BN11" i="10"/>
  <c r="CF11" i="10" s="1"/>
  <c r="CO11" i="10" s="1"/>
  <c r="CF20" i="10"/>
  <c r="CO20" i="10" s="1"/>
  <c r="B21" i="11" s="1"/>
  <c r="AD2" i="9"/>
  <c r="C2" i="9" s="1"/>
  <c r="BN32" i="10"/>
  <c r="CF32" i="10" s="1"/>
  <c r="CO32" i="10" s="1"/>
  <c r="B33" i="11" s="1"/>
  <c r="AS2" i="11"/>
  <c r="AG8" i="9"/>
  <c r="CF22" i="10"/>
  <c r="CO22" i="10" s="1"/>
  <c r="B23" i="11" s="1"/>
  <c r="KO27" i="9"/>
  <c r="AM10" i="11"/>
  <c r="AI4" i="9"/>
  <c r="KT27" i="9"/>
  <c r="LC27" i="9" s="1"/>
  <c r="AO9" i="11"/>
  <c r="ID27" i="9"/>
  <c r="EY27" i="9" s="1"/>
  <c r="AQ8" i="11"/>
  <c r="AH4" i="9"/>
  <c r="G4" i="9" s="1"/>
  <c r="AK3" i="9"/>
  <c r="J3" i="9" s="1"/>
  <c r="AM8" i="11"/>
  <c r="HK5" i="9"/>
  <c r="AH9" i="9"/>
  <c r="G9" i="9" s="1"/>
  <c r="IF8" i="9"/>
  <c r="FA8" i="9" s="1"/>
  <c r="FJ8" i="9" s="1"/>
  <c r="II9" i="9"/>
  <c r="FD9" i="9" s="1"/>
  <c r="FM9" i="9" s="1"/>
  <c r="AQ4" i="11"/>
  <c r="AR5" i="11"/>
  <c r="AN5" i="11"/>
  <c r="AP2" i="11"/>
  <c r="AF7" i="9"/>
  <c r="E7" i="9" s="1"/>
  <c r="IG7" i="9"/>
  <c r="FB7" i="9" s="1"/>
  <c r="FK7" i="9" s="1"/>
  <c r="HF7" i="9"/>
  <c r="AJ9" i="9"/>
  <c r="I9" i="9" s="1"/>
  <c r="IK2" i="9"/>
  <c r="FF2" i="9" s="1"/>
  <c r="FO2" i="9" s="1"/>
  <c r="AQ6" i="11"/>
  <c r="AE8" i="9"/>
  <c r="D8" i="9" s="1"/>
  <c r="HI2" i="9"/>
  <c r="AN9" i="11"/>
  <c r="IF4" i="9"/>
  <c r="FA4" i="9" s="1"/>
  <c r="FJ4" i="9" s="1"/>
  <c r="IK9" i="9"/>
  <c r="FF9" i="9" s="1"/>
  <c r="FO9" i="9" s="1"/>
  <c r="IE6" i="9"/>
  <c r="EZ6" i="9" s="1"/>
  <c r="FI6" i="9" s="1"/>
  <c r="AO5" i="11"/>
  <c r="HI4" i="9"/>
  <c r="AS9" i="11"/>
  <c r="AP7" i="11"/>
  <c r="AK4" i="9"/>
  <c r="J4" i="9" s="1"/>
  <c r="CF39" i="10"/>
  <c r="CO39" i="10" s="1"/>
  <c r="B40" i="11" s="1"/>
  <c r="IL4" i="9"/>
  <c r="FG4" i="9" s="1"/>
  <c r="FP4" i="9" s="1"/>
  <c r="ID32" i="9"/>
  <c r="EY32" i="9" s="1"/>
  <c r="AD6" i="9"/>
  <c r="C6" i="9" s="1"/>
  <c r="HH4" i="9"/>
  <c r="AC8" i="9"/>
  <c r="DM8" i="8" s="1"/>
  <c r="CF18" i="10"/>
  <c r="CO18" i="10" s="1"/>
  <c r="B19" i="11" s="1"/>
  <c r="HF9" i="9"/>
  <c r="CF19" i="10"/>
  <c r="CO19" i="10" s="1"/>
  <c r="B20" i="11" s="1"/>
  <c r="AL8" i="11"/>
  <c r="DM7" i="8"/>
  <c r="B7" i="9"/>
  <c r="DM42" i="8"/>
  <c r="B42" i="9"/>
  <c r="DM22" i="8"/>
  <c r="B22" i="9"/>
  <c r="DM34" i="8"/>
  <c r="B34" i="9"/>
  <c r="DM41" i="8"/>
  <c r="B41" i="9"/>
  <c r="BW7" i="10"/>
  <c r="HK4" i="9"/>
  <c r="HK9" i="9"/>
  <c r="CF13" i="10"/>
  <c r="CO13" i="10" s="1"/>
  <c r="B14" i="11" s="1"/>
  <c r="AK8" i="11"/>
  <c r="DM19" i="8"/>
  <c r="B19" i="9"/>
  <c r="DM30" i="8"/>
  <c r="B30" i="9"/>
  <c r="DM24" i="8"/>
  <c r="B24" i="9"/>
  <c r="BN25" i="10"/>
  <c r="CF25" i="10" s="1"/>
  <c r="CO25" i="10" s="1"/>
  <c r="B26" i="11" s="1"/>
  <c r="BW25" i="10"/>
  <c r="HE4" i="9"/>
  <c r="HH9" i="9"/>
  <c r="DM4" i="8"/>
  <c r="B4" i="9"/>
  <c r="HK3" i="9"/>
  <c r="DM29" i="8"/>
  <c r="B29" i="9"/>
  <c r="DM31" i="8"/>
  <c r="B31" i="9"/>
  <c r="DM37" i="8"/>
  <c r="B37" i="9"/>
  <c r="DM10" i="8"/>
  <c r="B10" i="9"/>
  <c r="DM13" i="8"/>
  <c r="B13" i="9"/>
  <c r="BW28" i="10"/>
  <c r="CF33" i="10"/>
  <c r="CO33" i="10" s="1"/>
  <c r="B34" i="11" s="1"/>
  <c r="DM35" i="8"/>
  <c r="B35" i="9"/>
  <c r="DM17" i="8"/>
  <c r="B17" i="9"/>
  <c r="DM38" i="8"/>
  <c r="B38" i="9"/>
  <c r="DM40" i="8"/>
  <c r="B40" i="9"/>
  <c r="DM5" i="8"/>
  <c r="B5" i="9"/>
  <c r="DM6" i="8"/>
  <c r="B6" i="9"/>
  <c r="HJ2" i="9"/>
  <c r="HH5" i="9"/>
  <c r="DM20" i="8"/>
  <c r="B20" i="9"/>
  <c r="DM26" i="8"/>
  <c r="B26" i="9"/>
  <c r="DM23" i="8"/>
  <c r="B23" i="9"/>
  <c r="DM16" i="8"/>
  <c r="B16" i="9"/>
  <c r="DM21" i="8"/>
  <c r="B21" i="9"/>
  <c r="DM14" i="8"/>
  <c r="B14" i="9"/>
  <c r="DM39" i="8"/>
  <c r="B39" i="9"/>
  <c r="CF31" i="10"/>
  <c r="CO31" i="10" s="1"/>
  <c r="B32" i="11" s="1"/>
  <c r="DM9" i="8"/>
  <c r="B9" i="9"/>
  <c r="HE8" i="9"/>
  <c r="DM36" i="8"/>
  <c r="B36" i="9"/>
  <c r="DM18" i="8"/>
  <c r="B18" i="9"/>
  <c r="DM33" i="8"/>
  <c r="B33" i="9"/>
  <c r="HJ9" i="9"/>
  <c r="HG8" i="9"/>
  <c r="DM3" i="8"/>
  <c r="B3" i="9"/>
  <c r="HI7" i="9"/>
  <c r="HI6" i="9"/>
  <c r="AO6" i="11"/>
  <c r="AL7" i="11"/>
  <c r="AJ10" i="9"/>
  <c r="I10" i="9" s="1"/>
  <c r="AL10" i="11"/>
  <c r="AL6" i="11"/>
  <c r="AR2" i="11"/>
  <c r="AS6" i="11"/>
  <c r="AN6" i="11"/>
  <c r="AL4" i="11"/>
  <c r="CO24" i="10"/>
  <c r="B25" i="11" s="1"/>
  <c r="T45" i="12"/>
  <c r="GB45" i="9" s="1"/>
  <c r="B46" i="11"/>
  <c r="CO8" i="10"/>
  <c r="B9" i="11" s="1"/>
  <c r="CO10" i="10"/>
  <c r="B11" i="11" s="1"/>
  <c r="CO27" i="10"/>
  <c r="B28" i="11" s="1"/>
  <c r="CO15" i="10"/>
  <c r="B16" i="11" s="1"/>
  <c r="CO6" i="10"/>
  <c r="B7" i="11" s="1"/>
  <c r="CO41" i="10"/>
  <c r="B42" i="11" s="1"/>
  <c r="CO2" i="10"/>
  <c r="CO9" i="10"/>
  <c r="B10" i="11" s="1"/>
  <c r="CO40" i="10"/>
  <c r="B41" i="11" s="1"/>
  <c r="CO16" i="10"/>
  <c r="B17" i="11" s="1"/>
  <c r="CO26" i="10"/>
  <c r="B27" i="11" s="1"/>
  <c r="CO42" i="10"/>
  <c r="B43" i="11" s="1"/>
  <c r="CO29" i="10"/>
  <c r="B30" i="11" s="1"/>
  <c r="CO4" i="10"/>
  <c r="B5" i="11" s="1"/>
  <c r="CO3" i="10"/>
  <c r="B4" i="11" s="1"/>
  <c r="CO17" i="10"/>
  <c r="B18" i="11" s="1"/>
  <c r="CO5" i="10"/>
  <c r="B6" i="11" s="1"/>
  <c r="AL9" i="11"/>
  <c r="AN4" i="11"/>
  <c r="AL2" i="11"/>
  <c r="AP4" i="11"/>
  <c r="AQ5" i="11"/>
  <c r="AO4" i="11"/>
  <c r="AN7" i="11"/>
  <c r="KQ35" i="9"/>
  <c r="KZ35" i="9" s="1"/>
  <c r="AN2" i="11"/>
  <c r="KP7" i="9"/>
  <c r="KY7" i="9" s="1"/>
  <c r="KQ39" i="9"/>
  <c r="KZ39" i="9" s="1"/>
  <c r="AO7" i="11"/>
  <c r="AL5" i="11"/>
  <c r="DM2" i="8"/>
  <c r="KT34" i="9"/>
  <c r="LC34" i="9" s="1"/>
  <c r="KQ36" i="9"/>
  <c r="KZ36" i="9" s="1"/>
  <c r="KQ31" i="9"/>
  <c r="KZ31" i="9" s="1"/>
  <c r="KV26" i="9"/>
  <c r="LE26" i="9" s="1"/>
  <c r="AF20" i="9"/>
  <c r="E20" i="9" s="1"/>
  <c r="KT15" i="9"/>
  <c r="LC15" i="9" s="1"/>
  <c r="KT2" i="9"/>
  <c r="LC2" i="9" s="1"/>
  <c r="KT32" i="9"/>
  <c r="LC32" i="9" s="1"/>
  <c r="KP6" i="9"/>
  <c r="KR31" i="9"/>
  <c r="LA31" i="9" s="1"/>
  <c r="ID25" i="9"/>
  <c r="EY25" i="9" s="1"/>
  <c r="AK13" i="9"/>
  <c r="J13" i="9" s="1"/>
  <c r="AK27" i="9"/>
  <c r="J27" i="9" s="1"/>
  <c r="KV43" i="9"/>
  <c r="LE43" i="9" s="1"/>
  <c r="KV42" i="9"/>
  <c r="LE42" i="9" s="1"/>
  <c r="KV14" i="9"/>
  <c r="LE14" i="9" s="1"/>
  <c r="J8" i="9"/>
  <c r="AK41" i="9"/>
  <c r="J41" i="9" s="1"/>
  <c r="KT3" i="9"/>
  <c r="LC3" i="9" s="1"/>
  <c r="KT19" i="9"/>
  <c r="LC19" i="9" s="1"/>
  <c r="ID2" i="9"/>
  <c r="EY2" i="9" s="1"/>
  <c r="KO2" i="9"/>
  <c r="BN28" i="10"/>
  <c r="CF28" i="10" s="1"/>
  <c r="KV4" i="9"/>
  <c r="LE4" i="9" s="1"/>
  <c r="KT16" i="9"/>
  <c r="LC16" i="9" s="1"/>
  <c r="AF39" i="9"/>
  <c r="E39" i="9" s="1"/>
  <c r="AC32" i="9"/>
  <c r="ID36" i="9"/>
  <c r="EY36" i="9" s="1"/>
  <c r="KT6" i="9"/>
  <c r="LC6" i="9" s="1"/>
  <c r="ID8" i="9"/>
  <c r="EY8" i="9" s="1"/>
  <c r="AC27" i="9"/>
  <c r="KP30" i="9"/>
  <c r="KY30" i="9" s="1"/>
  <c r="KT22" i="9"/>
  <c r="LC22" i="9" s="1"/>
  <c r="KP33" i="9"/>
  <c r="KY33" i="9" s="1"/>
  <c r="KV36" i="9"/>
  <c r="LE36" i="9" s="1"/>
  <c r="KR15" i="9"/>
  <c r="LA15" i="9" s="1"/>
  <c r="KV2" i="9"/>
  <c r="AK21" i="9"/>
  <c r="J21" i="9" s="1"/>
  <c r="KR23" i="9"/>
  <c r="LA23" i="9" s="1"/>
  <c r="AK17" i="9"/>
  <c r="J17" i="9" s="1"/>
  <c r="J2" i="9"/>
  <c r="KR37" i="9"/>
  <c r="LA37" i="9" s="1"/>
  <c r="AE24" i="9"/>
  <c r="D24" i="9" s="1"/>
  <c r="KR24" i="9"/>
  <c r="LA24" i="9" s="1"/>
  <c r="KR19" i="9"/>
  <c r="LA19" i="9" s="1"/>
  <c r="KP26" i="9"/>
  <c r="KY26" i="9" s="1"/>
  <c r="KQ13" i="9"/>
  <c r="KZ13" i="9" s="1"/>
  <c r="AF26" i="9"/>
  <c r="E26" i="9" s="1"/>
  <c r="KQ43" i="9"/>
  <c r="KZ43" i="9" s="1"/>
  <c r="KV13" i="9"/>
  <c r="LE13" i="9" s="1"/>
  <c r="AK23" i="9"/>
  <c r="J23" i="9" s="1"/>
  <c r="AK29" i="9"/>
  <c r="J29" i="9" s="1"/>
  <c r="KV38" i="9"/>
  <c r="LE38" i="9" s="1"/>
  <c r="KT13" i="9"/>
  <c r="LC13" i="9" s="1"/>
  <c r="KR41" i="9"/>
  <c r="LA41" i="9" s="1"/>
  <c r="KP42" i="9"/>
  <c r="KY42" i="9" s="1"/>
  <c r="KP9" i="9"/>
  <c r="KY9" i="9" s="1"/>
  <c r="KT14" i="9"/>
  <c r="LC14" i="9" s="1"/>
  <c r="KP4" i="9"/>
  <c r="KY4" i="9" s="1"/>
  <c r="AF36" i="9"/>
  <c r="E36" i="9" s="1"/>
  <c r="KR2" i="9"/>
  <c r="LA2" i="9" s="1"/>
  <c r="KV22" i="9"/>
  <c r="LE22" i="9" s="1"/>
  <c r="AK32" i="9"/>
  <c r="J32" i="9" s="1"/>
  <c r="AC28" i="9"/>
  <c r="KV21" i="9"/>
  <c r="LE21" i="9" s="1"/>
  <c r="KQ2" i="9"/>
  <c r="KZ2" i="9" s="1"/>
  <c r="AM2" i="11"/>
  <c r="KR3" i="9"/>
  <c r="LA3" i="9" s="1"/>
  <c r="ID38" i="9"/>
  <c r="EY38" i="9" s="1"/>
  <c r="KT8" i="9"/>
  <c r="LC8" i="9" s="1"/>
  <c r="KQ22" i="9"/>
  <c r="KZ22" i="9" s="1"/>
  <c r="AK33" i="9"/>
  <c r="J33" i="9" s="1"/>
  <c r="AF22" i="9"/>
  <c r="E22" i="9" s="1"/>
  <c r="KP35" i="9"/>
  <c r="KY35" i="9" s="1"/>
  <c r="KP32" i="9"/>
  <c r="KY32" i="9" s="1"/>
  <c r="KP17" i="9"/>
  <c r="KY17" i="9" s="1"/>
  <c r="AE38" i="9"/>
  <c r="D38" i="9" s="1"/>
  <c r="AJ23" i="9"/>
  <c r="I23" i="9" s="1"/>
  <c r="AJ24" i="9"/>
  <c r="I24" i="9" s="1"/>
  <c r="KP13" i="9"/>
  <c r="KY13" i="9" s="1"/>
  <c r="KV25" i="9"/>
  <c r="LE25" i="9" s="1"/>
  <c r="KP14" i="9"/>
  <c r="KY14" i="9" s="1"/>
  <c r="KR30" i="9"/>
  <c r="LA30" i="9" s="1"/>
  <c r="AK19" i="9"/>
  <c r="J19" i="9" s="1"/>
  <c r="AE32" i="9"/>
  <c r="D32" i="9" s="1"/>
  <c r="KP8" i="9"/>
  <c r="KY8" i="9" s="1"/>
  <c r="KT21" i="9"/>
  <c r="LC21" i="9" s="1"/>
  <c r="AF13" i="9"/>
  <c r="E13" i="9" s="1"/>
  <c r="KV37" i="9"/>
  <c r="LE37" i="9" s="1"/>
  <c r="KP40" i="9"/>
  <c r="KY40" i="9" s="1"/>
  <c r="KT28" i="9"/>
  <c r="LC28" i="9" s="1"/>
  <c r="AK18" i="9"/>
  <c r="J18" i="9" s="1"/>
  <c r="KP5" i="9"/>
  <c r="KY5" i="9" s="1"/>
  <c r="KQ33" i="9"/>
  <c r="KZ33" i="9" s="1"/>
  <c r="KP18" i="9"/>
  <c r="KY18" i="9" s="1"/>
  <c r="KP10" i="9"/>
  <c r="KY10" i="9" s="1"/>
  <c r="KR28" i="9"/>
  <c r="LA28" i="9" s="1"/>
  <c r="KT18" i="9"/>
  <c r="LC18" i="9" s="1"/>
  <c r="AH29" i="9"/>
  <c r="G29" i="9" s="1"/>
  <c r="KV18" i="9"/>
  <c r="LE18" i="9" s="1"/>
  <c r="AF35" i="9"/>
  <c r="E35" i="9" s="1"/>
  <c r="KP31" i="9"/>
  <c r="KY31" i="9" s="1"/>
  <c r="KR32" i="9"/>
  <c r="LA32" i="9" s="1"/>
  <c r="AK28" i="9"/>
  <c r="J28" i="9" s="1"/>
  <c r="KP19" i="9"/>
  <c r="KY19" i="9" s="1"/>
  <c r="AK31" i="9"/>
  <c r="J31" i="9" s="1"/>
  <c r="FD38" i="9"/>
  <c r="FM38" i="9" s="1"/>
  <c r="FB21" i="9"/>
  <c r="FK21" i="9" s="1"/>
  <c r="FB41" i="9"/>
  <c r="FK41" i="9" s="1"/>
  <c r="EZ14" i="9"/>
  <c r="FI14" i="9" s="1"/>
  <c r="FF10" i="9"/>
  <c r="FO10" i="9" s="1"/>
  <c r="FB36" i="9"/>
  <c r="FK36" i="9" s="1"/>
  <c r="FG23" i="9"/>
  <c r="FP23" i="9" s="1"/>
  <c r="FD23" i="9"/>
  <c r="FM23" i="9" s="1"/>
  <c r="EZ27" i="9"/>
  <c r="FI27" i="9" s="1"/>
  <c r="FF19" i="9"/>
  <c r="FO19" i="9" s="1"/>
  <c r="FF17" i="9"/>
  <c r="FO17" i="9" s="1"/>
  <c r="FB22" i="9"/>
  <c r="FK22" i="9" s="1"/>
  <c r="FB32" i="9"/>
  <c r="FK32" i="9" s="1"/>
  <c r="FF20" i="9"/>
  <c r="FO20" i="9" s="1"/>
  <c r="FF18" i="9"/>
  <c r="FO18" i="9" s="1"/>
  <c r="FD35" i="9"/>
  <c r="FM35" i="9" s="1"/>
  <c r="EZ32" i="9"/>
  <c r="FI32" i="9" s="1"/>
  <c r="FG8" i="9"/>
  <c r="FP8" i="9" s="1"/>
  <c r="FA7" i="9"/>
  <c r="FJ7" i="9" s="1"/>
  <c r="FG38" i="9"/>
  <c r="FP38" i="9" s="1"/>
  <c r="FD36" i="9"/>
  <c r="FM36" i="9" s="1"/>
  <c r="EZ16" i="9"/>
  <c r="FI16" i="9" s="1"/>
  <c r="EZ17" i="9"/>
  <c r="FI17" i="9" s="1"/>
  <c r="EZ39" i="9"/>
  <c r="FI39" i="9" s="1"/>
  <c r="FA9" i="9"/>
  <c r="FJ9" i="9" s="1"/>
  <c r="FA18" i="9"/>
  <c r="FJ18" i="9" s="1"/>
  <c r="FG39" i="9"/>
  <c r="FP39" i="9" s="1"/>
  <c r="FD21" i="9"/>
  <c r="FM21" i="9" s="1"/>
  <c r="EZ7" i="9"/>
  <c r="FI7" i="9" s="1"/>
  <c r="FB17" i="9"/>
  <c r="FK17" i="9" s="1"/>
  <c r="FD10" i="9"/>
  <c r="FM10" i="9" s="1"/>
  <c r="FB25" i="9"/>
  <c r="FK25" i="9" s="1"/>
  <c r="FG37" i="9"/>
  <c r="FP37" i="9" s="1"/>
  <c r="FF16" i="9"/>
  <c r="FO16" i="9" s="1"/>
  <c r="EZ22" i="9"/>
  <c r="FI22" i="9" s="1"/>
  <c r="FD19" i="9"/>
  <c r="FM19" i="9" s="1"/>
  <c r="FB34" i="9"/>
  <c r="FK34" i="9" s="1"/>
  <c r="FD41" i="9"/>
  <c r="FM41" i="9" s="1"/>
  <c r="FA32" i="9"/>
  <c r="FJ32" i="9" s="1"/>
  <c r="FD16" i="9"/>
  <c r="FM16" i="9" s="1"/>
  <c r="FF22" i="9"/>
  <c r="FO22" i="9" s="1"/>
  <c r="FD17" i="9"/>
  <c r="FM17" i="9" s="1"/>
  <c r="FD39" i="9"/>
  <c r="FM39" i="9" s="1"/>
  <c r="FG19" i="9"/>
  <c r="FP19" i="9" s="1"/>
  <c r="FA22" i="9"/>
  <c r="FJ22" i="9" s="1"/>
  <c r="EZ19" i="9"/>
  <c r="FI19" i="9" s="1"/>
  <c r="FA16" i="9"/>
  <c r="FJ16" i="9" s="1"/>
  <c r="FB27" i="9"/>
  <c r="FK27" i="9" s="1"/>
  <c r="FA37" i="9"/>
  <c r="FJ37" i="9" s="1"/>
  <c r="FD22" i="9"/>
  <c r="FM22" i="9" s="1"/>
  <c r="EZ35" i="9"/>
  <c r="FI35" i="9" s="1"/>
  <c r="FB37" i="9"/>
  <c r="FK37" i="9" s="1"/>
  <c r="FA39" i="9"/>
  <c r="FJ39" i="9" s="1"/>
  <c r="FB38" i="9"/>
  <c r="FK38" i="9" s="1"/>
  <c r="FF7" i="9"/>
  <c r="FO7" i="9" s="1"/>
  <c r="FA25" i="9"/>
  <c r="FJ25" i="9" s="1"/>
  <c r="FG20" i="9"/>
  <c r="FP20" i="9" s="1"/>
  <c r="FA34" i="9"/>
  <c r="FJ34" i="9" s="1"/>
  <c r="FA21" i="9"/>
  <c r="FJ21" i="9" s="1"/>
  <c r="FG21" i="9"/>
  <c r="FP21" i="9" s="1"/>
  <c r="FG41" i="9"/>
  <c r="FP41" i="9" s="1"/>
  <c r="FF41" i="9"/>
  <c r="FO41" i="9" s="1"/>
  <c r="FB35" i="9"/>
  <c r="FK35" i="9" s="1"/>
  <c r="FF21" i="9"/>
  <c r="FO21" i="9" s="1"/>
  <c r="EZ4" i="9"/>
  <c r="FI4" i="9" s="1"/>
  <c r="FF8" i="9"/>
  <c r="FO8" i="9" s="1"/>
  <c r="FB16" i="9"/>
  <c r="FK16" i="9" s="1"/>
  <c r="FB20" i="9"/>
  <c r="FK20" i="9" s="1"/>
  <c r="FB14" i="9"/>
  <c r="FK14" i="9" s="1"/>
  <c r="FD18" i="9"/>
  <c r="FM18" i="9" s="1"/>
  <c r="EZ25" i="9"/>
  <c r="FI25" i="9" s="1"/>
  <c r="FG17" i="9"/>
  <c r="FP17" i="9" s="1"/>
  <c r="FF14" i="9"/>
  <c r="FO14" i="9" s="1"/>
  <c r="FG18" i="9"/>
  <c r="FP18" i="9" s="1"/>
  <c r="FD14" i="9"/>
  <c r="FM14" i="9" s="1"/>
  <c r="FF32" i="9"/>
  <c r="FO32" i="9" s="1"/>
  <c r="FG32" i="9"/>
  <c r="FP32" i="9" s="1"/>
  <c r="EZ8" i="9"/>
  <c r="FI8" i="9" s="1"/>
  <c r="FD27" i="9"/>
  <c r="FM27" i="9" s="1"/>
  <c r="FG27" i="9"/>
  <c r="FP27" i="9" s="1"/>
  <c r="FA20" i="9"/>
  <c r="FJ20" i="9" s="1"/>
  <c r="FD25" i="9"/>
  <c r="FM25" i="9" s="1"/>
  <c r="FA10" i="9"/>
  <c r="FJ10" i="9" s="1"/>
  <c r="EZ37" i="9"/>
  <c r="FI37" i="9" s="1"/>
  <c r="FD37" i="9"/>
  <c r="FM37" i="9" s="1"/>
  <c r="FB4" i="9"/>
  <c r="FK4" i="9" s="1"/>
  <c r="EZ41" i="9"/>
  <c r="FI41" i="9" s="1"/>
  <c r="FA17" i="9"/>
  <c r="FJ17" i="9" s="1"/>
  <c r="FB39" i="9"/>
  <c r="FK39" i="9" s="1"/>
  <c r="FF38" i="9"/>
  <c r="FO38" i="9" s="1"/>
  <c r="FB8" i="9"/>
  <c r="FK8" i="9" s="1"/>
  <c r="FD7" i="9"/>
  <c r="FM7" i="9" s="1"/>
  <c r="FA35" i="9"/>
  <c r="FJ35" i="9" s="1"/>
  <c r="FD20" i="9"/>
  <c r="FM20" i="9" s="1"/>
  <c r="FA36" i="9"/>
  <c r="FJ36" i="9" s="1"/>
  <c r="FF36" i="9"/>
  <c r="FO36" i="9" s="1"/>
  <c r="FB5" i="9"/>
  <c r="FK5" i="9" s="1"/>
  <c r="FG22" i="9"/>
  <c r="FP22" i="9" s="1"/>
  <c r="EZ36" i="9"/>
  <c r="FI36" i="9" s="1"/>
  <c r="EZ9" i="9"/>
  <c r="FI9" i="9" s="1"/>
  <c r="FG25" i="9"/>
  <c r="FP25" i="9" s="1"/>
  <c r="FF27" i="9"/>
  <c r="FO27" i="9" s="1"/>
  <c r="FA41" i="9"/>
  <c r="FJ41" i="9" s="1"/>
  <c r="FA5" i="9"/>
  <c r="FJ5" i="9" s="1"/>
  <c r="FB19" i="9"/>
  <c r="FK19" i="9" s="1"/>
  <c r="FG16" i="9"/>
  <c r="FP16" i="9" s="1"/>
  <c r="FB10" i="9"/>
  <c r="FK10" i="9" s="1"/>
  <c r="FG14" i="9"/>
  <c r="FP14" i="9" s="1"/>
  <c r="FF39" i="9"/>
  <c r="FO39" i="9" s="1"/>
  <c r="FA23" i="9"/>
  <c r="FJ23" i="9" s="1"/>
  <c r="FB23" i="9"/>
  <c r="FK23" i="9" s="1"/>
  <c r="FA27" i="9"/>
  <c r="FJ27" i="9" s="1"/>
  <c r="EZ18" i="9"/>
  <c r="FI18" i="9" s="1"/>
  <c r="FA38" i="9"/>
  <c r="FJ38" i="9" s="1"/>
  <c r="EZ23" i="9"/>
  <c r="FI23" i="9" s="1"/>
  <c r="FF34" i="9"/>
  <c r="FO34" i="9" s="1"/>
  <c r="FG34" i="9"/>
  <c r="FP34" i="9" s="1"/>
  <c r="FF23" i="9"/>
  <c r="FO23" i="9" s="1"/>
  <c r="FF35" i="9"/>
  <c r="FO35" i="9" s="1"/>
  <c r="EZ10" i="9"/>
  <c r="FI10" i="9" s="1"/>
  <c r="FG10" i="9"/>
  <c r="FP10" i="9" s="1"/>
  <c r="EZ20" i="9"/>
  <c r="FI20" i="9" s="1"/>
  <c r="EZ5" i="9"/>
  <c r="FI5" i="9" s="1"/>
  <c r="FF37" i="9"/>
  <c r="FO37" i="9" s="1"/>
  <c r="EZ38" i="9"/>
  <c r="FI38" i="9" s="1"/>
  <c r="FA19" i="9"/>
  <c r="FJ19" i="9" s="1"/>
  <c r="EZ34" i="9"/>
  <c r="FI34" i="9" s="1"/>
  <c r="FF25" i="9"/>
  <c r="FO25" i="9" s="1"/>
  <c r="KR34" i="9"/>
  <c r="LA34" i="9" s="1"/>
  <c r="AK37" i="9"/>
  <c r="J37" i="9" s="1"/>
  <c r="KQ34" i="9"/>
  <c r="KZ34" i="9" s="1"/>
  <c r="KP36" i="9"/>
  <c r="KY36" i="9" s="1"/>
  <c r="KP37" i="9"/>
  <c r="KY37" i="9" s="1"/>
  <c r="AK10" i="9"/>
  <c r="J10" i="9" s="1"/>
  <c r="E5" i="9"/>
  <c r="AD15" i="9"/>
  <c r="C15" i="9" s="1"/>
  <c r="KV35" i="9"/>
  <c r="LE35" i="9" s="1"/>
  <c r="AK36" i="9"/>
  <c r="J36" i="9" s="1"/>
  <c r="KP24" i="9"/>
  <c r="KY24" i="9" s="1"/>
  <c r="KR25" i="9"/>
  <c r="LA25" i="9" s="1"/>
  <c r="AK42" i="9"/>
  <c r="J42" i="9" s="1"/>
  <c r="KT41" i="9"/>
  <c r="LC41" i="9" s="1"/>
  <c r="KQ8" i="9"/>
  <c r="KP3" i="9"/>
  <c r="KY3" i="9" s="1"/>
  <c r="AF29" i="9"/>
  <c r="E29" i="9" s="1"/>
  <c r="KP23" i="9"/>
  <c r="KY23" i="9" s="1"/>
  <c r="AK39" i="9"/>
  <c r="J39" i="9" s="1"/>
  <c r="AS40" i="11"/>
  <c r="AO27" i="11"/>
  <c r="AQ18" i="11"/>
  <c r="KT37" i="9"/>
  <c r="LC37" i="9" s="1"/>
  <c r="AP38" i="11"/>
  <c r="AO19" i="11"/>
  <c r="KR42" i="9"/>
  <c r="LA42" i="9" s="1"/>
  <c r="AN43" i="11"/>
  <c r="KR43" i="9"/>
  <c r="LA43" i="9" s="1"/>
  <c r="AN44" i="11"/>
  <c r="KQ15" i="9"/>
  <c r="KZ15" i="9" s="1"/>
  <c r="AM16" i="11"/>
  <c r="KT26" i="9"/>
  <c r="LC26" i="9" s="1"/>
  <c r="AP27" i="11"/>
  <c r="KP27" i="9"/>
  <c r="KY27" i="9" s="1"/>
  <c r="AL28" i="11"/>
  <c r="KP16" i="9"/>
  <c r="KY16" i="9" s="1"/>
  <c r="AL17" i="11"/>
  <c r="AN10" i="11"/>
  <c r="AO8" i="11"/>
  <c r="AQ39" i="11"/>
  <c r="AE37" i="9"/>
  <c r="D37" i="9" s="1"/>
  <c r="AM38" i="11"/>
  <c r="KR14" i="9"/>
  <c r="LA14" i="9" s="1"/>
  <c r="AN15" i="11"/>
  <c r="AK40" i="9"/>
  <c r="J40" i="9" s="1"/>
  <c r="AS41" i="11"/>
  <c r="AJ34" i="9"/>
  <c r="I34" i="9" s="1"/>
  <c r="AR35" i="11"/>
  <c r="KV32" i="9"/>
  <c r="LE32" i="9" s="1"/>
  <c r="AR33" i="11"/>
  <c r="KT7" i="9"/>
  <c r="LC7" i="9" s="1"/>
  <c r="AP8" i="11"/>
  <c r="KQ42" i="9"/>
  <c r="KZ42" i="9" s="1"/>
  <c r="AM43" i="11"/>
  <c r="KQ30" i="9"/>
  <c r="KZ30" i="9" s="1"/>
  <c r="AM31" i="11"/>
  <c r="KT35" i="9"/>
  <c r="LC35" i="9" s="1"/>
  <c r="AP36" i="11"/>
  <c r="KP39" i="9"/>
  <c r="KY39" i="9" s="1"/>
  <c r="AL40" i="11"/>
  <c r="KQ29" i="9"/>
  <c r="KZ29" i="9" s="1"/>
  <c r="AM30" i="11"/>
  <c r="AQ30" i="11"/>
  <c r="KP25" i="9"/>
  <c r="KY25" i="9" s="1"/>
  <c r="AL26" i="11"/>
  <c r="KQ10" i="9"/>
  <c r="KZ10" i="9" s="1"/>
  <c r="AM11" i="11"/>
  <c r="KV7" i="9"/>
  <c r="LE7" i="9" s="1"/>
  <c r="AR8" i="11"/>
  <c r="KV8" i="9"/>
  <c r="LE8" i="9" s="1"/>
  <c r="AR9" i="11"/>
  <c r="KR10" i="9"/>
  <c r="LA10" i="9" s="1"/>
  <c r="AN11" i="11"/>
  <c r="AQ21" i="11"/>
  <c r="AK20" i="9"/>
  <c r="J20" i="9" s="1"/>
  <c r="AS21" i="11"/>
  <c r="KQ21" i="9"/>
  <c r="KZ21" i="9" s="1"/>
  <c r="AM22" i="11"/>
  <c r="AQ19" i="11"/>
  <c r="AS10" i="11"/>
  <c r="AK15" i="9"/>
  <c r="J15" i="9" s="1"/>
  <c r="KT31" i="9"/>
  <c r="LC31" i="9" s="1"/>
  <c r="KQ16" i="9"/>
  <c r="KZ16" i="9" s="1"/>
  <c r="KT17" i="9"/>
  <c r="LC17" i="9" s="1"/>
  <c r="KP22" i="9"/>
  <c r="KY22" i="9" s="1"/>
  <c r="AL23" i="11"/>
  <c r="AD29" i="9"/>
  <c r="C29" i="9" s="1"/>
  <c r="AL30" i="11"/>
  <c r="AF17" i="9"/>
  <c r="E17" i="9" s="1"/>
  <c r="AN18" i="11"/>
  <c r="KP38" i="9"/>
  <c r="KY38" i="9" s="1"/>
  <c r="AL39" i="11"/>
  <c r="J7" i="9"/>
  <c r="AS8" i="11"/>
  <c r="KV30" i="9"/>
  <c r="LE30" i="9" s="1"/>
  <c r="AR31" i="11"/>
  <c r="KQ41" i="9"/>
  <c r="KZ41" i="9" s="1"/>
  <c r="AM42" i="11"/>
  <c r="AK24" i="9"/>
  <c r="J24" i="9" s="1"/>
  <c r="KP43" i="9"/>
  <c r="KY43" i="9" s="1"/>
  <c r="KV9" i="9"/>
  <c r="AR10" i="11"/>
  <c r="KQ3" i="9"/>
  <c r="KZ3" i="9" s="1"/>
  <c r="AM4" i="11"/>
  <c r="AO41" i="11"/>
  <c r="AO15" i="11"/>
  <c r="KP34" i="9"/>
  <c r="KY34" i="9" s="1"/>
  <c r="AL35" i="11"/>
  <c r="KP20" i="9"/>
  <c r="KY20" i="9" s="1"/>
  <c r="KQ26" i="9"/>
  <c r="KZ26" i="9" s="1"/>
  <c r="AK14" i="9"/>
  <c r="J14" i="9" s="1"/>
  <c r="AQ27" i="11"/>
  <c r="KT40" i="9"/>
  <c r="LC40" i="9" s="1"/>
  <c r="AP41" i="11"/>
  <c r="AQ16" i="11"/>
  <c r="AQ7" i="11"/>
  <c r="AO42" i="11"/>
  <c r="KT24" i="9"/>
  <c r="LC24" i="9" s="1"/>
  <c r="AP25" i="11"/>
  <c r="KQ28" i="9"/>
  <c r="KZ28" i="9" s="1"/>
  <c r="AM29" i="11"/>
  <c r="AO16" i="11"/>
  <c r="KT30" i="9"/>
  <c r="LC30" i="9" s="1"/>
  <c r="AP31" i="11"/>
  <c r="AQ15" i="11"/>
  <c r="AQ17" i="11"/>
  <c r="AQ34" i="11"/>
  <c r="KT36" i="9"/>
  <c r="LC36" i="9" s="1"/>
  <c r="AP37" i="11"/>
  <c r="KT38" i="9"/>
  <c r="LC38" i="9" s="1"/>
  <c r="AP39" i="11"/>
  <c r="KV15" i="9"/>
  <c r="LE15" i="9" s="1"/>
  <c r="AR16" i="11"/>
  <c r="AQ10" i="11"/>
  <c r="KQ18" i="9"/>
  <c r="KZ18" i="9" s="1"/>
  <c r="AM19" i="11"/>
  <c r="KR21" i="9"/>
  <c r="LA21" i="9" s="1"/>
  <c r="AN22" i="11"/>
  <c r="KQ6" i="9"/>
  <c r="KZ6" i="9" s="1"/>
  <c r="AM7" i="11"/>
  <c r="AK26" i="9"/>
  <c r="J26" i="9" s="1"/>
  <c r="AS27" i="11"/>
  <c r="KQ27" i="9"/>
  <c r="KZ27" i="9" s="1"/>
  <c r="KQ17" i="9"/>
  <c r="KZ17" i="9" s="1"/>
  <c r="KV29" i="9"/>
  <c r="LE29" i="9" s="1"/>
  <c r="KQ7" i="9"/>
  <c r="KZ7" i="9" s="1"/>
  <c r="KT33" i="9"/>
  <c r="LC33" i="9" s="1"/>
  <c r="KT42" i="9"/>
  <c r="LC42" i="9" s="1"/>
  <c r="KQ14" i="9"/>
  <c r="KZ14" i="9" s="1"/>
  <c r="KR8" i="9"/>
  <c r="LA8" i="9" s="1"/>
  <c r="AO22" i="11"/>
  <c r="AO20" i="11"/>
  <c r="AO23" i="11"/>
  <c r="AQ32" i="11"/>
  <c r="KP21" i="9"/>
  <c r="KY21" i="9" s="1"/>
  <c r="AL22" i="11"/>
  <c r="KT9" i="9"/>
  <c r="AP10" i="11"/>
  <c r="AO14" i="11"/>
  <c r="AO38" i="11"/>
  <c r="KT39" i="9"/>
  <c r="LC39" i="9" s="1"/>
  <c r="AP40" i="11"/>
  <c r="KQ20" i="9"/>
  <c r="KZ20" i="9" s="1"/>
  <c r="AM21" i="11"/>
  <c r="AS4" i="11"/>
  <c r="AO31" i="11"/>
  <c r="KV17" i="9"/>
  <c r="LE17" i="9" s="1"/>
  <c r="AR18" i="11"/>
  <c r="KQ19" i="9"/>
  <c r="KZ19" i="9" s="1"/>
  <c r="AM20" i="11"/>
  <c r="AQ14" i="11"/>
  <c r="KV31" i="9"/>
  <c r="LE31" i="9" s="1"/>
  <c r="AR32" i="11"/>
  <c r="AH10" i="9"/>
  <c r="G10" i="9" s="1"/>
  <c r="AP11" i="11"/>
  <c r="AD41" i="9"/>
  <c r="C41" i="9" s="1"/>
  <c r="AL42" i="11"/>
  <c r="KT25" i="9"/>
  <c r="LC25" i="9" s="1"/>
  <c r="AP26" i="11"/>
  <c r="AK35" i="9"/>
  <c r="J35" i="9" s="1"/>
  <c r="AS36" i="11"/>
  <c r="KV27" i="9"/>
  <c r="LE27" i="9" s="1"/>
  <c r="KQ9" i="9"/>
  <c r="KZ9" i="9" s="1"/>
  <c r="KV40" i="9"/>
  <c r="LE40" i="9" s="1"/>
  <c r="KR4" i="9"/>
  <c r="LA4" i="9" s="1"/>
  <c r="KT20" i="9"/>
  <c r="LC20" i="9" s="1"/>
  <c r="AK38" i="9"/>
  <c r="J38" i="9" s="1"/>
  <c r="KR6" i="9"/>
  <c r="LA6" i="9" s="1"/>
  <c r="KR27" i="9"/>
  <c r="LA27" i="9" s="1"/>
  <c r="AF38" i="9"/>
  <c r="E38" i="9" s="1"/>
  <c r="KQ23" i="9"/>
  <c r="KZ23" i="9" s="1"/>
  <c r="AK25" i="9"/>
  <c r="J25" i="9" s="1"/>
  <c r="AE25" i="9"/>
  <c r="D25" i="9" s="1"/>
  <c r="AN8" i="11"/>
  <c r="AK22" i="9"/>
  <c r="J22" i="9" s="1"/>
  <c r="AS23" i="11"/>
  <c r="AH23" i="9"/>
  <c r="G23" i="9" s="1"/>
  <c r="AP24" i="11"/>
  <c r="AF40" i="9"/>
  <c r="E40" i="9" s="1"/>
  <c r="AN41" i="11"/>
  <c r="KQ5" i="9"/>
  <c r="KZ5" i="9" s="1"/>
  <c r="AM6" i="11"/>
  <c r="KR33" i="9"/>
  <c r="LA33" i="9" s="1"/>
  <c r="AN34" i="11"/>
  <c r="KV28" i="9"/>
  <c r="LE28" i="9" s="1"/>
  <c r="AR29" i="11"/>
  <c r="KV39" i="9"/>
  <c r="LE39" i="9" s="1"/>
  <c r="AR40" i="11"/>
  <c r="KR16" i="9"/>
  <c r="LA16" i="9" s="1"/>
  <c r="AN17" i="11"/>
  <c r="AO30" i="11"/>
  <c r="KR18" i="9"/>
  <c r="LA18" i="9" s="1"/>
  <c r="AN19" i="11"/>
  <c r="AK16" i="9"/>
  <c r="J16" i="9" s="1"/>
  <c r="AS17" i="11"/>
  <c r="KT43" i="9"/>
  <c r="LC43" i="9" s="1"/>
  <c r="AP44" i="11"/>
  <c r="AO25" i="11"/>
  <c r="KV5" i="9"/>
  <c r="LE5" i="9" s="1"/>
  <c r="AR6" i="11"/>
  <c r="J6" i="9"/>
  <c r="AS7" i="11"/>
  <c r="KV6" i="9"/>
  <c r="LE6" i="9" s="1"/>
  <c r="AR7" i="11"/>
  <c r="AK43" i="9"/>
  <c r="J43" i="9" s="1"/>
  <c r="AS44" i="11"/>
  <c r="KV33" i="9"/>
  <c r="LE33" i="9" s="1"/>
  <c r="AR34" i="11"/>
  <c r="KQ40" i="9"/>
  <c r="KZ40" i="9" s="1"/>
  <c r="AM41" i="11"/>
  <c r="KQ4" i="9"/>
  <c r="AM5" i="11"/>
  <c r="AQ44" i="11"/>
  <c r="AQ9" i="11"/>
  <c r="KV20" i="9"/>
  <c r="LE20" i="9" s="1"/>
  <c r="AR21" i="11"/>
  <c r="AP6" i="11"/>
  <c r="KV19" i="9"/>
  <c r="LE19" i="9" s="1"/>
  <c r="AR20" i="11"/>
  <c r="KV41" i="9"/>
  <c r="LE41" i="9" s="1"/>
  <c r="AR42" i="11"/>
  <c r="KP28" i="9"/>
  <c r="KY28" i="9" s="1"/>
  <c r="AL29" i="11"/>
  <c r="AS5" i="11"/>
  <c r="AJ16" i="9"/>
  <c r="I16" i="9" s="1"/>
  <c r="AR17" i="11"/>
  <c r="AK30" i="9"/>
  <c r="J30" i="9" s="1"/>
  <c r="AS31" i="11"/>
  <c r="KV3" i="9"/>
  <c r="LE3" i="9" s="1"/>
  <c r="AR4" i="11"/>
  <c r="AK34" i="9"/>
  <c r="J34" i="9" s="1"/>
  <c r="ID15" i="9"/>
  <c r="EY15" i="9" s="1"/>
  <c r="AC15" i="9"/>
  <c r="KO3" i="9"/>
  <c r="ID39" i="9"/>
  <c r="EY39" i="9" s="1"/>
  <c r="ID23" i="9"/>
  <c r="EY23" i="9" s="1"/>
  <c r="ID42" i="9"/>
  <c r="EY42" i="9" s="1"/>
  <c r="ID3" i="9"/>
  <c r="EY3" i="9" s="1"/>
  <c r="ID30" i="9"/>
  <c r="EY30" i="9" s="1"/>
  <c r="ID14" i="9"/>
  <c r="EY14" i="9" s="1"/>
  <c r="KO35" i="9"/>
  <c r="ID35" i="9"/>
  <c r="ID40" i="9"/>
  <c r="EY40" i="9" s="1"/>
  <c r="ID20" i="9"/>
  <c r="EP20" i="9"/>
  <c r="ID10" i="9"/>
  <c r="EP10" i="9"/>
  <c r="ID41" i="9"/>
  <c r="EP41" i="9"/>
  <c r="ID34" i="9"/>
  <c r="EY34" i="9" s="1"/>
  <c r="ID9" i="9"/>
  <c r="EP9" i="9"/>
  <c r="ID37" i="9"/>
  <c r="EP37" i="9"/>
  <c r="ID19" i="9"/>
  <c r="EY19" i="9" s="1"/>
  <c r="KO22" i="9"/>
  <c r="KO4" i="9"/>
  <c r="ID17" i="9"/>
  <c r="EY17" i="9" s="1"/>
  <c r="KO30" i="9"/>
  <c r="KO34" i="9"/>
  <c r="KO23" i="9"/>
  <c r="KO29" i="9"/>
  <c r="KO5" i="9"/>
  <c r="KO39" i="9"/>
  <c r="KO36" i="9"/>
  <c r="KO19" i="9"/>
  <c r="KO10" i="9"/>
  <c r="KO31" i="9"/>
  <c r="KO18" i="9"/>
  <c r="KO38" i="9"/>
  <c r="KO42" i="9"/>
  <c r="KO13" i="9"/>
  <c r="KO16" i="9"/>
  <c r="KO9" i="9"/>
  <c r="KO14" i="9"/>
  <c r="KO6" i="9"/>
  <c r="ID22" i="9"/>
  <c r="EY22" i="9" s="1"/>
  <c r="KO33" i="9"/>
  <c r="KO24" i="9"/>
  <c r="KO26" i="9"/>
  <c r="KO28" i="9"/>
  <c r="KO41" i="9"/>
  <c r="KO15" i="9"/>
  <c r="KO21" i="9"/>
  <c r="KO40" i="9"/>
  <c r="KO37" i="9"/>
  <c r="KO20" i="9"/>
  <c r="KO8" i="9"/>
  <c r="KO43" i="9"/>
  <c r="KX43" i="9" s="1"/>
  <c r="AC43" i="9"/>
  <c r="AC25" i="9"/>
  <c r="AF37" i="9"/>
  <c r="E37" i="9" s="1"/>
  <c r="KO17" i="9"/>
  <c r="FI21" i="9"/>
  <c r="ID6" i="9"/>
  <c r="EY6" i="9" s="1"/>
  <c r="FM8" i="9"/>
  <c r="FO5" i="9"/>
  <c r="FK18" i="9"/>
  <c r="FP35" i="9"/>
  <c r="ID4" i="9"/>
  <c r="FD2" i="9"/>
  <c r="FM2" i="9" s="1"/>
  <c r="KO25" i="9"/>
  <c r="FO4" i="9"/>
  <c r="FM34" i="9"/>
  <c r="FP7" i="9"/>
  <c r="FP36" i="9"/>
  <c r="FM32" i="9"/>
  <c r="FG2" i="9"/>
  <c r="FP2" i="9" s="1"/>
  <c r="FJ14" i="9"/>
  <c r="KO7" i="9"/>
  <c r="KQ37" i="9"/>
  <c r="KZ37" i="9" s="1"/>
  <c r="KV34" i="9"/>
  <c r="LE34" i="9" s="1"/>
  <c r="KW32" i="9"/>
  <c r="LF32" i="9" s="1"/>
  <c r="KT4" i="9"/>
  <c r="KR35" i="9"/>
  <c r="LA35" i="9" s="1"/>
  <c r="KR40" i="9"/>
  <c r="LA40" i="9" s="1"/>
  <c r="KW16" i="9"/>
  <c r="LF16" i="9" s="1"/>
  <c r="KW39" i="9"/>
  <c r="LF39" i="9" s="1"/>
  <c r="KP2" i="9"/>
  <c r="KW33" i="9"/>
  <c r="LF33" i="9" s="1"/>
  <c r="KW36" i="9"/>
  <c r="LF36" i="9" s="1"/>
  <c r="KR17" i="9"/>
  <c r="LA17" i="9" s="1"/>
  <c r="KQ32" i="9"/>
  <c r="KZ32" i="9" s="1"/>
  <c r="KW35" i="9"/>
  <c r="LF35" i="9" s="1"/>
  <c r="KR5" i="9"/>
  <c r="LA5" i="9" s="1"/>
  <c r="KW41" i="9"/>
  <c r="LF41" i="9" s="1"/>
  <c r="KR29" i="9"/>
  <c r="LA29" i="9" s="1"/>
  <c r="KW27" i="9"/>
  <c r="LF27" i="9" s="1"/>
  <c r="KW10" i="9"/>
  <c r="LF10" i="9" s="1"/>
  <c r="KW26" i="9"/>
  <c r="LF26" i="9" s="1"/>
  <c r="KR38" i="9"/>
  <c r="LA38" i="9" s="1"/>
  <c r="KW34" i="9"/>
  <c r="LF34" i="9" s="1"/>
  <c r="KW4" i="9"/>
  <c r="KW28" i="9"/>
  <c r="LF28" i="9" s="1"/>
  <c r="KW19" i="9"/>
  <c r="LF19" i="9" s="1"/>
  <c r="KT10" i="9"/>
  <c r="LC10" i="9" s="1"/>
  <c r="KW5" i="9"/>
  <c r="KW29" i="9"/>
  <c r="LF29" i="9" s="1"/>
  <c r="KR36" i="9"/>
  <c r="LA36" i="9" s="1"/>
  <c r="KW15" i="9"/>
  <c r="LF15" i="9" s="1"/>
  <c r="KR26" i="9"/>
  <c r="LA26" i="9" s="1"/>
  <c r="KW21" i="9"/>
  <c r="LF21" i="9" s="1"/>
  <c r="KR9" i="9"/>
  <c r="KW22" i="9"/>
  <c r="LF22" i="9" s="1"/>
  <c r="KW7" i="9"/>
  <c r="LF7" i="9" s="1"/>
  <c r="KW3" i="9"/>
  <c r="KW20" i="9"/>
  <c r="LF20" i="9" s="1"/>
  <c r="KQ38" i="9"/>
  <c r="KZ38" i="9" s="1"/>
  <c r="KW37" i="9"/>
  <c r="LF37" i="9" s="1"/>
  <c r="KR22" i="9"/>
  <c r="LA22" i="9" s="1"/>
  <c r="KV24" i="9"/>
  <c r="LE24" i="9" s="1"/>
  <c r="KV23" i="9"/>
  <c r="LE23" i="9" s="1"/>
  <c r="KW2" i="9"/>
  <c r="LF2" i="9" s="1"/>
  <c r="KP29" i="9"/>
  <c r="KY29" i="9" s="1"/>
  <c r="KR39" i="9"/>
  <c r="LA39" i="9" s="1"/>
  <c r="KP41" i="9"/>
  <c r="KY41" i="9" s="1"/>
  <c r="KW13" i="9"/>
  <c r="LF13" i="9" s="1"/>
  <c r="KP15" i="9"/>
  <c r="KY15" i="9" s="1"/>
  <c r="KW38" i="9"/>
  <c r="LF38" i="9" s="1"/>
  <c r="KR7" i="9"/>
  <c r="KR20" i="9"/>
  <c r="LA20" i="9" s="1"/>
  <c r="KW18" i="9"/>
  <c r="LF18" i="9" s="1"/>
  <c r="KW23" i="9"/>
  <c r="LF23" i="9" s="1"/>
  <c r="KV10" i="9"/>
  <c r="LE10" i="9" s="1"/>
  <c r="KT23" i="9"/>
  <c r="LC23" i="9" s="1"/>
  <c r="KW25" i="9"/>
  <c r="LF25" i="9" s="1"/>
  <c r="KT29" i="9"/>
  <c r="LC29" i="9" s="1"/>
  <c r="KW40" i="9"/>
  <c r="LF40" i="9" s="1"/>
  <c r="KW6" i="9"/>
  <c r="LF6" i="9" s="1"/>
  <c r="KW42" i="9"/>
  <c r="LF42" i="9" s="1"/>
  <c r="KQ24" i="9"/>
  <c r="KZ24" i="9" s="1"/>
  <c r="KW30" i="9"/>
  <c r="LF30" i="9" s="1"/>
  <c r="KW43" i="9"/>
  <c r="LF43" i="9" s="1"/>
  <c r="KW8" i="9"/>
  <c r="LF8" i="9" s="1"/>
  <c r="KW31" i="9"/>
  <c r="LF31" i="9" s="1"/>
  <c r="KW14" i="9"/>
  <c r="LF14" i="9" s="1"/>
  <c r="KT5" i="9"/>
  <c r="KW17" i="9"/>
  <c r="LF17" i="9" s="1"/>
  <c r="KQ25" i="9"/>
  <c r="KZ25" i="9" s="1"/>
  <c r="KV16" i="9"/>
  <c r="LE16" i="9" s="1"/>
  <c r="KR13" i="9"/>
  <c r="LA13" i="9" s="1"/>
  <c r="KW24" i="9"/>
  <c r="LF24" i="9" s="1"/>
  <c r="KW9" i="9"/>
  <c r="ID18" i="9"/>
  <c r="ID28" i="9"/>
  <c r="ID16" i="9"/>
  <c r="EY16" i="9" s="1"/>
  <c r="ID24" i="9"/>
  <c r="ID13" i="9"/>
  <c r="ID7" i="9"/>
  <c r="EY7" i="9" s="1"/>
  <c r="ID33" i="9"/>
  <c r="EY33" i="9" s="1"/>
  <c r="AH14" i="9"/>
  <c r="G14" i="9" s="1"/>
  <c r="D9" i="9"/>
  <c r="AE36" i="9"/>
  <c r="D36" i="9" s="1"/>
  <c r="AH43" i="9"/>
  <c r="G43" i="9" s="1"/>
  <c r="C5" i="9"/>
  <c r="E4" i="9"/>
  <c r="AE17" i="9"/>
  <c r="D17" i="9" s="1"/>
  <c r="AJ38" i="9"/>
  <c r="I38" i="9" s="1"/>
  <c r="AE29" i="9"/>
  <c r="D29" i="9" s="1"/>
  <c r="AJ36" i="9"/>
  <c r="I36" i="9" s="1"/>
  <c r="AD26" i="9"/>
  <c r="C26" i="9" s="1"/>
  <c r="D3" i="9"/>
  <c r="AH33" i="9"/>
  <c r="G33" i="9" s="1"/>
  <c r="E6" i="9"/>
  <c r="AE31" i="9"/>
  <c r="D31" i="9" s="1"/>
  <c r="AE18" i="9"/>
  <c r="D18" i="9" s="1"/>
  <c r="AJ14" i="9"/>
  <c r="I14" i="9" s="1"/>
  <c r="AE23" i="9"/>
  <c r="D23" i="9" s="1"/>
  <c r="AD25" i="9"/>
  <c r="C25" i="9" s="1"/>
  <c r="AF16" i="9"/>
  <c r="E16" i="9" s="1"/>
  <c r="AJ35" i="9"/>
  <c r="I35" i="9" s="1"/>
  <c r="AD13" i="9"/>
  <c r="C13" i="9" s="1"/>
  <c r="AE40" i="9"/>
  <c r="D40" i="9" s="1"/>
  <c r="AF32" i="9"/>
  <c r="E32" i="9" s="1"/>
  <c r="AE43" i="9"/>
  <c r="D43" i="9" s="1"/>
  <c r="D7" i="9"/>
  <c r="AH13" i="9"/>
  <c r="G13" i="9" s="1"/>
  <c r="AE13" i="9"/>
  <c r="D13" i="9" s="1"/>
  <c r="AJ30" i="9"/>
  <c r="I30" i="9" s="1"/>
  <c r="AH34" i="9"/>
  <c r="G34" i="9" s="1"/>
  <c r="AH41" i="9"/>
  <c r="G41" i="9" s="1"/>
  <c r="AE35" i="9"/>
  <c r="D35" i="9" s="1"/>
  <c r="C3" i="9"/>
  <c r="AD32" i="9"/>
  <c r="C32" i="9" s="1"/>
  <c r="AH39" i="9"/>
  <c r="G39" i="9" s="1"/>
  <c r="G2" i="9"/>
  <c r="AJ27" i="9"/>
  <c r="I27" i="9" s="1"/>
  <c r="AJ19" i="9"/>
  <c r="I19" i="9" s="1"/>
  <c r="E3" i="9"/>
  <c r="I4" i="9"/>
  <c r="AD37" i="9"/>
  <c r="C37" i="9" s="1"/>
  <c r="AH16" i="9"/>
  <c r="G16" i="9" s="1"/>
  <c r="AH28" i="9"/>
  <c r="G28" i="9" s="1"/>
  <c r="AH20" i="9"/>
  <c r="G20" i="9" s="1"/>
  <c r="AE42" i="9"/>
  <c r="D42" i="9" s="1"/>
  <c r="AJ33" i="9"/>
  <c r="I33" i="9" s="1"/>
  <c r="AH31" i="9"/>
  <c r="G31" i="9" s="1"/>
  <c r="AF27" i="9"/>
  <c r="E27" i="9" s="1"/>
  <c r="AD22" i="9"/>
  <c r="C22" i="9" s="1"/>
  <c r="AE28" i="9"/>
  <c r="D28" i="9" s="1"/>
  <c r="AF41" i="9"/>
  <c r="E41" i="9" s="1"/>
  <c r="AJ40" i="9"/>
  <c r="I40" i="9" s="1"/>
  <c r="AJ37" i="9"/>
  <c r="I37" i="9" s="1"/>
  <c r="AH35" i="9"/>
  <c r="G35" i="9" s="1"/>
  <c r="AE10" i="9"/>
  <c r="D10" i="9" s="1"/>
  <c r="AF30" i="9"/>
  <c r="E30" i="9" s="1"/>
  <c r="AF43" i="9"/>
  <c r="E43" i="9" s="1"/>
  <c r="AJ42" i="9"/>
  <c r="I42" i="9" s="1"/>
  <c r="AD28" i="9"/>
  <c r="C28" i="9" s="1"/>
  <c r="AF21" i="9"/>
  <c r="E21" i="9" s="1"/>
  <c r="AD19" i="9"/>
  <c r="C19" i="9" s="1"/>
  <c r="AH32" i="9"/>
  <c r="G32" i="9" s="1"/>
  <c r="AE20" i="9"/>
  <c r="D20" i="9" s="1"/>
  <c r="AD27" i="9"/>
  <c r="C27" i="9" s="1"/>
  <c r="AJ18" i="9"/>
  <c r="I18" i="9" s="1"/>
  <c r="C7" i="9"/>
  <c r="AD17" i="9"/>
  <c r="C17" i="9" s="1"/>
  <c r="AD36" i="9"/>
  <c r="C36" i="9" s="1"/>
  <c r="AH22" i="9"/>
  <c r="G22" i="9" s="1"/>
  <c r="AD20" i="9"/>
  <c r="C20" i="9" s="1"/>
  <c r="AE27" i="9"/>
  <c r="D27" i="9" s="1"/>
  <c r="AJ21" i="9"/>
  <c r="I21" i="9" s="1"/>
  <c r="AD42" i="9"/>
  <c r="C42" i="9" s="1"/>
  <c r="AJ17" i="9"/>
  <c r="I17" i="9" s="1"/>
  <c r="AJ22" i="9"/>
  <c r="I22" i="9" s="1"/>
  <c r="AF14" i="9"/>
  <c r="E14" i="9" s="1"/>
  <c r="AD24" i="9"/>
  <c r="C24" i="9" s="1"/>
  <c r="AJ26" i="9"/>
  <c r="I26" i="9" s="1"/>
  <c r="AE33" i="9"/>
  <c r="D33" i="9" s="1"/>
  <c r="AH15" i="9"/>
  <c r="G15" i="9" s="1"/>
  <c r="AH40" i="9"/>
  <c r="G40" i="9" s="1"/>
  <c r="AD35" i="9"/>
  <c r="C35" i="9" s="1"/>
  <c r="AH36" i="9"/>
  <c r="G36" i="9" s="1"/>
  <c r="D5" i="9"/>
  <c r="G6" i="9"/>
  <c r="AF24" i="9"/>
  <c r="E24" i="9" s="1"/>
  <c r="C9" i="9"/>
  <c r="AH27" i="9"/>
  <c r="G27" i="9" s="1"/>
  <c r="AD30" i="9"/>
  <c r="C30" i="9" s="1"/>
  <c r="AF31" i="9"/>
  <c r="E31" i="9" s="1"/>
  <c r="AD38" i="9"/>
  <c r="C38" i="9" s="1"/>
  <c r="AH38" i="9"/>
  <c r="G38" i="9" s="1"/>
  <c r="AJ32" i="9"/>
  <c r="I32" i="9" s="1"/>
  <c r="I7" i="9"/>
  <c r="AD39" i="9"/>
  <c r="C39" i="9" s="1"/>
  <c r="AD40" i="9"/>
  <c r="C40" i="9" s="1"/>
  <c r="G8" i="9"/>
  <c r="AF25" i="9"/>
  <c r="E25" i="9" s="1"/>
  <c r="G3" i="9"/>
  <c r="D6" i="9"/>
  <c r="I6" i="9"/>
  <c r="AE26" i="9"/>
  <c r="D26" i="9" s="1"/>
  <c r="AE14" i="9"/>
  <c r="D14" i="9" s="1"/>
  <c r="AH30" i="9"/>
  <c r="G30" i="9" s="1"/>
  <c r="AD43" i="9"/>
  <c r="C43" i="9" s="1"/>
  <c r="AE30" i="9"/>
  <c r="D30" i="9" s="1"/>
  <c r="AJ39" i="9"/>
  <c r="I39" i="9" s="1"/>
  <c r="AD34" i="9"/>
  <c r="C34" i="9" s="1"/>
  <c r="C4" i="9"/>
  <c r="AF10" i="9"/>
  <c r="E10" i="9" s="1"/>
  <c r="AJ13" i="9"/>
  <c r="I13" i="9" s="1"/>
  <c r="AH17" i="9"/>
  <c r="G17" i="9" s="1"/>
  <c r="E2" i="9"/>
  <c r="AF34" i="9"/>
  <c r="E34" i="9" s="1"/>
  <c r="AE41" i="9"/>
  <c r="D41" i="9" s="1"/>
  <c r="AJ41" i="9"/>
  <c r="I41" i="9" s="1"/>
  <c r="I3" i="9"/>
  <c r="AJ25" i="9"/>
  <c r="I25" i="9" s="1"/>
  <c r="AD14" i="9"/>
  <c r="C14" i="9" s="1"/>
  <c r="AJ15" i="9"/>
  <c r="I15" i="9" s="1"/>
  <c r="AF23" i="9"/>
  <c r="E23" i="9" s="1"/>
  <c r="AH37" i="9"/>
  <c r="G37" i="9" s="1"/>
  <c r="AH26" i="9"/>
  <c r="G26" i="9" s="1"/>
  <c r="AF15" i="9"/>
  <c r="E15" i="9" s="1"/>
  <c r="AJ28" i="9"/>
  <c r="I28" i="9" s="1"/>
  <c r="AH42" i="9"/>
  <c r="G42" i="9" s="1"/>
  <c r="AJ31" i="9"/>
  <c r="I31" i="9" s="1"/>
  <c r="D2" i="9"/>
  <c r="AD16" i="9"/>
  <c r="C16" i="9" s="1"/>
  <c r="AD10" i="9"/>
  <c r="C10" i="9" s="1"/>
  <c r="AH18" i="9"/>
  <c r="G18" i="9" s="1"/>
  <c r="AF18" i="9"/>
  <c r="E18" i="9" s="1"/>
  <c r="AE34" i="9"/>
  <c r="D34" i="9" s="1"/>
  <c r="C8" i="9"/>
  <c r="AE39" i="9"/>
  <c r="D39" i="9" s="1"/>
  <c r="G7" i="9"/>
  <c r="AH25" i="9"/>
  <c r="G25" i="9" s="1"/>
  <c r="AD23" i="9"/>
  <c r="C23" i="9" s="1"/>
  <c r="AJ20" i="9"/>
  <c r="I20" i="9" s="1"/>
  <c r="AD31" i="9"/>
  <c r="C31" i="9" s="1"/>
  <c r="AD21" i="9"/>
  <c r="C21" i="9" s="1"/>
  <c r="AF19" i="9"/>
  <c r="E19" i="9" s="1"/>
  <c r="AF33" i="9"/>
  <c r="E33" i="9" s="1"/>
  <c r="AD33" i="9"/>
  <c r="C33" i="9" s="1"/>
  <c r="AJ29" i="9"/>
  <c r="I29" i="9" s="1"/>
  <c r="D4" i="9"/>
  <c r="I8" i="9"/>
  <c r="AE22" i="9"/>
  <c r="D22" i="9" s="1"/>
  <c r="AH24" i="9"/>
  <c r="G24" i="9" s="1"/>
  <c r="AF42" i="9"/>
  <c r="E42" i="9" s="1"/>
  <c r="AE15" i="9"/>
  <c r="D15" i="9" s="1"/>
  <c r="AD18" i="9"/>
  <c r="C18" i="9" s="1"/>
  <c r="AE19" i="9"/>
  <c r="D19" i="9" s="1"/>
  <c r="AF28" i="9"/>
  <c r="E28" i="9" s="1"/>
  <c r="AJ43" i="9"/>
  <c r="I43" i="9" s="1"/>
  <c r="AH19" i="9"/>
  <c r="G19" i="9" s="1"/>
  <c r="AE16" i="9"/>
  <c r="D16" i="9" s="1"/>
  <c r="E8" i="9"/>
  <c r="I5" i="9"/>
  <c r="AH21" i="9"/>
  <c r="G21" i="9" s="1"/>
  <c r="AE21" i="9"/>
  <c r="D21" i="9" s="1"/>
  <c r="FP43" i="9"/>
  <c r="FI13" i="9"/>
  <c r="FK29" i="9"/>
  <c r="FP26" i="9"/>
  <c r="FK31" i="9"/>
  <c r="FM15" i="9"/>
  <c r="ID26" i="9"/>
  <c r="EY26" i="9" s="1"/>
  <c r="ID29" i="9"/>
  <c r="FI24" i="9"/>
  <c r="ID21" i="9"/>
  <c r="EY21" i="9" s="1"/>
  <c r="FI15" i="9"/>
  <c r="FO3" i="9"/>
  <c r="FP33" i="9"/>
  <c r="FM43" i="9"/>
  <c r="FO26" i="9"/>
  <c r="FM29" i="9"/>
  <c r="FM40" i="9"/>
  <c r="FI3" i="9"/>
  <c r="FK13" i="9"/>
  <c r="FM3" i="9"/>
  <c r="FP6" i="9"/>
  <c r="FI40" i="9"/>
  <c r="FK24" i="9"/>
  <c r="FJ24" i="9"/>
  <c r="FM30" i="9"/>
  <c r="FK28" i="9"/>
  <c r="FJ29" i="9"/>
  <c r="FP40" i="9"/>
  <c r="FJ30" i="9"/>
  <c r="FJ3" i="9"/>
  <c r="FP13" i="9"/>
  <c r="FJ15" i="9"/>
  <c r="FP30" i="9"/>
  <c r="FP24" i="9"/>
  <c r="FP29" i="9"/>
  <c r="FJ40" i="9"/>
  <c r="EY43" i="9"/>
  <c r="FK43" i="9"/>
  <c r="FK26" i="9"/>
  <c r="FI30" i="9"/>
  <c r="FI26" i="9"/>
  <c r="FJ43" i="9"/>
  <c r="FK15" i="9"/>
  <c r="FI43" i="9"/>
  <c r="FJ31" i="9"/>
  <c r="FK42" i="9"/>
  <c r="FP15" i="9"/>
  <c r="FO13" i="9"/>
  <c r="ID5" i="9"/>
  <c r="EY5" i="9" s="1"/>
  <c r="FM28" i="9"/>
  <c r="FI29" i="9"/>
  <c r="FK33" i="9"/>
  <c r="FM33" i="9"/>
  <c r="FJ13" i="9"/>
  <c r="FP42" i="9"/>
  <c r="FO42" i="9"/>
  <c r="FO29" i="9"/>
  <c r="FK3" i="9"/>
  <c r="FJ28" i="9"/>
  <c r="ID31" i="9"/>
  <c r="FI31" i="9"/>
  <c r="FM6" i="9"/>
  <c r="FO24" i="9"/>
  <c r="FM13" i="9"/>
  <c r="FO6" i="9"/>
  <c r="FJ42" i="9"/>
  <c r="FK6" i="9"/>
  <c r="FO31" i="9"/>
  <c r="FJ6" i="9"/>
  <c r="FP31" i="9"/>
  <c r="FO28" i="9"/>
  <c r="FO33" i="9"/>
  <c r="FI28" i="9"/>
  <c r="FP28" i="9"/>
  <c r="FK40" i="9"/>
  <c r="FJ26" i="9"/>
  <c r="FJ33" i="9"/>
  <c r="FM24" i="9"/>
  <c r="FM26" i="9"/>
  <c r="FO15" i="9"/>
  <c r="FO43" i="9"/>
  <c r="FM42" i="9"/>
  <c r="FK30" i="9"/>
  <c r="FI42" i="9"/>
  <c r="FO30" i="9"/>
  <c r="FI33" i="9"/>
  <c r="FO40" i="9"/>
  <c r="FM31" i="9"/>
  <c r="R2" i="8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2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LF9" i="9" l="1"/>
  <c r="KX41" i="9"/>
  <c r="L2" i="12"/>
  <c r="U2" i="12" s="1"/>
  <c r="GC2" i="9" s="1"/>
  <c r="GL2" i="9" s="1"/>
  <c r="LE2" i="9"/>
  <c r="KY2" i="9"/>
  <c r="KX36" i="9"/>
  <c r="LF4" i="9"/>
  <c r="KX37" i="9"/>
  <c r="KX42" i="9"/>
  <c r="LA7" i="9"/>
  <c r="KX25" i="9"/>
  <c r="KZ4" i="9"/>
  <c r="LC4" i="9"/>
  <c r="KX17" i="9"/>
  <c r="LC9" i="9"/>
  <c r="KY6" i="9"/>
  <c r="LA9" i="9"/>
  <c r="KX15" i="9"/>
  <c r="KX14" i="9"/>
  <c r="KX10" i="9"/>
  <c r="KX27" i="9"/>
  <c r="LC5" i="9"/>
  <c r="L4" i="12"/>
  <c r="B8" i="9"/>
  <c r="KX21" i="9"/>
  <c r="KX6" i="9"/>
  <c r="KX31" i="9"/>
  <c r="KX34" i="9"/>
  <c r="KX7" i="9"/>
  <c r="KX30" i="9"/>
  <c r="KX19" i="9"/>
  <c r="KX3" i="9"/>
  <c r="L3" i="12"/>
  <c r="LF3" i="9"/>
  <c r="KX33" i="9"/>
  <c r="KX38" i="9"/>
  <c r="KX29" i="9"/>
  <c r="KX40" i="9"/>
  <c r="KX18" i="9"/>
  <c r="KX23" i="9"/>
  <c r="KX32" i="9"/>
  <c r="KX9" i="9"/>
  <c r="GK45" i="9"/>
  <c r="GT45" i="9" s="1"/>
  <c r="IM45" i="9" s="1"/>
  <c r="KX28" i="9"/>
  <c r="KX16" i="9"/>
  <c r="KX4" i="9"/>
  <c r="KX35" i="9"/>
  <c r="KX8" i="9"/>
  <c r="KX26" i="9"/>
  <c r="KX13" i="9"/>
  <c r="KX39" i="9"/>
  <c r="KX22" i="9"/>
  <c r="KX20" i="9"/>
  <c r="KX24" i="9"/>
  <c r="KX5" i="9"/>
  <c r="LF5" i="9"/>
  <c r="LE9" i="9"/>
  <c r="KZ8" i="9"/>
  <c r="DM32" i="8"/>
  <c r="B32" i="9"/>
  <c r="DM25" i="8"/>
  <c r="B25" i="9"/>
  <c r="DM43" i="8"/>
  <c r="B43" i="9"/>
  <c r="DM27" i="8"/>
  <c r="B27" i="9"/>
  <c r="DM28" i="8"/>
  <c r="B28" i="9"/>
  <c r="DM15" i="8"/>
  <c r="B15" i="9"/>
  <c r="CO28" i="10"/>
  <c r="B29" i="11" s="1"/>
  <c r="DO2" i="8"/>
  <c r="DO6" i="8"/>
  <c r="DO33" i="8"/>
  <c r="DO40" i="8"/>
  <c r="DO5" i="8"/>
  <c r="DO16" i="8"/>
  <c r="DO18" i="8"/>
  <c r="DO38" i="8"/>
  <c r="DO9" i="8"/>
  <c r="DO21" i="8"/>
  <c r="DO10" i="8"/>
  <c r="DO26" i="8"/>
  <c r="DO20" i="8"/>
  <c r="DO39" i="8"/>
  <c r="DO30" i="8"/>
  <c r="DO36" i="8"/>
  <c r="DO14" i="8"/>
  <c r="DO4" i="8"/>
  <c r="DO7" i="8"/>
  <c r="DO19" i="8"/>
  <c r="DO22" i="8"/>
  <c r="DO13" i="8"/>
  <c r="DO3" i="8"/>
  <c r="DO31" i="8"/>
  <c r="DO17" i="8"/>
  <c r="DO24" i="8"/>
  <c r="DO35" i="8"/>
  <c r="DO29" i="8"/>
  <c r="DO34" i="8"/>
  <c r="DO37" i="8"/>
  <c r="DO41" i="8"/>
  <c r="DO23" i="8"/>
  <c r="DO42" i="8"/>
  <c r="R2" i="12"/>
  <c r="P2" i="12"/>
  <c r="Y2" i="12" s="1"/>
  <c r="GG2" i="9" s="1"/>
  <c r="GP2" i="9" s="1"/>
  <c r="M2" i="12"/>
  <c r="S2" i="12"/>
  <c r="KX2" i="9"/>
  <c r="N2" i="12"/>
  <c r="EY35" i="9"/>
  <c r="FH35" i="9" s="1"/>
  <c r="EY9" i="9"/>
  <c r="FH9" i="9" s="1"/>
  <c r="EY20" i="9"/>
  <c r="FH20" i="9" s="1"/>
  <c r="EY10" i="9"/>
  <c r="FH10" i="9" s="1"/>
  <c r="EY37" i="9"/>
  <c r="FH37" i="9" s="1"/>
  <c r="EY41" i="9"/>
  <c r="FH41" i="9" s="1"/>
  <c r="EY18" i="9"/>
  <c r="FH18" i="9" s="1"/>
  <c r="EY13" i="9"/>
  <c r="EY31" i="9"/>
  <c r="FH31" i="9" s="1"/>
  <c r="EY24" i="9"/>
  <c r="FH24" i="9" s="1"/>
  <c r="FH36" i="9"/>
  <c r="FH22" i="9"/>
  <c r="FH43" i="9"/>
  <c r="FH42" i="9"/>
  <c r="FH7" i="9"/>
  <c r="FH32" i="9"/>
  <c r="FH8" i="9"/>
  <c r="FH26" i="9"/>
  <c r="FH40" i="9"/>
  <c r="FH25" i="9"/>
  <c r="FH33" i="9"/>
  <c r="FH16" i="9"/>
  <c r="EY4" i="9"/>
  <c r="FH38" i="9"/>
  <c r="FH19" i="9"/>
  <c r="FH14" i="9"/>
  <c r="FH5" i="9"/>
  <c r="FH39" i="9"/>
  <c r="FH15" i="9"/>
  <c r="FH27" i="9"/>
  <c r="FH2" i="9"/>
  <c r="FH23" i="9"/>
  <c r="FH17" i="9"/>
  <c r="FH30" i="9"/>
  <c r="FH21" i="9"/>
  <c r="FH3" i="9"/>
  <c r="FH34" i="9"/>
  <c r="FH6" i="9"/>
  <c r="EY29" i="9"/>
  <c r="EY28" i="9"/>
  <c r="AD2" i="11"/>
  <c r="DP2" i="8"/>
  <c r="MD2" i="9" s="1"/>
  <c r="B2" i="11"/>
  <c r="O9" i="7"/>
  <c r="N9" i="7" s="1"/>
  <c r="O10" i="7"/>
  <c r="N10" i="7" s="1"/>
  <c r="O11" i="7"/>
  <c r="N11" i="7" s="1"/>
  <c r="O12" i="7"/>
  <c r="O13" i="7"/>
  <c r="O14" i="7"/>
  <c r="O15" i="7"/>
  <c r="O16" i="7"/>
  <c r="O17" i="7"/>
  <c r="O18" i="7"/>
  <c r="O19" i="7"/>
  <c r="O20" i="7"/>
  <c r="O21" i="7"/>
  <c r="O22" i="7"/>
  <c r="O23" i="7"/>
  <c r="O25" i="7"/>
  <c r="O26" i="7"/>
  <c r="O27" i="7"/>
  <c r="O28" i="7"/>
  <c r="O29" i="7"/>
  <c r="O30" i="7"/>
  <c r="O31" i="7"/>
  <c r="O32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8" i="7"/>
  <c r="O49" i="7"/>
  <c r="O50" i="7"/>
  <c r="O51" i="7"/>
  <c r="O52" i="7"/>
  <c r="O53" i="7"/>
  <c r="O54" i="7"/>
  <c r="O55" i="7"/>
  <c r="O7" i="7"/>
  <c r="N7" i="7" s="1"/>
  <c r="O8" i="7"/>
  <c r="N8" i="7" s="1"/>
  <c r="O6" i="7"/>
  <c r="N6" i="7" s="1"/>
  <c r="O5" i="7"/>
  <c r="E57" i="7"/>
  <c r="DB12" i="8" s="1"/>
  <c r="DR12" i="8" s="1"/>
  <c r="DT12" i="8" s="1"/>
  <c r="KA2" i="9" l="1"/>
  <c r="AP2" i="9" s="1"/>
  <c r="AG2" i="9" s="1"/>
  <c r="Q2" i="11"/>
  <c r="DO32" i="8"/>
  <c r="Q43" i="11"/>
  <c r="Q35" i="11"/>
  <c r="Q18" i="11"/>
  <c r="Q23" i="11"/>
  <c r="Q15" i="11"/>
  <c r="Q21" i="11"/>
  <c r="Q10" i="11"/>
  <c r="Q6" i="11"/>
  <c r="DO43" i="8"/>
  <c r="Q24" i="11"/>
  <c r="Q30" i="11"/>
  <c r="Q32" i="11"/>
  <c r="Q20" i="11"/>
  <c r="Q37" i="11"/>
  <c r="Q27" i="11"/>
  <c r="Q39" i="11"/>
  <c r="Q41" i="11"/>
  <c r="DO28" i="8"/>
  <c r="DO15" i="8"/>
  <c r="DO25" i="8"/>
  <c r="Q42" i="11"/>
  <c r="Q36" i="11"/>
  <c r="Q4" i="11"/>
  <c r="Q8" i="11"/>
  <c r="Q31" i="11"/>
  <c r="Q11" i="11"/>
  <c r="Q19" i="11"/>
  <c r="Q34" i="11"/>
  <c r="K42" i="12"/>
  <c r="T42" i="12" s="1"/>
  <c r="DO8" i="8"/>
  <c r="K34" i="12"/>
  <c r="T34" i="12" s="1"/>
  <c r="K20" i="12"/>
  <c r="T20" i="12" s="1"/>
  <c r="DO27" i="8"/>
  <c r="Q38" i="11"/>
  <c r="Q25" i="11"/>
  <c r="Q14" i="11"/>
  <c r="Q5" i="11"/>
  <c r="Q40" i="11"/>
  <c r="Q22" i="11"/>
  <c r="Q17" i="11"/>
  <c r="Q7" i="11"/>
  <c r="DP12" i="9"/>
  <c r="DR12" i="9"/>
  <c r="DV12" i="9"/>
  <c r="DS12" i="9"/>
  <c r="DT12" i="9"/>
  <c r="DU12" i="9"/>
  <c r="DW12" i="9"/>
  <c r="DQ12" i="9"/>
  <c r="DO12" i="9"/>
  <c r="DI12" i="9" a="1"/>
  <c r="DI12" i="9" s="1"/>
  <c r="LJ12" i="9" s="1"/>
  <c r="BY12" i="9" s="1"/>
  <c r="M12" i="9" s="1"/>
  <c r="V12" i="9" s="1"/>
  <c r="DJ12" i="9" a="1"/>
  <c r="DJ12" i="9" s="1"/>
  <c r="DG12" i="9"/>
  <c r="DK12" i="9" a="1"/>
  <c r="DK12" i="9" s="1"/>
  <c r="LL12" i="9" s="1"/>
  <c r="CA12" i="9" s="1"/>
  <c r="O12" i="9" s="1"/>
  <c r="X12" i="9" s="1"/>
  <c r="DM12" i="9" a="1"/>
  <c r="DM12" i="9" s="1"/>
  <c r="DL12" i="9" a="1"/>
  <c r="DL12" i="9" s="1"/>
  <c r="DN12" i="9" a="1"/>
  <c r="DN12" i="9" s="1"/>
  <c r="DH12" i="9" a="1"/>
  <c r="DH12" i="9" s="1"/>
  <c r="DF12" i="9"/>
  <c r="W2" i="12"/>
  <c r="GE2" i="9" s="1"/>
  <c r="GN2" i="9" s="1"/>
  <c r="GW2" i="9" s="1"/>
  <c r="V2" i="12"/>
  <c r="GD2" i="9" s="1"/>
  <c r="GM2" i="9" s="1"/>
  <c r="GV2" i="9" s="1"/>
  <c r="AA2" i="12"/>
  <c r="GI2" i="9" s="1"/>
  <c r="GR2" i="9" s="1"/>
  <c r="HA2" i="9" s="1"/>
  <c r="AB2" i="12"/>
  <c r="GJ2" i="9" s="1"/>
  <c r="GS2" i="9" s="1"/>
  <c r="HB2" i="9" s="1"/>
  <c r="K2" i="12"/>
  <c r="GY2" i="9"/>
  <c r="GU2" i="9"/>
  <c r="FH4" i="9"/>
  <c r="FH28" i="9"/>
  <c r="FH13" i="9"/>
  <c r="FH29" i="9"/>
  <c r="BD12" i="8"/>
  <c r="BB12" i="8"/>
  <c r="AZ12" i="8"/>
  <c r="N5" i="7"/>
  <c r="O57" i="7"/>
  <c r="BH12" i="8"/>
  <c r="BP12" i="8"/>
  <c r="BL12" i="8"/>
  <c r="BF12" i="8"/>
  <c r="BJ12" i="8"/>
  <c r="BN12" i="8"/>
  <c r="E56" i="7"/>
  <c r="LN12" i="9" l="1"/>
  <c r="CC12" i="9" s="1"/>
  <c r="Q12" i="9" s="1"/>
  <c r="Z12" i="9" s="1"/>
  <c r="LO12" i="9"/>
  <c r="CD12" i="9" s="1"/>
  <c r="R12" i="9" s="1"/>
  <c r="AA12" i="9" s="1"/>
  <c r="LK12" i="9"/>
  <c r="BZ12" i="9" s="1"/>
  <c r="N12" i="9" s="1"/>
  <c r="W12" i="9" s="1"/>
  <c r="K14" i="12"/>
  <c r="T14" i="12" s="1"/>
  <c r="GB14" i="9" s="1"/>
  <c r="K13" i="12"/>
  <c r="T13" i="12" s="1"/>
  <c r="K33" i="12"/>
  <c r="T33" i="12" s="1"/>
  <c r="GB33" i="9" s="1"/>
  <c r="GK33" i="9" s="1"/>
  <c r="K30" i="12"/>
  <c r="T30" i="12" s="1"/>
  <c r="GB30" i="9" s="1"/>
  <c r="K41" i="12"/>
  <c r="T41" i="12" s="1"/>
  <c r="GB41" i="9" s="1"/>
  <c r="GK41" i="9" s="1"/>
  <c r="K29" i="12"/>
  <c r="T29" i="12" s="1"/>
  <c r="K10" i="12"/>
  <c r="T10" i="12" s="1"/>
  <c r="GB10" i="9" s="1"/>
  <c r="K7" i="12"/>
  <c r="T7" i="12" s="1"/>
  <c r="GB7" i="9" s="1"/>
  <c r="GK7" i="9" s="1"/>
  <c r="K17" i="12"/>
  <c r="T17" i="12" s="1"/>
  <c r="GB17" i="9" s="1"/>
  <c r="GK17" i="9" s="1"/>
  <c r="K5" i="12"/>
  <c r="T5" i="12" s="1"/>
  <c r="GB5" i="9" s="1"/>
  <c r="GK5" i="9" s="1"/>
  <c r="K4" i="12"/>
  <c r="T4" i="12" s="1"/>
  <c r="K16" i="12"/>
  <c r="T16" i="12" s="1"/>
  <c r="GB16" i="9" s="1"/>
  <c r="GK16" i="9" s="1"/>
  <c r="K23" i="12"/>
  <c r="T23" i="12" s="1"/>
  <c r="GB23" i="9" s="1"/>
  <c r="K21" i="12"/>
  <c r="T21" i="12" s="1"/>
  <c r="GB21" i="9" s="1"/>
  <c r="GK21" i="9" s="1"/>
  <c r="K31" i="12"/>
  <c r="T31" i="12" s="1"/>
  <c r="GB31" i="9" s="1"/>
  <c r="K19" i="12"/>
  <c r="T19" i="12" s="1"/>
  <c r="GB19" i="9" s="1"/>
  <c r="GK19" i="9" s="1"/>
  <c r="KC2" i="9"/>
  <c r="AR2" i="9" s="1"/>
  <c r="AI2" i="9" s="1"/>
  <c r="JR2" i="9"/>
  <c r="F2" i="9"/>
  <c r="AP42" i="9"/>
  <c r="AG42" i="9" s="1"/>
  <c r="F42" i="9" s="1"/>
  <c r="JR42" i="9"/>
  <c r="K6" i="12"/>
  <c r="T6" i="12" s="1"/>
  <c r="GB6" i="9" s="1"/>
  <c r="AP38" i="9"/>
  <c r="AG38" i="9" s="1"/>
  <c r="F38" i="9" s="1"/>
  <c r="JR38" i="9"/>
  <c r="AP18" i="9"/>
  <c r="AG18" i="9" s="1"/>
  <c r="F18" i="9" s="1"/>
  <c r="JR18" i="9"/>
  <c r="JR3" i="9"/>
  <c r="F3" i="9"/>
  <c r="K38" i="12"/>
  <c r="T38" i="12" s="1"/>
  <c r="GB38" i="9" s="1"/>
  <c r="GK38" i="9" s="1"/>
  <c r="K26" i="12"/>
  <c r="T26" i="12" s="1"/>
  <c r="GB26" i="9" s="1"/>
  <c r="GK26" i="9" s="1"/>
  <c r="JR29" i="9"/>
  <c r="AP29" i="9"/>
  <c r="AG29" i="9" s="1"/>
  <c r="F29" i="9" s="1"/>
  <c r="K39" i="12"/>
  <c r="T39" i="12" s="1"/>
  <c r="GB39" i="9" s="1"/>
  <c r="AP37" i="9"/>
  <c r="AG37" i="9" s="1"/>
  <c r="F37" i="9" s="1"/>
  <c r="JR37" i="9"/>
  <c r="JR6" i="9"/>
  <c r="F6" i="9"/>
  <c r="F4" i="9"/>
  <c r="JR4" i="9"/>
  <c r="AP36" i="9"/>
  <c r="AG36" i="9" s="1"/>
  <c r="F36" i="9" s="1"/>
  <c r="JR36" i="9"/>
  <c r="JR5" i="9"/>
  <c r="F5" i="9"/>
  <c r="JR22" i="9"/>
  <c r="AP22" i="9"/>
  <c r="AG22" i="9" s="1"/>
  <c r="F22" i="9" s="1"/>
  <c r="AP39" i="9"/>
  <c r="AG39" i="9" s="1"/>
  <c r="F39" i="9" s="1"/>
  <c r="JR39" i="9"/>
  <c r="AP14" i="9"/>
  <c r="AG14" i="9" s="1"/>
  <c r="F14" i="9" s="1"/>
  <c r="JR14" i="9"/>
  <c r="JR31" i="9"/>
  <c r="AP31" i="9"/>
  <c r="AG31" i="9" s="1"/>
  <c r="F31" i="9" s="1"/>
  <c r="AP10" i="9"/>
  <c r="AG10" i="9" s="1"/>
  <c r="F10" i="9" s="1"/>
  <c r="JR10" i="9"/>
  <c r="AP35" i="9"/>
  <c r="AG35" i="9" s="1"/>
  <c r="F35" i="9" s="1"/>
  <c r="JR35" i="9"/>
  <c r="JR40" i="9"/>
  <c r="AP40" i="9"/>
  <c r="AG40" i="9" s="1"/>
  <c r="F40" i="9" s="1"/>
  <c r="JR16" i="9"/>
  <c r="AP16" i="9"/>
  <c r="AG16" i="9" s="1"/>
  <c r="F16" i="9" s="1"/>
  <c r="JR13" i="9"/>
  <c r="AP13" i="9"/>
  <c r="AG13" i="9" s="1"/>
  <c r="F13" i="9" s="1"/>
  <c r="K18" i="12"/>
  <c r="T18" i="12" s="1"/>
  <c r="GB18" i="9" s="1"/>
  <c r="GK18" i="9" s="1"/>
  <c r="K35" i="12"/>
  <c r="T35" i="12" s="1"/>
  <c r="GB35" i="9" s="1"/>
  <c r="F9" i="9"/>
  <c r="JR9" i="9"/>
  <c r="JR17" i="9"/>
  <c r="AP17" i="9"/>
  <c r="AG17" i="9" s="1"/>
  <c r="F17" i="9" s="1"/>
  <c r="K9" i="12"/>
  <c r="T9" i="12" s="1"/>
  <c r="GB9" i="9" s="1"/>
  <c r="GK9" i="9" s="1"/>
  <c r="Q29" i="11"/>
  <c r="K24" i="12"/>
  <c r="T24" i="12" s="1"/>
  <c r="GB24" i="9" s="1"/>
  <c r="GK24" i="9" s="1"/>
  <c r="JR30" i="9"/>
  <c r="AP30" i="9"/>
  <c r="AG30" i="9" s="1"/>
  <c r="F30" i="9" s="1"/>
  <c r="JR41" i="9"/>
  <c r="AP41" i="9"/>
  <c r="AG41" i="9" s="1"/>
  <c r="F41" i="9" s="1"/>
  <c r="AP19" i="9"/>
  <c r="AG19" i="9" s="1"/>
  <c r="F19" i="9" s="1"/>
  <c r="JR19" i="9"/>
  <c r="K36" i="12"/>
  <c r="T36" i="12" s="1"/>
  <c r="GB36" i="9" s="1"/>
  <c r="GK36" i="9" s="1"/>
  <c r="K37" i="12"/>
  <c r="T37" i="12" s="1"/>
  <c r="GB37" i="9" s="1"/>
  <c r="JR21" i="9"/>
  <c r="AP21" i="9"/>
  <c r="AG21" i="9" s="1"/>
  <c r="F21" i="9" s="1"/>
  <c r="JR24" i="9"/>
  <c r="AP24" i="9"/>
  <c r="AG24" i="9" s="1"/>
  <c r="F24" i="9" s="1"/>
  <c r="K40" i="12"/>
  <c r="T40" i="12" s="1"/>
  <c r="GB40" i="9" s="1"/>
  <c r="GK40" i="9" s="1"/>
  <c r="JR20" i="9"/>
  <c r="AP20" i="9"/>
  <c r="AG20" i="9" s="1"/>
  <c r="F20" i="9" s="1"/>
  <c r="AP34" i="9"/>
  <c r="AG34" i="9" s="1"/>
  <c r="F34" i="9" s="1"/>
  <c r="JR34" i="9"/>
  <c r="JR33" i="9"/>
  <c r="AP33" i="9"/>
  <c r="AG33" i="9" s="1"/>
  <c r="F33" i="9" s="1"/>
  <c r="F7" i="9"/>
  <c r="JR7" i="9"/>
  <c r="JR23" i="9"/>
  <c r="AP23" i="9"/>
  <c r="AG23" i="9" s="1"/>
  <c r="F23" i="9" s="1"/>
  <c r="JR26" i="9"/>
  <c r="AP26" i="9"/>
  <c r="AG26" i="9" s="1"/>
  <c r="F26" i="9" s="1"/>
  <c r="K3" i="12"/>
  <c r="T3" i="12" s="1"/>
  <c r="GB3" i="9" s="1"/>
  <c r="LI12" i="9"/>
  <c r="BX12" i="9" s="1"/>
  <c r="LM12" i="9"/>
  <c r="CB12" i="9" s="1"/>
  <c r="LH12" i="9"/>
  <c r="BW12" i="9" s="1"/>
  <c r="HD12" i="9" s="1"/>
  <c r="LG12" i="9"/>
  <c r="BV12" i="9" s="1"/>
  <c r="DQ12" i="8" s="1"/>
  <c r="EA12" i="9"/>
  <c r="EJ12" i="9"/>
  <c r="AO12" i="9"/>
  <c r="JQ12" i="9"/>
  <c r="ES12" i="9" s="1"/>
  <c r="HF12" i="9"/>
  <c r="EO12" i="9"/>
  <c r="EF12" i="9"/>
  <c r="JV12" i="9"/>
  <c r="EX12" i="9" s="1"/>
  <c r="EH12" i="9"/>
  <c r="DY12" i="9"/>
  <c r="AM12" i="9"/>
  <c r="JO12" i="9"/>
  <c r="EQ12" i="9" s="1"/>
  <c r="EI12" i="9"/>
  <c r="DZ12" i="9"/>
  <c r="AN12" i="9"/>
  <c r="JP12" i="9"/>
  <c r="ER12" i="9" s="1"/>
  <c r="EM12" i="9"/>
  <c r="ED12" i="9"/>
  <c r="EL12" i="9"/>
  <c r="EC12" i="9"/>
  <c r="AQ12" i="9"/>
  <c r="JS12" i="9"/>
  <c r="EU12" i="9" s="1"/>
  <c r="HH12" i="9"/>
  <c r="EK12" i="9"/>
  <c r="EB12" i="9"/>
  <c r="EN12" i="9"/>
  <c r="EE12" i="9"/>
  <c r="JU12" i="9"/>
  <c r="EW12" i="9" s="1"/>
  <c r="AS12" i="9"/>
  <c r="T2" i="12"/>
  <c r="GB2" i="9" s="1"/>
  <c r="GK2" i="9" s="1"/>
  <c r="DX12" i="9"/>
  <c r="AL12" i="9"/>
  <c r="AT12" i="9"/>
  <c r="GB20" i="9"/>
  <c r="GK20" i="9" s="1"/>
  <c r="GB34" i="9"/>
  <c r="GK34" i="9" s="1"/>
  <c r="GB42" i="9"/>
  <c r="GK42" i="9" s="1"/>
  <c r="JN12" i="9"/>
  <c r="EP12" i="9" s="1"/>
  <c r="L13" i="11"/>
  <c r="EG12" i="9"/>
  <c r="O56" i="7"/>
  <c r="DB11" i="8"/>
  <c r="DR11" i="8" s="1"/>
  <c r="DT11" i="8" s="1"/>
  <c r="HJ12" i="9" l="1"/>
  <c r="GK6" i="9"/>
  <c r="GT6" i="9" s="1"/>
  <c r="IM6" i="9" s="1"/>
  <c r="GK23" i="9"/>
  <c r="GT23" i="9" s="1"/>
  <c r="IM23" i="9" s="1"/>
  <c r="GK30" i="9"/>
  <c r="GT30" i="9" s="1"/>
  <c r="IM30" i="9" s="1"/>
  <c r="GK39" i="9"/>
  <c r="GT39" i="9" s="1"/>
  <c r="IM39" i="9" s="1"/>
  <c r="GK14" i="9"/>
  <c r="GT14" i="9" s="1"/>
  <c r="IM14" i="9" s="1"/>
  <c r="GK3" i="9"/>
  <c r="GT3" i="9" s="1"/>
  <c r="IM3" i="9" s="1"/>
  <c r="GK37" i="9"/>
  <c r="GT37" i="9" s="1"/>
  <c r="IM37" i="9" s="1"/>
  <c r="GK35" i="9"/>
  <c r="GT35" i="9" s="1"/>
  <c r="IM35" i="9" s="1"/>
  <c r="GK31" i="9"/>
  <c r="GT31" i="9" s="1"/>
  <c r="IM31" i="9" s="1"/>
  <c r="GK10" i="9"/>
  <c r="GT10" i="9" s="1"/>
  <c r="IM10" i="9" s="1"/>
  <c r="HG12" i="9"/>
  <c r="HK12" i="9"/>
  <c r="HI12" i="9"/>
  <c r="P12" i="9"/>
  <c r="Y12" i="9" s="1"/>
  <c r="HE12" i="9"/>
  <c r="L12" i="9"/>
  <c r="U12" i="9" s="1"/>
  <c r="K28" i="12"/>
  <c r="T28" i="12" s="1"/>
  <c r="GB28" i="9" s="1"/>
  <c r="GK28" i="9" s="1"/>
  <c r="ET2" i="9"/>
  <c r="IH2" i="9"/>
  <c r="KS2" i="9"/>
  <c r="JT2" i="9"/>
  <c r="H2" i="9"/>
  <c r="H9" i="9"/>
  <c r="JT9" i="9"/>
  <c r="Q26" i="11"/>
  <c r="K25" i="12"/>
  <c r="T25" i="12" s="1"/>
  <c r="GB25" i="9" s="1"/>
  <c r="JT39" i="9"/>
  <c r="AR39" i="9"/>
  <c r="AI39" i="9" s="1"/>
  <c r="H39" i="9" s="1"/>
  <c r="Q16" i="11"/>
  <c r="K15" i="12"/>
  <c r="T15" i="12" s="1"/>
  <c r="GB15" i="9" s="1"/>
  <c r="AR24" i="9"/>
  <c r="AI24" i="9" s="1"/>
  <c r="H24" i="9" s="1"/>
  <c r="JT24" i="9"/>
  <c r="ET17" i="9"/>
  <c r="IH17" i="9"/>
  <c r="KS17" i="9"/>
  <c r="ET16" i="9"/>
  <c r="IH16" i="9"/>
  <c r="KS16" i="9"/>
  <c r="ET35" i="9"/>
  <c r="IH35" i="9"/>
  <c r="KS35" i="9"/>
  <c r="JT30" i="9"/>
  <c r="AR30" i="9"/>
  <c r="AI30" i="9" s="1"/>
  <c r="H30" i="9" s="1"/>
  <c r="ET14" i="9"/>
  <c r="IH14" i="9"/>
  <c r="KS14" i="9"/>
  <c r="JR32" i="9"/>
  <c r="AP32" i="9"/>
  <c r="AG32" i="9" s="1"/>
  <c r="F32" i="9" s="1"/>
  <c r="AR14" i="9"/>
  <c r="AI14" i="9" s="1"/>
  <c r="H14" i="9" s="1"/>
  <c r="JT14" i="9"/>
  <c r="ET36" i="9"/>
  <c r="IH36" i="9"/>
  <c r="KS36" i="9"/>
  <c r="JT6" i="9"/>
  <c r="H6" i="9"/>
  <c r="ET19" i="9"/>
  <c r="IH19" i="9"/>
  <c r="KS19" i="9"/>
  <c r="AP25" i="9"/>
  <c r="AG25" i="9" s="1"/>
  <c r="F25" i="9" s="1"/>
  <c r="JR25" i="9"/>
  <c r="ET9" i="9"/>
  <c r="IH9" i="9"/>
  <c r="KS9" i="9"/>
  <c r="JT31" i="9"/>
  <c r="AR31" i="9"/>
  <c r="AI31" i="9" s="1"/>
  <c r="H31" i="9" s="1"/>
  <c r="Q28" i="11"/>
  <c r="K27" i="12"/>
  <c r="T27" i="12" s="1"/>
  <c r="GB27" i="9" s="1"/>
  <c r="JT10" i="9"/>
  <c r="AR10" i="9"/>
  <c r="AI10" i="9" s="1"/>
  <c r="H10" i="9" s="1"/>
  <c r="ET26" i="9"/>
  <c r="IH26" i="9"/>
  <c r="KS26" i="9"/>
  <c r="AP43" i="9"/>
  <c r="AG43" i="9" s="1"/>
  <c r="F43" i="9" s="1"/>
  <c r="JR43" i="9"/>
  <c r="ET23" i="9"/>
  <c r="IH23" i="9"/>
  <c r="KS23" i="9"/>
  <c r="JT29" i="9"/>
  <c r="AR29" i="9"/>
  <c r="AI29" i="9" s="1"/>
  <c r="H29" i="9" s="1"/>
  <c r="JT7" i="9"/>
  <c r="H7" i="9"/>
  <c r="AR38" i="9"/>
  <c r="AI38" i="9" s="1"/>
  <c r="H38" i="9" s="1"/>
  <c r="JT38" i="9"/>
  <c r="Q33" i="11"/>
  <c r="K32" i="12"/>
  <c r="T32" i="12" s="1"/>
  <c r="GB32" i="9" s="1"/>
  <c r="Q9" i="11"/>
  <c r="K8" i="12"/>
  <c r="T8" i="12" s="1"/>
  <c r="GB8" i="9" s="1"/>
  <c r="ET22" i="9"/>
  <c r="IH22" i="9"/>
  <c r="KS22" i="9"/>
  <c r="ET18" i="9"/>
  <c r="IH18" i="9"/>
  <c r="KS18" i="9"/>
  <c r="ET34" i="9"/>
  <c r="IH34" i="9"/>
  <c r="KS34" i="9"/>
  <c r="ET3" i="9"/>
  <c r="IH3" i="9"/>
  <c r="KS3" i="9"/>
  <c r="JR28" i="9"/>
  <c r="AP28" i="9"/>
  <c r="AG28" i="9" s="1"/>
  <c r="F28" i="9" s="1"/>
  <c r="JT18" i="9"/>
  <c r="AR18" i="9"/>
  <c r="AI18" i="9" s="1"/>
  <c r="H18" i="9" s="1"/>
  <c r="ET24" i="9"/>
  <c r="IH24" i="9"/>
  <c r="KS24" i="9"/>
  <c r="ET41" i="9"/>
  <c r="IH41" i="9"/>
  <c r="KS41" i="9"/>
  <c r="JT22" i="9"/>
  <c r="AR22" i="9"/>
  <c r="AI22" i="9" s="1"/>
  <c r="H22" i="9" s="1"/>
  <c r="JT13" i="9"/>
  <c r="AR13" i="9"/>
  <c r="AI13" i="9" s="1"/>
  <c r="H13" i="9" s="1"/>
  <c r="AR23" i="9"/>
  <c r="AI23" i="9" s="1"/>
  <c r="H23" i="9" s="1"/>
  <c r="JT23" i="9"/>
  <c r="JT19" i="9"/>
  <c r="AR19" i="9"/>
  <c r="AI19" i="9" s="1"/>
  <c r="H19" i="9" s="1"/>
  <c r="ET4" i="9"/>
  <c r="IH4" i="9"/>
  <c r="KS4" i="9"/>
  <c r="JR27" i="9"/>
  <c r="AP27" i="9"/>
  <c r="AG27" i="9" s="1"/>
  <c r="F27" i="9" s="1"/>
  <c r="JT20" i="9"/>
  <c r="AR20" i="9"/>
  <c r="AI20" i="9" s="1"/>
  <c r="H20" i="9" s="1"/>
  <c r="ET33" i="9"/>
  <c r="IH33" i="9"/>
  <c r="KS33" i="9"/>
  <c r="H3" i="9"/>
  <c r="JT3" i="9"/>
  <c r="ET37" i="9"/>
  <c r="IH37" i="9"/>
  <c r="KS37" i="9"/>
  <c r="ET20" i="9"/>
  <c r="IH20" i="9"/>
  <c r="KS20" i="9"/>
  <c r="JT26" i="9"/>
  <c r="AR26" i="9"/>
  <c r="AI26" i="9" s="1"/>
  <c r="H26" i="9" s="1"/>
  <c r="AR33" i="9"/>
  <c r="AI33" i="9" s="1"/>
  <c r="H33" i="9" s="1"/>
  <c r="JT33" i="9"/>
  <c r="Q44" i="11"/>
  <c r="K43" i="12"/>
  <c r="T43" i="12" s="1"/>
  <c r="GB43" i="9" s="1"/>
  <c r="ET31" i="9"/>
  <c r="IH31" i="9"/>
  <c r="KS31" i="9"/>
  <c r="ET5" i="9"/>
  <c r="IH5" i="9"/>
  <c r="KS5" i="9"/>
  <c r="ET38" i="9"/>
  <c r="IH38" i="9"/>
  <c r="KS38" i="9"/>
  <c r="JT21" i="9"/>
  <c r="AR21" i="9"/>
  <c r="AI21" i="9" s="1"/>
  <c r="H21" i="9" s="1"/>
  <c r="ET10" i="9"/>
  <c r="IH10" i="9"/>
  <c r="KS10" i="9"/>
  <c r="JR8" i="9"/>
  <c r="F8" i="9"/>
  <c r="ET42" i="9"/>
  <c r="IH42" i="9"/>
  <c r="KS42" i="9"/>
  <c r="ET7" i="9"/>
  <c r="IH7" i="9"/>
  <c r="KS7" i="9"/>
  <c r="JT37" i="9"/>
  <c r="AR37" i="9"/>
  <c r="AI37" i="9" s="1"/>
  <c r="H37" i="9" s="1"/>
  <c r="ET21" i="9"/>
  <c r="IH21" i="9"/>
  <c r="KS21" i="9"/>
  <c r="ET30" i="9"/>
  <c r="IH30" i="9"/>
  <c r="KS30" i="9"/>
  <c r="H5" i="9"/>
  <c r="JT5" i="9"/>
  <c r="ET13" i="9"/>
  <c r="IH13" i="9"/>
  <c r="KS13" i="9"/>
  <c r="JT41" i="9"/>
  <c r="AR41" i="9"/>
  <c r="AI41" i="9" s="1"/>
  <c r="H41" i="9" s="1"/>
  <c r="AR16" i="9"/>
  <c r="AI16" i="9" s="1"/>
  <c r="H16" i="9" s="1"/>
  <c r="JT16" i="9"/>
  <c r="ET39" i="9"/>
  <c r="IH39" i="9"/>
  <c r="KS39" i="9"/>
  <c r="AR42" i="9"/>
  <c r="AI42" i="9" s="1"/>
  <c r="H42" i="9" s="1"/>
  <c r="JT42" i="9"/>
  <c r="AR40" i="9"/>
  <c r="AI40" i="9" s="1"/>
  <c r="H40" i="9" s="1"/>
  <c r="JT40" i="9"/>
  <c r="ET29" i="9"/>
  <c r="IH29" i="9"/>
  <c r="KS29" i="9"/>
  <c r="H4" i="9"/>
  <c r="JT4" i="9"/>
  <c r="JT36" i="9"/>
  <c r="AR36" i="9"/>
  <c r="AI36" i="9" s="1"/>
  <c r="H36" i="9" s="1"/>
  <c r="JT34" i="9"/>
  <c r="AR34" i="9"/>
  <c r="AI34" i="9" s="1"/>
  <c r="H34" i="9" s="1"/>
  <c r="AR17" i="9"/>
  <c r="AI17" i="9" s="1"/>
  <c r="H17" i="9" s="1"/>
  <c r="JT17" i="9"/>
  <c r="JR15" i="9"/>
  <c r="AP15" i="9"/>
  <c r="AG15" i="9" s="1"/>
  <c r="F15" i="9" s="1"/>
  <c r="ET40" i="9"/>
  <c r="IH40" i="9"/>
  <c r="KS40" i="9"/>
  <c r="ET6" i="9"/>
  <c r="IH6" i="9"/>
  <c r="KS6" i="9"/>
  <c r="AR35" i="9"/>
  <c r="AI35" i="9" s="1"/>
  <c r="H35" i="9" s="1"/>
  <c r="JT35" i="9"/>
  <c r="BR12" i="9"/>
  <c r="AP13" i="11" s="1"/>
  <c r="HC12" i="9"/>
  <c r="B13" i="11" s="1"/>
  <c r="BQ12" i="9"/>
  <c r="AO13" i="11" s="1"/>
  <c r="DP11" i="9"/>
  <c r="DQ11" i="9"/>
  <c r="DR11" i="9"/>
  <c r="DT11" i="9"/>
  <c r="DS11" i="9"/>
  <c r="DU11" i="9"/>
  <c r="DV11" i="9"/>
  <c r="DW11" i="9"/>
  <c r="DO11" i="9"/>
  <c r="DG11" i="9"/>
  <c r="DF11" i="9"/>
  <c r="DN11" i="9" a="1"/>
  <c r="DN11" i="9" s="1"/>
  <c r="DH11" i="9" a="1"/>
  <c r="DH11" i="9" s="1"/>
  <c r="DJ11" i="9" a="1"/>
  <c r="DJ11" i="9" s="1"/>
  <c r="DI11" i="9" a="1"/>
  <c r="DI11" i="9" s="1"/>
  <c r="DL11" i="9" a="1"/>
  <c r="DL11" i="9" s="1"/>
  <c r="DM11" i="9" a="1"/>
  <c r="DM11" i="9" s="1"/>
  <c r="DK11" i="9" a="1"/>
  <c r="DK11" i="9" s="1"/>
  <c r="BT12" i="9"/>
  <c r="BS12" i="9"/>
  <c r="BM12" i="9"/>
  <c r="AK13" i="11" s="1"/>
  <c r="BU12" i="9"/>
  <c r="BO12" i="9"/>
  <c r="BP12" i="9"/>
  <c r="AN13" i="11" s="1"/>
  <c r="BN12" i="9"/>
  <c r="GT19" i="9"/>
  <c r="IM19" i="9" s="1"/>
  <c r="GT5" i="9"/>
  <c r="IM5" i="9" s="1"/>
  <c r="GT7" i="9"/>
  <c r="IM7" i="9" s="1"/>
  <c r="GT40" i="9"/>
  <c r="IM40" i="9" s="1"/>
  <c r="GT26" i="9"/>
  <c r="IM26" i="9" s="1"/>
  <c r="GT24" i="9"/>
  <c r="IM24" i="9" s="1"/>
  <c r="GT9" i="9"/>
  <c r="IM9" i="9" s="1"/>
  <c r="GT42" i="9"/>
  <c r="IM42" i="9" s="1"/>
  <c r="GT18" i="9"/>
  <c r="IM18" i="9" s="1"/>
  <c r="GT21" i="9"/>
  <c r="IM21" i="9" s="1"/>
  <c r="GT34" i="9"/>
  <c r="IM34" i="9" s="1"/>
  <c r="GT20" i="9"/>
  <c r="IM20" i="9" s="1"/>
  <c r="GT17" i="9"/>
  <c r="IM17" i="9" s="1"/>
  <c r="GT16" i="9"/>
  <c r="IM16" i="9" s="1"/>
  <c r="GT36" i="9"/>
  <c r="IM36" i="9" s="1"/>
  <c r="GT38" i="9"/>
  <c r="IM38" i="9" s="1"/>
  <c r="GT33" i="9"/>
  <c r="IM33" i="9" s="1"/>
  <c r="GT41" i="9"/>
  <c r="IM41" i="9" s="1"/>
  <c r="GB13" i="9"/>
  <c r="GK13" i="9" s="1"/>
  <c r="GB4" i="9"/>
  <c r="GK4" i="9" s="1"/>
  <c r="GB29" i="9"/>
  <c r="GK29" i="9" s="1"/>
  <c r="II12" i="9"/>
  <c r="FD12" i="9" s="1"/>
  <c r="IL12" i="9"/>
  <c r="FG12" i="9" s="1"/>
  <c r="BD11" i="8"/>
  <c r="BB11" i="8"/>
  <c r="AZ11" i="8"/>
  <c r="IG12" i="9"/>
  <c r="FB12" i="9" s="1"/>
  <c r="IK12" i="9"/>
  <c r="FF12" i="9" s="1"/>
  <c r="IE12" i="9"/>
  <c r="ID12" i="9"/>
  <c r="IF12" i="9"/>
  <c r="FA12" i="9" s="1"/>
  <c r="BN11" i="8"/>
  <c r="BF11" i="8"/>
  <c r="BJ11" i="8"/>
  <c r="BH11" i="8"/>
  <c r="BP11" i="8"/>
  <c r="BL11" i="8"/>
  <c r="LL11" i="9" l="1"/>
  <c r="CA11" i="9" s="1"/>
  <c r="O11" i="9" s="1"/>
  <c r="X11" i="9" s="1"/>
  <c r="LJ11" i="9"/>
  <c r="BY11" i="9" s="1"/>
  <c r="M11" i="9" s="1"/>
  <c r="V11" i="9" s="1"/>
  <c r="LK11" i="9"/>
  <c r="BZ11" i="9" s="1"/>
  <c r="N11" i="9" s="1"/>
  <c r="W11" i="9" s="1"/>
  <c r="GK43" i="9"/>
  <c r="GT43" i="9" s="1"/>
  <c r="IM43" i="9" s="1"/>
  <c r="GK32" i="9"/>
  <c r="GT32" i="9" s="1"/>
  <c r="IM32" i="9" s="1"/>
  <c r="GK27" i="9"/>
  <c r="GT27" i="9" s="1"/>
  <c r="IM27" i="9" s="1"/>
  <c r="GK25" i="9"/>
  <c r="GT25" i="9" s="1"/>
  <c r="IM25" i="9" s="1"/>
  <c r="GK15" i="9"/>
  <c r="GT15" i="9" s="1"/>
  <c r="IM15" i="9" s="1"/>
  <c r="GK8" i="9"/>
  <c r="GT8" i="9" s="1"/>
  <c r="IM8" i="9" s="1"/>
  <c r="LH11" i="9"/>
  <c r="BW11" i="9" s="1"/>
  <c r="LB14" i="9"/>
  <c r="LB16" i="9"/>
  <c r="LB37" i="9"/>
  <c r="FC35" i="9"/>
  <c r="FL35" i="9" s="1"/>
  <c r="LB5" i="9"/>
  <c r="FC6" i="9"/>
  <c r="FL6" i="9" s="1"/>
  <c r="LB19" i="9"/>
  <c r="LB26" i="9"/>
  <c r="FC38" i="9"/>
  <c r="FL38" i="9" s="1"/>
  <c r="LB17" i="9"/>
  <c r="LB23" i="9"/>
  <c r="FC13" i="9"/>
  <c r="FL13" i="9" s="1"/>
  <c r="FC42" i="9"/>
  <c r="FL42" i="9" s="1"/>
  <c r="FC41" i="9"/>
  <c r="FL41" i="9" s="1"/>
  <c r="FC22" i="9"/>
  <c r="FL22" i="9" s="1"/>
  <c r="FC26" i="9"/>
  <c r="FL26" i="9" s="1"/>
  <c r="LB9" i="9"/>
  <c r="LB41" i="9"/>
  <c r="LB6" i="9"/>
  <c r="LB35" i="9"/>
  <c r="LB13" i="9"/>
  <c r="LB21" i="9"/>
  <c r="LB42" i="9"/>
  <c r="FC23" i="9"/>
  <c r="FL23" i="9" s="1"/>
  <c r="FC9" i="9"/>
  <c r="FL9" i="9" s="1"/>
  <c r="LB38" i="9"/>
  <c r="FC5" i="9"/>
  <c r="FL5" i="9" s="1"/>
  <c r="LB24" i="9"/>
  <c r="FC29" i="9"/>
  <c r="FL29" i="9" s="1"/>
  <c r="LB39" i="9"/>
  <c r="FC31" i="9"/>
  <c r="FL31" i="9" s="1"/>
  <c r="LB18" i="9"/>
  <c r="LB22" i="9"/>
  <c r="LB2" i="9"/>
  <c r="FC40" i="9"/>
  <c r="FL40" i="9" s="1"/>
  <c r="LB29" i="9"/>
  <c r="FC30" i="9"/>
  <c r="FL30" i="9" s="1"/>
  <c r="FC7" i="9"/>
  <c r="FL7" i="9" s="1"/>
  <c r="LB31" i="9"/>
  <c r="FC33" i="9"/>
  <c r="FL33" i="9" s="1"/>
  <c r="LB4" i="9"/>
  <c r="FC3" i="9"/>
  <c r="FL3" i="9" s="1"/>
  <c r="LB36" i="9"/>
  <c r="FC2" i="9"/>
  <c r="FL2" i="9" s="1"/>
  <c r="EV2" i="9"/>
  <c r="IJ2" i="9"/>
  <c r="KU2" i="9"/>
  <c r="EV17" i="9"/>
  <c r="IJ17" i="9"/>
  <c r="KU17" i="9"/>
  <c r="FC4" i="9"/>
  <c r="FL4" i="9" s="1"/>
  <c r="EV13" i="9"/>
  <c r="IJ13" i="9"/>
  <c r="KU13" i="9"/>
  <c r="JT32" i="9"/>
  <c r="AR32" i="9"/>
  <c r="AI32" i="9" s="1"/>
  <c r="H32" i="9" s="1"/>
  <c r="EV7" i="9"/>
  <c r="IJ7" i="9"/>
  <c r="KU7" i="9"/>
  <c r="EV31" i="9"/>
  <c r="IJ31" i="9"/>
  <c r="KU31" i="9"/>
  <c r="FC19" i="9"/>
  <c r="FL19" i="9" s="1"/>
  <c r="FC14" i="9"/>
  <c r="FL14" i="9" s="1"/>
  <c r="FC16" i="9"/>
  <c r="FL16" i="9" s="1"/>
  <c r="EV29" i="9"/>
  <c r="IJ29" i="9"/>
  <c r="KU29" i="9"/>
  <c r="EV36" i="9"/>
  <c r="IJ36" i="9"/>
  <c r="KU36" i="9"/>
  <c r="FC39" i="9"/>
  <c r="FL39" i="9" s="1"/>
  <c r="EV21" i="9"/>
  <c r="IJ21" i="9"/>
  <c r="KU21" i="9"/>
  <c r="EV20" i="9"/>
  <c r="IJ20" i="9"/>
  <c r="KU20" i="9"/>
  <c r="FC18" i="9"/>
  <c r="FL18" i="9" s="1"/>
  <c r="JT25" i="9"/>
  <c r="AR25" i="9"/>
  <c r="AI25" i="9" s="1"/>
  <c r="H25" i="9" s="1"/>
  <c r="FC36" i="9"/>
  <c r="FL36" i="9" s="1"/>
  <c r="EV39" i="9"/>
  <c r="IJ39" i="9"/>
  <c r="KU39" i="9"/>
  <c r="EV35" i="9"/>
  <c r="IJ35" i="9"/>
  <c r="KU35" i="9"/>
  <c r="EV22" i="9"/>
  <c r="IJ22" i="9"/>
  <c r="KU22" i="9"/>
  <c r="EV4" i="9"/>
  <c r="IJ4" i="9"/>
  <c r="KU4" i="9"/>
  <c r="EV16" i="9"/>
  <c r="IJ16" i="9"/>
  <c r="KU16" i="9"/>
  <c r="FC21" i="9"/>
  <c r="FL21" i="9" s="1"/>
  <c r="FC37" i="9"/>
  <c r="FL37" i="9" s="1"/>
  <c r="EV19" i="9"/>
  <c r="IJ19" i="9"/>
  <c r="KU19" i="9"/>
  <c r="EV18" i="9"/>
  <c r="IJ18" i="9"/>
  <c r="KU18" i="9"/>
  <c r="LB34" i="9"/>
  <c r="EV14" i="9"/>
  <c r="IJ14" i="9"/>
  <c r="KU14" i="9"/>
  <c r="EV30" i="9"/>
  <c r="IJ30" i="9"/>
  <c r="KU30" i="9"/>
  <c r="EV40" i="9"/>
  <c r="IJ40" i="9"/>
  <c r="KU40" i="9"/>
  <c r="EV5" i="9"/>
  <c r="IJ5" i="9"/>
  <c r="KU5" i="9"/>
  <c r="EV3" i="9"/>
  <c r="IJ3" i="9"/>
  <c r="KU3" i="9"/>
  <c r="ET27" i="9"/>
  <c r="IH27" i="9"/>
  <c r="KS27" i="9"/>
  <c r="AR43" i="9"/>
  <c r="AI43" i="9" s="1"/>
  <c r="H43" i="9" s="1"/>
  <c r="JT43" i="9"/>
  <c r="FC17" i="9"/>
  <c r="FL17" i="9" s="1"/>
  <c r="FC10" i="9"/>
  <c r="FL10" i="9" s="1"/>
  <c r="AR28" i="9"/>
  <c r="AI28" i="9" s="1"/>
  <c r="H28" i="9" s="1"/>
  <c r="JT28" i="9"/>
  <c r="EV37" i="9"/>
  <c r="IJ37" i="9"/>
  <c r="KU37" i="9"/>
  <c r="ET8" i="9"/>
  <c r="IH8" i="9"/>
  <c r="KS8" i="9"/>
  <c r="EV26" i="9"/>
  <c r="IJ26" i="9"/>
  <c r="KU26" i="9"/>
  <c r="ET28" i="9"/>
  <c r="IH28" i="9"/>
  <c r="KS28" i="9"/>
  <c r="FC34" i="9"/>
  <c r="FL34" i="9" s="1"/>
  <c r="ET43" i="9"/>
  <c r="IH43" i="9"/>
  <c r="KS43" i="9"/>
  <c r="EV10" i="9"/>
  <c r="IJ10" i="9"/>
  <c r="KU10" i="9"/>
  <c r="ET25" i="9"/>
  <c r="IH25" i="9"/>
  <c r="KS25" i="9"/>
  <c r="EV6" i="9"/>
  <c r="IJ6" i="9"/>
  <c r="KU6" i="9"/>
  <c r="EV24" i="9"/>
  <c r="IJ24" i="9"/>
  <c r="KU24" i="9"/>
  <c r="EV9" i="9"/>
  <c r="IJ9" i="9"/>
  <c r="KU9" i="9"/>
  <c r="AR15" i="9"/>
  <c r="AI15" i="9" s="1"/>
  <c r="H15" i="9" s="1"/>
  <c r="JT15" i="9"/>
  <c r="H8" i="9"/>
  <c r="JT8" i="9"/>
  <c r="FC20" i="9"/>
  <c r="FL20" i="9" s="1"/>
  <c r="LB40" i="9"/>
  <c r="ET15" i="9"/>
  <c r="IH15" i="9"/>
  <c r="KS15" i="9"/>
  <c r="EV34" i="9"/>
  <c r="IJ34" i="9"/>
  <c r="KU34" i="9"/>
  <c r="EV42" i="9"/>
  <c r="IJ42" i="9"/>
  <c r="KU42" i="9"/>
  <c r="EV41" i="9"/>
  <c r="IJ41" i="9"/>
  <c r="KU41" i="9"/>
  <c r="LB30" i="9"/>
  <c r="LB7" i="9"/>
  <c r="LB10" i="9"/>
  <c r="EV33" i="9"/>
  <c r="IJ33" i="9"/>
  <c r="KU33" i="9"/>
  <c r="LB20" i="9"/>
  <c r="LB33" i="9"/>
  <c r="EV23" i="9"/>
  <c r="IJ23" i="9"/>
  <c r="KU23" i="9"/>
  <c r="FC24" i="9"/>
  <c r="FL24" i="9" s="1"/>
  <c r="LB3" i="9"/>
  <c r="EV38" i="9"/>
  <c r="IJ38" i="9"/>
  <c r="KU38" i="9"/>
  <c r="AR27" i="9"/>
  <c r="AI27" i="9" s="1"/>
  <c r="H27" i="9" s="1"/>
  <c r="JT27" i="9"/>
  <c r="ET32" i="9"/>
  <c r="IH32" i="9"/>
  <c r="KS32" i="9"/>
  <c r="LO11" i="9"/>
  <c r="CD11" i="9" s="1"/>
  <c r="R11" i="9" s="1"/>
  <c r="AA11" i="9" s="1"/>
  <c r="LN11" i="9"/>
  <c r="CC11" i="9" s="1"/>
  <c r="LI11" i="9"/>
  <c r="BX11" i="9" s="1"/>
  <c r="KT12" i="9"/>
  <c r="LC12" i="9" s="1"/>
  <c r="LG11" i="9"/>
  <c r="BV11" i="9" s="1"/>
  <c r="DQ11" i="8" s="1"/>
  <c r="LM11" i="9"/>
  <c r="CB11" i="9" s="1"/>
  <c r="EN11" i="9"/>
  <c r="EE11" i="9"/>
  <c r="AS11" i="9"/>
  <c r="JU11" i="9"/>
  <c r="EW11" i="9" s="1"/>
  <c r="EH11" i="9"/>
  <c r="DY11" i="9"/>
  <c r="AM11" i="9"/>
  <c r="JO11" i="9"/>
  <c r="EQ11" i="9" s="1"/>
  <c r="HD11" i="9"/>
  <c r="EO11" i="9"/>
  <c r="EF11" i="9"/>
  <c r="JV11" i="9"/>
  <c r="EX11" i="9" s="1"/>
  <c r="EM11" i="9"/>
  <c r="ED11" i="9"/>
  <c r="EC11" i="9"/>
  <c r="EL11" i="9"/>
  <c r="AQ11" i="9"/>
  <c r="JS11" i="9"/>
  <c r="EU11" i="9" s="1"/>
  <c r="EJ11" i="9"/>
  <c r="EA11" i="9"/>
  <c r="JQ11" i="9"/>
  <c r="ES11" i="9" s="1"/>
  <c r="AO11" i="9"/>
  <c r="HF11" i="9"/>
  <c r="EK11" i="9"/>
  <c r="EB11" i="9"/>
  <c r="DZ11" i="9"/>
  <c r="EI11" i="9"/>
  <c r="AN11" i="9"/>
  <c r="JP11" i="9"/>
  <c r="ER11" i="9" s="1"/>
  <c r="EZ12" i="9"/>
  <c r="FI12" i="9" s="1"/>
  <c r="KR12" i="9"/>
  <c r="LA12" i="9" s="1"/>
  <c r="KP12" i="9"/>
  <c r="KY12" i="9" s="1"/>
  <c r="AL13" i="11"/>
  <c r="KQ12" i="9"/>
  <c r="KZ12" i="9" s="1"/>
  <c r="AM13" i="11"/>
  <c r="AK12" i="9"/>
  <c r="J12" i="9" s="1"/>
  <c r="AS13" i="11"/>
  <c r="AQ13" i="11"/>
  <c r="KV12" i="9"/>
  <c r="LE12" i="9" s="1"/>
  <c r="AR13" i="11"/>
  <c r="DX11" i="9"/>
  <c r="AL11" i="9"/>
  <c r="AT11" i="9"/>
  <c r="GT29" i="9"/>
  <c r="IM29" i="9" s="1"/>
  <c r="GT4" i="9"/>
  <c r="IM4" i="9" s="1"/>
  <c r="GT28" i="9"/>
  <c r="IM28" i="9" s="1"/>
  <c r="GT13" i="9"/>
  <c r="IM13" i="9" s="1"/>
  <c r="KO12" i="9"/>
  <c r="KX12" i="9" s="1"/>
  <c r="AC12" i="9"/>
  <c r="FK12" i="9"/>
  <c r="FM12" i="9"/>
  <c r="KW12" i="9"/>
  <c r="LF12" i="9" s="1"/>
  <c r="FJ12" i="9"/>
  <c r="FP12" i="9"/>
  <c r="FO12" i="9"/>
  <c r="AF12" i="9"/>
  <c r="E12" i="9" s="1"/>
  <c r="AD12" i="9"/>
  <c r="C12" i="9" s="1"/>
  <c r="AJ12" i="9"/>
  <c r="I12" i="9" s="1"/>
  <c r="AH12" i="9"/>
  <c r="G12" i="9" s="1"/>
  <c r="AE12" i="9"/>
  <c r="D12" i="9" s="1"/>
  <c r="EY12" i="9"/>
  <c r="JN11" i="9"/>
  <c r="EP11" i="9" s="1"/>
  <c r="L12" i="11"/>
  <c r="EG11" i="9"/>
  <c r="HG11" i="9" l="1"/>
  <c r="HH11" i="9"/>
  <c r="DM12" i="8"/>
  <c r="B12" i="9"/>
  <c r="HK11" i="9"/>
  <c r="HJ11" i="9"/>
  <c r="Q11" i="9"/>
  <c r="Z11" i="9" s="1"/>
  <c r="HI11" i="9"/>
  <c r="P11" i="9"/>
  <c r="Y11" i="9" s="1"/>
  <c r="HE11" i="9"/>
  <c r="L11" i="9"/>
  <c r="U11" i="9" s="1"/>
  <c r="FE42" i="9"/>
  <c r="FN42" i="9" s="1"/>
  <c r="LD9" i="9"/>
  <c r="LD6" i="9"/>
  <c r="LD37" i="9"/>
  <c r="LD3" i="9"/>
  <c r="FE9" i="9"/>
  <c r="FN9" i="9" s="1"/>
  <c r="FE37" i="9"/>
  <c r="FN37" i="9" s="1"/>
  <c r="LD14" i="9"/>
  <c r="LD22" i="9"/>
  <c r="LD39" i="9"/>
  <c r="FE14" i="9"/>
  <c r="FN14" i="9" s="1"/>
  <c r="FE22" i="9"/>
  <c r="FN22" i="9" s="1"/>
  <c r="LD2" i="9"/>
  <c r="FE39" i="9"/>
  <c r="FN39" i="9" s="1"/>
  <c r="FE18" i="9"/>
  <c r="FN18" i="9" s="1"/>
  <c r="FE34" i="9"/>
  <c r="FN34" i="9" s="1"/>
  <c r="LD24" i="9"/>
  <c r="LB25" i="9"/>
  <c r="LD29" i="9"/>
  <c r="LD31" i="9"/>
  <c r="LD13" i="9"/>
  <c r="LD17" i="9"/>
  <c r="FE10" i="9"/>
  <c r="FN10" i="9" s="1"/>
  <c r="FE16" i="9"/>
  <c r="FN16" i="9" s="1"/>
  <c r="FE7" i="9"/>
  <c r="FN7" i="9" s="1"/>
  <c r="FE21" i="9"/>
  <c r="FN21" i="9" s="1"/>
  <c r="LD18" i="9"/>
  <c r="LD36" i="9"/>
  <c r="FE29" i="9"/>
  <c r="FN29" i="9" s="1"/>
  <c r="FE31" i="9"/>
  <c r="FN31" i="9" s="1"/>
  <c r="FE13" i="9"/>
  <c r="FN13" i="9" s="1"/>
  <c r="LD33" i="9"/>
  <c r="FC15" i="9"/>
  <c r="FL15" i="9" s="1"/>
  <c r="LD10" i="9"/>
  <c r="LD40" i="9"/>
  <c r="FE30" i="9"/>
  <c r="FN30" i="9" s="1"/>
  <c r="LD16" i="9"/>
  <c r="FE36" i="9"/>
  <c r="FN36" i="9" s="1"/>
  <c r="LD7" i="9"/>
  <c r="LD38" i="9"/>
  <c r="LD34" i="9"/>
  <c r="FC43" i="9"/>
  <c r="FL43" i="9" s="1"/>
  <c r="LD26" i="9"/>
  <c r="FE26" i="9"/>
  <c r="FN26" i="9" s="1"/>
  <c r="LB15" i="9"/>
  <c r="FC25" i="9"/>
  <c r="FL25" i="9" s="1"/>
  <c r="LB28" i="9"/>
  <c r="LB8" i="9"/>
  <c r="LB27" i="9"/>
  <c r="LD21" i="9"/>
  <c r="FE2" i="9"/>
  <c r="FN2" i="9" s="1"/>
  <c r="Q2" i="12" s="1"/>
  <c r="O2" i="12"/>
  <c r="X2" i="12" s="1"/>
  <c r="GF2" i="9" s="1"/>
  <c r="GO2" i="9" s="1"/>
  <c r="GX2" i="9" s="1"/>
  <c r="FE38" i="9"/>
  <c r="FN38" i="9" s="1"/>
  <c r="LD41" i="9"/>
  <c r="EV8" i="9"/>
  <c r="IJ8" i="9"/>
  <c r="KU8" i="9"/>
  <c r="FE24" i="9"/>
  <c r="FN24" i="9" s="1"/>
  <c r="FE4" i="9"/>
  <c r="FN4" i="9" s="1"/>
  <c r="EV28" i="9"/>
  <c r="IJ28" i="9"/>
  <c r="KU28" i="9"/>
  <c r="LD30" i="9"/>
  <c r="LD35" i="9"/>
  <c r="LD20" i="9"/>
  <c r="FE17" i="9"/>
  <c r="FN17" i="9" s="1"/>
  <c r="FE41" i="9"/>
  <c r="FN41" i="9" s="1"/>
  <c r="EV15" i="9"/>
  <c r="IJ15" i="9"/>
  <c r="KU15" i="9"/>
  <c r="FC28" i="9"/>
  <c r="FL28" i="9" s="1"/>
  <c r="EV32" i="9"/>
  <c r="IJ32" i="9"/>
  <c r="KU32" i="9"/>
  <c r="FE23" i="9"/>
  <c r="FN23" i="9" s="1"/>
  <c r="LB32" i="9"/>
  <c r="FE33" i="9"/>
  <c r="FN33" i="9" s="1"/>
  <c r="LD42" i="9"/>
  <c r="FC8" i="9"/>
  <c r="FL8" i="9" s="1"/>
  <c r="FC27" i="9"/>
  <c r="FL27" i="9" s="1"/>
  <c r="FE40" i="9"/>
  <c r="FN40" i="9" s="1"/>
  <c r="LD19" i="9"/>
  <c r="FE35" i="9"/>
  <c r="FN35" i="9" s="1"/>
  <c r="EV25" i="9"/>
  <c r="IJ25" i="9"/>
  <c r="KU25" i="9"/>
  <c r="FE20" i="9"/>
  <c r="FN20" i="9" s="1"/>
  <c r="EV43" i="9"/>
  <c r="IJ43" i="9"/>
  <c r="KU43" i="9"/>
  <c r="EV27" i="9"/>
  <c r="IJ27" i="9"/>
  <c r="KU27" i="9"/>
  <c r="FE5" i="9"/>
  <c r="FN5" i="9" s="1"/>
  <c r="FC32" i="9"/>
  <c r="FL32" i="9" s="1"/>
  <c r="LD23" i="9"/>
  <c r="FE6" i="9"/>
  <c r="FN6" i="9" s="1"/>
  <c r="LB43" i="9"/>
  <c r="FE3" i="9"/>
  <c r="FN3" i="9" s="1"/>
  <c r="LD5" i="9"/>
  <c r="FE19" i="9"/>
  <c r="FN19" i="9" s="1"/>
  <c r="LD4" i="9"/>
  <c r="BM11" i="9"/>
  <c r="AK12" i="11" s="1"/>
  <c r="HC11" i="9"/>
  <c r="B12" i="11" s="1"/>
  <c r="BS11" i="9"/>
  <c r="AQ12" i="11" s="1"/>
  <c r="BQ11" i="9"/>
  <c r="AO12" i="11" s="1"/>
  <c r="BR11" i="9"/>
  <c r="BP11" i="9"/>
  <c r="BT11" i="9"/>
  <c r="BU11" i="9"/>
  <c r="BO11" i="9"/>
  <c r="BN11" i="9"/>
  <c r="FH12" i="9"/>
  <c r="IK11" i="9"/>
  <c r="FF11" i="9" s="1"/>
  <c r="ID11" i="9"/>
  <c r="IE11" i="9"/>
  <c r="EZ11" i="9" s="1"/>
  <c r="IL11" i="9"/>
  <c r="FG11" i="9" s="1"/>
  <c r="IG11" i="9"/>
  <c r="FB11" i="9" s="1"/>
  <c r="IF11" i="9"/>
  <c r="FA11" i="9" s="1"/>
  <c r="II11" i="9"/>
  <c r="FD11" i="9" s="1"/>
  <c r="LD8" i="9" l="1"/>
  <c r="LD32" i="9"/>
  <c r="FE43" i="9"/>
  <c r="FN43" i="9" s="1"/>
  <c r="FE28" i="9"/>
  <c r="FN28" i="9" s="1"/>
  <c r="LD15" i="9"/>
  <c r="LD25" i="9"/>
  <c r="LD43" i="9"/>
  <c r="FE32" i="9"/>
  <c r="FN32" i="9" s="1"/>
  <c r="FE15" i="9"/>
  <c r="FN15" i="9" s="1"/>
  <c r="FE25" i="9"/>
  <c r="FN25" i="9" s="1"/>
  <c r="Z2" i="12"/>
  <c r="GH2" i="9" s="1"/>
  <c r="GQ2" i="9" s="1"/>
  <c r="GZ2" i="9" s="1"/>
  <c r="LD28" i="9"/>
  <c r="LD27" i="9"/>
  <c r="DO12" i="8"/>
  <c r="FE27" i="9"/>
  <c r="FN27" i="9" s="1"/>
  <c r="FE8" i="9"/>
  <c r="FN8" i="9" s="1"/>
  <c r="KV11" i="9"/>
  <c r="LE11" i="9" s="1"/>
  <c r="AR12" i="11"/>
  <c r="AK11" i="9"/>
  <c r="J11" i="9" s="1"/>
  <c r="AS12" i="11"/>
  <c r="KR11" i="9"/>
  <c r="LA11" i="9" s="1"/>
  <c r="AN12" i="11"/>
  <c r="KP11" i="9"/>
  <c r="KY11" i="9" s="1"/>
  <c r="AL12" i="11"/>
  <c r="KQ11" i="9"/>
  <c r="KZ11" i="9" s="1"/>
  <c r="AM12" i="11"/>
  <c r="KT11" i="9"/>
  <c r="LC11" i="9" s="1"/>
  <c r="AP12" i="11"/>
  <c r="KO11" i="9"/>
  <c r="KX11" i="9" s="1"/>
  <c r="AC11" i="9"/>
  <c r="FJ11" i="9"/>
  <c r="FM11" i="9"/>
  <c r="FO11" i="9"/>
  <c r="FP11" i="9"/>
  <c r="FK11" i="9"/>
  <c r="EY11" i="9"/>
  <c r="FI11" i="9"/>
  <c r="KW11" i="9"/>
  <c r="LF11" i="9" s="1"/>
  <c r="AF11" i="9"/>
  <c r="E11" i="9" s="1"/>
  <c r="AJ11" i="9"/>
  <c r="I11" i="9" s="1"/>
  <c r="AE11" i="9"/>
  <c r="D11" i="9" s="1"/>
  <c r="AD11" i="9"/>
  <c r="C11" i="9" s="1"/>
  <c r="AH11" i="9"/>
  <c r="G11" i="9" s="1"/>
  <c r="DM11" i="8" l="1"/>
  <c r="B11" i="9"/>
  <c r="FH11" i="9"/>
  <c r="I41" i="7"/>
  <c r="J41" i="7" s="1"/>
  <c r="DO11" i="8" l="1"/>
  <c r="Q13" i="11"/>
  <c r="K12" i="12"/>
  <c r="T12" i="12" s="1"/>
  <c r="GB12" i="9" s="1"/>
  <c r="AP12" i="9"/>
  <c r="AG12" i="9" s="1"/>
  <c r="F12" i="9" s="1"/>
  <c r="JR12" i="9"/>
  <c r="I40" i="7"/>
  <c r="J40" i="7" s="1"/>
  <c r="GK12" i="9" l="1"/>
  <c r="GT12" i="9" s="1"/>
  <c r="IM12" i="9" s="1"/>
  <c r="ET12" i="9"/>
  <c r="IH12" i="9"/>
  <c r="KS12" i="9"/>
  <c r="AR12" i="9"/>
  <c r="AI12" i="9" s="1"/>
  <c r="H12" i="9" s="1"/>
  <c r="JT12" i="9"/>
  <c r="LB12" i="9" l="1"/>
  <c r="FC12" i="9"/>
  <c r="FL12" i="9" s="1"/>
  <c r="EV12" i="9"/>
  <c r="IJ12" i="9"/>
  <c r="KU12" i="9"/>
  <c r="Q12" i="11"/>
  <c r="K11" i="12"/>
  <c r="T11" i="12" s="1"/>
  <c r="GB11" i="9" s="1"/>
  <c r="JR11" i="9"/>
  <c r="AP11" i="9"/>
  <c r="AG11" i="9" s="1"/>
  <c r="F11" i="9" s="1"/>
  <c r="G37" i="7"/>
  <c r="GK11" i="9" l="1"/>
  <c r="GT11" i="9" s="1"/>
  <c r="IM11" i="9" s="1"/>
  <c r="FE12" i="9"/>
  <c r="FN12" i="9" s="1"/>
  <c r="AR11" i="9"/>
  <c r="AI11" i="9" s="1"/>
  <c r="H11" i="9" s="1"/>
  <c r="JT11" i="9"/>
  <c r="ET11" i="9"/>
  <c r="IH11" i="9"/>
  <c r="KS11" i="9"/>
  <c r="LD12" i="9"/>
  <c r="G36" i="7"/>
  <c r="LB11" i="9" l="1"/>
  <c r="FC11" i="9"/>
  <c r="FL11" i="9" s="1"/>
  <c r="EV11" i="9"/>
  <c r="IJ11" i="9"/>
  <c r="KU11" i="9"/>
  <c r="G35" i="7"/>
  <c r="LD11" i="9" l="1"/>
  <c r="FE11" i="9"/>
  <c r="FN11" i="9" s="1"/>
  <c r="G34" i="7"/>
  <c r="C24" i="7" l="1"/>
  <c r="J24" i="7" s="1"/>
  <c r="O24" i="7" l="1"/>
  <c r="I9" i="7" l="1"/>
  <c r="J9" i="7" s="1"/>
  <c r="I8" i="7" l="1"/>
  <c r="J8" i="7" s="1"/>
  <c r="I36" i="5" l="1"/>
  <c r="I63" i="5" s="1"/>
  <c r="J47" i="5" l="1"/>
  <c r="J52" i="5"/>
  <c r="J36" i="5"/>
  <c r="J41" i="5"/>
  <c r="I48" i="5"/>
  <c r="I52" i="5"/>
  <c r="I37" i="5"/>
  <c r="I41" i="5"/>
  <c r="O47" i="5" l="1"/>
  <c r="O52" i="5"/>
  <c r="O37" i="5"/>
  <c r="O41" i="5"/>
  <c r="N47" i="5"/>
  <c r="N52" i="5"/>
  <c r="N36" i="5"/>
  <c r="N41" i="5"/>
  <c r="I47" i="5"/>
  <c r="J70" i="5" l="1"/>
  <c r="I64" i="5"/>
  <c r="O70" i="5" l="1"/>
  <c r="O51" i="5"/>
  <c r="O69" i="5" s="1"/>
  <c r="O48" i="5"/>
  <c r="O74" i="5" s="1"/>
  <c r="O73" i="5"/>
  <c r="N51" i="5"/>
  <c r="J69" i="5" s="1"/>
  <c r="N48" i="5"/>
  <c r="J74" i="5" s="1"/>
  <c r="J73" i="5"/>
  <c r="O60" i="5"/>
  <c r="O40" i="5"/>
  <c r="O59" i="5" s="1"/>
  <c r="O64" i="5"/>
  <c r="O36" i="5"/>
  <c r="O63" i="5" s="1"/>
  <c r="J60" i="5"/>
  <c r="N40" i="5"/>
  <c r="J59" i="5" s="1"/>
  <c r="N37" i="5"/>
  <c r="J64" i="5" s="1"/>
  <c r="J63" i="5"/>
  <c r="N70" i="5"/>
  <c r="I70" i="5"/>
  <c r="I51" i="5"/>
  <c r="I69" i="5" s="1"/>
  <c r="J48" i="5"/>
  <c r="N74" i="5" s="1"/>
  <c r="N73" i="5"/>
  <c r="I74" i="5"/>
  <c r="I73" i="5"/>
  <c r="N60" i="5"/>
  <c r="I60" i="5"/>
  <c r="J40" i="5"/>
  <c r="N59" i="5" s="1"/>
  <c r="I40" i="5"/>
  <c r="I59" i="5" s="1"/>
  <c r="J37" i="5"/>
  <c r="N64" i="5" s="1"/>
  <c r="N63" i="5"/>
  <c r="J51" i="5"/>
  <c r="N69" i="5" s="1"/>
  <c r="N4" i="3" l="1"/>
  <c r="K10" i="2" l="1"/>
  <c r="J10" i="2"/>
  <c r="I10" i="2"/>
  <c r="H10" i="2"/>
  <c r="G10" i="2"/>
  <c r="F10" i="2"/>
  <c r="E10" i="2"/>
  <c r="D10" i="2"/>
  <c r="GT2" i="9" l="1"/>
  <c r="IM2" i="9" s="1"/>
  <c r="IQ2" i="9"/>
  <c r="IP2" i="9"/>
  <c r="IR2" i="9"/>
  <c r="IS2" i="9"/>
  <c r="IU2" i="9"/>
  <c r="IT2" i="9"/>
  <c r="IN2" i="9" l="1"/>
  <c r="IO2" i="9" l="1"/>
  <c r="M65" i="12"/>
  <c r="V65" i="12" s="1"/>
  <c r="L39" i="12"/>
  <c r="U39" i="12" s="1"/>
  <c r="M34" i="12"/>
  <c r="V34" i="12" s="1"/>
  <c r="O55" i="12"/>
  <c r="X55" i="12" s="1"/>
  <c r="L49" i="12"/>
  <c r="U49" i="12" s="1"/>
  <c r="L50" i="12"/>
  <c r="U50" i="12" s="1"/>
  <c r="N31" i="12"/>
  <c r="W31" i="12" s="1"/>
  <c r="M71" i="12"/>
  <c r="V71" i="12" s="1"/>
  <c r="L70" i="12"/>
  <c r="U70" i="12" s="1"/>
  <c r="M69" i="12"/>
  <c r="V69" i="12" s="1"/>
  <c r="N57" i="12"/>
  <c r="W57" i="12" s="1"/>
  <c r="P18" i="12"/>
  <c r="Y18" i="12" s="1"/>
  <c r="O10" i="12"/>
  <c r="X10" i="12" s="1"/>
  <c r="P20" i="12"/>
  <c r="Y20" i="12" s="1"/>
  <c r="O12" i="12"/>
  <c r="X12" i="12" s="1"/>
  <c r="P64" i="12"/>
  <c r="Y64" i="12" s="1"/>
  <c r="P3" i="12"/>
  <c r="Y3" i="12" s="1"/>
  <c r="P60" i="12"/>
  <c r="Y60" i="12" s="1"/>
  <c r="O96" i="12"/>
  <c r="X96" i="12" s="1"/>
  <c r="Q8" i="12"/>
  <c r="Z8" i="12" s="1"/>
  <c r="O78" i="12"/>
  <c r="X78" i="12" s="1"/>
  <c r="S15" i="12"/>
  <c r="AB15" i="12" s="1"/>
  <c r="M67" i="12"/>
  <c r="V67" i="12" s="1"/>
  <c r="N46" i="12"/>
  <c r="W46" i="12" s="1"/>
  <c r="O25" i="12"/>
  <c r="X25" i="12" s="1"/>
  <c r="P10" i="12"/>
  <c r="Y10" i="12" s="1"/>
  <c r="N25" i="12"/>
  <c r="W25" i="12" s="1"/>
  <c r="M81" i="12"/>
  <c r="V81" i="12" s="1"/>
  <c r="N43" i="12"/>
  <c r="W43" i="12" s="1"/>
  <c r="O21" i="12"/>
  <c r="X21" i="12" s="1"/>
  <c r="U3" i="12"/>
  <c r="L43" i="12"/>
  <c r="U43" i="12" s="1"/>
  <c r="L55" i="12"/>
  <c r="U55" i="12" s="1"/>
  <c r="L75" i="12"/>
  <c r="U75" i="12" s="1"/>
  <c r="M26" i="12"/>
  <c r="V26" i="12" s="1"/>
  <c r="M38" i="12"/>
  <c r="V38" i="12" s="1"/>
  <c r="O35" i="12"/>
  <c r="X35" i="12" s="1"/>
  <c r="N22" i="12"/>
  <c r="W22" i="12" s="1"/>
  <c r="N74" i="12"/>
  <c r="W74" i="12" s="1"/>
  <c r="O71" i="12"/>
  <c r="X71" i="12" s="1"/>
  <c r="M86" i="12"/>
  <c r="V86" i="12" s="1"/>
  <c r="M57" i="12"/>
  <c r="V57" i="12" s="1"/>
  <c r="N20" i="12"/>
  <c r="W20" i="12" s="1"/>
  <c r="N71" i="12"/>
  <c r="W71" i="12" s="1"/>
  <c r="O73" i="12"/>
  <c r="X73" i="12" s="1"/>
  <c r="L37" i="12"/>
  <c r="U37" i="12" s="1"/>
  <c r="L69" i="12"/>
  <c r="U69" i="12" s="1"/>
  <c r="L81" i="12"/>
  <c r="U81" i="12" s="1"/>
  <c r="M20" i="12"/>
  <c r="V20" i="12" s="1"/>
  <c r="M32" i="12"/>
  <c r="V32" i="12" s="1"/>
  <c r="M84" i="12"/>
  <c r="V84" i="12" s="1"/>
  <c r="L24" i="12"/>
  <c r="U24" i="12" s="1"/>
  <c r="O11" i="12"/>
  <c r="X11" i="12" s="1"/>
  <c r="L38" i="12"/>
  <c r="U38" i="12" s="1"/>
  <c r="O27" i="12"/>
  <c r="X27" i="12" s="1"/>
  <c r="L64" i="12"/>
  <c r="U64" i="12" s="1"/>
  <c r="L76" i="12"/>
  <c r="U76" i="12" s="1"/>
  <c r="M15" i="12"/>
  <c r="V15" i="12" s="1"/>
  <c r="M27" i="12"/>
  <c r="V27" i="12" s="1"/>
  <c r="M47" i="12"/>
  <c r="V47" i="12" s="1"/>
  <c r="M79" i="12"/>
  <c r="V79" i="12" s="1"/>
  <c r="N34" i="12"/>
  <c r="W34" i="12" s="1"/>
  <c r="N48" i="12"/>
  <c r="W48" i="12" s="1"/>
  <c r="O33" i="12"/>
  <c r="X33" i="12" s="1"/>
  <c r="N7" i="12"/>
  <c r="W7" i="12" s="1"/>
  <c r="L52" i="12"/>
  <c r="U52" i="12" s="1"/>
  <c r="M9" i="12"/>
  <c r="V9" i="12" s="1"/>
  <c r="M21" i="12"/>
  <c r="V21" i="12" s="1"/>
  <c r="O43" i="12"/>
  <c r="X43" i="12" s="1"/>
  <c r="L40" i="12"/>
  <c r="U40" i="12" s="1"/>
  <c r="M76" i="12"/>
  <c r="V76" i="12" s="1"/>
  <c r="M45" i="12"/>
  <c r="V45" i="12" s="1"/>
  <c r="N24" i="12"/>
  <c r="W24" i="12" s="1"/>
  <c r="N44" i="12"/>
  <c r="W44" i="12" s="1"/>
  <c r="O83" i="12"/>
  <c r="X83" i="12" s="1"/>
  <c r="N3" i="12"/>
  <c r="W3" i="12" s="1"/>
  <c r="N65" i="12"/>
  <c r="W65" i="12" s="1"/>
  <c r="L18" i="12"/>
  <c r="U18" i="12" s="1"/>
  <c r="N38" i="12"/>
  <c r="W38" i="12" s="1"/>
  <c r="O39" i="12"/>
  <c r="X39" i="12" s="1"/>
  <c r="P83" i="12"/>
  <c r="Y83" i="12" s="1"/>
  <c r="P38" i="12"/>
  <c r="Y38" i="12" s="1"/>
  <c r="P58" i="12"/>
  <c r="Y58" i="12" s="1"/>
  <c r="N79" i="12"/>
  <c r="W79" i="12" s="1"/>
  <c r="O14" i="12"/>
  <c r="X14" i="12" s="1"/>
  <c r="O30" i="12"/>
  <c r="X30" i="12" s="1"/>
  <c r="P6" i="12"/>
  <c r="Y6" i="12" s="1"/>
  <c r="L22" i="12"/>
  <c r="U22" i="12" s="1"/>
  <c r="N82" i="12"/>
  <c r="W82" i="12" s="1"/>
  <c r="Q12" i="12"/>
  <c r="Z12" i="12" s="1"/>
  <c r="P40" i="12"/>
  <c r="Y40" i="12" s="1"/>
  <c r="P56" i="12"/>
  <c r="Y56" i="12" s="1"/>
  <c r="N81" i="12"/>
  <c r="W81" i="12" s="1"/>
  <c r="O32" i="12"/>
  <c r="X32" i="12" s="1"/>
  <c r="N29" i="12"/>
  <c r="W29" i="12" s="1"/>
  <c r="L33" i="12"/>
  <c r="U33" i="12" s="1"/>
  <c r="N41" i="12"/>
  <c r="W41" i="12" s="1"/>
  <c r="N21" i="12"/>
  <c r="W21" i="12" s="1"/>
  <c r="P72" i="12"/>
  <c r="Y72" i="12" s="1"/>
  <c r="O75" i="12"/>
  <c r="X75" i="12" s="1"/>
  <c r="P71" i="12"/>
  <c r="Y71" i="12" s="1"/>
  <c r="O66" i="12"/>
  <c r="X66" i="12" s="1"/>
  <c r="P23" i="12"/>
  <c r="Y23" i="12" s="1"/>
  <c r="P43" i="12"/>
  <c r="Y43" i="12" s="1"/>
  <c r="Q17" i="12"/>
  <c r="Z17" i="12" s="1"/>
  <c r="Q51" i="12"/>
  <c r="Z51" i="12" s="1"/>
  <c r="R55" i="12"/>
  <c r="AA55" i="12" s="1"/>
  <c r="R17" i="12"/>
  <c r="AA17" i="12" s="1"/>
  <c r="Q37" i="12"/>
  <c r="Z37" i="12" s="1"/>
  <c r="O72" i="12"/>
  <c r="X72" i="12" s="1"/>
  <c r="O62" i="12"/>
  <c r="X62" i="12" s="1"/>
  <c r="P75" i="12"/>
  <c r="Y75" i="12" s="1"/>
  <c r="O68" i="12"/>
  <c r="X68" i="12" s="1"/>
  <c r="P33" i="12"/>
  <c r="Y33" i="12" s="1"/>
  <c r="R4" i="12"/>
  <c r="AA4" i="12" s="1"/>
  <c r="S43" i="12"/>
  <c r="AB43" i="12" s="1"/>
  <c r="S45" i="12"/>
  <c r="AB45" i="12" s="1"/>
  <c r="Q76" i="12"/>
  <c r="Z76" i="12" s="1"/>
  <c r="R52" i="12"/>
  <c r="AA52" i="12" s="1"/>
  <c r="S19" i="12"/>
  <c r="AB19" i="12" s="1"/>
  <c r="N99" i="12"/>
  <c r="W99" i="12" s="1"/>
  <c r="Q99" i="12"/>
  <c r="Z99" i="12" s="1"/>
  <c r="R94" i="12"/>
  <c r="AA94" i="12" s="1"/>
  <c r="S32" i="12"/>
  <c r="AB32" i="12" s="1"/>
  <c r="N78" i="12"/>
  <c r="W78" i="12" s="1"/>
  <c r="M22" i="12"/>
  <c r="V22" i="12" s="1"/>
  <c r="N66" i="12"/>
  <c r="W66" i="12" s="1"/>
  <c r="M23" i="12"/>
  <c r="V23" i="12" s="1"/>
  <c r="N13" i="12"/>
  <c r="W13" i="12" s="1"/>
  <c r="P34" i="12"/>
  <c r="Y34" i="12" s="1"/>
  <c r="P67" i="12"/>
  <c r="Y67" i="12" s="1"/>
  <c r="Q33" i="12"/>
  <c r="Z33" i="12" s="1"/>
  <c r="P21" i="12"/>
  <c r="Y21" i="12" s="1"/>
  <c r="Q95" i="12"/>
  <c r="Z95" i="12" s="1"/>
  <c r="M83" i="12"/>
  <c r="V83" i="12" s="1"/>
  <c r="N54" i="12"/>
  <c r="W54" i="12" s="1"/>
  <c r="M62" i="12"/>
  <c r="V62" i="12" s="1"/>
  <c r="N51" i="12"/>
  <c r="W51" i="12" s="1"/>
  <c r="O49" i="12"/>
  <c r="X49" i="12" s="1"/>
  <c r="L79" i="12"/>
  <c r="U79" i="12" s="1"/>
  <c r="M6" i="12"/>
  <c r="V6" i="12" s="1"/>
  <c r="M42" i="12"/>
  <c r="V42" i="12" s="1"/>
  <c r="M59" i="12"/>
  <c r="V59" i="12" s="1"/>
  <c r="N42" i="12"/>
  <c r="W42" i="12" s="1"/>
  <c r="N36" i="12"/>
  <c r="W36" i="12" s="1"/>
  <c r="O5" i="12"/>
  <c r="X5" i="12" s="1"/>
  <c r="L73" i="12"/>
  <c r="U73" i="12" s="1"/>
  <c r="L85" i="12"/>
  <c r="U85" i="12" s="1"/>
  <c r="M36" i="12"/>
  <c r="V36" i="12" s="1"/>
  <c r="N23" i="12"/>
  <c r="W23" i="12" s="1"/>
  <c r="L54" i="12"/>
  <c r="U54" i="12" s="1"/>
  <c r="L11" i="12"/>
  <c r="U11" i="12" s="1"/>
  <c r="L44" i="12"/>
  <c r="U44" i="12" s="1"/>
  <c r="L26" i="12"/>
  <c r="U26" i="12" s="1"/>
  <c r="L68" i="12"/>
  <c r="U68" i="12" s="1"/>
  <c r="L80" i="12"/>
  <c r="U80" i="12" s="1"/>
  <c r="M31" i="12"/>
  <c r="V31" i="12" s="1"/>
  <c r="M56" i="12"/>
  <c r="V56" i="12" s="1"/>
  <c r="N56" i="12"/>
  <c r="W56" i="12" s="1"/>
  <c r="O59" i="12"/>
  <c r="X59" i="12" s="1"/>
  <c r="U4" i="12"/>
  <c r="L62" i="12"/>
  <c r="U62" i="12" s="1"/>
  <c r="L74" i="12"/>
  <c r="U74" i="12" s="1"/>
  <c r="L58" i="12"/>
  <c r="U58" i="12" s="1"/>
  <c r="M77" i="12"/>
  <c r="V77" i="12" s="1"/>
  <c r="N52" i="12"/>
  <c r="W52" i="12" s="1"/>
  <c r="L19" i="12"/>
  <c r="U19" i="12" s="1"/>
  <c r="M58" i="12"/>
  <c r="V58" i="12" s="1"/>
  <c r="O53" i="12"/>
  <c r="X53" i="12" s="1"/>
  <c r="P22" i="12"/>
  <c r="Y22" i="12" s="1"/>
  <c r="P42" i="12"/>
  <c r="Y42" i="12" s="1"/>
  <c r="N83" i="12"/>
  <c r="W83" i="12" s="1"/>
  <c r="O34" i="12"/>
  <c r="X34" i="12" s="1"/>
  <c r="O61" i="12"/>
  <c r="X61" i="12" s="1"/>
  <c r="P24" i="12"/>
  <c r="Y24" i="12" s="1"/>
  <c r="P65" i="12"/>
  <c r="Y65" i="12" s="1"/>
  <c r="O16" i="12"/>
  <c r="X16" i="12" s="1"/>
  <c r="O36" i="12"/>
  <c r="X36" i="12" s="1"/>
  <c r="N73" i="12"/>
  <c r="W73" i="12" s="1"/>
  <c r="N53" i="12"/>
  <c r="W53" i="12" s="1"/>
  <c r="Q3" i="12"/>
  <c r="Z3" i="12" s="1"/>
  <c r="P77" i="12"/>
  <c r="Y77" i="12" s="1"/>
  <c r="L13" i="12"/>
  <c r="U13" i="12" s="1"/>
  <c r="P84" i="12"/>
  <c r="Y84" i="12" s="1"/>
  <c r="O70" i="12"/>
  <c r="X70" i="12" s="1"/>
  <c r="P7" i="12"/>
  <c r="Y7" i="12" s="1"/>
  <c r="P27" i="12"/>
  <c r="Y27" i="12" s="1"/>
  <c r="P69" i="12"/>
  <c r="Y69" i="12" s="1"/>
  <c r="Q22" i="12"/>
  <c r="Z22" i="12" s="1"/>
  <c r="P59" i="12"/>
  <c r="Y59" i="12" s="1"/>
  <c r="Q13" i="12"/>
  <c r="Z13" i="12" s="1"/>
  <c r="Q21" i="12"/>
  <c r="Z21" i="12" s="1"/>
  <c r="O82" i="12"/>
  <c r="X82" i="12" s="1"/>
  <c r="P41" i="12"/>
  <c r="Y41" i="12" s="1"/>
  <c r="Q42" i="12"/>
  <c r="Z42" i="12" s="1"/>
  <c r="R58" i="12"/>
  <c r="AA58" i="12" s="1"/>
  <c r="N87" i="12"/>
  <c r="W87" i="12" s="1"/>
  <c r="R7" i="12"/>
  <c r="AA7" i="12" s="1"/>
  <c r="R64" i="12"/>
  <c r="AA64" i="12" s="1"/>
  <c r="Q88" i="12"/>
  <c r="Z88" i="12" s="1"/>
  <c r="S92" i="12"/>
  <c r="AB92" i="12" s="1"/>
  <c r="S46" i="12"/>
  <c r="AB46" i="12" s="1"/>
  <c r="S91" i="12"/>
  <c r="AB91" i="12" s="1"/>
  <c r="S62" i="12"/>
  <c r="AB62" i="12" s="1"/>
  <c r="O79" i="12"/>
  <c r="X79" i="12" s="1"/>
  <c r="O31" i="12"/>
  <c r="X31" i="12" s="1"/>
  <c r="L28" i="12"/>
  <c r="U28" i="12" s="1"/>
  <c r="P63" i="12"/>
  <c r="Y63" i="12" s="1"/>
  <c r="Q64" i="12"/>
  <c r="Z64" i="12" s="1"/>
  <c r="L47" i="12"/>
  <c r="U47" i="12" s="1"/>
  <c r="M10" i="12"/>
  <c r="V10" i="12" s="1"/>
  <c r="M30" i="12"/>
  <c r="V30" i="12" s="1"/>
  <c r="M46" i="12"/>
  <c r="V46" i="12" s="1"/>
  <c r="N50" i="12"/>
  <c r="W50" i="12" s="1"/>
  <c r="N17" i="12"/>
  <c r="W17" i="12" s="1"/>
  <c r="M73" i="12"/>
  <c r="V73" i="12" s="1"/>
  <c r="L41" i="12"/>
  <c r="U41" i="12" s="1"/>
  <c r="L53" i="12"/>
  <c r="U53" i="12" s="1"/>
  <c r="M4" i="12"/>
  <c r="V4" i="12" s="1"/>
  <c r="M24" i="12"/>
  <c r="V24" i="12" s="1"/>
  <c r="M40" i="12"/>
  <c r="V40" i="12" s="1"/>
  <c r="L31" i="12"/>
  <c r="U31" i="12" s="1"/>
  <c r="L56" i="12"/>
  <c r="U56" i="12" s="1"/>
  <c r="L32" i="12"/>
  <c r="U32" i="12" s="1"/>
  <c r="L84" i="12"/>
  <c r="U84" i="12" s="1"/>
  <c r="M19" i="12"/>
  <c r="V19" i="12" s="1"/>
  <c r="M35" i="12"/>
  <c r="V35" i="12" s="1"/>
  <c r="N10" i="12"/>
  <c r="W10" i="12" s="1"/>
  <c r="L16" i="12"/>
  <c r="U16" i="12" s="1"/>
  <c r="L78" i="12"/>
  <c r="U78" i="12" s="1"/>
  <c r="M13" i="12"/>
  <c r="V13" i="12" s="1"/>
  <c r="M25" i="12"/>
  <c r="V25" i="12" s="1"/>
  <c r="L17" i="12"/>
  <c r="U17" i="12" s="1"/>
  <c r="N60" i="12"/>
  <c r="W60" i="12" s="1"/>
  <c r="L6" i="12"/>
  <c r="U6" i="12" s="1"/>
  <c r="N27" i="12"/>
  <c r="W27" i="12" s="1"/>
  <c r="O13" i="12"/>
  <c r="X13" i="12" s="1"/>
  <c r="N45" i="12"/>
  <c r="W45" i="12" s="1"/>
  <c r="Q20" i="12"/>
  <c r="Z20" i="12" s="1"/>
  <c r="P26" i="12"/>
  <c r="Y26" i="12" s="1"/>
  <c r="P74" i="12"/>
  <c r="Y74" i="12" s="1"/>
  <c r="O18" i="12"/>
  <c r="X18" i="12" s="1"/>
  <c r="L25" i="12"/>
  <c r="U25" i="12" s="1"/>
  <c r="M72" i="12"/>
  <c r="V72" i="12" s="1"/>
  <c r="Q23" i="12"/>
  <c r="Z23" i="12" s="1"/>
  <c r="P44" i="12"/>
  <c r="Y44" i="12" s="1"/>
  <c r="N85" i="12"/>
  <c r="W85" i="12" s="1"/>
  <c r="O20" i="12"/>
  <c r="X20" i="12" s="1"/>
  <c r="N61" i="12"/>
  <c r="W61" i="12" s="1"/>
  <c r="M51" i="12"/>
  <c r="V51" i="12" s="1"/>
  <c r="Q28" i="12"/>
  <c r="Z28" i="12" s="1"/>
  <c r="P11" i="12"/>
  <c r="Y11" i="12" s="1"/>
  <c r="P47" i="12"/>
  <c r="Y47" i="12" s="1"/>
  <c r="P76" i="12"/>
  <c r="Y76" i="12" s="1"/>
  <c r="Q55" i="12"/>
  <c r="Z55" i="12" s="1"/>
  <c r="R61" i="12"/>
  <c r="AA61" i="12" s="1"/>
  <c r="P79" i="12"/>
  <c r="Y79" i="12" s="1"/>
  <c r="Q9" i="12"/>
  <c r="Z9" i="12" s="1"/>
  <c r="Q10" i="12"/>
  <c r="Z10" i="12" s="1"/>
  <c r="O50" i="12"/>
  <c r="X50" i="12" s="1"/>
  <c r="Q41" i="12"/>
  <c r="Z41" i="12" s="1"/>
  <c r="O86" i="12"/>
  <c r="X86" i="12" s="1"/>
  <c r="P57" i="12"/>
  <c r="Y57" i="12" s="1"/>
  <c r="Q70" i="12"/>
  <c r="Z70" i="12" s="1"/>
  <c r="S29" i="12"/>
  <c r="AB29" i="12" s="1"/>
  <c r="S94" i="12"/>
  <c r="AB94" i="12" s="1"/>
  <c r="R34" i="12"/>
  <c r="AA34" i="12" s="1"/>
  <c r="R91" i="12"/>
  <c r="AA91" i="12" s="1"/>
  <c r="S77" i="12"/>
  <c r="AB77" i="12" s="1"/>
  <c r="S57" i="12"/>
  <c r="AB57" i="12" s="1"/>
  <c r="S101" i="12"/>
  <c r="AB101" i="12" s="1"/>
  <c r="L89" i="12"/>
  <c r="U89" i="12" s="1"/>
  <c r="S24" i="12"/>
  <c r="AB24" i="12" s="1"/>
  <c r="O81" i="12"/>
  <c r="X81" i="12" s="1"/>
  <c r="L12" i="12"/>
  <c r="U12" i="12" s="1"/>
  <c r="N26" i="12"/>
  <c r="W26" i="12" s="1"/>
  <c r="M17" i="12"/>
  <c r="V17" i="12" s="1"/>
  <c r="N16" i="12"/>
  <c r="W16" i="12" s="1"/>
  <c r="M82" i="12"/>
  <c r="V82" i="12" s="1"/>
  <c r="L7" i="12"/>
  <c r="U7" i="12" s="1"/>
  <c r="Q14" i="12"/>
  <c r="Z14" i="12" s="1"/>
  <c r="R41" i="12"/>
  <c r="AA41" i="12" s="1"/>
  <c r="S35" i="12"/>
  <c r="AB35" i="12" s="1"/>
  <c r="S59" i="12"/>
  <c r="AB59" i="12" s="1"/>
  <c r="L59" i="12"/>
  <c r="U59" i="12" s="1"/>
  <c r="O19" i="12"/>
  <c r="X19" i="12" s="1"/>
  <c r="N62" i="12"/>
  <c r="W62" i="12" s="1"/>
  <c r="O47" i="12"/>
  <c r="X47" i="12" s="1"/>
  <c r="M78" i="12"/>
  <c r="V78" i="12" s="1"/>
  <c r="N39" i="12"/>
  <c r="W39" i="12" s="1"/>
  <c r="N12" i="12"/>
  <c r="W12" i="12" s="1"/>
  <c r="O65" i="12"/>
  <c r="X65" i="12" s="1"/>
  <c r="L15" i="12"/>
  <c r="U15" i="12" s="1"/>
  <c r="L63" i="12"/>
  <c r="U63" i="12" s="1"/>
  <c r="L83" i="12"/>
  <c r="U83" i="12" s="1"/>
  <c r="M14" i="12"/>
  <c r="V14" i="12" s="1"/>
  <c r="M55" i="12"/>
  <c r="V55" i="12" s="1"/>
  <c r="O9" i="12"/>
  <c r="X9" i="12" s="1"/>
  <c r="M50" i="12"/>
  <c r="V50" i="12" s="1"/>
  <c r="O37" i="12"/>
  <c r="X37" i="12" s="1"/>
  <c r="P4" i="12"/>
  <c r="Y4" i="12" s="1"/>
  <c r="L57" i="12"/>
  <c r="U57" i="12" s="1"/>
  <c r="L77" i="12"/>
  <c r="U77" i="12" s="1"/>
  <c r="M8" i="12"/>
  <c r="V8" i="12" s="1"/>
  <c r="M44" i="12"/>
  <c r="V44" i="12" s="1"/>
  <c r="L5" i="12"/>
  <c r="U5" i="12" s="1"/>
  <c r="L36" i="12"/>
  <c r="U36" i="12" s="1"/>
  <c r="L72" i="12"/>
  <c r="U72" i="12" s="1"/>
  <c r="M3" i="12"/>
  <c r="V3" i="12" s="1"/>
  <c r="M39" i="12"/>
  <c r="V39" i="12" s="1"/>
  <c r="N40" i="12"/>
  <c r="W40" i="12" s="1"/>
  <c r="N64" i="12"/>
  <c r="W64" i="12" s="1"/>
  <c r="M68" i="12"/>
  <c r="V68" i="12" s="1"/>
  <c r="L66" i="12"/>
  <c r="U66" i="12" s="1"/>
  <c r="L82" i="12"/>
  <c r="U82" i="12" s="1"/>
  <c r="N15" i="12"/>
  <c r="W15" i="12" s="1"/>
  <c r="L8" i="12"/>
  <c r="U8" i="12" s="1"/>
  <c r="M53" i="12"/>
  <c r="V53" i="12" s="1"/>
  <c r="M85" i="12"/>
  <c r="V85" i="12" s="1"/>
  <c r="N32" i="12"/>
  <c r="W32" i="12" s="1"/>
  <c r="O29" i="12"/>
  <c r="X29" i="12" s="1"/>
  <c r="M66" i="12"/>
  <c r="V66" i="12" s="1"/>
  <c r="O69" i="12"/>
  <c r="X69" i="12" s="1"/>
  <c r="Q36" i="12"/>
  <c r="Z36" i="12" s="1"/>
  <c r="P46" i="12"/>
  <c r="Y46" i="12" s="1"/>
  <c r="O38" i="12"/>
  <c r="X38" i="12" s="1"/>
  <c r="O77" i="12"/>
  <c r="X77" i="12" s="1"/>
  <c r="P28" i="12"/>
  <c r="Y28" i="12" s="1"/>
  <c r="P81" i="12"/>
  <c r="Y81" i="12" s="1"/>
  <c r="O4" i="12"/>
  <c r="X4" i="12" s="1"/>
  <c r="O40" i="12"/>
  <c r="X40" i="12" s="1"/>
  <c r="O45" i="12"/>
  <c r="X45" i="12" s="1"/>
  <c r="O7" i="12"/>
  <c r="X7" i="12" s="1"/>
  <c r="Q18" i="12"/>
  <c r="Z18" i="12" s="1"/>
  <c r="P86" i="12"/>
  <c r="Y86" i="12" s="1"/>
  <c r="O76" i="12"/>
  <c r="X76" i="12" s="1"/>
  <c r="P31" i="12"/>
  <c r="Y31" i="12" s="1"/>
  <c r="P51" i="12"/>
  <c r="Y51" i="12" s="1"/>
  <c r="Q29" i="12"/>
  <c r="Z29" i="12" s="1"/>
  <c r="R20" i="12"/>
  <c r="AA20" i="12" s="1"/>
  <c r="Q31" i="12"/>
  <c r="Z31" i="12" s="1"/>
  <c r="P61" i="12"/>
  <c r="Y61" i="12" s="1"/>
  <c r="Q16" i="12"/>
  <c r="Z16" i="12" s="1"/>
  <c r="Q11" i="12"/>
  <c r="Z11" i="12" s="1"/>
  <c r="R9" i="12"/>
  <c r="AA9" i="12" s="1"/>
  <c r="S6" i="12"/>
  <c r="AB6" i="12" s="1"/>
  <c r="N89" i="12"/>
  <c r="W89" i="12" s="1"/>
  <c r="S66" i="12"/>
  <c r="AB66" i="12" s="1"/>
  <c r="P88" i="12"/>
  <c r="Y88" i="12" s="1"/>
  <c r="O98" i="12"/>
  <c r="X98" i="12" s="1"/>
  <c r="Q67" i="12"/>
  <c r="Z67" i="12" s="1"/>
  <c r="L95" i="12"/>
  <c r="U95" i="12" s="1"/>
  <c r="M89" i="12"/>
  <c r="V89" i="12" s="1"/>
  <c r="S5" i="12"/>
  <c r="AB5" i="12" s="1"/>
  <c r="N30" i="12"/>
  <c r="W30" i="12" s="1"/>
  <c r="N6" i="12"/>
  <c r="W6" i="12" s="1"/>
  <c r="O57" i="12"/>
  <c r="X57" i="12" s="1"/>
  <c r="M28" i="12"/>
  <c r="V28" i="12" s="1"/>
  <c r="N86" i="12"/>
  <c r="W86" i="12" s="1"/>
  <c r="M33" i="12"/>
  <c r="V33" i="12" s="1"/>
  <c r="M80" i="12"/>
  <c r="V80" i="12" s="1"/>
  <c r="Q45" i="12"/>
  <c r="Z45" i="12" s="1"/>
  <c r="P19" i="12"/>
  <c r="Y19" i="12" s="1"/>
  <c r="Q47" i="12"/>
  <c r="Z47" i="12" s="1"/>
  <c r="P62" i="12"/>
  <c r="Y62" i="12" s="1"/>
  <c r="Q46" i="12"/>
  <c r="Z46" i="12" s="1"/>
  <c r="N14" i="12"/>
  <c r="W14" i="12" s="1"/>
  <c r="N70" i="12"/>
  <c r="W70" i="12" s="1"/>
  <c r="N28" i="12"/>
  <c r="W28" i="12" s="1"/>
  <c r="N59" i="12"/>
  <c r="W59" i="12" s="1"/>
  <c r="L27" i="12"/>
  <c r="U27" i="12" s="1"/>
  <c r="L51" i="12"/>
  <c r="U51" i="12" s="1"/>
  <c r="L67" i="12"/>
  <c r="U67" i="12" s="1"/>
  <c r="M18" i="12"/>
  <c r="V18" i="12" s="1"/>
  <c r="M75" i="12"/>
  <c r="V75" i="12" s="1"/>
  <c r="N58" i="12"/>
  <c r="W58" i="12" s="1"/>
  <c r="N4" i="12"/>
  <c r="W4" i="12" s="1"/>
  <c r="N47" i="12"/>
  <c r="W47" i="12" s="1"/>
  <c r="L9" i="12"/>
  <c r="U9" i="12" s="1"/>
  <c r="L45" i="12"/>
  <c r="U45" i="12" s="1"/>
  <c r="L61" i="12"/>
  <c r="U61" i="12" s="1"/>
  <c r="M12" i="12"/>
  <c r="V12" i="12" s="1"/>
  <c r="M60" i="12"/>
  <c r="V60" i="12" s="1"/>
  <c r="M7" i="12"/>
  <c r="V7" i="12" s="1"/>
  <c r="M63" i="12"/>
  <c r="V63" i="12" s="1"/>
  <c r="N18" i="12"/>
  <c r="W18" i="12" s="1"/>
  <c r="L86" i="12"/>
  <c r="U86" i="12" s="1"/>
  <c r="M29" i="12"/>
  <c r="V29" i="12" s="1"/>
  <c r="N80" i="12"/>
  <c r="W80" i="12" s="1"/>
  <c r="L48" i="12"/>
  <c r="U48" i="12" s="1"/>
  <c r="N8" i="12"/>
  <c r="W8" i="12" s="1"/>
  <c r="N69" i="12"/>
  <c r="W69" i="12" s="1"/>
  <c r="O85" i="12"/>
  <c r="X85" i="12" s="1"/>
  <c r="P30" i="12"/>
  <c r="Y30" i="12" s="1"/>
  <c r="Q5" i="12"/>
  <c r="Z5" i="12" s="1"/>
  <c r="O22" i="12"/>
  <c r="X22" i="12" s="1"/>
  <c r="O42" i="12"/>
  <c r="X42" i="12" s="1"/>
  <c r="N19" i="12"/>
  <c r="W19" i="12" s="1"/>
  <c r="P12" i="12"/>
  <c r="Y12" i="12" s="1"/>
  <c r="P48" i="12"/>
  <c r="Y48" i="12" s="1"/>
  <c r="Q15" i="12"/>
  <c r="Z15" i="12" s="1"/>
  <c r="O24" i="12"/>
  <c r="X24" i="12" s="1"/>
  <c r="O23" i="12"/>
  <c r="X23" i="12" s="1"/>
  <c r="M64" i="12"/>
  <c r="V64" i="12" s="1"/>
  <c r="L14" i="12"/>
  <c r="U14" i="12" s="1"/>
  <c r="Q34" i="12"/>
  <c r="Z34" i="12" s="1"/>
  <c r="O46" i="12"/>
  <c r="X46" i="12" s="1"/>
  <c r="O80" i="12"/>
  <c r="X80" i="12" s="1"/>
  <c r="P15" i="12"/>
  <c r="Y15" i="12" s="1"/>
  <c r="P85" i="12"/>
  <c r="Y85" i="12" s="1"/>
  <c r="R75" i="12"/>
  <c r="AA75" i="12" s="1"/>
  <c r="Q24" i="12"/>
  <c r="Z24" i="12" s="1"/>
  <c r="O56" i="12"/>
  <c r="X56" i="12" s="1"/>
  <c r="Q35" i="12"/>
  <c r="Z35" i="12" s="1"/>
  <c r="P5" i="12"/>
  <c r="Y5" i="12" s="1"/>
  <c r="Q43" i="12"/>
  <c r="Z43" i="12" s="1"/>
  <c r="R30" i="12"/>
  <c r="AA30" i="12" s="1"/>
  <c r="R66" i="12"/>
  <c r="AA66" i="12" s="1"/>
  <c r="L96" i="12"/>
  <c r="U96" i="12" s="1"/>
  <c r="R31" i="12"/>
  <c r="AA31" i="12" s="1"/>
  <c r="R68" i="12"/>
  <c r="AA68" i="12" s="1"/>
  <c r="Q59" i="12"/>
  <c r="Z59" i="12" s="1"/>
  <c r="Q52" i="12"/>
  <c r="Z52" i="12" s="1"/>
  <c r="M93" i="12"/>
  <c r="V93" i="12" s="1"/>
  <c r="S95" i="12"/>
  <c r="AB95" i="12" s="1"/>
  <c r="S81" i="12"/>
  <c r="AB81" i="12" s="1"/>
  <c r="M96" i="12"/>
  <c r="V96" i="12" s="1"/>
  <c r="N9" i="12"/>
  <c r="W9" i="12" s="1"/>
  <c r="O15" i="12"/>
  <c r="X15" i="12" s="1"/>
  <c r="N67" i="12"/>
  <c r="W67" i="12" s="1"/>
  <c r="L35" i="12"/>
  <c r="U35" i="12" s="1"/>
  <c r="L71" i="12"/>
  <c r="U71" i="12" s="1"/>
  <c r="O3" i="12"/>
  <c r="X3" i="12" s="1"/>
  <c r="M70" i="12"/>
  <c r="V70" i="12" s="1"/>
  <c r="N33" i="12"/>
  <c r="W33" i="12" s="1"/>
  <c r="N55" i="12"/>
  <c r="W55" i="12" s="1"/>
  <c r="L21" i="12"/>
  <c r="U21" i="12" s="1"/>
  <c r="L65" i="12"/>
  <c r="U65" i="12" s="1"/>
  <c r="M49" i="12"/>
  <c r="V49" i="12" s="1"/>
  <c r="L42" i="12"/>
  <c r="U42" i="12" s="1"/>
  <c r="L30" i="12"/>
  <c r="U30" i="12" s="1"/>
  <c r="L60" i="12"/>
  <c r="U60" i="12" s="1"/>
  <c r="M43" i="12"/>
  <c r="V43" i="12" s="1"/>
  <c r="L46" i="12"/>
  <c r="U46" i="12" s="1"/>
  <c r="L34" i="12"/>
  <c r="U34" i="12" s="1"/>
  <c r="M37" i="12"/>
  <c r="V37" i="12" s="1"/>
  <c r="M61" i="12"/>
  <c r="V61" i="12" s="1"/>
  <c r="N37" i="12"/>
  <c r="W37" i="12" s="1"/>
  <c r="N68" i="12"/>
  <c r="W68" i="12" s="1"/>
  <c r="M54" i="12"/>
  <c r="V54" i="12" s="1"/>
  <c r="N35" i="12"/>
  <c r="W35" i="12" s="1"/>
  <c r="O51" i="12"/>
  <c r="X51" i="12" s="1"/>
  <c r="N5" i="12"/>
  <c r="W5" i="12" s="1"/>
  <c r="N77" i="12"/>
  <c r="W77" i="12" s="1"/>
  <c r="P14" i="12"/>
  <c r="Y14" i="12" s="1"/>
  <c r="P50" i="12"/>
  <c r="Y50" i="12" s="1"/>
  <c r="O6" i="12"/>
  <c r="X6" i="12" s="1"/>
  <c r="O26" i="12"/>
  <c r="X26" i="12" s="1"/>
  <c r="L10" i="12"/>
  <c r="U10" i="12" s="1"/>
  <c r="P8" i="12"/>
  <c r="Y8" i="12" s="1"/>
  <c r="P32" i="12"/>
  <c r="Y32" i="12" s="1"/>
  <c r="P52" i="12"/>
  <c r="Y52" i="12" s="1"/>
  <c r="O8" i="12"/>
  <c r="X8" i="12" s="1"/>
  <c r="N76" i="12"/>
  <c r="W76" i="12" s="1"/>
  <c r="N11" i="12"/>
  <c r="W11" i="12" s="1"/>
  <c r="M74" i="12"/>
  <c r="V74" i="12" s="1"/>
  <c r="O44" i="12"/>
  <c r="X44" i="12" s="1"/>
  <c r="Q27" i="12"/>
  <c r="Z27" i="12" s="1"/>
  <c r="O17" i="12"/>
  <c r="X17" i="12" s="1"/>
  <c r="P35" i="12"/>
  <c r="Y35" i="12" s="1"/>
  <c r="P55" i="12"/>
  <c r="Y55" i="12" s="1"/>
  <c r="Q7" i="12"/>
  <c r="Z7" i="12" s="1"/>
  <c r="Q39" i="12"/>
  <c r="Z39" i="12" s="1"/>
  <c r="R28" i="12"/>
  <c r="AA28" i="12" s="1"/>
  <c r="S34" i="12"/>
  <c r="AB34" i="12" s="1"/>
  <c r="P70" i="12"/>
  <c r="Y70" i="12" s="1"/>
  <c r="O48" i="12"/>
  <c r="X48" i="12" s="1"/>
  <c r="P80" i="12"/>
  <c r="Y80" i="12" s="1"/>
  <c r="O74" i="12"/>
  <c r="X74" i="12" s="1"/>
  <c r="P9" i="12"/>
  <c r="Y9" i="12" s="1"/>
  <c r="P78" i="12"/>
  <c r="Y78" i="12" s="1"/>
  <c r="O92" i="12"/>
  <c r="X92" i="12" s="1"/>
  <c r="S26" i="12"/>
  <c r="AB26" i="12" s="1"/>
  <c r="Q75" i="12"/>
  <c r="Z75" i="12" s="1"/>
  <c r="R81" i="12"/>
  <c r="AA81" i="12" s="1"/>
  <c r="R80" i="12"/>
  <c r="AA80" i="12" s="1"/>
  <c r="S47" i="12"/>
  <c r="AB47" i="12" s="1"/>
  <c r="S9" i="12"/>
  <c r="AB9" i="12" s="1"/>
  <c r="S37" i="12"/>
  <c r="AB37" i="12" s="1"/>
  <c r="L93" i="12"/>
  <c r="U93" i="12" s="1"/>
  <c r="L29" i="12"/>
  <c r="U29" i="12" s="1"/>
  <c r="M16" i="12"/>
  <c r="V16" i="12" s="1"/>
  <c r="M11" i="12"/>
  <c r="V11" i="12" s="1"/>
  <c r="M5" i="12"/>
  <c r="V5" i="12" s="1"/>
  <c r="M41" i="12"/>
  <c r="V41" i="12" s="1"/>
  <c r="Q26" i="12"/>
  <c r="Z26" i="12" s="1"/>
  <c r="P54" i="12"/>
  <c r="Y54" i="12" s="1"/>
  <c r="N49" i="12"/>
  <c r="W49" i="12" s="1"/>
  <c r="P36" i="12"/>
  <c r="Y36" i="12" s="1"/>
  <c r="O28" i="12"/>
  <c r="X28" i="12" s="1"/>
  <c r="O60" i="12"/>
  <c r="X60" i="12" s="1"/>
  <c r="P39" i="12"/>
  <c r="Y39" i="12" s="1"/>
  <c r="R36" i="12"/>
  <c r="AA36" i="12" s="1"/>
  <c r="O94" i="12"/>
  <c r="X94" i="12" s="1"/>
  <c r="O97" i="12"/>
  <c r="X97" i="12" s="1"/>
  <c r="M52" i="12"/>
  <c r="V52" i="12" s="1"/>
  <c r="O63" i="12"/>
  <c r="X63" i="12" s="1"/>
  <c r="M48" i="12"/>
  <c r="V48" i="12" s="1"/>
  <c r="N75" i="12"/>
  <c r="W75" i="12" s="1"/>
  <c r="O41" i="12"/>
  <c r="X41" i="12" s="1"/>
  <c r="N84" i="12"/>
  <c r="W84" i="12" s="1"/>
  <c r="N63" i="12"/>
  <c r="W63" i="12" s="1"/>
  <c r="L23" i="12"/>
  <c r="U23" i="12" s="1"/>
  <c r="N72" i="12"/>
  <c r="W72" i="12" s="1"/>
  <c r="L20" i="12"/>
  <c r="U20" i="12" s="1"/>
  <c r="Q30" i="12"/>
  <c r="Z30" i="12" s="1"/>
  <c r="P16" i="12"/>
  <c r="Y16" i="12" s="1"/>
  <c r="O67" i="12"/>
  <c r="X67" i="12" s="1"/>
  <c r="O54" i="12"/>
  <c r="X54" i="12" s="1"/>
  <c r="O84" i="12"/>
  <c r="X84" i="12" s="1"/>
  <c r="P17" i="12"/>
  <c r="Y17" i="12" s="1"/>
  <c r="O52" i="12"/>
  <c r="X52" i="12" s="1"/>
  <c r="R43" i="12"/>
  <c r="AA43" i="12" s="1"/>
  <c r="O95" i="12"/>
  <c r="X95" i="12" s="1"/>
  <c r="R85" i="12"/>
  <c r="AA85" i="12" s="1"/>
  <c r="S84" i="12"/>
  <c r="AB84" i="12" s="1"/>
  <c r="S74" i="12"/>
  <c r="AB74" i="12" s="1"/>
  <c r="Q56" i="12"/>
  <c r="Z56" i="12" s="1"/>
  <c r="S41" i="12"/>
  <c r="AB41" i="12" s="1"/>
  <c r="L100" i="12"/>
  <c r="U100" i="12" s="1"/>
  <c r="L91" i="12"/>
  <c r="U91" i="12" s="1"/>
  <c r="Q49" i="12"/>
  <c r="Z49" i="12" s="1"/>
  <c r="R32" i="12"/>
  <c r="AA32" i="12" s="1"/>
  <c r="Q54" i="12"/>
  <c r="Z54" i="12" s="1"/>
  <c r="Q74" i="12"/>
  <c r="Z74" i="12" s="1"/>
  <c r="R38" i="12"/>
  <c r="AA38" i="12" s="1"/>
  <c r="R59" i="12"/>
  <c r="AA59" i="12" s="1"/>
  <c r="S4" i="12"/>
  <c r="AB4" i="12" s="1"/>
  <c r="P87" i="12"/>
  <c r="Y87" i="12" s="1"/>
  <c r="R62" i="12"/>
  <c r="AA62" i="12" s="1"/>
  <c r="P92" i="12"/>
  <c r="Y92" i="12" s="1"/>
  <c r="R70" i="12"/>
  <c r="AA70" i="12" s="1"/>
  <c r="O99" i="12"/>
  <c r="X99" i="12" s="1"/>
  <c r="S83" i="12"/>
  <c r="AB83" i="12" s="1"/>
  <c r="S22" i="12"/>
  <c r="AB22" i="12" s="1"/>
  <c r="N101" i="12"/>
  <c r="W101" i="12" s="1"/>
  <c r="Q79" i="12"/>
  <c r="Z79" i="12" s="1"/>
  <c r="Q80" i="12"/>
  <c r="Z80" i="12" s="1"/>
  <c r="R11" i="12"/>
  <c r="AA11" i="12" s="1"/>
  <c r="R39" i="12"/>
  <c r="AA39" i="12" s="1"/>
  <c r="S36" i="12"/>
  <c r="AB36" i="12" s="1"/>
  <c r="R56" i="12"/>
  <c r="AA56" i="12" s="1"/>
  <c r="S12" i="12"/>
  <c r="AB12" i="12" s="1"/>
  <c r="O89" i="12"/>
  <c r="X89" i="12" s="1"/>
  <c r="O101" i="12"/>
  <c r="X101" i="12" s="1"/>
  <c r="S51" i="12"/>
  <c r="AB51" i="12" s="1"/>
  <c r="Q50" i="12"/>
  <c r="Z50" i="12" s="1"/>
  <c r="R83" i="12"/>
  <c r="AA83" i="12" s="1"/>
  <c r="S96" i="12"/>
  <c r="AB96" i="12" s="1"/>
  <c r="N94" i="12"/>
  <c r="W94" i="12" s="1"/>
  <c r="S69" i="12"/>
  <c r="AB69" i="12" s="1"/>
  <c r="L99" i="12"/>
  <c r="U99" i="12" s="1"/>
  <c r="N88" i="12"/>
  <c r="W88" i="12" s="1"/>
  <c r="Q101" i="12"/>
  <c r="Z101" i="12" s="1"/>
  <c r="N90" i="12"/>
  <c r="W90" i="12" s="1"/>
  <c r="S17" i="12"/>
  <c r="AB17" i="12" s="1"/>
  <c r="L101" i="12"/>
  <c r="U101" i="12" s="1"/>
  <c r="L87" i="12"/>
  <c r="U87" i="12" s="1"/>
  <c r="R96" i="12"/>
  <c r="AA96" i="12" s="1"/>
  <c r="Q91" i="12"/>
  <c r="Z91" i="12" s="1"/>
  <c r="S99" i="12"/>
  <c r="AB99" i="12" s="1"/>
  <c r="L102" i="12"/>
  <c r="U102" i="12" s="1"/>
  <c r="S25" i="12"/>
  <c r="AB25" i="12" s="1"/>
  <c r="P25" i="12"/>
  <c r="Y25" i="12" s="1"/>
  <c r="P45" i="12"/>
  <c r="Y45" i="12" s="1"/>
  <c r="P66" i="12"/>
  <c r="Y66" i="12" s="1"/>
  <c r="Q19" i="12"/>
  <c r="Z19" i="12" s="1"/>
  <c r="Q6" i="12"/>
  <c r="Z6" i="12" s="1"/>
  <c r="Q63" i="12"/>
  <c r="Z63" i="12" s="1"/>
  <c r="R57" i="12"/>
  <c r="AA57" i="12" s="1"/>
  <c r="R13" i="12"/>
  <c r="AA13" i="12" s="1"/>
  <c r="P98" i="12"/>
  <c r="Y98" i="12" s="1"/>
  <c r="R73" i="12"/>
  <c r="AA73" i="12" s="1"/>
  <c r="S60" i="12"/>
  <c r="AB60" i="12" s="1"/>
  <c r="P99" i="12"/>
  <c r="Y99" i="12" s="1"/>
  <c r="R87" i="12"/>
  <c r="AA87" i="12" s="1"/>
  <c r="Q87" i="12"/>
  <c r="Z87" i="12" s="1"/>
  <c r="R74" i="12"/>
  <c r="AA74" i="12" s="1"/>
  <c r="S58" i="12"/>
  <c r="AB58" i="12" s="1"/>
  <c r="R89" i="12"/>
  <c r="AA89" i="12" s="1"/>
  <c r="S98" i="12"/>
  <c r="AB98" i="12" s="1"/>
  <c r="R67" i="12"/>
  <c r="AA67" i="12" s="1"/>
  <c r="O90" i="12"/>
  <c r="X90" i="12" s="1"/>
  <c r="Q68" i="12"/>
  <c r="Z68" i="12" s="1"/>
  <c r="R42" i="12"/>
  <c r="AA42" i="12" s="1"/>
  <c r="O100" i="12"/>
  <c r="X100" i="12" s="1"/>
  <c r="P101" i="12"/>
  <c r="Y101" i="12" s="1"/>
  <c r="Q94" i="12"/>
  <c r="Z94" i="12" s="1"/>
  <c r="R99" i="12"/>
  <c r="AA99" i="12" s="1"/>
  <c r="S68" i="12"/>
  <c r="AB68" i="12" s="1"/>
  <c r="P91" i="12"/>
  <c r="Y91" i="12" s="1"/>
  <c r="R69" i="12"/>
  <c r="AA69" i="12" s="1"/>
  <c r="Q77" i="12"/>
  <c r="Z77" i="12" s="1"/>
  <c r="R93" i="12"/>
  <c r="AA93" i="12" s="1"/>
  <c r="S38" i="12"/>
  <c r="AB38" i="12" s="1"/>
  <c r="R45" i="12"/>
  <c r="AA45" i="12" s="1"/>
  <c r="M102" i="12"/>
  <c r="V102" i="12" s="1"/>
  <c r="R88" i="12"/>
  <c r="AA88" i="12" s="1"/>
  <c r="S23" i="12"/>
  <c r="AB23" i="12" s="1"/>
  <c r="M97" i="12"/>
  <c r="V97" i="12" s="1"/>
  <c r="M95" i="12"/>
  <c r="V95" i="12" s="1"/>
  <c r="N102" i="12"/>
  <c r="W102" i="12" s="1"/>
  <c r="S79" i="12"/>
  <c r="AB79" i="12" s="1"/>
  <c r="S85" i="12"/>
  <c r="AB85" i="12" s="1"/>
  <c r="R92" i="12"/>
  <c r="AA92" i="12" s="1"/>
  <c r="M101" i="12"/>
  <c r="V101" i="12" s="1"/>
  <c r="P73" i="12"/>
  <c r="Y73" i="12" s="1"/>
  <c r="Q53" i="12"/>
  <c r="Z53" i="12" s="1"/>
  <c r="Q69" i="12"/>
  <c r="Z69" i="12" s="1"/>
  <c r="Q58" i="12"/>
  <c r="Z58" i="12" s="1"/>
  <c r="Q78" i="12"/>
  <c r="Z78" i="12" s="1"/>
  <c r="R47" i="12"/>
  <c r="AA47" i="12" s="1"/>
  <c r="P97" i="12"/>
  <c r="Y97" i="12" s="1"/>
  <c r="Q90" i="12"/>
  <c r="Z90" i="12" s="1"/>
  <c r="P89" i="12"/>
  <c r="Y89" i="12" s="1"/>
  <c r="R78" i="12"/>
  <c r="AA78" i="12" s="1"/>
  <c r="S75" i="12"/>
  <c r="AB75" i="12" s="1"/>
  <c r="P102" i="12"/>
  <c r="Y102" i="12" s="1"/>
  <c r="S31" i="12"/>
  <c r="AB31" i="12" s="1"/>
  <c r="R6" i="12"/>
  <c r="AA6" i="12" s="1"/>
  <c r="Q44" i="12"/>
  <c r="Z44" i="12" s="1"/>
  <c r="Q84" i="12"/>
  <c r="Z84" i="12" s="1"/>
  <c r="R16" i="12"/>
  <c r="AA16" i="12" s="1"/>
  <c r="S82" i="12"/>
  <c r="AB82" i="12" s="1"/>
  <c r="R60" i="12"/>
  <c r="AA60" i="12" s="1"/>
  <c r="S67" i="12"/>
  <c r="AB67" i="12" s="1"/>
  <c r="R72" i="12"/>
  <c r="AA72" i="12" s="1"/>
  <c r="R84" i="12"/>
  <c r="AA84" i="12" s="1"/>
  <c r="P94" i="12"/>
  <c r="Y94" i="12" s="1"/>
  <c r="Q96" i="12"/>
  <c r="Z96" i="12" s="1"/>
  <c r="Q81" i="12"/>
  <c r="Z81" i="12" s="1"/>
  <c r="Q65" i="12"/>
  <c r="Z65" i="12" s="1"/>
  <c r="Q40" i="12"/>
  <c r="Z40" i="12" s="1"/>
  <c r="S70" i="12"/>
  <c r="AB70" i="12" s="1"/>
  <c r="Q83" i="12"/>
  <c r="Z83" i="12" s="1"/>
  <c r="L90" i="12"/>
  <c r="U90" i="12" s="1"/>
  <c r="S16" i="12"/>
  <c r="AB16" i="12" s="1"/>
  <c r="Q93" i="12"/>
  <c r="Z93" i="12" s="1"/>
  <c r="S78" i="12"/>
  <c r="AB78" i="12" s="1"/>
  <c r="S8" i="12"/>
  <c r="AB8" i="12" s="1"/>
  <c r="S73" i="12"/>
  <c r="AB73" i="12" s="1"/>
  <c r="M90" i="12"/>
  <c r="V90" i="12" s="1"/>
  <c r="S56" i="12"/>
  <c r="AB56" i="12" s="1"/>
  <c r="S80" i="12"/>
  <c r="AB80" i="12" s="1"/>
  <c r="S14" i="12"/>
  <c r="AB14" i="12" s="1"/>
  <c r="N92" i="12"/>
  <c r="W92" i="12" s="1"/>
  <c r="S39" i="12"/>
  <c r="AB39" i="12" s="1"/>
  <c r="M94" i="12"/>
  <c r="V94" i="12" s="1"/>
  <c r="S48" i="12"/>
  <c r="AB48" i="12" s="1"/>
  <c r="M91" i="12"/>
  <c r="V91" i="12" s="1"/>
  <c r="P13" i="12"/>
  <c r="Y13" i="12" s="1"/>
  <c r="P29" i="12"/>
  <c r="Y29" i="12" s="1"/>
  <c r="P49" i="12"/>
  <c r="Y49" i="12" s="1"/>
  <c r="Q25" i="12"/>
  <c r="Z25" i="12" s="1"/>
  <c r="Q57" i="12"/>
  <c r="Z57" i="12" s="1"/>
  <c r="O58" i="12"/>
  <c r="X58" i="12" s="1"/>
  <c r="O88" i="12"/>
  <c r="X88" i="12" s="1"/>
  <c r="Q73" i="12"/>
  <c r="Z73" i="12" s="1"/>
  <c r="R77" i="12"/>
  <c r="AA77" i="12" s="1"/>
  <c r="Q62" i="12"/>
  <c r="Z62" i="12" s="1"/>
  <c r="Q82" i="12"/>
  <c r="Z82" i="12" s="1"/>
  <c r="R15" i="12"/>
  <c r="AA15" i="12" s="1"/>
  <c r="R19" i="12"/>
  <c r="AA19" i="12" s="1"/>
  <c r="S18" i="12"/>
  <c r="AB18" i="12" s="1"/>
  <c r="R46" i="12"/>
  <c r="AA46" i="12" s="1"/>
  <c r="R95" i="12"/>
  <c r="AA95" i="12" s="1"/>
  <c r="R82" i="12"/>
  <c r="AA82" i="12" s="1"/>
  <c r="O87" i="12"/>
  <c r="X87" i="12" s="1"/>
  <c r="P96" i="12"/>
  <c r="Y96" i="12" s="1"/>
  <c r="S52" i="12"/>
  <c r="AB52" i="12" s="1"/>
  <c r="S54" i="12"/>
  <c r="AB54" i="12" s="1"/>
  <c r="S63" i="12"/>
  <c r="AB63" i="12" s="1"/>
  <c r="R29" i="12"/>
  <c r="AA29" i="12" s="1"/>
  <c r="Q48" i="12"/>
  <c r="Z48" i="12" s="1"/>
  <c r="Q72" i="12"/>
  <c r="Z72" i="12" s="1"/>
  <c r="R18" i="12"/>
  <c r="AA18" i="12" s="1"/>
  <c r="R63" i="12"/>
  <c r="AA63" i="12" s="1"/>
  <c r="R23" i="12"/>
  <c r="AA23" i="12" s="1"/>
  <c r="R49" i="12"/>
  <c r="AA49" i="12" s="1"/>
  <c r="O102" i="12"/>
  <c r="X102" i="12" s="1"/>
  <c r="R44" i="12"/>
  <c r="AA44" i="12" s="1"/>
  <c r="N93" i="12"/>
  <c r="W93" i="12" s="1"/>
  <c r="S10" i="12"/>
  <c r="AB10" i="12" s="1"/>
  <c r="O93" i="12"/>
  <c r="X93" i="12" s="1"/>
  <c r="P93" i="12"/>
  <c r="Y93" i="12" s="1"/>
  <c r="R12" i="12"/>
  <c r="AA12" i="12" s="1"/>
  <c r="R40" i="12"/>
  <c r="AA40" i="12" s="1"/>
  <c r="R101" i="12"/>
  <c r="AA101" i="12" s="1"/>
  <c r="S100" i="12"/>
  <c r="AB100" i="12" s="1"/>
  <c r="R21" i="12"/>
  <c r="AA21" i="12" s="1"/>
  <c r="R14" i="12"/>
  <c r="AA14" i="12" s="1"/>
  <c r="S97" i="12"/>
  <c r="AB97" i="12" s="1"/>
  <c r="S55" i="12"/>
  <c r="AB55" i="12" s="1"/>
  <c r="M98" i="12"/>
  <c r="V98" i="12" s="1"/>
  <c r="S21" i="12"/>
  <c r="AB21" i="12" s="1"/>
  <c r="S87" i="12"/>
  <c r="AB87" i="12" s="1"/>
  <c r="N91" i="12"/>
  <c r="W91" i="12" s="1"/>
  <c r="M99" i="12"/>
  <c r="V99" i="12" s="1"/>
  <c r="S72" i="12"/>
  <c r="AB72" i="12" s="1"/>
  <c r="M92" i="12"/>
  <c r="V92" i="12" s="1"/>
  <c r="S7" i="12"/>
  <c r="AB7" i="12" s="1"/>
  <c r="L94" i="12"/>
  <c r="U94" i="12" s="1"/>
  <c r="R102" i="12"/>
  <c r="AA102" i="12" s="1"/>
  <c r="N96" i="12"/>
  <c r="W96" i="12" s="1"/>
  <c r="P82" i="12"/>
  <c r="Y82" i="12" s="1"/>
  <c r="O64" i="12"/>
  <c r="X64" i="12" s="1"/>
  <c r="R25" i="12"/>
  <c r="AA25" i="12" s="1"/>
  <c r="Q85" i="12"/>
  <c r="Z85" i="12" s="1"/>
  <c r="Q66" i="12"/>
  <c r="Z66" i="12" s="1"/>
  <c r="Q86" i="12"/>
  <c r="Z86" i="12" s="1"/>
  <c r="R22" i="12"/>
  <c r="AA22" i="12" s="1"/>
  <c r="R27" i="12"/>
  <c r="AA27" i="12" s="1"/>
  <c r="Q89" i="12"/>
  <c r="Z89" i="12" s="1"/>
  <c r="Q98" i="12"/>
  <c r="Z98" i="12" s="1"/>
  <c r="S44" i="12"/>
  <c r="AB44" i="12" s="1"/>
  <c r="R86" i="12"/>
  <c r="AA86" i="12" s="1"/>
  <c r="S3" i="12"/>
  <c r="AB3" i="12" s="1"/>
  <c r="Q92" i="12"/>
  <c r="Z92" i="12" s="1"/>
  <c r="R97" i="12"/>
  <c r="AA97" i="12" s="1"/>
  <c r="S86" i="12"/>
  <c r="AB86" i="12" s="1"/>
  <c r="S102" i="12"/>
  <c r="AB102" i="12" s="1"/>
  <c r="R51" i="12"/>
  <c r="AA51" i="12" s="1"/>
  <c r="R10" i="12"/>
  <c r="AA10" i="12" s="1"/>
  <c r="R3" i="12"/>
  <c r="AA3" i="12" s="1"/>
  <c r="R53" i="12"/>
  <c r="AA53" i="12" s="1"/>
  <c r="P90" i="12"/>
  <c r="Y90" i="12" s="1"/>
  <c r="S27" i="12"/>
  <c r="AB27" i="12" s="1"/>
  <c r="R48" i="12"/>
  <c r="AA48" i="12" s="1"/>
  <c r="Q102" i="12"/>
  <c r="Z102" i="12" s="1"/>
  <c r="R76" i="12"/>
  <c r="AA76" i="12" s="1"/>
  <c r="P100" i="12"/>
  <c r="Y100" i="12" s="1"/>
  <c r="Q71" i="12"/>
  <c r="Z71" i="12" s="1"/>
  <c r="R8" i="12"/>
  <c r="AA8" i="12" s="1"/>
  <c r="R37" i="12"/>
  <c r="AA37" i="12" s="1"/>
  <c r="Q61" i="12"/>
  <c r="Z61" i="12" s="1"/>
  <c r="S64" i="12"/>
  <c r="AB64" i="12" s="1"/>
  <c r="R100" i="12"/>
  <c r="AA100" i="12" s="1"/>
  <c r="M87" i="12"/>
  <c r="V87" i="12" s="1"/>
  <c r="S30" i="12"/>
  <c r="AB30" i="12" s="1"/>
  <c r="S49" i="12"/>
  <c r="AB49" i="12" s="1"/>
  <c r="R90" i="12"/>
  <c r="AA90" i="12" s="1"/>
  <c r="S71" i="12"/>
  <c r="AB71" i="12" s="1"/>
  <c r="N98" i="12"/>
  <c r="W98" i="12" s="1"/>
  <c r="L97" i="12"/>
  <c r="U97" i="12" s="1"/>
  <c r="M100" i="12"/>
  <c r="V100" i="12" s="1"/>
  <c r="S89" i="12"/>
  <c r="AB89" i="12" s="1"/>
  <c r="S53" i="12"/>
  <c r="AB53" i="12" s="1"/>
  <c r="N100" i="12"/>
  <c r="W100" i="12" s="1"/>
  <c r="P53" i="12"/>
  <c r="Y53" i="12" s="1"/>
  <c r="Q4" i="12"/>
  <c r="Z4" i="12" s="1"/>
  <c r="Q32" i="12"/>
  <c r="Z32" i="12" s="1"/>
  <c r="R24" i="12"/>
  <c r="AA24" i="12" s="1"/>
  <c r="Q38" i="12"/>
  <c r="Z38" i="12" s="1"/>
  <c r="R71" i="12"/>
  <c r="AA71" i="12" s="1"/>
  <c r="R35" i="12"/>
  <c r="AA35" i="12" s="1"/>
  <c r="S11" i="12"/>
  <c r="AB11" i="12" s="1"/>
  <c r="R50" i="12"/>
  <c r="AA50" i="12" s="1"/>
  <c r="S33" i="12"/>
  <c r="AB33" i="12" s="1"/>
  <c r="O91" i="12"/>
  <c r="X91" i="12" s="1"/>
  <c r="L88" i="12"/>
  <c r="U88" i="12" s="1"/>
  <c r="R26" i="12"/>
  <c r="AA26" i="12" s="1"/>
  <c r="R79" i="12"/>
  <c r="AA79" i="12" s="1"/>
  <c r="S61" i="12"/>
  <c r="AB61" i="12" s="1"/>
  <c r="S20" i="12"/>
  <c r="AB20" i="12" s="1"/>
  <c r="S28" i="12"/>
  <c r="AB28" i="12" s="1"/>
  <c r="S13" i="12"/>
  <c r="AB13" i="12" s="1"/>
  <c r="S50" i="12"/>
  <c r="AB50" i="12" s="1"/>
  <c r="S88" i="12"/>
  <c r="AB88" i="12" s="1"/>
  <c r="L98" i="12"/>
  <c r="U98" i="12" s="1"/>
  <c r="S65" i="12"/>
  <c r="AB65" i="12" s="1"/>
  <c r="S40" i="12"/>
  <c r="AB40" i="12" s="1"/>
  <c r="S93" i="12"/>
  <c r="AB93" i="12" s="1"/>
  <c r="N95" i="12"/>
  <c r="W95" i="12" s="1"/>
  <c r="P37" i="12"/>
  <c r="Y37" i="12" s="1"/>
  <c r="P68" i="12"/>
  <c r="Y68" i="12" s="1"/>
  <c r="R5" i="12"/>
  <c r="AA5" i="12" s="1"/>
  <c r="R54" i="12"/>
  <c r="AA54" i="12" s="1"/>
  <c r="Q100" i="12"/>
  <c r="Z100" i="12" s="1"/>
  <c r="S90" i="12"/>
  <c r="AB90" i="12" s="1"/>
  <c r="L92" i="12"/>
  <c r="U92" i="12" s="1"/>
  <c r="Q60" i="12"/>
  <c r="Z60" i="12" s="1"/>
  <c r="R65" i="12"/>
  <c r="AA65" i="12" s="1"/>
  <c r="S76" i="12"/>
  <c r="AB76" i="12" s="1"/>
  <c r="S42" i="12"/>
  <c r="AB42" i="12" s="1"/>
  <c r="R33" i="12"/>
  <c r="AA33" i="12" s="1"/>
  <c r="P95" i="12"/>
  <c r="Y95" i="12" s="1"/>
  <c r="R98" i="12"/>
  <c r="AA98" i="12" s="1"/>
  <c r="N97" i="12"/>
  <c r="W97" i="12" s="1"/>
  <c r="Q97" i="12"/>
  <c r="Z97" i="12" s="1"/>
  <c r="M88" i="12"/>
  <c r="V88" i="12" s="1"/>
  <c r="GI5" i="9" l="1"/>
  <c r="GR5" i="9" s="1"/>
  <c r="HA5" i="9" s="1"/>
  <c r="IT5" i="9" s="1"/>
  <c r="GJ86" i="9"/>
  <c r="GS86" i="9" s="1"/>
  <c r="HB86" i="9" s="1"/>
  <c r="IU86" i="9" s="1"/>
  <c r="GE96" i="9"/>
  <c r="GN96" i="9" s="1"/>
  <c r="GW96" i="9" s="1"/>
  <c r="IP96" i="9" s="1"/>
  <c r="GJ18" i="9"/>
  <c r="GS18" i="9" s="1"/>
  <c r="HB18" i="9" s="1"/>
  <c r="IU18" i="9" s="1"/>
  <c r="GD88" i="9"/>
  <c r="GM88" i="9" s="1"/>
  <c r="GV88" i="9" s="1"/>
  <c r="IO88" i="9" s="1"/>
  <c r="GG68" i="9"/>
  <c r="GP68" i="9" s="1"/>
  <c r="GY68" i="9" s="1"/>
  <c r="IR68" i="9" s="1"/>
  <c r="GH32" i="9"/>
  <c r="GQ32" i="9" s="1"/>
  <c r="GZ32" i="9" s="1"/>
  <c r="IS32" i="9" s="1"/>
  <c r="GH61" i="9"/>
  <c r="GQ61" i="9" s="1"/>
  <c r="GZ61" i="9" s="1"/>
  <c r="IS61" i="9" s="1"/>
  <c r="GJ27" i="9"/>
  <c r="GS27" i="9" s="1"/>
  <c r="HB27" i="9" s="1"/>
  <c r="IU27" i="9" s="1"/>
  <c r="GJ21" i="9"/>
  <c r="GS21" i="9" s="1"/>
  <c r="HB21" i="9" s="1"/>
  <c r="IU21" i="9" s="1"/>
  <c r="GI40" i="9"/>
  <c r="GR40" i="9" s="1"/>
  <c r="HA40" i="9" s="1"/>
  <c r="IT40" i="9" s="1"/>
  <c r="GJ54" i="9"/>
  <c r="GS54" i="9" s="1"/>
  <c r="HB54" i="9" s="1"/>
  <c r="IU54" i="9" s="1"/>
  <c r="GI16" i="9"/>
  <c r="GR16" i="9" s="1"/>
  <c r="HA16" i="9" s="1"/>
  <c r="IT16" i="9" s="1"/>
  <c r="GG73" i="9"/>
  <c r="GP73" i="9" s="1"/>
  <c r="GY73" i="9" s="1"/>
  <c r="IR73" i="9" s="1"/>
  <c r="GJ23" i="9"/>
  <c r="GS23" i="9" s="1"/>
  <c r="HB23" i="9" s="1"/>
  <c r="IU23" i="9" s="1"/>
  <c r="GI96" i="9"/>
  <c r="GR96" i="9" s="1"/>
  <c r="HA96" i="9" s="1"/>
  <c r="IT96" i="9" s="1"/>
  <c r="GJ12" i="9"/>
  <c r="GS12" i="9" s="1"/>
  <c r="HB12" i="9" s="1"/>
  <c r="IU12" i="9" s="1"/>
  <c r="GJ22" i="9"/>
  <c r="GS22" i="9" s="1"/>
  <c r="HB22" i="9" s="1"/>
  <c r="IU22" i="9" s="1"/>
  <c r="GJ37" i="9"/>
  <c r="GS37" i="9" s="1"/>
  <c r="HB37" i="9" s="1"/>
  <c r="IU37" i="9" s="1"/>
  <c r="GF92" i="9"/>
  <c r="GO92" i="9" s="1"/>
  <c r="GX92" i="9" s="1"/>
  <c r="IQ92" i="9" s="1"/>
  <c r="GD54" i="9"/>
  <c r="GM54" i="9" s="1"/>
  <c r="GV54" i="9" s="1"/>
  <c r="IO54" i="9" s="1"/>
  <c r="GC60" i="9"/>
  <c r="GL60" i="9" s="1"/>
  <c r="GU60" i="9" s="1"/>
  <c r="IN60" i="9" s="1"/>
  <c r="GJ81" i="9"/>
  <c r="GS81" i="9" s="1"/>
  <c r="HB81" i="9" s="1"/>
  <c r="IU81" i="9" s="1"/>
  <c r="GE47" i="9"/>
  <c r="GN47" i="9" s="1"/>
  <c r="GW47" i="9" s="1"/>
  <c r="IP47" i="9" s="1"/>
  <c r="GH45" i="9"/>
  <c r="GQ45" i="9" s="1"/>
  <c r="GZ45" i="9" s="1"/>
  <c r="IS45" i="9" s="1"/>
  <c r="GJ5" i="9"/>
  <c r="GS5" i="9" s="1"/>
  <c r="HB5" i="9" s="1"/>
  <c r="IU5" i="9" s="1"/>
  <c r="GE15" i="9"/>
  <c r="GN15" i="9" s="1"/>
  <c r="GW15" i="9" s="1"/>
  <c r="IP15" i="9" s="1"/>
  <c r="GF37" i="9"/>
  <c r="GO37" i="9" s="1"/>
  <c r="GX37" i="9" s="1"/>
  <c r="IQ37" i="9" s="1"/>
  <c r="GF65" i="9"/>
  <c r="GO65" i="9" s="1"/>
  <c r="GX65" i="9" s="1"/>
  <c r="IQ65" i="9" s="1"/>
  <c r="GG11" i="9"/>
  <c r="GP11" i="9" s="1"/>
  <c r="GY11" i="9" s="1"/>
  <c r="IR11" i="9" s="1"/>
  <c r="GE27" i="9"/>
  <c r="GN27" i="9" s="1"/>
  <c r="GW27" i="9" s="1"/>
  <c r="IP27" i="9" s="1"/>
  <c r="GE10" i="9"/>
  <c r="GN10" i="9" s="1"/>
  <c r="GW10" i="9" s="1"/>
  <c r="IP10" i="9" s="1"/>
  <c r="GI58" i="9"/>
  <c r="GR58" i="9" s="1"/>
  <c r="HA58" i="9" s="1"/>
  <c r="IT58" i="9" s="1"/>
  <c r="GG69" i="9"/>
  <c r="GP69" i="9" s="1"/>
  <c r="GY69" i="9" s="1"/>
  <c r="IR69" i="9" s="1"/>
  <c r="GE83" i="9"/>
  <c r="GN83" i="9" s="1"/>
  <c r="GW83" i="9" s="1"/>
  <c r="IP83" i="9" s="1"/>
  <c r="GC58" i="9"/>
  <c r="GL58" i="9" s="1"/>
  <c r="GU58" i="9" s="1"/>
  <c r="IN58" i="9" s="1"/>
  <c r="GH95" i="9"/>
  <c r="GQ95" i="9" s="1"/>
  <c r="GZ95" i="9" s="1"/>
  <c r="IS95" i="9" s="1"/>
  <c r="GD22" i="9"/>
  <c r="GM22" i="9" s="1"/>
  <c r="GV22" i="9" s="1"/>
  <c r="IO22" i="9" s="1"/>
  <c r="GF72" i="9"/>
  <c r="GO72" i="9" s="1"/>
  <c r="GX72" i="9" s="1"/>
  <c r="IQ72" i="9" s="1"/>
  <c r="GF66" i="9"/>
  <c r="GO66" i="9" s="1"/>
  <c r="GX66" i="9" s="1"/>
  <c r="IQ66" i="9" s="1"/>
  <c r="GC40" i="9"/>
  <c r="GL40" i="9" s="1"/>
  <c r="GU40" i="9" s="1"/>
  <c r="IN40" i="9" s="1"/>
  <c r="GE34" i="9"/>
  <c r="GN34" i="9" s="1"/>
  <c r="GW34" i="9" s="1"/>
  <c r="IP34" i="9" s="1"/>
  <c r="GC37" i="9"/>
  <c r="GL37" i="9" s="1"/>
  <c r="GU37" i="9" s="1"/>
  <c r="IN37" i="9" s="1"/>
  <c r="GE22" i="9"/>
  <c r="GN22" i="9" s="1"/>
  <c r="GW22" i="9" s="1"/>
  <c r="IP22" i="9" s="1"/>
  <c r="GJ13" i="9"/>
  <c r="GS13" i="9" s="1"/>
  <c r="HB13" i="9" s="1"/>
  <c r="IU13" i="9" s="1"/>
  <c r="GJ71" i="9"/>
  <c r="GS71" i="9" s="1"/>
  <c r="HB71" i="9" s="1"/>
  <c r="IU71" i="9" s="1"/>
  <c r="GI12" i="9"/>
  <c r="GR12" i="9" s="1"/>
  <c r="HA12" i="9" s="1"/>
  <c r="IT12" i="9" s="1"/>
  <c r="GJ52" i="9"/>
  <c r="GS52" i="9" s="1"/>
  <c r="HB52" i="9" s="1"/>
  <c r="IU52" i="9" s="1"/>
  <c r="GH25" i="9"/>
  <c r="GQ25" i="9" s="1"/>
  <c r="GZ25" i="9" s="1"/>
  <c r="IS25" i="9" s="1"/>
  <c r="GE92" i="9"/>
  <c r="GN92" i="9" s="1"/>
  <c r="GW92" i="9" s="1"/>
  <c r="IP92" i="9" s="1"/>
  <c r="GH90" i="9"/>
  <c r="GQ90" i="9" s="1"/>
  <c r="GZ90" i="9" s="1"/>
  <c r="IS90" i="9" s="1"/>
  <c r="GD101" i="9"/>
  <c r="GM101" i="9" s="1"/>
  <c r="GV101" i="9" s="1"/>
  <c r="IO101" i="9" s="1"/>
  <c r="GJ68" i="9"/>
  <c r="GS68" i="9" s="1"/>
  <c r="HB68" i="9" s="1"/>
  <c r="IU68" i="9" s="1"/>
  <c r="GE94" i="9"/>
  <c r="GN94" i="9" s="1"/>
  <c r="GW94" i="9" s="1"/>
  <c r="IP94" i="9" s="1"/>
  <c r="GI38" i="9"/>
  <c r="GR38" i="9" s="1"/>
  <c r="HA38" i="9" s="1"/>
  <c r="IT38" i="9" s="1"/>
  <c r="GH56" i="9"/>
  <c r="GQ56" i="9" s="1"/>
  <c r="GZ56" i="9" s="1"/>
  <c r="IS56" i="9" s="1"/>
  <c r="GE63" i="9"/>
  <c r="GN63" i="9" s="1"/>
  <c r="GW63" i="9" s="1"/>
  <c r="IP63" i="9" s="1"/>
  <c r="GH26" i="9"/>
  <c r="GQ26" i="9" s="1"/>
  <c r="GZ26" i="9" s="1"/>
  <c r="IS26" i="9" s="1"/>
  <c r="GJ9" i="9"/>
  <c r="GS9" i="9" s="1"/>
  <c r="HB9" i="9" s="1"/>
  <c r="IU9" i="9" s="1"/>
  <c r="GH39" i="9"/>
  <c r="GQ39" i="9" s="1"/>
  <c r="GZ39" i="9" s="1"/>
  <c r="IS39" i="9" s="1"/>
  <c r="GE11" i="9"/>
  <c r="GN11" i="9" s="1"/>
  <c r="GW11" i="9" s="1"/>
  <c r="IP11" i="9" s="1"/>
  <c r="GJ95" i="9"/>
  <c r="GS95" i="9" s="1"/>
  <c r="HB95" i="9" s="1"/>
  <c r="IU95" i="9" s="1"/>
  <c r="GG15" i="9"/>
  <c r="GP15" i="9" s="1"/>
  <c r="GY15" i="9" s="1"/>
  <c r="IR15" i="9" s="1"/>
  <c r="GH15" i="9"/>
  <c r="GQ15" i="9" s="1"/>
  <c r="GZ15" i="9" s="1"/>
  <c r="IS15" i="9" s="1"/>
  <c r="GE28" i="9"/>
  <c r="GN28" i="9" s="1"/>
  <c r="GW28" i="9" s="1"/>
  <c r="IP28" i="9" s="1"/>
  <c r="GD80" i="9"/>
  <c r="GM80" i="9" s="1"/>
  <c r="GV80" i="9" s="1"/>
  <c r="IO80" i="9" s="1"/>
  <c r="GI9" i="9"/>
  <c r="GR9" i="9" s="1"/>
  <c r="HA9" i="9" s="1"/>
  <c r="IT9" i="9" s="1"/>
  <c r="GC36" i="9"/>
  <c r="GL36" i="9" s="1"/>
  <c r="GU36" i="9" s="1"/>
  <c r="IN36" i="9" s="1"/>
  <c r="GH10" i="9"/>
  <c r="GQ10" i="9" s="1"/>
  <c r="GZ10" i="9" s="1"/>
  <c r="IS10" i="9" s="1"/>
  <c r="GC25" i="9"/>
  <c r="GL25" i="9" s="1"/>
  <c r="GU25" i="9" s="1"/>
  <c r="IN25" i="9" s="1"/>
  <c r="GC6" i="9"/>
  <c r="GL6" i="9" s="1"/>
  <c r="GU6" i="9" s="1"/>
  <c r="IN6" i="9" s="1"/>
  <c r="GD4" i="9"/>
  <c r="GM4" i="9" s="1"/>
  <c r="GV4" i="9" s="1"/>
  <c r="IO4" i="9" s="1"/>
  <c r="GD10" i="9"/>
  <c r="GM10" i="9" s="1"/>
  <c r="GV10" i="9" s="1"/>
  <c r="IO10" i="9" s="1"/>
  <c r="GE73" i="9"/>
  <c r="GN73" i="9" s="1"/>
  <c r="GW73" i="9" s="1"/>
  <c r="IP73" i="9" s="1"/>
  <c r="GG42" i="9"/>
  <c r="GP42" i="9" s="1"/>
  <c r="GY42" i="9" s="1"/>
  <c r="IR42" i="9" s="1"/>
  <c r="GC80" i="9"/>
  <c r="GL80" i="9" s="1"/>
  <c r="GU80" i="9" s="1"/>
  <c r="IN80" i="9" s="1"/>
  <c r="GJ45" i="9"/>
  <c r="GS45" i="9" s="1"/>
  <c r="HB45" i="9" s="1"/>
  <c r="IU45" i="9" s="1"/>
  <c r="GH37" i="9"/>
  <c r="GQ37" i="9" s="1"/>
  <c r="GZ37" i="9" s="1"/>
  <c r="IS37" i="9" s="1"/>
  <c r="GE81" i="9"/>
  <c r="GN81" i="9" s="1"/>
  <c r="GW81" i="9" s="1"/>
  <c r="IP81" i="9" s="1"/>
  <c r="GF14" i="9"/>
  <c r="GO14" i="9" s="1"/>
  <c r="GX14" i="9" s="1"/>
  <c r="IQ14" i="9" s="1"/>
  <c r="GF11" i="9"/>
  <c r="GO11" i="9" s="1"/>
  <c r="GX11" i="9" s="1"/>
  <c r="IQ11" i="9" s="1"/>
  <c r="GF21" i="9"/>
  <c r="GO21" i="9" s="1"/>
  <c r="GX21" i="9" s="1"/>
  <c r="IQ21" i="9" s="1"/>
  <c r="GC50" i="9"/>
  <c r="GL50" i="9" s="1"/>
  <c r="GU50" i="9" s="1"/>
  <c r="IN50" i="9" s="1"/>
  <c r="GH97" i="9"/>
  <c r="GQ97" i="9" s="1"/>
  <c r="GZ97" i="9" s="1"/>
  <c r="IS97" i="9" s="1"/>
  <c r="GG37" i="9"/>
  <c r="GP37" i="9" s="1"/>
  <c r="GY37" i="9" s="1"/>
  <c r="IR37" i="9" s="1"/>
  <c r="GH4" i="9"/>
  <c r="GQ4" i="9" s="1"/>
  <c r="GZ4" i="9" s="1"/>
  <c r="IS4" i="9" s="1"/>
  <c r="GC92" i="9"/>
  <c r="GL92" i="9" s="1"/>
  <c r="GU92" i="9" s="1"/>
  <c r="IN92" i="9" s="1"/>
  <c r="GJ28" i="9"/>
  <c r="GS28" i="9" s="1"/>
  <c r="HB28" i="9" s="1"/>
  <c r="IU28" i="9" s="1"/>
  <c r="GI50" i="9"/>
  <c r="GR50" i="9" s="1"/>
  <c r="HA50" i="9" s="1"/>
  <c r="IT50" i="9" s="1"/>
  <c r="GI53" i="9"/>
  <c r="GR53" i="9" s="1"/>
  <c r="HA53" i="9" s="1"/>
  <c r="IT53" i="9" s="1"/>
  <c r="GJ3" i="9"/>
  <c r="GS3" i="9" s="1"/>
  <c r="HB3" i="9" s="1"/>
  <c r="IU3" i="9" s="1"/>
  <c r="GJ7" i="9"/>
  <c r="GS7" i="9" s="1"/>
  <c r="HB7" i="9" s="1"/>
  <c r="IU7" i="9" s="1"/>
  <c r="GJ55" i="9"/>
  <c r="GS55" i="9" s="1"/>
  <c r="HB55" i="9" s="1"/>
  <c r="IU55" i="9" s="1"/>
  <c r="GH82" i="9"/>
  <c r="GQ82" i="9" s="1"/>
  <c r="GZ82" i="9" s="1"/>
  <c r="IS82" i="9" s="1"/>
  <c r="GG49" i="9"/>
  <c r="GP49" i="9" s="1"/>
  <c r="GY49" i="9" s="1"/>
  <c r="IR49" i="9" s="1"/>
  <c r="GJ16" i="9"/>
  <c r="GS16" i="9" s="1"/>
  <c r="HB16" i="9" s="1"/>
  <c r="IU16" i="9" s="1"/>
  <c r="GG94" i="9"/>
  <c r="GP94" i="9" s="1"/>
  <c r="GY94" i="9" s="1"/>
  <c r="IR94" i="9" s="1"/>
  <c r="GG97" i="9"/>
  <c r="GP97" i="9" s="1"/>
  <c r="GY97" i="9" s="1"/>
  <c r="IR97" i="9" s="1"/>
  <c r="GD102" i="9"/>
  <c r="GM102" i="9" s="1"/>
  <c r="GV102" i="9" s="1"/>
  <c r="IO102" i="9" s="1"/>
  <c r="GI73" i="9"/>
  <c r="GR73" i="9" s="1"/>
  <c r="HA73" i="9" s="1"/>
  <c r="IT73" i="9" s="1"/>
  <c r="GC101" i="9"/>
  <c r="GL101" i="9" s="1"/>
  <c r="GU101" i="9" s="1"/>
  <c r="IN101" i="9" s="1"/>
  <c r="GH74" i="9"/>
  <c r="GQ74" i="9" s="1"/>
  <c r="GZ74" i="9" s="1"/>
  <c r="IS74" i="9" s="1"/>
  <c r="GJ74" i="9"/>
  <c r="GS74" i="9" s="1"/>
  <c r="HB74" i="9" s="1"/>
  <c r="IU74" i="9" s="1"/>
  <c r="GE84" i="9"/>
  <c r="GN84" i="9" s="1"/>
  <c r="GW84" i="9" s="1"/>
  <c r="IP84" i="9" s="1"/>
  <c r="GH7" i="9"/>
  <c r="GQ7" i="9" s="1"/>
  <c r="GZ7" i="9" s="1"/>
  <c r="IS7" i="9" s="1"/>
  <c r="GE76" i="9"/>
  <c r="GN76" i="9" s="1"/>
  <c r="GW76" i="9" s="1"/>
  <c r="IP76" i="9" s="1"/>
  <c r="GE37" i="9"/>
  <c r="GN37" i="9" s="1"/>
  <c r="GW37" i="9" s="1"/>
  <c r="IP37" i="9" s="1"/>
  <c r="GC42" i="9"/>
  <c r="GL42" i="9" s="1"/>
  <c r="GU42" i="9" s="1"/>
  <c r="IN42" i="9" s="1"/>
  <c r="GF80" i="9"/>
  <c r="GO80" i="9" s="1"/>
  <c r="GX80" i="9" s="1"/>
  <c r="IQ80" i="9" s="1"/>
  <c r="GG48" i="9"/>
  <c r="GP48" i="9" s="1"/>
  <c r="GY48" i="9" s="1"/>
  <c r="IR48" i="9" s="1"/>
  <c r="GE58" i="9"/>
  <c r="GN58" i="9" s="1"/>
  <c r="GW58" i="9" s="1"/>
  <c r="IP58" i="9" s="1"/>
  <c r="GD33" i="9"/>
  <c r="GM33" i="9" s="1"/>
  <c r="GV33" i="9" s="1"/>
  <c r="IO33" i="9" s="1"/>
  <c r="GH11" i="9"/>
  <c r="GQ11" i="9" s="1"/>
  <c r="GZ11" i="9" s="1"/>
  <c r="IS11" i="9" s="1"/>
  <c r="GG31" i="9"/>
  <c r="GP31" i="9" s="1"/>
  <c r="GY31" i="9" s="1"/>
  <c r="IR31" i="9" s="1"/>
  <c r="GD66" i="9"/>
  <c r="GM66" i="9" s="1"/>
  <c r="GV66" i="9" s="1"/>
  <c r="IO66" i="9" s="1"/>
  <c r="GC66" i="9"/>
  <c r="GL66" i="9" s="1"/>
  <c r="GU66" i="9" s="1"/>
  <c r="IN66" i="9" s="1"/>
  <c r="GI41" i="9"/>
  <c r="GR41" i="9" s="1"/>
  <c r="HA41" i="9" s="1"/>
  <c r="IT41" i="9" s="1"/>
  <c r="GF81" i="9"/>
  <c r="GO81" i="9" s="1"/>
  <c r="GX81" i="9" s="1"/>
  <c r="IQ81" i="9" s="1"/>
  <c r="GH9" i="9"/>
  <c r="GQ9" i="9" s="1"/>
  <c r="GZ9" i="9" s="1"/>
  <c r="IS9" i="9" s="1"/>
  <c r="GC53" i="9"/>
  <c r="GL53" i="9" s="1"/>
  <c r="GU53" i="9" s="1"/>
  <c r="IN53" i="9" s="1"/>
  <c r="GC47" i="9"/>
  <c r="GL47" i="9" s="1"/>
  <c r="GU47" i="9" s="1"/>
  <c r="IN47" i="9" s="1"/>
  <c r="GG41" i="9"/>
  <c r="GP41" i="9" s="1"/>
  <c r="GY41" i="9" s="1"/>
  <c r="IR41" i="9" s="1"/>
  <c r="GC68" i="9"/>
  <c r="GL68" i="9" s="1"/>
  <c r="GU68" i="9" s="1"/>
  <c r="IN68" i="9" s="1"/>
  <c r="GC73" i="9"/>
  <c r="GL73" i="9" s="1"/>
  <c r="GU73" i="9" s="1"/>
  <c r="IN73" i="9" s="1"/>
  <c r="GH33" i="9"/>
  <c r="GQ33" i="9" s="1"/>
  <c r="GZ33" i="9" s="1"/>
  <c r="IS33" i="9" s="1"/>
  <c r="GJ32" i="9"/>
  <c r="GS32" i="9" s="1"/>
  <c r="HB32" i="9" s="1"/>
  <c r="IU32" i="9" s="1"/>
  <c r="GI17" i="9"/>
  <c r="GR17" i="9" s="1"/>
  <c r="HA17" i="9" s="1"/>
  <c r="IT17" i="9" s="1"/>
  <c r="GG56" i="9"/>
  <c r="GP56" i="9" s="1"/>
  <c r="GY56" i="9" s="1"/>
  <c r="IR56" i="9" s="1"/>
  <c r="GE79" i="9"/>
  <c r="GN79" i="9" s="1"/>
  <c r="GW79" i="9" s="1"/>
  <c r="IP79" i="9" s="1"/>
  <c r="GD47" i="9"/>
  <c r="GM47" i="9" s="1"/>
  <c r="GV47" i="9" s="1"/>
  <c r="IO47" i="9" s="1"/>
  <c r="GE43" i="9"/>
  <c r="GN43" i="9" s="1"/>
  <c r="GW43" i="9" s="1"/>
  <c r="IP43" i="9" s="1"/>
  <c r="GF78" i="9"/>
  <c r="GO78" i="9" s="1"/>
  <c r="GX78" i="9" s="1"/>
  <c r="IQ78" i="9" s="1"/>
  <c r="GC49" i="9"/>
  <c r="GL49" i="9" s="1"/>
  <c r="GU49" i="9" s="1"/>
  <c r="IN49" i="9" s="1"/>
  <c r="GH85" i="9"/>
  <c r="GQ85" i="9" s="1"/>
  <c r="GZ85" i="9" s="1"/>
  <c r="IS85" i="9" s="1"/>
  <c r="GJ97" i="9"/>
  <c r="GS97" i="9" s="1"/>
  <c r="HB97" i="9" s="1"/>
  <c r="IU97" i="9" s="1"/>
  <c r="GH62" i="9"/>
  <c r="GQ62" i="9" s="1"/>
  <c r="GZ62" i="9" s="1"/>
  <c r="IS62" i="9" s="1"/>
  <c r="GI6" i="9"/>
  <c r="GR6" i="9" s="1"/>
  <c r="HA6" i="9" s="1"/>
  <c r="IT6" i="9" s="1"/>
  <c r="GI45" i="9"/>
  <c r="GR45" i="9" s="1"/>
  <c r="HA45" i="9" s="1"/>
  <c r="IT45" i="9" s="1"/>
  <c r="GH94" i="9"/>
  <c r="GQ94" i="9" s="1"/>
  <c r="GZ94" i="9" s="1"/>
  <c r="IS94" i="9" s="1"/>
  <c r="GI83" i="9"/>
  <c r="GR83" i="9" s="1"/>
  <c r="HA83" i="9" s="1"/>
  <c r="IT83" i="9" s="1"/>
  <c r="GI70" i="9"/>
  <c r="GR70" i="9" s="1"/>
  <c r="HA70" i="9" s="1"/>
  <c r="IT70" i="9" s="1"/>
  <c r="GH54" i="9"/>
  <c r="GQ54" i="9" s="1"/>
  <c r="GZ54" i="9" s="1"/>
  <c r="IS54" i="9" s="1"/>
  <c r="GG39" i="9"/>
  <c r="GP39" i="9" s="1"/>
  <c r="GY39" i="9" s="1"/>
  <c r="IR39" i="9" s="1"/>
  <c r="GD5" i="9"/>
  <c r="GM5" i="9" s="1"/>
  <c r="GV5" i="9" s="1"/>
  <c r="IO5" i="9" s="1"/>
  <c r="GF74" i="9"/>
  <c r="GO74" i="9" s="1"/>
  <c r="GX74" i="9" s="1"/>
  <c r="IQ74" i="9" s="1"/>
  <c r="GF8" i="9"/>
  <c r="GO8" i="9" s="1"/>
  <c r="GX8" i="9" s="1"/>
  <c r="IQ8" i="9" s="1"/>
  <c r="GD61" i="9"/>
  <c r="GM61" i="9" s="1"/>
  <c r="GV61" i="9" s="1"/>
  <c r="IO61" i="9" s="1"/>
  <c r="GD49" i="9"/>
  <c r="GM49" i="9" s="1"/>
  <c r="GV49" i="9" s="1"/>
  <c r="IO49" i="9" s="1"/>
  <c r="GC35" i="9"/>
  <c r="GL35" i="9" s="1"/>
  <c r="GU35" i="9" s="1"/>
  <c r="IN35" i="9" s="1"/>
  <c r="GH52" i="9"/>
  <c r="GQ52" i="9" s="1"/>
  <c r="GZ52" i="9" s="1"/>
  <c r="IS52" i="9" s="1"/>
  <c r="GG5" i="9"/>
  <c r="GP5" i="9" s="1"/>
  <c r="GY5" i="9" s="1"/>
  <c r="IR5" i="9" s="1"/>
  <c r="GG12" i="9"/>
  <c r="GP12" i="9" s="1"/>
  <c r="GY12" i="9" s="1"/>
  <c r="IR12" i="9" s="1"/>
  <c r="GD60" i="9"/>
  <c r="GM60" i="9" s="1"/>
  <c r="GV60" i="9" s="1"/>
  <c r="IO60" i="9" s="1"/>
  <c r="GD75" i="9"/>
  <c r="GM75" i="9" s="1"/>
  <c r="GV75" i="9" s="1"/>
  <c r="IO75" i="9" s="1"/>
  <c r="GE14" i="9"/>
  <c r="GN14" i="9" s="1"/>
  <c r="GW14" i="9" s="1"/>
  <c r="IP14" i="9" s="1"/>
  <c r="GE86" i="9"/>
  <c r="GN86" i="9" s="1"/>
  <c r="GW86" i="9" s="1"/>
  <c r="IP86" i="9" s="1"/>
  <c r="GH67" i="9"/>
  <c r="GQ67" i="9" s="1"/>
  <c r="GZ67" i="9" s="1"/>
  <c r="IS67" i="9" s="1"/>
  <c r="GF76" i="9"/>
  <c r="GO76" i="9" s="1"/>
  <c r="GX76" i="9" s="1"/>
  <c r="IQ76" i="9" s="1"/>
  <c r="GF29" i="9"/>
  <c r="GO29" i="9" s="1"/>
  <c r="GX29" i="9" s="1"/>
  <c r="IQ29" i="9" s="1"/>
  <c r="GD68" i="9"/>
  <c r="GM68" i="9" s="1"/>
  <c r="GV68" i="9" s="1"/>
  <c r="IO68" i="9" s="1"/>
  <c r="GD44" i="9"/>
  <c r="GM44" i="9" s="1"/>
  <c r="GV44" i="9" s="1"/>
  <c r="IO44" i="9" s="1"/>
  <c r="GD78" i="9"/>
  <c r="GM78" i="9" s="1"/>
  <c r="GV78" i="9" s="1"/>
  <c r="IO78" i="9" s="1"/>
  <c r="GH14" i="9"/>
  <c r="GQ14" i="9" s="1"/>
  <c r="GZ14" i="9" s="1"/>
  <c r="IS14" i="9" s="1"/>
  <c r="GJ29" i="9"/>
  <c r="GS29" i="9" s="1"/>
  <c r="HB29" i="9" s="1"/>
  <c r="IU29" i="9" s="1"/>
  <c r="GE61" i="9"/>
  <c r="GN61" i="9" s="1"/>
  <c r="GW61" i="9" s="1"/>
  <c r="IP61" i="9" s="1"/>
  <c r="GG74" i="9"/>
  <c r="GP74" i="9" s="1"/>
  <c r="GY74" i="9" s="1"/>
  <c r="IR74" i="9" s="1"/>
  <c r="GC17" i="9"/>
  <c r="GL17" i="9" s="1"/>
  <c r="GU17" i="9" s="1"/>
  <c r="IN17" i="9" s="1"/>
  <c r="GC84" i="9"/>
  <c r="GL84" i="9" s="1"/>
  <c r="GU84" i="9" s="1"/>
  <c r="IN84" i="9" s="1"/>
  <c r="GC41" i="9"/>
  <c r="GL41" i="9" s="1"/>
  <c r="GU41" i="9" s="1"/>
  <c r="IN41" i="9" s="1"/>
  <c r="GJ92" i="9"/>
  <c r="GS92" i="9" s="1"/>
  <c r="HB92" i="9" s="1"/>
  <c r="IU92" i="9" s="1"/>
  <c r="GF70" i="9"/>
  <c r="GO70" i="9" s="1"/>
  <c r="GX70" i="9" s="1"/>
  <c r="IQ70" i="9" s="1"/>
  <c r="GF16" i="9"/>
  <c r="GO16" i="9" s="1"/>
  <c r="GX16" i="9" s="1"/>
  <c r="IQ16" i="9" s="1"/>
  <c r="GF53" i="9"/>
  <c r="GO53" i="9" s="1"/>
  <c r="GX53" i="9" s="1"/>
  <c r="IQ53" i="9" s="1"/>
  <c r="GC4" i="9"/>
  <c r="GL4" i="9" s="1"/>
  <c r="GU4" i="9" s="1"/>
  <c r="IN4" i="9" s="1"/>
  <c r="GC26" i="9"/>
  <c r="GL26" i="9" s="1"/>
  <c r="GU26" i="9" s="1"/>
  <c r="IN26" i="9" s="1"/>
  <c r="GF49" i="9"/>
  <c r="GO49" i="9" s="1"/>
  <c r="GX49" i="9" s="1"/>
  <c r="IQ49" i="9" s="1"/>
  <c r="GI94" i="9"/>
  <c r="GR94" i="9" s="1"/>
  <c r="HA94" i="9" s="1"/>
  <c r="IT94" i="9" s="1"/>
  <c r="GI4" i="9"/>
  <c r="GR4" i="9" s="1"/>
  <c r="HA4" i="9" s="1"/>
  <c r="IT4" i="9" s="1"/>
  <c r="GI55" i="9"/>
  <c r="GR55" i="9" s="1"/>
  <c r="HA55" i="9" s="1"/>
  <c r="IT55" i="9" s="1"/>
  <c r="GG72" i="9"/>
  <c r="GP72" i="9" s="1"/>
  <c r="GY72" i="9" s="1"/>
  <c r="IR72" i="9" s="1"/>
  <c r="GG40" i="9"/>
  <c r="GP40" i="9" s="1"/>
  <c r="GY40" i="9" s="1"/>
  <c r="IR40" i="9" s="1"/>
  <c r="GF83" i="9"/>
  <c r="GO83" i="9" s="1"/>
  <c r="GX83" i="9" s="1"/>
  <c r="IQ83" i="9" s="1"/>
  <c r="GD27" i="9"/>
  <c r="GM27" i="9" s="1"/>
  <c r="GV27" i="9" s="1"/>
  <c r="IO27" i="9" s="1"/>
  <c r="GD84" i="9"/>
  <c r="GM84" i="9" s="1"/>
  <c r="GV84" i="9" s="1"/>
  <c r="IO84" i="9" s="1"/>
  <c r="GE20" i="9"/>
  <c r="GN20" i="9" s="1"/>
  <c r="GW20" i="9" s="1"/>
  <c r="IP20" i="9" s="1"/>
  <c r="GD26" i="9"/>
  <c r="GM26" i="9" s="1"/>
  <c r="GV26" i="9" s="1"/>
  <c r="IO26" i="9" s="1"/>
  <c r="GD81" i="9"/>
  <c r="GM81" i="9" s="1"/>
  <c r="GV81" i="9" s="1"/>
  <c r="IO81" i="9" s="1"/>
  <c r="GG18" i="9"/>
  <c r="GP18" i="9" s="1"/>
  <c r="GY18" i="9" s="1"/>
  <c r="IR18" i="9" s="1"/>
  <c r="GJ90" i="9"/>
  <c r="GS90" i="9" s="1"/>
  <c r="HB90" i="9" s="1"/>
  <c r="IU90" i="9" s="1"/>
  <c r="GJ93" i="9"/>
  <c r="GS93" i="9" s="1"/>
  <c r="HB93" i="9" s="1"/>
  <c r="IU93" i="9" s="1"/>
  <c r="GJ11" i="9"/>
  <c r="GS11" i="9" s="1"/>
  <c r="HB11" i="9" s="1"/>
  <c r="IU11" i="9" s="1"/>
  <c r="GJ49" i="9"/>
  <c r="GS49" i="9" s="1"/>
  <c r="HB49" i="9" s="1"/>
  <c r="IU49" i="9" s="1"/>
  <c r="GH71" i="9"/>
  <c r="GQ71" i="9" s="1"/>
  <c r="GZ71" i="9" s="1"/>
  <c r="IS71" i="9" s="1"/>
  <c r="GG29" i="9"/>
  <c r="GP29" i="9" s="1"/>
  <c r="GY29" i="9" s="1"/>
  <c r="IR29" i="9" s="1"/>
  <c r="GG95" i="9"/>
  <c r="GP95" i="9" s="1"/>
  <c r="GY95" i="9" s="1"/>
  <c r="IR95" i="9" s="1"/>
  <c r="GH100" i="9"/>
  <c r="GQ100" i="9" s="1"/>
  <c r="GZ100" i="9" s="1"/>
  <c r="IS100" i="9" s="1"/>
  <c r="GJ40" i="9"/>
  <c r="GS40" i="9" s="1"/>
  <c r="HB40" i="9" s="1"/>
  <c r="IU40" i="9" s="1"/>
  <c r="GJ61" i="9"/>
  <c r="GS61" i="9" s="1"/>
  <c r="HB61" i="9" s="1"/>
  <c r="IU61" i="9" s="1"/>
  <c r="GJ30" i="9"/>
  <c r="GS30" i="9" s="1"/>
  <c r="HB30" i="9" s="1"/>
  <c r="IU30" i="9" s="1"/>
  <c r="GG100" i="9"/>
  <c r="GP100" i="9" s="1"/>
  <c r="GY100" i="9" s="1"/>
  <c r="IR100" i="9" s="1"/>
  <c r="GI10" i="9"/>
  <c r="GR10" i="9" s="1"/>
  <c r="HA10" i="9" s="1"/>
  <c r="IT10" i="9" s="1"/>
  <c r="GJ44" i="9"/>
  <c r="GS44" i="9" s="1"/>
  <c r="HB44" i="9" s="1"/>
  <c r="IU44" i="9" s="1"/>
  <c r="GI25" i="9"/>
  <c r="GR25" i="9" s="1"/>
  <c r="HA25" i="9" s="1"/>
  <c r="IT25" i="9" s="1"/>
  <c r="GJ72" i="9"/>
  <c r="GS72" i="9" s="1"/>
  <c r="HB72" i="9" s="1"/>
  <c r="IU72" i="9" s="1"/>
  <c r="GH72" i="9"/>
  <c r="GQ72" i="9" s="1"/>
  <c r="GZ72" i="9" s="1"/>
  <c r="IS72" i="9" s="1"/>
  <c r="GI82" i="9"/>
  <c r="GR82" i="9" s="1"/>
  <c r="HA82" i="9" s="1"/>
  <c r="IT82" i="9" s="1"/>
  <c r="GI77" i="9"/>
  <c r="GR77" i="9" s="1"/>
  <c r="HA77" i="9" s="1"/>
  <c r="IT77" i="9" s="1"/>
  <c r="GG13" i="9"/>
  <c r="GP13" i="9" s="1"/>
  <c r="GY13" i="9" s="1"/>
  <c r="IR13" i="9" s="1"/>
  <c r="GJ56" i="9"/>
  <c r="GS56" i="9" s="1"/>
  <c r="HB56" i="9" s="1"/>
  <c r="IU56" i="9" s="1"/>
  <c r="GH83" i="9"/>
  <c r="GQ83" i="9" s="1"/>
  <c r="GZ83" i="9" s="1"/>
  <c r="IS83" i="9" s="1"/>
  <c r="GH78" i="9"/>
  <c r="GQ78" i="9" s="1"/>
  <c r="GZ78" i="9" s="1"/>
  <c r="IS78" i="9" s="1"/>
  <c r="GJ79" i="9"/>
  <c r="GS79" i="9" s="1"/>
  <c r="HB79" i="9" s="1"/>
  <c r="IU79" i="9" s="1"/>
  <c r="GJ38" i="9"/>
  <c r="GS38" i="9" s="1"/>
  <c r="HB38" i="9" s="1"/>
  <c r="IU38" i="9" s="1"/>
  <c r="GG101" i="9"/>
  <c r="GP101" i="9" s="1"/>
  <c r="GY101" i="9" s="1"/>
  <c r="IR101" i="9" s="1"/>
  <c r="GJ58" i="9"/>
  <c r="GS58" i="9" s="1"/>
  <c r="HB58" i="9" s="1"/>
  <c r="IU58" i="9" s="1"/>
  <c r="GI13" i="9"/>
  <c r="GR13" i="9" s="1"/>
  <c r="HA13" i="9" s="1"/>
  <c r="IT13" i="9" s="1"/>
  <c r="GH50" i="9"/>
  <c r="GQ50" i="9" s="1"/>
  <c r="GZ50" i="9" s="1"/>
  <c r="IS50" i="9" s="1"/>
  <c r="GI11" i="9"/>
  <c r="GR11" i="9" s="1"/>
  <c r="HA11" i="9" s="1"/>
  <c r="IT11" i="9" s="1"/>
  <c r="GG92" i="9"/>
  <c r="GP92" i="9" s="1"/>
  <c r="GY92" i="9" s="1"/>
  <c r="IR92" i="9" s="1"/>
  <c r="GI32" i="9"/>
  <c r="GR32" i="9" s="1"/>
  <c r="HA32" i="9" s="1"/>
  <c r="IT32" i="9" s="1"/>
  <c r="GI85" i="9"/>
  <c r="GR85" i="9" s="1"/>
  <c r="HA85" i="9" s="1"/>
  <c r="IT85" i="9" s="1"/>
  <c r="GG16" i="9"/>
  <c r="GP16" i="9" s="1"/>
  <c r="GY16" i="9" s="1"/>
  <c r="IR16" i="9" s="1"/>
  <c r="GD11" i="9"/>
  <c r="GM11" i="9" s="1"/>
  <c r="GV11" i="9" s="1"/>
  <c r="IO11" i="9" s="1"/>
  <c r="GI80" i="9"/>
  <c r="GR80" i="9" s="1"/>
  <c r="HA80" i="9" s="1"/>
  <c r="IT80" i="9" s="1"/>
  <c r="GG80" i="9"/>
  <c r="GP80" i="9" s="1"/>
  <c r="GY80" i="9" s="1"/>
  <c r="IR80" i="9" s="1"/>
  <c r="GG35" i="9"/>
  <c r="GP35" i="9" s="1"/>
  <c r="GY35" i="9" s="1"/>
  <c r="IR35" i="9" s="1"/>
  <c r="GG52" i="9"/>
  <c r="GP52" i="9" s="1"/>
  <c r="GY52" i="9" s="1"/>
  <c r="IR52" i="9" s="1"/>
  <c r="GE77" i="9"/>
  <c r="GN77" i="9" s="1"/>
  <c r="GW77" i="9" s="1"/>
  <c r="IP77" i="9" s="1"/>
  <c r="GE67" i="9"/>
  <c r="GN67" i="9" s="1"/>
  <c r="GW67" i="9" s="1"/>
  <c r="IP67" i="9" s="1"/>
  <c r="GH59" i="9"/>
  <c r="GQ59" i="9" s="1"/>
  <c r="GZ59" i="9" s="1"/>
  <c r="IS59" i="9" s="1"/>
  <c r="GH35" i="9"/>
  <c r="GQ35" i="9" s="1"/>
  <c r="GZ35" i="9" s="1"/>
  <c r="IS35" i="9" s="1"/>
  <c r="GH34" i="9"/>
  <c r="GQ34" i="9" s="1"/>
  <c r="GZ34" i="9" s="1"/>
  <c r="IS34" i="9" s="1"/>
  <c r="GE19" i="9"/>
  <c r="GN19" i="9" s="1"/>
  <c r="GW19" i="9" s="1"/>
  <c r="IP19" i="9" s="1"/>
  <c r="GC48" i="9"/>
  <c r="GL48" i="9" s="1"/>
  <c r="GU48" i="9" s="1"/>
  <c r="IN48" i="9" s="1"/>
  <c r="GH46" i="9"/>
  <c r="GQ46" i="9" s="1"/>
  <c r="GZ46" i="9" s="1"/>
  <c r="IS46" i="9" s="1"/>
  <c r="GD28" i="9"/>
  <c r="GM28" i="9" s="1"/>
  <c r="GV28" i="9" s="1"/>
  <c r="IO28" i="9" s="1"/>
  <c r="GF98" i="9"/>
  <c r="GO98" i="9" s="1"/>
  <c r="GX98" i="9" s="1"/>
  <c r="IQ98" i="9" s="1"/>
  <c r="GG61" i="9"/>
  <c r="GP61" i="9" s="1"/>
  <c r="GY61" i="9" s="1"/>
  <c r="IR61" i="9" s="1"/>
  <c r="GG86" i="9"/>
  <c r="GP86" i="9" s="1"/>
  <c r="GY86" i="9" s="1"/>
  <c r="IR86" i="9" s="1"/>
  <c r="GF77" i="9"/>
  <c r="GO77" i="9" s="1"/>
  <c r="GX77" i="9" s="1"/>
  <c r="IQ77" i="9" s="1"/>
  <c r="GD8" i="9"/>
  <c r="GM8" i="9" s="1"/>
  <c r="GV8" i="9" s="1"/>
  <c r="IO8" i="9" s="1"/>
  <c r="GD14" i="9"/>
  <c r="GM14" i="9" s="1"/>
  <c r="GV14" i="9" s="1"/>
  <c r="IO14" i="9" s="1"/>
  <c r="GF47" i="9"/>
  <c r="GO47" i="9" s="1"/>
  <c r="GX47" i="9" s="1"/>
  <c r="IQ47" i="9" s="1"/>
  <c r="GC7" i="9"/>
  <c r="GL7" i="9" s="1"/>
  <c r="GU7" i="9" s="1"/>
  <c r="IN7" i="9" s="1"/>
  <c r="GC89" i="9"/>
  <c r="GL89" i="9" s="1"/>
  <c r="GU89" i="9" s="1"/>
  <c r="IN89" i="9" s="1"/>
  <c r="GH70" i="9"/>
  <c r="GQ70" i="9" s="1"/>
  <c r="GZ70" i="9" s="1"/>
  <c r="IS70" i="9" s="1"/>
  <c r="GG26" i="9"/>
  <c r="GP26" i="9" s="1"/>
  <c r="GY26" i="9" s="1"/>
  <c r="IR26" i="9" s="1"/>
  <c r="GD25" i="9"/>
  <c r="GM25" i="9" s="1"/>
  <c r="GV25" i="9" s="1"/>
  <c r="IO25" i="9" s="1"/>
  <c r="GC32" i="9"/>
  <c r="GL32" i="9" s="1"/>
  <c r="GU32" i="9" s="1"/>
  <c r="IN32" i="9" s="1"/>
  <c r="GD73" i="9"/>
  <c r="GM73" i="9" s="1"/>
  <c r="GV73" i="9" s="1"/>
  <c r="IO73" i="9" s="1"/>
  <c r="GG63" i="9"/>
  <c r="GP63" i="9" s="1"/>
  <c r="GY63" i="9" s="1"/>
  <c r="IR63" i="9" s="1"/>
  <c r="GH88" i="9"/>
  <c r="GQ88" i="9" s="1"/>
  <c r="GZ88" i="9" s="1"/>
  <c r="IS88" i="9" s="1"/>
  <c r="GG65" i="9"/>
  <c r="GP65" i="9" s="1"/>
  <c r="GY65" i="9" s="1"/>
  <c r="IR65" i="9" s="1"/>
  <c r="GD58" i="9"/>
  <c r="GM58" i="9" s="1"/>
  <c r="GV58" i="9" s="1"/>
  <c r="IO58" i="9" s="1"/>
  <c r="GF59" i="9"/>
  <c r="GO59" i="9" s="1"/>
  <c r="GX59" i="9" s="1"/>
  <c r="IQ59" i="9" s="1"/>
  <c r="GC44" i="9"/>
  <c r="GL44" i="9" s="1"/>
  <c r="GU44" i="9" s="1"/>
  <c r="IN44" i="9" s="1"/>
  <c r="GE36" i="9"/>
  <c r="GN36" i="9" s="1"/>
  <c r="GW36" i="9" s="1"/>
  <c r="IP36" i="9" s="1"/>
  <c r="GE51" i="9"/>
  <c r="GN51" i="9" s="1"/>
  <c r="GW51" i="9" s="1"/>
  <c r="IP51" i="9" s="1"/>
  <c r="GG33" i="9"/>
  <c r="GP33" i="9" s="1"/>
  <c r="GY33" i="9" s="1"/>
  <c r="IR33" i="9" s="1"/>
  <c r="GH51" i="9"/>
  <c r="GQ51" i="9" s="1"/>
  <c r="GZ51" i="9" s="1"/>
  <c r="IS51" i="9" s="1"/>
  <c r="GE21" i="9"/>
  <c r="GN21" i="9" s="1"/>
  <c r="GW21" i="9" s="1"/>
  <c r="IP21" i="9" s="1"/>
  <c r="GH12" i="9"/>
  <c r="GQ12" i="9" s="1"/>
  <c r="GZ12" i="9" s="1"/>
  <c r="IS12" i="9" s="1"/>
  <c r="GG38" i="9"/>
  <c r="GP38" i="9" s="1"/>
  <c r="GY38" i="9" s="1"/>
  <c r="IR38" i="9" s="1"/>
  <c r="GE44" i="9"/>
  <c r="GN44" i="9" s="1"/>
  <c r="GW44" i="9" s="1"/>
  <c r="IP44" i="9" s="1"/>
  <c r="GD32" i="9"/>
  <c r="GM32" i="9" s="1"/>
  <c r="GV32" i="9" s="1"/>
  <c r="IO32" i="9" s="1"/>
  <c r="GD57" i="9"/>
  <c r="GM57" i="9" s="1"/>
  <c r="GV57" i="9" s="1"/>
  <c r="IO57" i="9" s="1"/>
  <c r="GE25" i="9"/>
  <c r="GN25" i="9" s="1"/>
  <c r="GW25" i="9" s="1"/>
  <c r="IP25" i="9" s="1"/>
  <c r="GF96" i="9"/>
  <c r="GO96" i="9" s="1"/>
  <c r="GX96" i="9" s="1"/>
  <c r="IQ96" i="9" s="1"/>
  <c r="GE57" i="9"/>
  <c r="GN57" i="9" s="1"/>
  <c r="GW57" i="9" s="1"/>
  <c r="IP57" i="9" s="1"/>
  <c r="GI79" i="9"/>
  <c r="GR79" i="9" s="1"/>
  <c r="HA79" i="9" s="1"/>
  <c r="IT79" i="9" s="1"/>
  <c r="GD87" i="9"/>
  <c r="GM87" i="9" s="1"/>
  <c r="GV87" i="9" s="1"/>
  <c r="IO87" i="9" s="1"/>
  <c r="GI51" i="9"/>
  <c r="GR51" i="9" s="1"/>
  <c r="HA51" i="9" s="1"/>
  <c r="IT51" i="9" s="1"/>
  <c r="GF64" i="9"/>
  <c r="GO64" i="9" s="1"/>
  <c r="GX64" i="9" s="1"/>
  <c r="IQ64" i="9" s="1"/>
  <c r="GI21" i="9"/>
  <c r="GR21" i="9" s="1"/>
  <c r="HA21" i="9" s="1"/>
  <c r="IT21" i="9" s="1"/>
  <c r="GI95" i="9"/>
  <c r="GR95" i="9" s="1"/>
  <c r="HA95" i="9" s="1"/>
  <c r="IT95" i="9" s="1"/>
  <c r="GD90" i="9"/>
  <c r="GM90" i="9" s="1"/>
  <c r="GV90" i="9" s="1"/>
  <c r="IO90" i="9" s="1"/>
  <c r="GJ70" i="9"/>
  <c r="GS70" i="9" s="1"/>
  <c r="HB70" i="9" s="1"/>
  <c r="IU70" i="9" s="1"/>
  <c r="GJ67" i="9"/>
  <c r="GS67" i="9" s="1"/>
  <c r="HB67" i="9" s="1"/>
  <c r="IU67" i="9" s="1"/>
  <c r="GG102" i="9"/>
  <c r="GP102" i="9" s="1"/>
  <c r="GY102" i="9" s="1"/>
  <c r="IR102" i="9" s="1"/>
  <c r="GH58" i="9"/>
  <c r="GQ58" i="9" s="1"/>
  <c r="GZ58" i="9" s="1"/>
  <c r="IS58" i="9" s="1"/>
  <c r="GI93" i="9"/>
  <c r="GR93" i="9" s="1"/>
  <c r="HA93" i="9" s="1"/>
  <c r="IT93" i="9" s="1"/>
  <c r="GI74" i="9"/>
  <c r="GR74" i="9" s="1"/>
  <c r="HA74" i="9" s="1"/>
  <c r="IT74" i="9" s="1"/>
  <c r="GI57" i="9"/>
  <c r="GR57" i="9" s="1"/>
  <c r="HA57" i="9" s="1"/>
  <c r="IT57" i="9" s="1"/>
  <c r="GC102" i="9"/>
  <c r="GL102" i="9" s="1"/>
  <c r="GU102" i="9" s="1"/>
  <c r="IN102" i="9" s="1"/>
  <c r="GH101" i="9"/>
  <c r="GQ101" i="9" s="1"/>
  <c r="GZ101" i="9" s="1"/>
  <c r="IS101" i="9" s="1"/>
  <c r="GJ51" i="9"/>
  <c r="GS51" i="9" s="1"/>
  <c r="HB51" i="9" s="1"/>
  <c r="IU51" i="9" s="1"/>
  <c r="GI62" i="9"/>
  <c r="GR62" i="9" s="1"/>
  <c r="HA62" i="9" s="1"/>
  <c r="IT62" i="9" s="1"/>
  <c r="GF95" i="9"/>
  <c r="GO95" i="9" s="1"/>
  <c r="GX95" i="9" s="1"/>
  <c r="IQ95" i="9" s="1"/>
  <c r="GH30" i="9"/>
  <c r="GQ30" i="9" s="1"/>
  <c r="GZ30" i="9" s="1"/>
  <c r="IS30" i="9" s="1"/>
  <c r="GD48" i="9"/>
  <c r="GM48" i="9" s="1"/>
  <c r="GV48" i="9" s="1"/>
  <c r="IO48" i="9" s="1"/>
  <c r="GF28" i="9"/>
  <c r="GO28" i="9" s="1"/>
  <c r="GX28" i="9" s="1"/>
  <c r="IQ28" i="9" s="1"/>
  <c r="GD16" i="9"/>
  <c r="GM16" i="9" s="1"/>
  <c r="GV16" i="9" s="1"/>
  <c r="IO16" i="9" s="1"/>
  <c r="GF48" i="9"/>
  <c r="GO48" i="9" s="1"/>
  <c r="GX48" i="9" s="1"/>
  <c r="IQ48" i="9" s="1"/>
  <c r="GG32" i="9"/>
  <c r="GP32" i="9" s="1"/>
  <c r="GY32" i="9" s="1"/>
  <c r="IR32" i="9" s="1"/>
  <c r="GE5" i="9"/>
  <c r="GN5" i="9" s="1"/>
  <c r="GW5" i="9" s="1"/>
  <c r="IP5" i="9" s="1"/>
  <c r="GC34" i="9"/>
  <c r="GL34" i="9" s="1"/>
  <c r="GU34" i="9" s="1"/>
  <c r="IN34" i="9" s="1"/>
  <c r="GC21" i="9"/>
  <c r="GL21" i="9" s="1"/>
  <c r="GU21" i="9" s="1"/>
  <c r="IN21" i="9" s="1"/>
  <c r="GF15" i="9"/>
  <c r="GO15" i="9" s="1"/>
  <c r="GX15" i="9" s="1"/>
  <c r="IQ15" i="9" s="1"/>
  <c r="GF56" i="9"/>
  <c r="GO56" i="9" s="1"/>
  <c r="GX56" i="9" s="1"/>
  <c r="IQ56" i="9" s="1"/>
  <c r="GF42" i="9"/>
  <c r="GO42" i="9" s="1"/>
  <c r="GX42" i="9" s="1"/>
  <c r="IQ42" i="9" s="1"/>
  <c r="GE80" i="9"/>
  <c r="GN80" i="9" s="1"/>
  <c r="GW80" i="9" s="1"/>
  <c r="IP80" i="9" s="1"/>
  <c r="GC61" i="9"/>
  <c r="GL61" i="9" s="1"/>
  <c r="GU61" i="9" s="1"/>
  <c r="IN61" i="9" s="1"/>
  <c r="GC67" i="9"/>
  <c r="GL67" i="9" s="1"/>
  <c r="GU67" i="9" s="1"/>
  <c r="IN67" i="9" s="1"/>
  <c r="GG62" i="9"/>
  <c r="GP62" i="9" s="1"/>
  <c r="GY62" i="9" s="1"/>
  <c r="IR62" i="9" s="1"/>
  <c r="GG88" i="9"/>
  <c r="GP88" i="9" s="1"/>
  <c r="GY88" i="9" s="1"/>
  <c r="IR88" i="9" s="1"/>
  <c r="GH18" i="9"/>
  <c r="GQ18" i="9" s="1"/>
  <c r="GZ18" i="9" s="1"/>
  <c r="IS18" i="9" s="1"/>
  <c r="GF38" i="9"/>
  <c r="GO38" i="9" s="1"/>
  <c r="GX38" i="9" s="1"/>
  <c r="IQ38" i="9" s="1"/>
  <c r="GD85" i="9"/>
  <c r="GM85" i="9" s="1"/>
  <c r="GV85" i="9" s="1"/>
  <c r="IO85" i="9" s="1"/>
  <c r="GE40" i="9"/>
  <c r="GN40" i="9" s="1"/>
  <c r="GW40" i="9" s="1"/>
  <c r="IP40" i="9" s="1"/>
  <c r="GC77" i="9"/>
  <c r="GL77" i="9" s="1"/>
  <c r="GU77" i="9" s="1"/>
  <c r="IN77" i="9" s="1"/>
  <c r="GE62" i="9"/>
  <c r="GN62" i="9" s="1"/>
  <c r="GW62" i="9" s="1"/>
  <c r="IP62" i="9" s="1"/>
  <c r="GG57" i="9"/>
  <c r="GP57" i="9" s="1"/>
  <c r="GY57" i="9" s="1"/>
  <c r="IR57" i="9" s="1"/>
  <c r="GH55" i="9"/>
  <c r="GQ55" i="9" s="1"/>
  <c r="GZ55" i="9" s="1"/>
  <c r="IS55" i="9" s="1"/>
  <c r="GE85" i="9"/>
  <c r="GN85" i="9" s="1"/>
  <c r="GW85" i="9" s="1"/>
  <c r="IP85" i="9" s="1"/>
  <c r="GH20" i="9"/>
  <c r="GQ20" i="9" s="1"/>
  <c r="GZ20" i="9" s="1"/>
  <c r="IS20" i="9" s="1"/>
  <c r="GC56" i="9"/>
  <c r="GL56" i="9" s="1"/>
  <c r="GU56" i="9" s="1"/>
  <c r="IN56" i="9" s="1"/>
  <c r="GC28" i="9"/>
  <c r="GL28" i="9" s="1"/>
  <c r="GU28" i="9" s="1"/>
  <c r="IN28" i="9" s="1"/>
  <c r="GI64" i="9"/>
  <c r="GR64" i="9" s="1"/>
  <c r="HA64" i="9" s="1"/>
  <c r="IT64" i="9" s="1"/>
  <c r="GH13" i="9"/>
  <c r="GQ13" i="9" s="1"/>
  <c r="GZ13" i="9" s="1"/>
  <c r="IS13" i="9" s="1"/>
  <c r="GC13" i="9"/>
  <c r="GL13" i="9" s="1"/>
  <c r="GU13" i="9" s="1"/>
  <c r="IN13" i="9" s="1"/>
  <c r="GG24" i="9"/>
  <c r="GP24" i="9" s="1"/>
  <c r="GY24" i="9" s="1"/>
  <c r="IR24" i="9" s="1"/>
  <c r="GE56" i="9"/>
  <c r="GN56" i="9" s="1"/>
  <c r="GW56" i="9" s="1"/>
  <c r="IP56" i="9" s="1"/>
  <c r="GD62" i="9"/>
  <c r="GM62" i="9" s="1"/>
  <c r="GV62" i="9" s="1"/>
  <c r="IO62" i="9" s="1"/>
  <c r="GE13" i="9"/>
  <c r="GN13" i="9" s="1"/>
  <c r="GW13" i="9" s="1"/>
  <c r="IP13" i="9" s="1"/>
  <c r="GE99" i="9"/>
  <c r="GN99" i="9" s="1"/>
  <c r="GW99" i="9" s="1"/>
  <c r="IP99" i="9" s="1"/>
  <c r="GF68" i="9"/>
  <c r="GO68" i="9" s="1"/>
  <c r="GX68" i="9" s="1"/>
  <c r="IQ68" i="9" s="1"/>
  <c r="GE41" i="9"/>
  <c r="GN41" i="9" s="1"/>
  <c r="GW41" i="9" s="1"/>
  <c r="IP41" i="9" s="1"/>
  <c r="GE24" i="9"/>
  <c r="GN24" i="9" s="1"/>
  <c r="GW24" i="9" s="1"/>
  <c r="IP24" i="9" s="1"/>
  <c r="GE7" i="9"/>
  <c r="GN7" i="9" s="1"/>
  <c r="GW7" i="9" s="1"/>
  <c r="IP7" i="9" s="1"/>
  <c r="GC76" i="9"/>
  <c r="GL76" i="9" s="1"/>
  <c r="GU76" i="9" s="1"/>
  <c r="IN76" i="9" s="1"/>
  <c r="GD20" i="9"/>
  <c r="GM20" i="9" s="1"/>
  <c r="GV20" i="9" s="1"/>
  <c r="IO20" i="9" s="1"/>
  <c r="GC75" i="9"/>
  <c r="GL75" i="9" s="1"/>
  <c r="GU75" i="9" s="1"/>
  <c r="IN75" i="9" s="1"/>
  <c r="GG60" i="9"/>
  <c r="GP60" i="9" s="1"/>
  <c r="GY60" i="9" s="1"/>
  <c r="IR60" i="9" s="1"/>
  <c r="GD69" i="9"/>
  <c r="GM69" i="9" s="1"/>
  <c r="GV69" i="9" s="1"/>
  <c r="IO69" i="9" s="1"/>
  <c r="GC39" i="9"/>
  <c r="GL39" i="9" s="1"/>
  <c r="GU39" i="9" s="1"/>
  <c r="IN39" i="9" s="1"/>
  <c r="GI33" i="9"/>
  <c r="GR33" i="9" s="1"/>
  <c r="HA33" i="9" s="1"/>
  <c r="IT33" i="9" s="1"/>
  <c r="GJ65" i="9"/>
  <c r="GS65" i="9" s="1"/>
  <c r="HB65" i="9" s="1"/>
  <c r="IU65" i="9" s="1"/>
  <c r="GI76" i="9"/>
  <c r="GR76" i="9" s="1"/>
  <c r="HA76" i="9" s="1"/>
  <c r="IT76" i="9" s="1"/>
  <c r="GD99" i="9"/>
  <c r="GM99" i="9" s="1"/>
  <c r="GV99" i="9" s="1"/>
  <c r="IO99" i="9" s="1"/>
  <c r="GE93" i="9"/>
  <c r="GN93" i="9" s="1"/>
  <c r="GW93" i="9" s="1"/>
  <c r="IP93" i="9" s="1"/>
  <c r="GH73" i="9"/>
  <c r="GQ73" i="9" s="1"/>
  <c r="GZ73" i="9" s="1"/>
  <c r="IS73" i="9" s="1"/>
  <c r="GJ42" i="9"/>
  <c r="GS42" i="9" s="1"/>
  <c r="HB42" i="9" s="1"/>
  <c r="IU42" i="9" s="1"/>
  <c r="GI26" i="9"/>
  <c r="GR26" i="9" s="1"/>
  <c r="HA26" i="9" s="1"/>
  <c r="IT26" i="9" s="1"/>
  <c r="GH38" i="9"/>
  <c r="GQ38" i="9" s="1"/>
  <c r="GZ38" i="9" s="1"/>
  <c r="IS38" i="9" s="1"/>
  <c r="GD100" i="9"/>
  <c r="GM100" i="9" s="1"/>
  <c r="GV100" i="9" s="1"/>
  <c r="IO100" i="9" s="1"/>
  <c r="GI100" i="9"/>
  <c r="GR100" i="9" s="1"/>
  <c r="HA100" i="9" s="1"/>
  <c r="IT100" i="9" s="1"/>
  <c r="GH102" i="9"/>
  <c r="GQ102" i="9" s="1"/>
  <c r="GZ102" i="9" s="1"/>
  <c r="IS102" i="9" s="1"/>
  <c r="GJ102" i="9"/>
  <c r="GS102" i="9" s="1"/>
  <c r="HB102" i="9" s="1"/>
  <c r="IU102" i="9" s="1"/>
  <c r="GH89" i="9"/>
  <c r="GQ89" i="9" s="1"/>
  <c r="GZ89" i="9" s="1"/>
  <c r="IS89" i="9" s="1"/>
  <c r="GJ100" i="9"/>
  <c r="GS100" i="9" s="1"/>
  <c r="HB100" i="9" s="1"/>
  <c r="IU100" i="9" s="1"/>
  <c r="GI44" i="9"/>
  <c r="GR44" i="9" s="1"/>
  <c r="HA44" i="9" s="1"/>
  <c r="IT44" i="9" s="1"/>
  <c r="GI29" i="9"/>
  <c r="GR29" i="9" s="1"/>
  <c r="HA29" i="9" s="1"/>
  <c r="IT29" i="9" s="1"/>
  <c r="GI46" i="9"/>
  <c r="GR46" i="9" s="1"/>
  <c r="HA46" i="9" s="1"/>
  <c r="IT46" i="9" s="1"/>
  <c r="GF88" i="9"/>
  <c r="GO88" i="9" s="1"/>
  <c r="GX88" i="9" s="1"/>
  <c r="IQ88" i="9" s="1"/>
  <c r="GJ48" i="9"/>
  <c r="GS48" i="9" s="1"/>
  <c r="HB48" i="9" s="1"/>
  <c r="IU48" i="9" s="1"/>
  <c r="GI60" i="9"/>
  <c r="GR60" i="9" s="1"/>
  <c r="HA60" i="9" s="1"/>
  <c r="IT60" i="9" s="1"/>
  <c r="GJ75" i="9"/>
  <c r="GS75" i="9" s="1"/>
  <c r="HB75" i="9" s="1"/>
  <c r="IU75" i="9" s="1"/>
  <c r="GH69" i="9"/>
  <c r="GQ69" i="9" s="1"/>
  <c r="GZ69" i="9" s="1"/>
  <c r="IS69" i="9" s="1"/>
  <c r="GD95" i="9"/>
  <c r="GM95" i="9" s="1"/>
  <c r="GV95" i="9" s="1"/>
  <c r="IO95" i="9" s="1"/>
  <c r="GH77" i="9"/>
  <c r="GQ77" i="9" s="1"/>
  <c r="GZ77" i="9" s="1"/>
  <c r="IS77" i="9" s="1"/>
  <c r="GI42" i="9"/>
  <c r="GR42" i="9" s="1"/>
  <c r="HA42" i="9" s="1"/>
  <c r="IT42" i="9" s="1"/>
  <c r="GJ99" i="9"/>
  <c r="GS99" i="9" s="1"/>
  <c r="HB99" i="9" s="1"/>
  <c r="IU99" i="9" s="1"/>
  <c r="GE88" i="9"/>
  <c r="GN88" i="9" s="1"/>
  <c r="GW88" i="9" s="1"/>
  <c r="IP88" i="9" s="1"/>
  <c r="GF101" i="9"/>
  <c r="GO101" i="9" s="1"/>
  <c r="GX101" i="9" s="1"/>
  <c r="IQ101" i="9" s="1"/>
  <c r="GH79" i="9"/>
  <c r="GQ79" i="9" s="1"/>
  <c r="GZ79" i="9" s="1"/>
  <c r="IS79" i="9" s="1"/>
  <c r="GG87" i="9"/>
  <c r="GP87" i="9" s="1"/>
  <c r="GY87" i="9" s="1"/>
  <c r="IR87" i="9" s="1"/>
  <c r="GC91" i="9"/>
  <c r="GL91" i="9" s="1"/>
  <c r="GU91" i="9" s="1"/>
  <c r="IN91" i="9" s="1"/>
  <c r="GF63" i="9"/>
  <c r="GO63" i="9" s="1"/>
  <c r="GX63" i="9" s="1"/>
  <c r="IQ63" i="9" s="1"/>
  <c r="GG36" i="9"/>
  <c r="GP36" i="9" s="1"/>
  <c r="GY36" i="9" s="1"/>
  <c r="IR36" i="9" s="1"/>
  <c r="GC29" i="9"/>
  <c r="GL29" i="9" s="1"/>
  <c r="GU29" i="9" s="1"/>
  <c r="IN29" i="9" s="1"/>
  <c r="GH75" i="9"/>
  <c r="GQ75" i="9" s="1"/>
  <c r="GZ75" i="9" s="1"/>
  <c r="IS75" i="9" s="1"/>
  <c r="GG70" i="9"/>
  <c r="GP70" i="9" s="1"/>
  <c r="GY70" i="9" s="1"/>
  <c r="IR70" i="9" s="1"/>
  <c r="GH27" i="9"/>
  <c r="GQ27" i="9" s="1"/>
  <c r="GZ27" i="9" s="1"/>
  <c r="IS27" i="9" s="1"/>
  <c r="GC46" i="9"/>
  <c r="GL46" i="9" s="1"/>
  <c r="GU46" i="9" s="1"/>
  <c r="IN46" i="9" s="1"/>
  <c r="GE55" i="9"/>
  <c r="GN55" i="9" s="1"/>
  <c r="GW55" i="9" s="1"/>
  <c r="IP55" i="9" s="1"/>
  <c r="GE9" i="9"/>
  <c r="GN9" i="9" s="1"/>
  <c r="GW9" i="9" s="1"/>
  <c r="IP9" i="9" s="1"/>
  <c r="GI31" i="9"/>
  <c r="GR31" i="9" s="1"/>
  <c r="HA31" i="9" s="1"/>
  <c r="IT31" i="9" s="1"/>
  <c r="GH24" i="9"/>
  <c r="GQ24" i="9" s="1"/>
  <c r="GZ24" i="9" s="1"/>
  <c r="IS24" i="9" s="1"/>
  <c r="GD64" i="9"/>
  <c r="GM64" i="9" s="1"/>
  <c r="GV64" i="9" s="1"/>
  <c r="IO64" i="9" s="1"/>
  <c r="GC45" i="9"/>
  <c r="GL45" i="9" s="1"/>
  <c r="GU45" i="9" s="1"/>
  <c r="IN45" i="9" s="1"/>
  <c r="GC51" i="9"/>
  <c r="GL51" i="9" s="1"/>
  <c r="GU51" i="9" s="1"/>
  <c r="IN51" i="9" s="1"/>
  <c r="GH47" i="9"/>
  <c r="GQ47" i="9" s="1"/>
  <c r="GZ47" i="9" s="1"/>
  <c r="IS47" i="9" s="1"/>
  <c r="GE6" i="9"/>
  <c r="GN6" i="9" s="1"/>
  <c r="GW6" i="9" s="1"/>
  <c r="IP6" i="9" s="1"/>
  <c r="GJ66" i="9"/>
  <c r="GS66" i="9" s="1"/>
  <c r="HB66" i="9" s="1"/>
  <c r="IU66" i="9" s="1"/>
  <c r="GH31" i="9"/>
  <c r="GQ31" i="9" s="1"/>
  <c r="GZ31" i="9" s="1"/>
  <c r="IS31" i="9" s="1"/>
  <c r="GD53" i="9"/>
  <c r="GM53" i="9" s="1"/>
  <c r="GV53" i="9" s="1"/>
  <c r="IO53" i="9" s="1"/>
  <c r="GD39" i="9"/>
  <c r="GM39" i="9" s="1"/>
  <c r="GV39" i="9" s="1"/>
  <c r="IO39" i="9" s="1"/>
  <c r="GC57" i="9"/>
  <c r="GL57" i="9" s="1"/>
  <c r="GU57" i="9" s="1"/>
  <c r="IN57" i="9" s="1"/>
  <c r="GC63" i="9"/>
  <c r="GL63" i="9" s="1"/>
  <c r="GU63" i="9" s="1"/>
  <c r="IN63" i="9" s="1"/>
  <c r="GF19" i="9"/>
  <c r="GO19" i="9" s="1"/>
  <c r="GX19" i="9" s="1"/>
  <c r="IQ19" i="9" s="1"/>
  <c r="GE16" i="9"/>
  <c r="GN16" i="9" s="1"/>
  <c r="GW16" i="9" s="1"/>
  <c r="IP16" i="9" s="1"/>
  <c r="GG76" i="9"/>
  <c r="GP76" i="9" s="1"/>
  <c r="GY76" i="9" s="1"/>
  <c r="IR76" i="9" s="1"/>
  <c r="GG44" i="9"/>
  <c r="GP44" i="9" s="1"/>
  <c r="GY44" i="9" s="1"/>
  <c r="IR44" i="9" s="1"/>
  <c r="GE45" i="9"/>
  <c r="GN45" i="9" s="1"/>
  <c r="GW45" i="9" s="1"/>
  <c r="IP45" i="9" s="1"/>
  <c r="GC78" i="9"/>
  <c r="GL78" i="9" s="1"/>
  <c r="GU78" i="9" s="1"/>
  <c r="IN78" i="9" s="1"/>
  <c r="GC31" i="9"/>
  <c r="GL31" i="9" s="1"/>
  <c r="GU31" i="9" s="1"/>
  <c r="IN31" i="9" s="1"/>
  <c r="GE50" i="9"/>
  <c r="GN50" i="9" s="1"/>
  <c r="GW50" i="9" s="1"/>
  <c r="IP50" i="9" s="1"/>
  <c r="GG59" i="9"/>
  <c r="GP59" i="9" s="1"/>
  <c r="GY59" i="9" s="1"/>
  <c r="IR59" i="9" s="1"/>
  <c r="GG77" i="9"/>
  <c r="GP77" i="9" s="1"/>
  <c r="GY77" i="9" s="1"/>
  <c r="IR77" i="9" s="1"/>
  <c r="GF61" i="9"/>
  <c r="GO61" i="9" s="1"/>
  <c r="GX61" i="9" s="1"/>
  <c r="IQ61" i="9" s="1"/>
  <c r="GE52" i="9"/>
  <c r="GN52" i="9" s="1"/>
  <c r="GW52" i="9" s="1"/>
  <c r="IP52" i="9" s="1"/>
  <c r="GC54" i="9"/>
  <c r="GL54" i="9" s="1"/>
  <c r="GU54" i="9" s="1"/>
  <c r="IN54" i="9" s="1"/>
  <c r="GD23" i="9"/>
  <c r="GM23" i="9" s="1"/>
  <c r="GV23" i="9" s="1"/>
  <c r="IO23" i="9" s="1"/>
  <c r="GJ19" i="9"/>
  <c r="GS19" i="9" s="1"/>
  <c r="HB19" i="9" s="1"/>
  <c r="IU19" i="9" s="1"/>
  <c r="GG75" i="9"/>
  <c r="GP75" i="9" s="1"/>
  <c r="GY75" i="9" s="1"/>
  <c r="IR75" i="9" s="1"/>
  <c r="GG43" i="9"/>
  <c r="GP43" i="9" s="1"/>
  <c r="GY43" i="9" s="1"/>
  <c r="IR43" i="9" s="1"/>
  <c r="GC33" i="9"/>
  <c r="GL33" i="9" s="1"/>
  <c r="GU33" i="9" s="1"/>
  <c r="IN33" i="9" s="1"/>
  <c r="GC22" i="9"/>
  <c r="GL22" i="9" s="1"/>
  <c r="GU22" i="9" s="1"/>
  <c r="IN22" i="9" s="1"/>
  <c r="GF33" i="9"/>
  <c r="GO33" i="9" s="1"/>
  <c r="GX33" i="9" s="1"/>
  <c r="IQ33" i="9" s="1"/>
  <c r="GC64" i="9"/>
  <c r="GL64" i="9" s="1"/>
  <c r="GU64" i="9" s="1"/>
  <c r="IN64" i="9" s="1"/>
  <c r="GC81" i="9"/>
  <c r="GL81" i="9" s="1"/>
  <c r="GU81" i="9" s="1"/>
  <c r="IN81" i="9" s="1"/>
  <c r="GF71" i="9"/>
  <c r="GO71" i="9" s="1"/>
  <c r="GX71" i="9" s="1"/>
  <c r="IQ71" i="9" s="1"/>
  <c r="GC55" i="9"/>
  <c r="GL55" i="9" s="1"/>
  <c r="GU55" i="9" s="1"/>
  <c r="IN55" i="9" s="1"/>
  <c r="GF25" i="9"/>
  <c r="GO25" i="9" s="1"/>
  <c r="GX25" i="9" s="1"/>
  <c r="IQ25" i="9" s="1"/>
  <c r="GD65" i="9"/>
  <c r="GM65" i="9" s="1"/>
  <c r="GV65" i="9" s="1"/>
  <c r="IO65" i="9" s="1"/>
  <c r="GJ88" i="9"/>
  <c r="GS88" i="9" s="1"/>
  <c r="HB88" i="9" s="1"/>
  <c r="IU88" i="9" s="1"/>
  <c r="GI24" i="9"/>
  <c r="GR24" i="9" s="1"/>
  <c r="HA24" i="9" s="1"/>
  <c r="IT24" i="9" s="1"/>
  <c r="GI48" i="9"/>
  <c r="GR48" i="9" s="1"/>
  <c r="HA48" i="9" s="1"/>
  <c r="IT48" i="9" s="1"/>
  <c r="GI27" i="9"/>
  <c r="GR27" i="9" s="1"/>
  <c r="HA27" i="9" s="1"/>
  <c r="IT27" i="9" s="1"/>
  <c r="GJ87" i="9"/>
  <c r="GS87" i="9" s="1"/>
  <c r="HB87" i="9" s="1"/>
  <c r="IU87" i="9" s="1"/>
  <c r="GJ63" i="9"/>
  <c r="GS63" i="9" s="1"/>
  <c r="HB63" i="9" s="1"/>
  <c r="IU63" i="9" s="1"/>
  <c r="GJ8" i="9"/>
  <c r="GS8" i="9" s="1"/>
  <c r="HB8" i="9" s="1"/>
  <c r="IU8" i="9" s="1"/>
  <c r="GH65" i="9"/>
  <c r="GQ65" i="9" s="1"/>
  <c r="GZ65" i="9" s="1"/>
  <c r="IS65" i="9" s="1"/>
  <c r="GJ82" i="9"/>
  <c r="GS82" i="9" s="1"/>
  <c r="HB82" i="9" s="1"/>
  <c r="IU82" i="9" s="1"/>
  <c r="GI78" i="9"/>
  <c r="GR78" i="9" s="1"/>
  <c r="HA78" i="9" s="1"/>
  <c r="IT78" i="9" s="1"/>
  <c r="GH68" i="9"/>
  <c r="GQ68" i="9" s="1"/>
  <c r="GZ68" i="9" s="1"/>
  <c r="IS68" i="9" s="1"/>
  <c r="GI87" i="9"/>
  <c r="GR87" i="9" s="1"/>
  <c r="HA87" i="9" s="1"/>
  <c r="IT87" i="9" s="1"/>
  <c r="GH6" i="9"/>
  <c r="GQ6" i="9" s="1"/>
  <c r="GZ6" i="9" s="1"/>
  <c r="IS6" i="9" s="1"/>
  <c r="GH91" i="9"/>
  <c r="GQ91" i="9" s="1"/>
  <c r="GZ91" i="9" s="1"/>
  <c r="IS91" i="9" s="1"/>
  <c r="GC99" i="9"/>
  <c r="GL99" i="9" s="1"/>
  <c r="GU99" i="9" s="1"/>
  <c r="IN99" i="9" s="1"/>
  <c r="GF52" i="9"/>
  <c r="GO52" i="9" s="1"/>
  <c r="GX52" i="9" s="1"/>
  <c r="IQ52" i="9" s="1"/>
  <c r="GE72" i="9"/>
  <c r="GN72" i="9" s="1"/>
  <c r="GW72" i="9" s="1"/>
  <c r="IP72" i="9" s="1"/>
  <c r="GD52" i="9"/>
  <c r="GM52" i="9" s="1"/>
  <c r="GV52" i="9" s="1"/>
  <c r="IO52" i="9" s="1"/>
  <c r="GE49" i="9"/>
  <c r="GN49" i="9" s="1"/>
  <c r="GW49" i="9" s="1"/>
  <c r="IP49" i="9" s="1"/>
  <c r="GF44" i="9"/>
  <c r="GO44" i="9" s="1"/>
  <c r="GX44" i="9" s="1"/>
  <c r="IQ44" i="9" s="1"/>
  <c r="GC10" i="9"/>
  <c r="GL10" i="9" s="1"/>
  <c r="GU10" i="9" s="1"/>
  <c r="IN10" i="9" s="1"/>
  <c r="GE35" i="9"/>
  <c r="GN35" i="9" s="1"/>
  <c r="GW35" i="9" s="1"/>
  <c r="IP35" i="9" s="1"/>
  <c r="GD43" i="9"/>
  <c r="GM43" i="9" s="1"/>
  <c r="GV43" i="9" s="1"/>
  <c r="IO43" i="9" s="1"/>
  <c r="GE33" i="9"/>
  <c r="GN33" i="9" s="1"/>
  <c r="GW33" i="9" s="1"/>
  <c r="IP33" i="9" s="1"/>
  <c r="GH5" i="9"/>
  <c r="GQ5" i="9" s="1"/>
  <c r="GZ5" i="9" s="1"/>
  <c r="IS5" i="9" s="1"/>
  <c r="GC86" i="9"/>
  <c r="GL86" i="9" s="1"/>
  <c r="GU86" i="9" s="1"/>
  <c r="IN86" i="9" s="1"/>
  <c r="GC9" i="9"/>
  <c r="GL9" i="9" s="1"/>
  <c r="GU9" i="9" s="1"/>
  <c r="IN9" i="9" s="1"/>
  <c r="GC27" i="9"/>
  <c r="GL27" i="9" s="1"/>
  <c r="GU27" i="9" s="1"/>
  <c r="IN27" i="9" s="1"/>
  <c r="GI20" i="9"/>
  <c r="GR20" i="9" s="1"/>
  <c r="HA20" i="9" s="1"/>
  <c r="IT20" i="9" s="1"/>
  <c r="GF45" i="9"/>
  <c r="GO45" i="9" s="1"/>
  <c r="GX45" i="9" s="1"/>
  <c r="IQ45" i="9" s="1"/>
  <c r="GG46" i="9"/>
  <c r="GP46" i="9" s="1"/>
  <c r="GY46" i="9" s="1"/>
  <c r="IR46" i="9" s="1"/>
  <c r="GC8" i="9"/>
  <c r="GL8" i="9" s="1"/>
  <c r="GU8" i="9" s="1"/>
  <c r="IN8" i="9" s="1"/>
  <c r="GD3" i="9"/>
  <c r="GM3" i="9" s="1"/>
  <c r="GV3" i="9" s="1"/>
  <c r="IO3" i="9" s="1"/>
  <c r="GD17" i="9"/>
  <c r="GM17" i="9" s="1"/>
  <c r="GV17" i="9" s="1"/>
  <c r="IO17" i="9" s="1"/>
  <c r="GJ77" i="9"/>
  <c r="GS77" i="9" s="1"/>
  <c r="HB77" i="9" s="1"/>
  <c r="IU77" i="9" s="1"/>
  <c r="GH41" i="9"/>
  <c r="GQ41" i="9" s="1"/>
  <c r="GZ41" i="9" s="1"/>
  <c r="IS41" i="9" s="1"/>
  <c r="GG47" i="9"/>
  <c r="GP47" i="9" s="1"/>
  <c r="GY47" i="9" s="1"/>
  <c r="IR47" i="9" s="1"/>
  <c r="GH23" i="9"/>
  <c r="GQ23" i="9" s="1"/>
  <c r="GZ23" i="9" s="1"/>
  <c r="IS23" i="9" s="1"/>
  <c r="GC16" i="9"/>
  <c r="GL16" i="9" s="1"/>
  <c r="GU16" i="9" s="1"/>
  <c r="IN16" i="9" s="1"/>
  <c r="GF79" i="9"/>
  <c r="GO79" i="9" s="1"/>
  <c r="GX79" i="9" s="1"/>
  <c r="IQ79" i="9" s="1"/>
  <c r="GE87" i="9"/>
  <c r="GN87" i="9" s="1"/>
  <c r="GW87" i="9" s="1"/>
  <c r="IP87" i="9" s="1"/>
  <c r="GH22" i="9"/>
  <c r="GQ22" i="9" s="1"/>
  <c r="GZ22" i="9" s="1"/>
  <c r="IS22" i="9" s="1"/>
  <c r="GH3" i="9"/>
  <c r="GQ3" i="9" s="1"/>
  <c r="GZ3" i="9" s="1"/>
  <c r="IS3" i="9" s="1"/>
  <c r="GE23" i="9"/>
  <c r="GN23" i="9" s="1"/>
  <c r="GW23" i="9" s="1"/>
  <c r="IP23" i="9" s="1"/>
  <c r="GD59" i="9"/>
  <c r="GM59" i="9" s="1"/>
  <c r="GV59" i="9" s="1"/>
  <c r="IO59" i="9" s="1"/>
  <c r="GD83" i="9"/>
  <c r="GM83" i="9" s="1"/>
  <c r="GV83" i="9" s="1"/>
  <c r="IO83" i="9" s="1"/>
  <c r="GE66" i="9"/>
  <c r="GN66" i="9" s="1"/>
  <c r="GW66" i="9" s="1"/>
  <c r="IP66" i="9" s="1"/>
  <c r="GI52" i="9"/>
  <c r="GR52" i="9" s="1"/>
  <c r="HA52" i="9" s="1"/>
  <c r="IT52" i="9" s="1"/>
  <c r="GG6" i="9"/>
  <c r="GP6" i="9" s="1"/>
  <c r="GY6" i="9" s="1"/>
  <c r="IR6" i="9" s="1"/>
  <c r="GE38" i="9"/>
  <c r="GN38" i="9" s="1"/>
  <c r="GW38" i="9" s="1"/>
  <c r="IP38" i="9" s="1"/>
  <c r="GD76" i="9"/>
  <c r="GM76" i="9" s="1"/>
  <c r="GV76" i="9" s="1"/>
  <c r="IO76" i="9" s="1"/>
  <c r="GE48" i="9"/>
  <c r="GN48" i="9" s="1"/>
  <c r="GW48" i="9" s="1"/>
  <c r="IP48" i="9" s="1"/>
  <c r="GF27" i="9"/>
  <c r="GO27" i="9" s="1"/>
  <c r="GX27" i="9" s="1"/>
  <c r="IQ27" i="9" s="1"/>
  <c r="GG64" i="9"/>
  <c r="GP64" i="9" s="1"/>
  <c r="GY64" i="9" s="1"/>
  <c r="IR64" i="9" s="1"/>
  <c r="GD71" i="9"/>
  <c r="GM71" i="9" s="1"/>
  <c r="GV71" i="9" s="1"/>
  <c r="IO71" i="9" s="1"/>
  <c r="GG45" i="9"/>
  <c r="GD55" i="9"/>
  <c r="GM55" i="9" s="1"/>
  <c r="GV55" i="9" s="1"/>
  <c r="IO55" i="9" s="1"/>
  <c r="GI49" i="9"/>
  <c r="GR49" i="9" s="1"/>
  <c r="HA49" i="9" s="1"/>
  <c r="IT49" i="9" s="1"/>
  <c r="GH81" i="9"/>
  <c r="GQ81" i="9" s="1"/>
  <c r="GZ81" i="9" s="1"/>
  <c r="IS81" i="9" s="1"/>
  <c r="GF90" i="9"/>
  <c r="GO90" i="9" s="1"/>
  <c r="GX90" i="9" s="1"/>
  <c r="IQ90" i="9" s="1"/>
  <c r="GF97" i="9"/>
  <c r="GO97" i="9" s="1"/>
  <c r="GX97" i="9" s="1"/>
  <c r="IQ97" i="9" s="1"/>
  <c r="GE18" i="9"/>
  <c r="GN18" i="9" s="1"/>
  <c r="GW18" i="9" s="1"/>
  <c r="IP18" i="9" s="1"/>
  <c r="GH29" i="9"/>
  <c r="GQ29" i="9" s="1"/>
  <c r="GZ29" i="9" s="1"/>
  <c r="IS29" i="9" s="1"/>
  <c r="GC18" i="9"/>
  <c r="GL18" i="9" s="1"/>
  <c r="GU18" i="9" s="1"/>
  <c r="IN18" i="9" s="1"/>
  <c r="GE31" i="9"/>
  <c r="GN31" i="9" s="1"/>
  <c r="GW31" i="9" s="1"/>
  <c r="IP31" i="9" s="1"/>
  <c r="GH60" i="9"/>
  <c r="GQ60" i="9" s="1"/>
  <c r="GZ60" i="9" s="1"/>
  <c r="IS60" i="9" s="1"/>
  <c r="GJ33" i="9"/>
  <c r="GS33" i="9" s="1"/>
  <c r="HB33" i="9" s="1"/>
  <c r="IU33" i="9" s="1"/>
  <c r="GI37" i="9"/>
  <c r="GR37" i="9" s="1"/>
  <c r="HA37" i="9" s="1"/>
  <c r="IT37" i="9" s="1"/>
  <c r="GG90" i="9"/>
  <c r="GP90" i="9" s="1"/>
  <c r="GY90" i="9" s="1"/>
  <c r="IR90" i="9" s="1"/>
  <c r="GH92" i="9"/>
  <c r="GQ92" i="9" s="1"/>
  <c r="GZ92" i="9" s="1"/>
  <c r="IS92" i="9" s="1"/>
  <c r="GH86" i="9"/>
  <c r="GQ86" i="9" s="1"/>
  <c r="GZ86" i="9" s="1"/>
  <c r="IS86" i="9" s="1"/>
  <c r="GC94" i="9"/>
  <c r="GL94" i="9" s="1"/>
  <c r="GU94" i="9" s="1"/>
  <c r="IN94" i="9" s="1"/>
  <c r="GD98" i="9"/>
  <c r="GM98" i="9" s="1"/>
  <c r="GV98" i="9" s="1"/>
  <c r="IO98" i="9" s="1"/>
  <c r="GI23" i="9"/>
  <c r="GR23" i="9" s="1"/>
  <c r="HA23" i="9" s="1"/>
  <c r="IT23" i="9" s="1"/>
  <c r="GI15" i="9"/>
  <c r="GR15" i="9" s="1"/>
  <c r="HA15" i="9" s="1"/>
  <c r="IT15" i="9" s="1"/>
  <c r="GH93" i="9"/>
  <c r="GQ93" i="9" s="1"/>
  <c r="GZ93" i="9" s="1"/>
  <c r="IS93" i="9" s="1"/>
  <c r="GH96" i="9"/>
  <c r="GQ96" i="9" s="1"/>
  <c r="GZ96" i="9" s="1"/>
  <c r="IS96" i="9" s="1"/>
  <c r="GH84" i="9"/>
  <c r="GQ84" i="9" s="1"/>
  <c r="GZ84" i="9" s="1"/>
  <c r="IS84" i="9" s="1"/>
  <c r="GI88" i="9"/>
  <c r="GR88" i="9" s="1"/>
  <c r="HA88" i="9" s="1"/>
  <c r="IT88" i="9" s="1"/>
  <c r="GI67" i="9"/>
  <c r="GR67" i="9" s="1"/>
  <c r="HA67" i="9" s="1"/>
  <c r="IT67" i="9" s="1"/>
  <c r="GJ60" i="9"/>
  <c r="GS60" i="9" s="1"/>
  <c r="HB60" i="9" s="1"/>
  <c r="IU60" i="9" s="1"/>
  <c r="GG66" i="9"/>
  <c r="GP66" i="9" s="1"/>
  <c r="GY66" i="9" s="1"/>
  <c r="IR66" i="9" s="1"/>
  <c r="GC87" i="9"/>
  <c r="GL87" i="9" s="1"/>
  <c r="GU87" i="9" s="1"/>
  <c r="IN87" i="9" s="1"/>
  <c r="GI56" i="9"/>
  <c r="GR56" i="9" s="1"/>
  <c r="HA56" i="9" s="1"/>
  <c r="IT56" i="9" s="1"/>
  <c r="GJ83" i="9"/>
  <c r="GS83" i="9" s="1"/>
  <c r="HB83" i="9" s="1"/>
  <c r="IU83" i="9" s="1"/>
  <c r="GF84" i="9"/>
  <c r="GO84" i="9" s="1"/>
  <c r="GX84" i="9" s="1"/>
  <c r="IQ84" i="9" s="1"/>
  <c r="GF94" i="9"/>
  <c r="GO94" i="9" s="1"/>
  <c r="GX94" i="9" s="1"/>
  <c r="IQ94" i="9" s="1"/>
  <c r="GG78" i="9"/>
  <c r="GP78" i="9" s="1"/>
  <c r="GY78" i="9" s="1"/>
  <c r="IR78" i="9" s="1"/>
  <c r="GF6" i="9"/>
  <c r="GO6" i="9" s="1"/>
  <c r="GX6" i="9" s="1"/>
  <c r="IQ6" i="9" s="1"/>
  <c r="GE68" i="9"/>
  <c r="GN68" i="9" s="1"/>
  <c r="GW68" i="9" s="1"/>
  <c r="IP68" i="9" s="1"/>
  <c r="GC30" i="9"/>
  <c r="GL30" i="9" s="1"/>
  <c r="GU30" i="9" s="1"/>
  <c r="IN30" i="9" s="1"/>
  <c r="GF3" i="9"/>
  <c r="GO3" i="9" s="1"/>
  <c r="GX3" i="9" s="1"/>
  <c r="IQ3" i="9" s="1"/>
  <c r="GI30" i="9"/>
  <c r="GR30" i="9" s="1"/>
  <c r="HA30" i="9" s="1"/>
  <c r="IT30" i="9" s="1"/>
  <c r="GF85" i="9"/>
  <c r="GO85" i="9" s="1"/>
  <c r="GX85" i="9" s="1"/>
  <c r="IQ85" i="9" s="1"/>
  <c r="GD63" i="9"/>
  <c r="GM63" i="9" s="1"/>
  <c r="GV63" i="9" s="1"/>
  <c r="IO63" i="9" s="1"/>
  <c r="GE4" i="9"/>
  <c r="GN4" i="9" s="1"/>
  <c r="GW4" i="9" s="1"/>
  <c r="IP4" i="9" s="1"/>
  <c r="GD89" i="9"/>
  <c r="GM89" i="9" s="1"/>
  <c r="GV89" i="9" s="1"/>
  <c r="IO89" i="9" s="1"/>
  <c r="GG51" i="9"/>
  <c r="GP51" i="9" s="1"/>
  <c r="GY51" i="9" s="1"/>
  <c r="IR51" i="9" s="1"/>
  <c r="GF4" i="9"/>
  <c r="GO4" i="9" s="1"/>
  <c r="GX4" i="9" s="1"/>
  <c r="IQ4" i="9" s="1"/>
  <c r="GF69" i="9"/>
  <c r="GO69" i="9" s="1"/>
  <c r="GX69" i="9" s="1"/>
  <c r="IQ69" i="9" s="1"/>
  <c r="GC82" i="9"/>
  <c r="GL82" i="9" s="1"/>
  <c r="GU82" i="9" s="1"/>
  <c r="IN82" i="9" s="1"/>
  <c r="GD50" i="9"/>
  <c r="GM50" i="9" s="1"/>
  <c r="GV50" i="9" s="1"/>
  <c r="IO50" i="9" s="1"/>
  <c r="GE12" i="9"/>
  <c r="GN12" i="9" s="1"/>
  <c r="GW12" i="9" s="1"/>
  <c r="IP12" i="9" s="1"/>
  <c r="GJ35" i="9"/>
  <c r="GS35" i="9" s="1"/>
  <c r="HB35" i="9" s="1"/>
  <c r="IU35" i="9" s="1"/>
  <c r="GC12" i="9"/>
  <c r="GL12" i="9" s="1"/>
  <c r="GU12" i="9" s="1"/>
  <c r="IN12" i="9" s="1"/>
  <c r="GI34" i="9"/>
  <c r="GR34" i="9" s="1"/>
  <c r="HA34" i="9" s="1"/>
  <c r="IT34" i="9" s="1"/>
  <c r="GH28" i="9"/>
  <c r="GQ28" i="9" s="1"/>
  <c r="GZ28" i="9" s="1"/>
  <c r="IS28" i="9" s="1"/>
  <c r="GD35" i="9"/>
  <c r="GM35" i="9" s="1"/>
  <c r="GV35" i="9" s="1"/>
  <c r="IO35" i="9" s="1"/>
  <c r="GJ91" i="9"/>
  <c r="GS91" i="9" s="1"/>
  <c r="HB91" i="9" s="1"/>
  <c r="IU91" i="9" s="1"/>
  <c r="GH42" i="9"/>
  <c r="GQ42" i="9" s="1"/>
  <c r="GZ42" i="9" s="1"/>
  <c r="IS42" i="9" s="1"/>
  <c r="GG27" i="9"/>
  <c r="GP27" i="9" s="1"/>
  <c r="GY27" i="9" s="1"/>
  <c r="IR27" i="9" s="1"/>
  <c r="GC74" i="9"/>
  <c r="GL74" i="9" s="1"/>
  <c r="GU74" i="9" s="1"/>
  <c r="IN74" i="9" s="1"/>
  <c r="GC85" i="9"/>
  <c r="GL85" i="9" s="1"/>
  <c r="GU85" i="9" s="1"/>
  <c r="IN85" i="9" s="1"/>
  <c r="GD6" i="9"/>
  <c r="GM6" i="9" s="1"/>
  <c r="GV6" i="9" s="1"/>
  <c r="IO6" i="9" s="1"/>
  <c r="GG21" i="9"/>
  <c r="GP21" i="9" s="1"/>
  <c r="GY21" i="9" s="1"/>
  <c r="IR21" i="9" s="1"/>
  <c r="GE78" i="9"/>
  <c r="GN78" i="9" s="1"/>
  <c r="GW78" i="9" s="1"/>
  <c r="IP78" i="9" s="1"/>
  <c r="GG71" i="9"/>
  <c r="GP71" i="9" s="1"/>
  <c r="GY71" i="9" s="1"/>
  <c r="IR71" i="9" s="1"/>
  <c r="GE65" i="9"/>
  <c r="GN65" i="9" s="1"/>
  <c r="GW65" i="9" s="1"/>
  <c r="IP65" i="9" s="1"/>
  <c r="GF43" i="9"/>
  <c r="GO43" i="9" s="1"/>
  <c r="GX43" i="9" s="1"/>
  <c r="IQ43" i="9" s="1"/>
  <c r="GD79" i="9"/>
  <c r="GM79" i="9" s="1"/>
  <c r="GV79" i="9" s="1"/>
  <c r="IO79" i="9" s="1"/>
  <c r="GF73" i="9"/>
  <c r="GO73" i="9" s="1"/>
  <c r="GX73" i="9" s="1"/>
  <c r="IQ73" i="9" s="1"/>
  <c r="GF35" i="9"/>
  <c r="GO35" i="9" s="1"/>
  <c r="GX35" i="9" s="1"/>
  <c r="IQ35" i="9" s="1"/>
  <c r="GJ15" i="9"/>
  <c r="GS15" i="9" s="1"/>
  <c r="HB15" i="9" s="1"/>
  <c r="IU15" i="9" s="1"/>
  <c r="GG20" i="9"/>
  <c r="GP20" i="9" s="1"/>
  <c r="GY20" i="9" s="1"/>
  <c r="IR20" i="9" s="1"/>
  <c r="GJ69" i="9"/>
  <c r="GS69" i="9" s="1"/>
  <c r="HB69" i="9" s="1"/>
  <c r="IU69" i="9" s="1"/>
  <c r="GI66" i="9"/>
  <c r="GR66" i="9" s="1"/>
  <c r="HA66" i="9" s="1"/>
  <c r="IT66" i="9" s="1"/>
  <c r="GF40" i="9"/>
  <c r="GO40" i="9" s="1"/>
  <c r="GX40" i="9" s="1"/>
  <c r="IQ40" i="9" s="1"/>
  <c r="GF50" i="9"/>
  <c r="GO50" i="9" s="1"/>
  <c r="GX50" i="9" s="1"/>
  <c r="IQ50" i="9" s="1"/>
  <c r="GC38" i="9"/>
  <c r="GL38" i="9" s="1"/>
  <c r="GU38" i="9" s="1"/>
  <c r="IN38" i="9" s="1"/>
  <c r="GE97" i="9"/>
  <c r="GN97" i="9" s="1"/>
  <c r="GW97" i="9" s="1"/>
  <c r="IP97" i="9" s="1"/>
  <c r="GG93" i="9"/>
  <c r="GP93" i="9" s="1"/>
  <c r="GY93" i="9" s="1"/>
  <c r="IR93" i="9" s="1"/>
  <c r="GI63" i="9"/>
  <c r="GR63" i="9" s="1"/>
  <c r="HA63" i="9" s="1"/>
  <c r="IT63" i="9" s="1"/>
  <c r="GG96" i="9"/>
  <c r="GP96" i="9" s="1"/>
  <c r="GY96" i="9" s="1"/>
  <c r="IR96" i="9" s="1"/>
  <c r="GJ14" i="9"/>
  <c r="GS14" i="9" s="1"/>
  <c r="HB14" i="9" s="1"/>
  <c r="IU14" i="9" s="1"/>
  <c r="GH44" i="9"/>
  <c r="GQ44" i="9" s="1"/>
  <c r="GZ44" i="9" s="1"/>
  <c r="IS44" i="9" s="1"/>
  <c r="GI92" i="9"/>
  <c r="GR92" i="9" s="1"/>
  <c r="HA92" i="9" s="1"/>
  <c r="IT92" i="9" s="1"/>
  <c r="GI99" i="9"/>
  <c r="GR99" i="9" s="1"/>
  <c r="HA99" i="9" s="1"/>
  <c r="IT99" i="9" s="1"/>
  <c r="GJ98" i="9"/>
  <c r="GS98" i="9" s="1"/>
  <c r="HB98" i="9" s="1"/>
  <c r="IU98" i="9" s="1"/>
  <c r="GJ96" i="9"/>
  <c r="GS96" i="9" s="1"/>
  <c r="HB96" i="9" s="1"/>
  <c r="IU96" i="9" s="1"/>
  <c r="GJ36" i="9"/>
  <c r="GS36" i="9" s="1"/>
  <c r="HB36" i="9" s="1"/>
  <c r="IU36" i="9" s="1"/>
  <c r="GF99" i="9"/>
  <c r="GO99" i="9" s="1"/>
  <c r="GX99" i="9" s="1"/>
  <c r="IQ99" i="9" s="1"/>
  <c r="GF54" i="9"/>
  <c r="GO54" i="9" s="1"/>
  <c r="GX54" i="9" s="1"/>
  <c r="IQ54" i="9" s="1"/>
  <c r="GI36" i="9"/>
  <c r="GR36" i="9" s="1"/>
  <c r="HA36" i="9" s="1"/>
  <c r="IT36" i="9" s="1"/>
  <c r="GD41" i="9"/>
  <c r="GM41" i="9" s="1"/>
  <c r="GV41" i="9" s="1"/>
  <c r="IO41" i="9" s="1"/>
  <c r="GJ47" i="9"/>
  <c r="GS47" i="9" s="1"/>
  <c r="HB47" i="9" s="1"/>
  <c r="IU47" i="9" s="1"/>
  <c r="GG9" i="9"/>
  <c r="GP9" i="9" s="1"/>
  <c r="GY9" i="9" s="1"/>
  <c r="IR9" i="9" s="1"/>
  <c r="GG50" i="9"/>
  <c r="GP50" i="9" s="1"/>
  <c r="GY50" i="9" s="1"/>
  <c r="IR50" i="9" s="1"/>
  <c r="GC71" i="9"/>
  <c r="GL71" i="9" s="1"/>
  <c r="GU71" i="9" s="1"/>
  <c r="IN71" i="9" s="1"/>
  <c r="GD93" i="9"/>
  <c r="GM93" i="9" s="1"/>
  <c r="GV93" i="9" s="1"/>
  <c r="IO93" i="9" s="1"/>
  <c r="GH43" i="9"/>
  <c r="GQ43" i="9" s="1"/>
  <c r="GZ43" i="9" s="1"/>
  <c r="IS43" i="9" s="1"/>
  <c r="GE69" i="9"/>
  <c r="GN69" i="9" s="1"/>
  <c r="GW69" i="9" s="1"/>
  <c r="IP69" i="9" s="1"/>
  <c r="GD7" i="9"/>
  <c r="GM7" i="9" s="1"/>
  <c r="GV7" i="9" s="1"/>
  <c r="IO7" i="9" s="1"/>
  <c r="GE70" i="9"/>
  <c r="GN70" i="9" s="1"/>
  <c r="GW70" i="9" s="1"/>
  <c r="IP70" i="9" s="1"/>
  <c r="GC95" i="9"/>
  <c r="GL95" i="9" s="1"/>
  <c r="GU95" i="9" s="1"/>
  <c r="IN95" i="9" s="1"/>
  <c r="GG81" i="9"/>
  <c r="GP81" i="9" s="1"/>
  <c r="GY81" i="9" s="1"/>
  <c r="IR81" i="9" s="1"/>
  <c r="GC5" i="9"/>
  <c r="GL5" i="9" s="1"/>
  <c r="GU5" i="9" s="1"/>
  <c r="IN5" i="9" s="1"/>
  <c r="GF9" i="9"/>
  <c r="GO9" i="9" s="1"/>
  <c r="GX9" i="9" s="1"/>
  <c r="IQ9" i="9" s="1"/>
  <c r="GE39" i="9"/>
  <c r="GN39" i="9" s="1"/>
  <c r="GW39" i="9" s="1"/>
  <c r="IP39" i="9" s="1"/>
  <c r="GJ94" i="9"/>
  <c r="GS94" i="9" s="1"/>
  <c r="HB94" i="9" s="1"/>
  <c r="IU94" i="9" s="1"/>
  <c r="GD51" i="9"/>
  <c r="GM51" i="9" s="1"/>
  <c r="GV51" i="9" s="1"/>
  <c r="IO51" i="9" s="1"/>
  <c r="GF18" i="9"/>
  <c r="GO18" i="9" s="1"/>
  <c r="GX18" i="9" s="1"/>
  <c r="IQ18" i="9" s="1"/>
  <c r="GE60" i="9"/>
  <c r="GN60" i="9" s="1"/>
  <c r="GW60" i="9" s="1"/>
  <c r="IP60" i="9" s="1"/>
  <c r="GD19" i="9"/>
  <c r="GM19" i="9" s="1"/>
  <c r="GV19" i="9" s="1"/>
  <c r="IO19" i="9" s="1"/>
  <c r="GJ46" i="9"/>
  <c r="GS46" i="9" s="1"/>
  <c r="HB46" i="9" s="1"/>
  <c r="IU46" i="9" s="1"/>
  <c r="GG7" i="9"/>
  <c r="GP7" i="9" s="1"/>
  <c r="GY7" i="9" s="1"/>
  <c r="IR7" i="9" s="1"/>
  <c r="GF36" i="9"/>
  <c r="GO36" i="9" s="1"/>
  <c r="GX36" i="9" s="1"/>
  <c r="IQ36" i="9" s="1"/>
  <c r="GG22" i="9"/>
  <c r="GP22" i="9" s="1"/>
  <c r="GY22" i="9" s="1"/>
  <c r="IR22" i="9" s="1"/>
  <c r="GC62" i="9"/>
  <c r="GL62" i="9" s="1"/>
  <c r="GU62" i="9" s="1"/>
  <c r="IN62" i="9" s="1"/>
  <c r="GC79" i="9"/>
  <c r="GL79" i="9" s="1"/>
  <c r="GU79" i="9" s="1"/>
  <c r="IN79" i="9" s="1"/>
  <c r="GJ43" i="9"/>
  <c r="GS43" i="9" s="1"/>
  <c r="HB43" i="9" s="1"/>
  <c r="IU43" i="9" s="1"/>
  <c r="GF75" i="9"/>
  <c r="GO75" i="9" s="1"/>
  <c r="GX75" i="9" s="1"/>
  <c r="IQ75" i="9" s="1"/>
  <c r="GE3" i="9"/>
  <c r="GN3" i="9" s="1"/>
  <c r="GW3" i="9" s="1"/>
  <c r="IP3" i="9" s="1"/>
  <c r="GD21" i="9"/>
  <c r="GM21" i="9" s="1"/>
  <c r="GV21" i="9" s="1"/>
  <c r="IO21" i="9" s="1"/>
  <c r="GC24" i="9"/>
  <c r="GL24" i="9" s="1"/>
  <c r="GU24" i="9" s="1"/>
  <c r="IN24" i="9" s="1"/>
  <c r="GE71" i="9"/>
  <c r="GN71" i="9" s="1"/>
  <c r="GW71" i="9" s="1"/>
  <c r="IP71" i="9" s="1"/>
  <c r="GD38" i="9"/>
  <c r="GM38" i="9" s="1"/>
  <c r="GV38" i="9" s="1"/>
  <c r="IO38" i="9" s="1"/>
  <c r="GF10" i="9"/>
  <c r="GO10" i="9" s="1"/>
  <c r="GX10" i="9" s="1"/>
  <c r="IQ10" i="9" s="1"/>
  <c r="GI102" i="9"/>
  <c r="GR102" i="9" s="1"/>
  <c r="HA102" i="9" s="1"/>
  <c r="IT102" i="9" s="1"/>
  <c r="GJ78" i="9"/>
  <c r="GS78" i="9" s="1"/>
  <c r="HB78" i="9" s="1"/>
  <c r="IU78" i="9" s="1"/>
  <c r="GG99" i="9"/>
  <c r="GP99" i="9" s="1"/>
  <c r="GY99" i="9" s="1"/>
  <c r="IR99" i="9" s="1"/>
  <c r="GI59" i="9"/>
  <c r="GR59" i="9" s="1"/>
  <c r="HA59" i="9" s="1"/>
  <c r="IT59" i="9" s="1"/>
  <c r="GE59" i="9"/>
  <c r="GN59" i="9" s="1"/>
  <c r="GW59" i="9" s="1"/>
  <c r="IP59" i="9" s="1"/>
  <c r="GI91" i="9"/>
  <c r="GR91" i="9" s="1"/>
  <c r="HA91" i="9" s="1"/>
  <c r="IT91" i="9" s="1"/>
  <c r="GD24" i="9"/>
  <c r="GM24" i="9" s="1"/>
  <c r="GV24" i="9" s="1"/>
  <c r="IO24" i="9" s="1"/>
  <c r="GD31" i="9"/>
  <c r="GM31" i="9" s="1"/>
  <c r="GV31" i="9" s="1"/>
  <c r="IO31" i="9" s="1"/>
  <c r="GF32" i="9"/>
  <c r="GO32" i="9" s="1"/>
  <c r="GX32" i="9" s="1"/>
  <c r="IQ32" i="9" s="1"/>
  <c r="GD67" i="9"/>
  <c r="GM67" i="9" s="1"/>
  <c r="GV67" i="9" s="1"/>
  <c r="IO67" i="9" s="1"/>
  <c r="GG53" i="9"/>
  <c r="GP53" i="9" s="1"/>
  <c r="GY53" i="9" s="1"/>
  <c r="IR53" i="9" s="1"/>
  <c r="GH66" i="9"/>
  <c r="GQ66" i="9" s="1"/>
  <c r="GZ66" i="9" s="1"/>
  <c r="IS66" i="9" s="1"/>
  <c r="GJ20" i="9"/>
  <c r="GS20" i="9" s="1"/>
  <c r="HB20" i="9" s="1"/>
  <c r="IU20" i="9" s="1"/>
  <c r="GE100" i="9"/>
  <c r="GN100" i="9" s="1"/>
  <c r="GW100" i="9" s="1"/>
  <c r="IP100" i="9" s="1"/>
  <c r="GI3" i="9"/>
  <c r="GR3" i="9" s="1"/>
  <c r="HA3" i="9" s="1"/>
  <c r="IT3" i="9" s="1"/>
  <c r="GI86" i="9"/>
  <c r="GR86" i="9" s="1"/>
  <c r="HA86" i="9" s="1"/>
  <c r="IT86" i="9" s="1"/>
  <c r="GD92" i="9"/>
  <c r="GM92" i="9" s="1"/>
  <c r="GV92" i="9" s="1"/>
  <c r="IO92" i="9" s="1"/>
  <c r="GF93" i="9"/>
  <c r="GO93" i="9" s="1"/>
  <c r="GX93" i="9" s="1"/>
  <c r="IQ93" i="9" s="1"/>
  <c r="GI18" i="9"/>
  <c r="GR18" i="9" s="1"/>
  <c r="HA18" i="9" s="1"/>
  <c r="IT18" i="9" s="1"/>
  <c r="GF87" i="9"/>
  <c r="GO87" i="9" s="1"/>
  <c r="GX87" i="9" s="1"/>
  <c r="IQ87" i="9" s="1"/>
  <c r="GJ80" i="9"/>
  <c r="GS80" i="9" s="1"/>
  <c r="HB80" i="9" s="1"/>
  <c r="IU80" i="9" s="1"/>
  <c r="GC90" i="9"/>
  <c r="GL90" i="9" s="1"/>
  <c r="GU90" i="9" s="1"/>
  <c r="IN90" i="9" s="1"/>
  <c r="GI84" i="9"/>
  <c r="GR84" i="9" s="1"/>
  <c r="HA84" i="9" s="1"/>
  <c r="IT84" i="9" s="1"/>
  <c r="GI47" i="9"/>
  <c r="GR47" i="9" s="1"/>
  <c r="HA47" i="9" s="1"/>
  <c r="IT47" i="9" s="1"/>
  <c r="GJ85" i="9"/>
  <c r="GS85" i="9" s="1"/>
  <c r="HB85" i="9" s="1"/>
  <c r="IU85" i="9" s="1"/>
  <c r="GI89" i="9"/>
  <c r="GR89" i="9" s="1"/>
  <c r="HA89" i="9" s="1"/>
  <c r="IT89" i="9" s="1"/>
  <c r="GG98" i="9"/>
  <c r="GP98" i="9" s="1"/>
  <c r="GY98" i="9" s="1"/>
  <c r="IR98" i="9" s="1"/>
  <c r="GG25" i="9"/>
  <c r="GP25" i="9" s="1"/>
  <c r="GY25" i="9" s="1"/>
  <c r="IR25" i="9" s="1"/>
  <c r="GJ17" i="9"/>
  <c r="GS17" i="9" s="1"/>
  <c r="HB17" i="9" s="1"/>
  <c r="IU17" i="9" s="1"/>
  <c r="GI39" i="9"/>
  <c r="GR39" i="9" s="1"/>
  <c r="HA39" i="9" s="1"/>
  <c r="IT39" i="9" s="1"/>
  <c r="GJ84" i="9"/>
  <c r="GS84" i="9" s="1"/>
  <c r="HB84" i="9" s="1"/>
  <c r="IU84" i="9" s="1"/>
  <c r="GF67" i="9"/>
  <c r="GO67" i="9" s="1"/>
  <c r="GX67" i="9" s="1"/>
  <c r="IQ67" i="9" s="1"/>
  <c r="GF41" i="9"/>
  <c r="GO41" i="9" s="1"/>
  <c r="GX41" i="9" s="1"/>
  <c r="IQ41" i="9" s="1"/>
  <c r="GG55" i="9"/>
  <c r="GP55" i="9" s="1"/>
  <c r="GY55" i="9" s="1"/>
  <c r="IR55" i="9" s="1"/>
  <c r="GG14" i="9"/>
  <c r="GP14" i="9" s="1"/>
  <c r="GY14" i="9" s="1"/>
  <c r="IR14" i="9" s="1"/>
  <c r="GF46" i="9"/>
  <c r="GO46" i="9" s="1"/>
  <c r="GX46" i="9" s="1"/>
  <c r="IQ46" i="9" s="1"/>
  <c r="GE8" i="9"/>
  <c r="GN8" i="9" s="1"/>
  <c r="GW8" i="9" s="1"/>
  <c r="IP8" i="9" s="1"/>
  <c r="GH16" i="9"/>
  <c r="GQ16" i="9" s="1"/>
  <c r="GZ16" i="9" s="1"/>
  <c r="IS16" i="9" s="1"/>
  <c r="GG28" i="9"/>
  <c r="GP28" i="9" s="1"/>
  <c r="GY28" i="9" s="1"/>
  <c r="IR28" i="9" s="1"/>
  <c r="GJ24" i="9"/>
  <c r="GS24" i="9" s="1"/>
  <c r="HB24" i="9" s="1"/>
  <c r="IU24" i="9" s="1"/>
  <c r="GG79" i="9"/>
  <c r="GP79" i="9" s="1"/>
  <c r="GY79" i="9" s="1"/>
  <c r="IR79" i="9" s="1"/>
  <c r="GH64" i="9"/>
  <c r="GQ64" i="9" s="1"/>
  <c r="GZ64" i="9" s="1"/>
  <c r="IS64" i="9" s="1"/>
  <c r="GF82" i="9"/>
  <c r="GO82" i="9" s="1"/>
  <c r="GX82" i="9" s="1"/>
  <c r="IQ82" i="9" s="1"/>
  <c r="GF5" i="9"/>
  <c r="GO5" i="9" s="1"/>
  <c r="GX5" i="9" s="1"/>
  <c r="IQ5" i="9" s="1"/>
  <c r="GG67" i="9"/>
  <c r="GP67" i="9" s="1"/>
  <c r="GY67" i="9" s="1"/>
  <c r="IR67" i="9" s="1"/>
  <c r="GG58" i="9"/>
  <c r="GP58" i="9" s="1"/>
  <c r="GY58" i="9" s="1"/>
  <c r="IR58" i="9" s="1"/>
  <c r="GD9" i="9"/>
  <c r="GM9" i="9" s="1"/>
  <c r="GV9" i="9" s="1"/>
  <c r="IO9" i="9" s="1"/>
  <c r="GH8" i="9"/>
  <c r="GQ8" i="9" s="1"/>
  <c r="GZ8" i="9" s="1"/>
  <c r="IS8" i="9" s="1"/>
  <c r="GF55" i="9"/>
  <c r="GO55" i="9" s="1"/>
  <c r="GX55" i="9" s="1"/>
  <c r="IQ55" i="9" s="1"/>
  <c r="GE98" i="9"/>
  <c r="GN98" i="9" s="1"/>
  <c r="GW98" i="9" s="1"/>
  <c r="IP98" i="9" s="1"/>
  <c r="GJ39" i="9"/>
  <c r="GS39" i="9" s="1"/>
  <c r="HB39" i="9" s="1"/>
  <c r="IU39" i="9" s="1"/>
  <c r="GG54" i="9"/>
  <c r="GP54" i="9" s="1"/>
  <c r="GY54" i="9" s="1"/>
  <c r="IR54" i="9" s="1"/>
  <c r="GG30" i="9"/>
  <c r="GP30" i="9" s="1"/>
  <c r="GY30" i="9" s="1"/>
  <c r="IR30" i="9" s="1"/>
  <c r="GJ6" i="9"/>
  <c r="GS6" i="9" s="1"/>
  <c r="HB6" i="9" s="1"/>
  <c r="IU6" i="9" s="1"/>
  <c r="GJ59" i="9"/>
  <c r="GS59" i="9" s="1"/>
  <c r="HB59" i="9" s="1"/>
  <c r="IU59" i="9" s="1"/>
  <c r="GE53" i="9"/>
  <c r="GN53" i="9" s="1"/>
  <c r="GW53" i="9" s="1"/>
  <c r="IP53" i="9" s="1"/>
  <c r="GF30" i="9"/>
  <c r="GO30" i="9" s="1"/>
  <c r="GX30" i="9" s="1"/>
  <c r="IQ30" i="9" s="1"/>
  <c r="GC3" i="9"/>
  <c r="GL3" i="9" s="1"/>
  <c r="GU3" i="9" s="1"/>
  <c r="IN3" i="9" s="1"/>
  <c r="GI8" i="9"/>
  <c r="GR8" i="9" s="1"/>
  <c r="HA8" i="9" s="1"/>
  <c r="IT8" i="9" s="1"/>
  <c r="GI98" i="9"/>
  <c r="GR98" i="9" s="1"/>
  <c r="HA98" i="9" s="1"/>
  <c r="IT98" i="9" s="1"/>
  <c r="GI35" i="9"/>
  <c r="GR35" i="9" s="1"/>
  <c r="HA35" i="9" s="1"/>
  <c r="IT35" i="9" s="1"/>
  <c r="GJ53" i="9"/>
  <c r="GS53" i="9" s="1"/>
  <c r="HB53" i="9" s="1"/>
  <c r="IU53" i="9" s="1"/>
  <c r="GI14" i="9"/>
  <c r="GR14" i="9" s="1"/>
  <c r="HA14" i="9" s="1"/>
  <c r="IT14" i="9" s="1"/>
  <c r="GJ10" i="9"/>
  <c r="GS10" i="9" s="1"/>
  <c r="HB10" i="9" s="1"/>
  <c r="IU10" i="9" s="1"/>
  <c r="GI72" i="9"/>
  <c r="GR72" i="9" s="1"/>
  <c r="HA72" i="9" s="1"/>
  <c r="IT72" i="9" s="1"/>
  <c r="GJ31" i="9"/>
  <c r="GS31" i="9" s="1"/>
  <c r="HB31" i="9" s="1"/>
  <c r="IU31" i="9" s="1"/>
  <c r="GJ25" i="9"/>
  <c r="GS25" i="9" s="1"/>
  <c r="HB25" i="9" s="1"/>
  <c r="IU25" i="9" s="1"/>
  <c r="GE90" i="9"/>
  <c r="GN90" i="9" s="1"/>
  <c r="GW90" i="9" s="1"/>
  <c r="IP90" i="9" s="1"/>
  <c r="GE75" i="9"/>
  <c r="GN75" i="9" s="1"/>
  <c r="GW75" i="9" s="1"/>
  <c r="IP75" i="9" s="1"/>
  <c r="GF60" i="9"/>
  <c r="GO60" i="9" s="1"/>
  <c r="GX60" i="9" s="1"/>
  <c r="IQ60" i="9" s="1"/>
  <c r="GD37" i="9"/>
  <c r="GM37" i="9" s="1"/>
  <c r="GV37" i="9" s="1"/>
  <c r="IO37" i="9" s="1"/>
  <c r="GC65" i="9"/>
  <c r="GL65" i="9" s="1"/>
  <c r="GU65" i="9" s="1"/>
  <c r="IN65" i="9" s="1"/>
  <c r="GD12" i="9"/>
  <c r="GM12" i="9" s="1"/>
  <c r="GV12" i="9" s="1"/>
  <c r="IO12" i="9" s="1"/>
  <c r="GD18" i="9"/>
  <c r="GM18" i="9" s="1"/>
  <c r="GV18" i="9" s="1"/>
  <c r="IO18" i="9" s="1"/>
  <c r="GE32" i="9"/>
  <c r="GN32" i="9" s="1"/>
  <c r="GW32" i="9" s="1"/>
  <c r="IP32" i="9" s="1"/>
  <c r="GE64" i="9"/>
  <c r="GN64" i="9" s="1"/>
  <c r="GW64" i="9" s="1"/>
  <c r="IP64" i="9" s="1"/>
  <c r="GI61" i="9"/>
  <c r="GR61" i="9" s="1"/>
  <c r="HA61" i="9" s="1"/>
  <c r="IT61" i="9" s="1"/>
  <c r="GF20" i="9"/>
  <c r="GO20" i="9" s="1"/>
  <c r="GX20" i="9" s="1"/>
  <c r="IQ20" i="9" s="1"/>
  <c r="GH21" i="9"/>
  <c r="GQ21" i="9" s="1"/>
  <c r="GZ21" i="9" s="1"/>
  <c r="IS21" i="9" s="1"/>
  <c r="GG84" i="9"/>
  <c r="GP84" i="9" s="1"/>
  <c r="GY84" i="9" s="1"/>
  <c r="IR84" i="9" s="1"/>
  <c r="GG34" i="9"/>
  <c r="GP34" i="9" s="1"/>
  <c r="GY34" i="9" s="1"/>
  <c r="IR34" i="9" s="1"/>
  <c r="GH99" i="9"/>
  <c r="GQ99" i="9" s="1"/>
  <c r="GZ99" i="9" s="1"/>
  <c r="IS99" i="9" s="1"/>
  <c r="GC52" i="9"/>
  <c r="GL52" i="9" s="1"/>
  <c r="GU52" i="9" s="1"/>
  <c r="IN52" i="9" s="1"/>
  <c r="GD15" i="9"/>
  <c r="GM15" i="9" s="1"/>
  <c r="GV15" i="9" s="1"/>
  <c r="IO15" i="9" s="1"/>
  <c r="GD34" i="9"/>
  <c r="GM34" i="9" s="1"/>
  <c r="GV34" i="9" s="1"/>
  <c r="IO34" i="9" s="1"/>
  <c r="GJ50" i="9"/>
  <c r="GS50" i="9" s="1"/>
  <c r="HB50" i="9" s="1"/>
  <c r="IU50" i="9" s="1"/>
  <c r="GI22" i="9"/>
  <c r="GR22" i="9" s="1"/>
  <c r="HA22" i="9" s="1"/>
  <c r="IT22" i="9" s="1"/>
  <c r="GI19" i="9"/>
  <c r="GR19" i="9" s="1"/>
  <c r="HA19" i="9" s="1"/>
  <c r="IT19" i="9" s="1"/>
  <c r="GC23" i="9"/>
  <c r="GL23" i="9" s="1"/>
  <c r="GU23" i="9" s="1"/>
  <c r="IN23" i="9" s="1"/>
  <c r="GD74" i="9"/>
  <c r="GM74" i="9" s="1"/>
  <c r="GV74" i="9" s="1"/>
  <c r="IO74" i="9" s="1"/>
  <c r="GG85" i="9"/>
  <c r="GP85" i="9" s="1"/>
  <c r="GY85" i="9" s="1"/>
  <c r="IR85" i="9" s="1"/>
  <c r="GD30" i="9"/>
  <c r="GM30" i="9" s="1"/>
  <c r="GV30" i="9" s="1"/>
  <c r="IO30" i="9" s="1"/>
  <c r="GH76" i="9"/>
  <c r="GQ76" i="9" s="1"/>
  <c r="GZ76" i="9" s="1"/>
  <c r="IS76" i="9" s="1"/>
  <c r="GF12" i="9"/>
  <c r="GO12" i="9" s="1"/>
  <c r="GX12" i="9" s="1"/>
  <c r="IQ12" i="9" s="1"/>
  <c r="GE95" i="9"/>
  <c r="GN95" i="9" s="1"/>
  <c r="GW95" i="9" s="1"/>
  <c r="IP95" i="9" s="1"/>
  <c r="GI90" i="9"/>
  <c r="GR90" i="9" s="1"/>
  <c r="HA90" i="9" s="1"/>
  <c r="IT90" i="9" s="1"/>
  <c r="GI54" i="9"/>
  <c r="GR54" i="9" s="1"/>
  <c r="HA54" i="9" s="1"/>
  <c r="IT54" i="9" s="1"/>
  <c r="GI71" i="9"/>
  <c r="GR71" i="9" s="1"/>
  <c r="HA71" i="9" s="1"/>
  <c r="IT71" i="9" s="1"/>
  <c r="GJ89" i="9"/>
  <c r="GS89" i="9" s="1"/>
  <c r="HB89" i="9" s="1"/>
  <c r="IU89" i="9" s="1"/>
  <c r="GH98" i="9"/>
  <c r="GQ98" i="9" s="1"/>
  <c r="GZ98" i="9" s="1"/>
  <c r="IS98" i="9" s="1"/>
  <c r="GH48" i="9"/>
  <c r="GQ48" i="9" s="1"/>
  <c r="GZ48" i="9" s="1"/>
  <c r="IS48" i="9" s="1"/>
  <c r="GD91" i="9"/>
  <c r="GM91" i="9" s="1"/>
  <c r="GV91" i="9" s="1"/>
  <c r="IO91" i="9" s="1"/>
  <c r="GE102" i="9"/>
  <c r="GN102" i="9" s="1"/>
  <c r="GW102" i="9" s="1"/>
  <c r="IP102" i="9" s="1"/>
  <c r="GF100" i="9"/>
  <c r="GO100" i="9" s="1"/>
  <c r="GX100" i="9" s="1"/>
  <c r="IQ100" i="9" s="1"/>
  <c r="GH80" i="9"/>
  <c r="GQ80" i="9" s="1"/>
  <c r="GZ80" i="9" s="1"/>
  <c r="IS80" i="9" s="1"/>
  <c r="GH49" i="9"/>
  <c r="GQ49" i="9" s="1"/>
  <c r="GZ49" i="9" s="1"/>
  <c r="IS49" i="9" s="1"/>
  <c r="GI81" i="9"/>
  <c r="GR81" i="9" s="1"/>
  <c r="HA81" i="9" s="1"/>
  <c r="IT81" i="9" s="1"/>
  <c r="GF17" i="9"/>
  <c r="GO17" i="9" s="1"/>
  <c r="GX17" i="9" s="1"/>
  <c r="IQ17" i="9" s="1"/>
  <c r="GI68" i="9"/>
  <c r="GR68" i="9" s="1"/>
  <c r="HA68" i="9" s="1"/>
  <c r="IT68" i="9" s="1"/>
  <c r="GC14" i="9"/>
  <c r="GL14" i="9" s="1"/>
  <c r="GU14" i="9" s="1"/>
  <c r="IN14" i="9" s="1"/>
  <c r="GF57" i="9"/>
  <c r="GO57" i="9" s="1"/>
  <c r="GX57" i="9" s="1"/>
  <c r="IQ57" i="9" s="1"/>
  <c r="GC83" i="9"/>
  <c r="GL83" i="9" s="1"/>
  <c r="GU83" i="9" s="1"/>
  <c r="IN83" i="9" s="1"/>
  <c r="GD82" i="9"/>
  <c r="GM82" i="9" s="1"/>
  <c r="GV82" i="9" s="1"/>
  <c r="IO82" i="9" s="1"/>
  <c r="GJ101" i="9"/>
  <c r="GS101" i="9" s="1"/>
  <c r="HB101" i="9" s="1"/>
  <c r="IU101" i="9" s="1"/>
  <c r="GD13" i="9"/>
  <c r="GM13" i="9" s="1"/>
  <c r="GV13" i="9" s="1"/>
  <c r="IO13" i="9" s="1"/>
  <c r="GE17" i="9"/>
  <c r="GN17" i="9" s="1"/>
  <c r="GW17" i="9" s="1"/>
  <c r="IP17" i="9" s="1"/>
  <c r="GC19" i="9"/>
  <c r="GL19" i="9" s="1"/>
  <c r="GU19" i="9" s="1"/>
  <c r="IN19" i="9" s="1"/>
  <c r="GC11" i="9"/>
  <c r="GL11" i="9" s="1"/>
  <c r="GU11" i="9" s="1"/>
  <c r="IN11" i="9" s="1"/>
  <c r="GH17" i="9"/>
  <c r="GQ17" i="9" s="1"/>
  <c r="GZ17" i="9" s="1"/>
  <c r="IS17" i="9" s="1"/>
  <c r="GE82" i="9"/>
  <c r="GN82" i="9" s="1"/>
  <c r="GW82" i="9" s="1"/>
  <c r="IP82" i="9" s="1"/>
  <c r="GG83" i="9"/>
  <c r="GP83" i="9" s="1"/>
  <c r="GY83" i="9" s="1"/>
  <c r="IR83" i="9" s="1"/>
  <c r="GD86" i="9"/>
  <c r="GM86" i="9" s="1"/>
  <c r="GV86" i="9" s="1"/>
  <c r="IO86" i="9" s="1"/>
  <c r="GG10" i="9"/>
  <c r="GP10" i="9" s="1"/>
  <c r="GY10" i="9" s="1"/>
  <c r="IR10" i="9" s="1"/>
  <c r="GF91" i="9"/>
  <c r="GO91" i="9" s="1"/>
  <c r="GX91" i="9" s="1"/>
  <c r="IQ91" i="9" s="1"/>
  <c r="GG89" i="9"/>
  <c r="GP89" i="9" s="1"/>
  <c r="GY89" i="9" s="1"/>
  <c r="IR89" i="9" s="1"/>
  <c r="GH19" i="9"/>
  <c r="GQ19" i="9" s="1"/>
  <c r="GZ19" i="9" s="1"/>
  <c r="IS19" i="9" s="1"/>
  <c r="GG17" i="9"/>
  <c r="GP17" i="9" s="1"/>
  <c r="GY17" i="9" s="1"/>
  <c r="IR17" i="9" s="1"/>
  <c r="GF26" i="9"/>
  <c r="GO26" i="9" s="1"/>
  <c r="GX26" i="9" s="1"/>
  <c r="IQ26" i="9" s="1"/>
  <c r="GF24" i="9"/>
  <c r="GO24" i="9" s="1"/>
  <c r="GX24" i="9" s="1"/>
  <c r="IQ24" i="9" s="1"/>
  <c r="GC72" i="9"/>
  <c r="GL72" i="9" s="1"/>
  <c r="GU72" i="9" s="1"/>
  <c r="IN72" i="9" s="1"/>
  <c r="GD72" i="9"/>
  <c r="GM72" i="9" s="1"/>
  <c r="GV72" i="9" s="1"/>
  <c r="IO72" i="9" s="1"/>
  <c r="GD36" i="9"/>
  <c r="GM36" i="9" s="1"/>
  <c r="GV36" i="9" s="1"/>
  <c r="IO36" i="9" s="1"/>
  <c r="GC98" i="9"/>
  <c r="GL98" i="9" s="1"/>
  <c r="GU98" i="9" s="1"/>
  <c r="IN98" i="9" s="1"/>
  <c r="GG82" i="9"/>
  <c r="GP82" i="9" s="1"/>
  <c r="GY82" i="9" s="1"/>
  <c r="IR82" i="9" s="1"/>
  <c r="GE91" i="9"/>
  <c r="GN91" i="9" s="1"/>
  <c r="GW91" i="9" s="1"/>
  <c r="IP91" i="9" s="1"/>
  <c r="GJ73" i="9"/>
  <c r="GS73" i="9" s="1"/>
  <c r="HB73" i="9" s="1"/>
  <c r="IU73" i="9" s="1"/>
  <c r="GH40" i="9"/>
  <c r="GQ40" i="9" s="1"/>
  <c r="GZ40" i="9" s="1"/>
  <c r="IS40" i="9" s="1"/>
  <c r="GH87" i="9"/>
  <c r="GQ87" i="9" s="1"/>
  <c r="GZ87" i="9" s="1"/>
  <c r="IS87" i="9" s="1"/>
  <c r="GH63" i="9"/>
  <c r="GQ63" i="9" s="1"/>
  <c r="GZ63" i="9" s="1"/>
  <c r="IS63" i="9" s="1"/>
  <c r="GI43" i="9"/>
  <c r="GR43" i="9" s="1"/>
  <c r="HA43" i="9" s="1"/>
  <c r="IT43" i="9" s="1"/>
  <c r="GC20" i="9"/>
  <c r="GL20" i="9" s="1"/>
  <c r="GU20" i="9" s="1"/>
  <c r="IN20" i="9" s="1"/>
  <c r="GG8" i="9"/>
  <c r="GP8" i="9" s="1"/>
  <c r="GY8" i="9" s="1"/>
  <c r="IR8" i="9" s="1"/>
  <c r="GF51" i="9"/>
  <c r="GO51" i="9" s="1"/>
  <c r="GX51" i="9" s="1"/>
  <c r="IQ51" i="9" s="1"/>
  <c r="GF22" i="9"/>
  <c r="GO22" i="9" s="1"/>
  <c r="GX22" i="9" s="1"/>
  <c r="IQ22" i="9" s="1"/>
  <c r="GD29" i="9"/>
  <c r="GM29" i="9" s="1"/>
  <c r="GV29" i="9" s="1"/>
  <c r="IO29" i="9" s="1"/>
  <c r="GF7" i="9"/>
  <c r="GO7" i="9" s="1"/>
  <c r="GX7" i="9" s="1"/>
  <c r="IQ7" i="9" s="1"/>
  <c r="GJ57" i="9"/>
  <c r="GS57" i="9" s="1"/>
  <c r="HB57" i="9" s="1"/>
  <c r="IU57" i="9" s="1"/>
  <c r="GF86" i="9"/>
  <c r="GO86" i="9" s="1"/>
  <c r="GX86" i="9" s="1"/>
  <c r="IQ86" i="9" s="1"/>
  <c r="GF31" i="9"/>
  <c r="GO31" i="9" s="1"/>
  <c r="GX31" i="9" s="1"/>
  <c r="IQ31" i="9" s="1"/>
  <c r="GI7" i="9"/>
  <c r="GR7" i="9" s="1"/>
  <c r="HA7" i="9" s="1"/>
  <c r="IT7" i="9" s="1"/>
  <c r="GE42" i="9"/>
  <c r="GN42" i="9" s="1"/>
  <c r="GW42" i="9" s="1"/>
  <c r="IP42" i="9" s="1"/>
  <c r="GE54" i="9"/>
  <c r="GN54" i="9" s="1"/>
  <c r="GW54" i="9" s="1"/>
  <c r="IP54" i="9" s="1"/>
  <c r="GF39" i="9"/>
  <c r="GO39" i="9" s="1"/>
  <c r="GX39" i="9" s="1"/>
  <c r="IQ39" i="9" s="1"/>
  <c r="GD45" i="9"/>
  <c r="GM45" i="9" s="1"/>
  <c r="GV45" i="9" s="1"/>
  <c r="IO45" i="9" s="1"/>
  <c r="GG3" i="9"/>
  <c r="GP3" i="9" s="1"/>
  <c r="GY3" i="9" s="1"/>
  <c r="IR3" i="9" s="1"/>
  <c r="GC70" i="9"/>
  <c r="GL70" i="9" s="1"/>
  <c r="GU70" i="9" s="1"/>
  <c r="IN70" i="9" s="1"/>
  <c r="GI65" i="9"/>
  <c r="GR65" i="9" s="1"/>
  <c r="HA65" i="9" s="1"/>
  <c r="IT65" i="9" s="1"/>
  <c r="GI97" i="9"/>
  <c r="GR97" i="9" s="1"/>
  <c r="HA97" i="9" s="1"/>
  <c r="IT97" i="9" s="1"/>
  <c r="GH57" i="9"/>
  <c r="GQ57" i="9" s="1"/>
  <c r="GZ57" i="9" s="1"/>
  <c r="IS57" i="9" s="1"/>
  <c r="GG91" i="9"/>
  <c r="GP91" i="9" s="1"/>
  <c r="GY91" i="9" s="1"/>
  <c r="IR91" i="9" s="1"/>
  <c r="GJ41" i="9"/>
  <c r="GS41" i="9" s="1"/>
  <c r="HB41" i="9" s="1"/>
  <c r="IU41" i="9" s="1"/>
  <c r="GI28" i="9"/>
  <c r="GR28" i="9" s="1"/>
  <c r="HA28" i="9" s="1"/>
  <c r="IT28" i="9" s="1"/>
  <c r="GD70" i="9"/>
  <c r="GM70" i="9" s="1"/>
  <c r="GV70" i="9" s="1"/>
  <c r="IO70" i="9" s="1"/>
  <c r="GH36" i="9"/>
  <c r="GQ36" i="9" s="1"/>
  <c r="GZ36" i="9" s="1"/>
  <c r="IS36" i="9" s="1"/>
  <c r="GE26" i="9"/>
  <c r="GN26" i="9" s="1"/>
  <c r="GW26" i="9" s="1"/>
  <c r="IP26" i="9" s="1"/>
  <c r="GJ62" i="9"/>
  <c r="GS62" i="9" s="1"/>
  <c r="HB62" i="9" s="1"/>
  <c r="IU62" i="9" s="1"/>
  <c r="GD42" i="9"/>
  <c r="GM42" i="9" s="1"/>
  <c r="GV42" i="9" s="1"/>
  <c r="IO42" i="9" s="1"/>
  <c r="GJ76" i="9"/>
  <c r="GS76" i="9" s="1"/>
  <c r="HB76" i="9" s="1"/>
  <c r="IU76" i="9" s="1"/>
  <c r="GC88" i="9"/>
  <c r="GL88" i="9" s="1"/>
  <c r="GU88" i="9" s="1"/>
  <c r="IN88" i="9" s="1"/>
  <c r="GC97" i="9"/>
  <c r="GL97" i="9" s="1"/>
  <c r="GU97" i="9" s="1"/>
  <c r="IN97" i="9" s="1"/>
  <c r="GJ64" i="9"/>
  <c r="GS64" i="9" s="1"/>
  <c r="HB64" i="9" s="1"/>
  <c r="IU64" i="9" s="1"/>
  <c r="GI101" i="9"/>
  <c r="GR101" i="9" s="1"/>
  <c r="HA101" i="9" s="1"/>
  <c r="IT101" i="9" s="1"/>
  <c r="GF102" i="9"/>
  <c r="GO102" i="9" s="1"/>
  <c r="GX102" i="9" s="1"/>
  <c r="IQ102" i="9" s="1"/>
  <c r="GF58" i="9"/>
  <c r="GO58" i="9" s="1"/>
  <c r="GX58" i="9" s="1"/>
  <c r="IQ58" i="9" s="1"/>
  <c r="GD94" i="9"/>
  <c r="GM94" i="9" s="1"/>
  <c r="GV94" i="9" s="1"/>
  <c r="IO94" i="9" s="1"/>
  <c r="GH53" i="9"/>
  <c r="GQ53" i="9" s="1"/>
  <c r="GZ53" i="9" s="1"/>
  <c r="IS53" i="9" s="1"/>
  <c r="GD97" i="9"/>
  <c r="GM97" i="9" s="1"/>
  <c r="GV97" i="9" s="1"/>
  <c r="IO97" i="9" s="1"/>
  <c r="GI69" i="9"/>
  <c r="GR69" i="9" s="1"/>
  <c r="HA69" i="9" s="1"/>
  <c r="IT69" i="9" s="1"/>
  <c r="GF89" i="9"/>
  <c r="GO89" i="9" s="1"/>
  <c r="GX89" i="9" s="1"/>
  <c r="IQ89" i="9" s="1"/>
  <c r="GE101" i="9"/>
  <c r="GN101" i="9" s="1"/>
  <c r="GW101" i="9" s="1"/>
  <c r="IP101" i="9" s="1"/>
  <c r="GJ4" i="9"/>
  <c r="GS4" i="9" s="1"/>
  <c r="HB4" i="9" s="1"/>
  <c r="IU4" i="9" s="1"/>
  <c r="GC100" i="9"/>
  <c r="GL100" i="9" s="1"/>
  <c r="GU100" i="9" s="1"/>
  <c r="IN100" i="9" s="1"/>
  <c r="GC93" i="9"/>
  <c r="GL93" i="9" s="1"/>
  <c r="GU93" i="9" s="1"/>
  <c r="IN93" i="9" s="1"/>
  <c r="GJ26" i="9"/>
  <c r="GS26" i="9" s="1"/>
  <c r="HB26" i="9" s="1"/>
  <c r="IU26" i="9" s="1"/>
  <c r="GJ34" i="9"/>
  <c r="GS34" i="9" s="1"/>
  <c r="HB34" i="9" s="1"/>
  <c r="IU34" i="9" s="1"/>
  <c r="GD96" i="9"/>
  <c r="GM96" i="9" s="1"/>
  <c r="GV96" i="9" s="1"/>
  <c r="IO96" i="9" s="1"/>
  <c r="GC96" i="9"/>
  <c r="GL96" i="9" s="1"/>
  <c r="GU96" i="9" s="1"/>
  <c r="IN96" i="9" s="1"/>
  <c r="GI75" i="9"/>
  <c r="GR75" i="9" s="1"/>
  <c r="HA75" i="9" s="1"/>
  <c r="IT75" i="9" s="1"/>
  <c r="GF23" i="9"/>
  <c r="GO23" i="9" s="1"/>
  <c r="GX23" i="9" s="1"/>
  <c r="IQ23" i="9" s="1"/>
  <c r="GG19" i="9"/>
  <c r="GP19" i="9" s="1"/>
  <c r="GY19" i="9" s="1"/>
  <c r="IR19" i="9" s="1"/>
  <c r="GE30" i="9"/>
  <c r="GN30" i="9" s="1"/>
  <c r="GW30" i="9" s="1"/>
  <c r="IP30" i="9" s="1"/>
  <c r="GE89" i="9"/>
  <c r="GN89" i="9" s="1"/>
  <c r="GW89" i="9" s="1"/>
  <c r="IP89" i="9" s="1"/>
  <c r="GG4" i="9"/>
  <c r="GP4" i="9" s="1"/>
  <c r="GY4" i="9" s="1"/>
  <c r="IR4" i="9" s="1"/>
  <c r="GC15" i="9"/>
  <c r="GL15" i="9" s="1"/>
  <c r="GU15" i="9" s="1"/>
  <c r="IN15" i="9" s="1"/>
  <c r="GC59" i="9"/>
  <c r="GL59" i="9" s="1"/>
  <c r="GU59" i="9" s="1"/>
  <c r="IN59" i="9" s="1"/>
  <c r="GF13" i="9"/>
  <c r="GO13" i="9" s="1"/>
  <c r="GX13" i="9" s="1"/>
  <c r="IQ13" i="9" s="1"/>
  <c r="GD40" i="9"/>
  <c r="GM40" i="9" s="1"/>
  <c r="GV40" i="9" s="1"/>
  <c r="IO40" i="9" s="1"/>
  <c r="GD46" i="9"/>
  <c r="GM46" i="9" s="1"/>
  <c r="GV46" i="9" s="1"/>
  <c r="IO46" i="9" s="1"/>
  <c r="GF34" i="9"/>
  <c r="GO34" i="9" s="1"/>
  <c r="GX34" i="9" s="1"/>
  <c r="IQ34" i="9" s="1"/>
  <c r="GD77" i="9"/>
  <c r="GM77" i="9" s="1"/>
  <c r="GV77" i="9" s="1"/>
  <c r="IO77" i="9" s="1"/>
  <c r="GD56" i="9"/>
  <c r="GM56" i="9" s="1"/>
  <c r="GV56" i="9" s="1"/>
  <c r="IO56" i="9" s="1"/>
  <c r="GF62" i="9"/>
  <c r="GO62" i="9" s="1"/>
  <c r="GX62" i="9" s="1"/>
  <c r="IQ62" i="9" s="1"/>
  <c r="GG23" i="9"/>
  <c r="GP23" i="9" s="1"/>
  <c r="GY23" i="9" s="1"/>
  <c r="IR23" i="9" s="1"/>
  <c r="GE29" i="9"/>
  <c r="GN29" i="9" s="1"/>
  <c r="GW29" i="9" s="1"/>
  <c r="IP29" i="9" s="1"/>
  <c r="GC69" i="9"/>
  <c r="GL69" i="9" s="1"/>
  <c r="GU69" i="9" s="1"/>
  <c r="IN69" i="9" s="1"/>
  <c r="GE74" i="9"/>
  <c r="GN74" i="9" s="1"/>
  <c r="GW74" i="9" s="1"/>
  <c r="IP74" i="9" s="1"/>
  <c r="GC43" i="9"/>
  <c r="GL43" i="9" s="1"/>
  <c r="GU43" i="9" s="1"/>
  <c r="IN43" i="9" s="1"/>
  <c r="GE46" i="9"/>
  <c r="GN46" i="9" s="1"/>
  <c r="GW46" i="9" s="1"/>
  <c r="IP46" i="9" s="1"/>
  <c r="GP45" i="9" l="1"/>
  <c r="GY45" i="9" s="1"/>
  <c r="IR45" i="9" s="1"/>
  <c r="B22" i="12"/>
  <c r="K22" i="12" s="1"/>
  <c r="T22" i="12" s="1"/>
  <c r="AU22" i="12"/>
  <c r="GB22" i="9" l="1"/>
  <c r="GK22" i="9" s="1"/>
  <c r="GT22" i="9" l="1"/>
  <c r="IM2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<sst xmlns="http://schemas.openxmlformats.org/spreadsheetml/2006/main" count="2174" uniqueCount="915">
  <si>
    <t>Eksperimento data</t>
  </si>
  <si>
    <t>Vandens purškimas į kūrykla</t>
  </si>
  <si>
    <t>Pastaba</t>
  </si>
  <si>
    <t>Ne</t>
  </si>
  <si>
    <t>-</t>
  </si>
  <si>
    <t>Kartojamas 07.02 eksperimentas</t>
  </si>
  <si>
    <t>Kartojamas 07.03 eksperimentas</t>
  </si>
  <si>
    <t>Taip</t>
  </si>
  <si>
    <t>HORIZONTALUS DŪMUOSE ESANČIOS DRĖGMĖS KONDENSACIJOS RUOŽAS.</t>
  </si>
  <si>
    <t>EKSPERIMENTAI:</t>
  </si>
  <si>
    <t>Nuo 2020.07.02 ruožas izoliuotas papildoma 30 mm storio izoliacija.</t>
  </si>
  <si>
    <t>Dūmų tiekimas per ekonomaizerį</t>
  </si>
  <si>
    <r>
      <t>Dūmų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</si>
  <si>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r>
      <t>Dūmų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</si>
  <si>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r>
      <t>Dūmų RH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>, %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</si>
  <si>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</si>
  <si>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Purkštukai kūrykloje, vnt</t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</si>
  <si>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</si>
  <si>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debitas, l/min</t>
    </r>
  </si>
  <si>
    <t>Dūmų debitas, m3/h</t>
  </si>
  <si>
    <t>Kartojamas 07.14 eksperimentas, kai vandens debitas 3 l/min</t>
  </si>
  <si>
    <t>12 (11)</t>
  </si>
  <si>
    <t xml:space="preserve">Taip </t>
  </si>
  <si>
    <t>Eil. Nr.</t>
  </si>
  <si>
    <t>24.</t>
  </si>
  <si>
    <t>Per ruožą leidžiamas vandentiekio aušinantis vanduo</t>
  </si>
  <si>
    <t>25.</t>
  </si>
  <si>
    <t>26.</t>
  </si>
  <si>
    <t>27.</t>
  </si>
  <si>
    <t xml:space="preserve">28. </t>
  </si>
  <si>
    <t>29.</t>
  </si>
  <si>
    <t>30.</t>
  </si>
  <si>
    <t>31.</t>
  </si>
  <si>
    <t xml:space="preserve">Ne </t>
  </si>
  <si>
    <t>32.</t>
  </si>
  <si>
    <t>33.</t>
  </si>
  <si>
    <t>Per ruožą leidžiamas vandentiekio aušinantis vanduo. Režimo metu buvo kažkoks vandens tiekimo sutrikimas, dėl ko nusimušusį debitą teko atsatinėti</t>
  </si>
  <si>
    <t>H2O suapval.</t>
  </si>
  <si>
    <t>Rh
suapval.</t>
  </si>
  <si>
    <t>M cd fraction</t>
  </si>
  <si>
    <t>Re suapval</t>
  </si>
  <si>
    <t>kond efektyvumas</t>
  </si>
  <si>
    <t>kond debitas kg/min</t>
  </si>
  <si>
    <t>34.</t>
  </si>
  <si>
    <t>35.</t>
  </si>
  <si>
    <t>Gyatuku daliu pav. Plotas m2</t>
  </si>
  <si>
    <t>EKSPERIMENTAI, KAI NAUDOJAMI DU SUJUNGTI RUOŽAI:</t>
  </si>
  <si>
    <t>Bendras kondensac. Efektyvumas</t>
  </si>
  <si>
    <t>97?</t>
  </si>
  <si>
    <t>03:.16</t>
  </si>
  <si>
    <t>1l</t>
  </si>
  <si>
    <t>100 C</t>
  </si>
  <si>
    <t>2L</t>
  </si>
  <si>
    <t>03.:23</t>
  </si>
  <si>
    <t>re=350</t>
  </si>
  <si>
    <t>re=750</t>
  </si>
  <si>
    <t>03:.21</t>
  </si>
  <si>
    <t>111 C</t>
  </si>
  <si>
    <t>03.:22</t>
  </si>
  <si>
    <t>114 C</t>
  </si>
  <si>
    <t>103 C</t>
  </si>
  <si>
    <t>154 C</t>
  </si>
  <si>
    <t>1L+Auksta t.</t>
  </si>
  <si>
    <t>03.:25</t>
  </si>
  <si>
    <t>03.:28</t>
  </si>
  <si>
    <t>2L+Aukšta</t>
  </si>
  <si>
    <t>03.:29</t>
  </si>
  <si>
    <t>Purškiama į katilą</t>
  </si>
  <si>
    <t>Nepurškiama į katilą</t>
  </si>
  <si>
    <t>128 C</t>
  </si>
  <si>
    <t>03:.31</t>
  </si>
  <si>
    <t>1l-nepurškiama</t>
  </si>
  <si>
    <t>160 C</t>
  </si>
  <si>
    <t>04.:01</t>
  </si>
  <si>
    <t>04:.04</t>
  </si>
  <si>
    <t>141 C</t>
  </si>
  <si>
    <t>04.:05</t>
  </si>
  <si>
    <t>1l-nep. aukšta t.</t>
  </si>
  <si>
    <t>04.:06</t>
  </si>
  <si>
    <t>2 l nep. Auksta t.</t>
  </si>
  <si>
    <t>04.:11</t>
  </si>
  <si>
    <t>2l-nep. Auksta. T</t>
  </si>
  <si>
    <t>04.:12</t>
  </si>
  <si>
    <t>2 l. nep.žema temp.</t>
  </si>
  <si>
    <t>04.:13</t>
  </si>
  <si>
    <t>03.:16 (04.14)</t>
  </si>
  <si>
    <t>1l-kartotas</t>
  </si>
  <si>
    <t>03.:21 (04.15)</t>
  </si>
  <si>
    <t>1 l-kartotas</t>
  </si>
  <si>
    <t>Per ruožą leidžiamas vandentiekio aušinantis vanduo. Kartojamas 03.21  eksperimentas.</t>
  </si>
  <si>
    <t>M cd dalis</t>
  </si>
  <si>
    <t>Per ruožą leidžiamas vandentiekio aušinantis vanduo. Ekonom. Ventilaitorius neįjungtas.</t>
  </si>
  <si>
    <t>Tin į 2 ruožą</t>
  </si>
  <si>
    <t>Tout iš 2 ruožo</t>
  </si>
  <si>
    <t>Tmaišyt in</t>
  </si>
  <si>
    <t>Tmaišyt out</t>
  </si>
  <si>
    <t>Nu vidutinis</t>
  </si>
  <si>
    <t xml:space="preserve">Per ruožą leidžiamas vandentiekio aušinantis vanduo. </t>
  </si>
  <si>
    <t>NE</t>
  </si>
  <si>
    <t xml:space="preserve">I ruožas Δt log </t>
  </si>
  <si>
    <t xml:space="preserve">II ruožas Δt log </t>
  </si>
  <si>
    <t>I ruožas Q H2O, W</t>
  </si>
  <si>
    <t>II ruožas Q H2O, W</t>
  </si>
  <si>
    <t>I ruožas Alfa, W/m2K</t>
  </si>
  <si>
    <t>II ruožas Alfa, W/m2K</t>
  </si>
  <si>
    <t>I ruožas Nu vidut.</t>
  </si>
  <si>
    <t>II ruožas Nu vidut.</t>
  </si>
  <si>
    <t>Per ruožą leidžiamas vandentiekio aušinantis vanduo. Kartojamas 03.16 eksperimentas. Naišku ar geras buvo vand. debitas per II ruožą?</t>
  </si>
  <si>
    <t>1l/min+drėgna</t>
  </si>
  <si>
    <t>2 l/min+drėgna</t>
  </si>
  <si>
    <t>1l/min+sausa</t>
  </si>
  <si>
    <t>2 l/min+sausa</t>
  </si>
  <si>
    <t>Ruožo Nr.</t>
  </si>
  <si>
    <t>I ruožas,drėgni d.</t>
  </si>
  <si>
    <t>II ruožas, drėgni d.</t>
  </si>
  <si>
    <t>I ruožas,sausi d.</t>
  </si>
  <si>
    <t>II ruožas, sausi d.</t>
  </si>
  <si>
    <t>Re=350</t>
  </si>
  <si>
    <t>Re=750</t>
  </si>
  <si>
    <t>SU EKONOMAIZERIU</t>
  </si>
  <si>
    <t>BE EKONOMAIZERIO</t>
  </si>
  <si>
    <t>Sausi d. +ekonimaizeris, 1l/min</t>
  </si>
  <si>
    <t>Sausi, be ekonomaizerio</t>
  </si>
  <si>
    <t>Dregni d.+ekojn</t>
  </si>
  <si>
    <t>Dregnid. Be ekon.</t>
  </si>
  <si>
    <t>Aušinimas 1l/min</t>
  </si>
  <si>
    <t>Aušinimas 2l/min</t>
  </si>
  <si>
    <t>Q cw logiškas?</t>
  </si>
  <si>
    <t>??</t>
  </si>
  <si>
    <t>Ne?</t>
  </si>
  <si>
    <t>Per ruožą  vanduo neleidžiamas visai.</t>
  </si>
  <si>
    <t>Per I ruožą  vanduo leidžiamas. II ruože vandens nėra  visai.</t>
  </si>
  <si>
    <t>Per ruožą leidžiamas vandentiekio aušinantis vanduo. Rinktas kondnesatas laike. Nusimušė vandens debitas per vidurinį gyvatuką.</t>
  </si>
  <si>
    <t>?</t>
  </si>
  <si>
    <t>Per ruožą leidžiamas vandentiekio aušinantis vanduo. Tikrinama kondensato dinamika.</t>
  </si>
  <si>
    <t>????</t>
  </si>
  <si>
    <t>RUOŽAS BE PAILDOMOS IZOLIACIJOS</t>
  </si>
  <si>
    <t>AUŠINIMUI NAUDOJAMAS  VANDUO TEKANTIS PER ŠILUMOKAITĮ</t>
  </si>
  <si>
    <t>AUŠINIMUI NAUDOJAMAS VANDENTIEKIO VANDUO</t>
  </si>
  <si>
    <t>UŽDĖTA PAPILDOMA IZOLIACIJA (antras sluoksnis)</t>
  </si>
  <si>
    <t>2022.10.18-1</t>
  </si>
  <si>
    <t>2022.10.18-2</t>
  </si>
  <si>
    <t>2022.10.19-1</t>
  </si>
  <si>
    <t>2022.10.19-2</t>
  </si>
  <si>
    <t>2022.10.20-1</t>
  </si>
  <si>
    <t>2022.10.20-2</t>
  </si>
  <si>
    <t>2022.10.25-1</t>
  </si>
  <si>
    <t>2022.10.25-2</t>
  </si>
  <si>
    <t>2022.10.26-1</t>
  </si>
  <si>
    <t>2022.10.26-2</t>
  </si>
  <si>
    <t>2022.10.27-1</t>
  </si>
  <si>
    <t>2022.10.27-2</t>
  </si>
  <si>
    <t>2022.11.03-1</t>
  </si>
  <si>
    <t>2022.11.03-2</t>
  </si>
  <si>
    <t>2022.11.07-1</t>
  </si>
  <si>
    <t>2022.11.07-2</t>
  </si>
  <si>
    <t>2022.11.08-1</t>
  </si>
  <si>
    <t>2022.11.08-2</t>
  </si>
  <si>
    <t>2022.11.09-1</t>
  </si>
  <si>
    <t>2022.11.09-2</t>
  </si>
  <si>
    <t>2022.11.10-1</t>
  </si>
  <si>
    <t>2022.11.10-2</t>
  </si>
  <si>
    <t>2022.11.14-1</t>
  </si>
  <si>
    <t>2022.11.14-2</t>
  </si>
  <si>
    <t>2022.11.15-2</t>
  </si>
  <si>
    <t>2022.11.15-1</t>
  </si>
  <si>
    <t>2022.11.16-1</t>
  </si>
  <si>
    <t>2022.11.16-2</t>
  </si>
  <si>
    <t>2022.11.17-1</t>
  </si>
  <si>
    <t>2022.11.17-2</t>
  </si>
  <si>
    <t>2022.11.21-1</t>
  </si>
  <si>
    <t>2022.11.21-2</t>
  </si>
  <si>
    <t>Data</t>
  </si>
  <si>
    <t>Mixture  (air+vapour) flow rate, kg/h</t>
  </si>
  <si>
    <r>
      <t>Mixture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</si>
  <si>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t>Vapour flow rate, kg/h</t>
  </si>
  <si>
    <r>
      <t>Mixture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</si>
  <si>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M cd mass fraction %</t>
  </si>
  <si>
    <t>Cond. Efficiency</t>
  </si>
  <si>
    <t>Cooling water flow rate, l/h</t>
  </si>
  <si>
    <t>Ratio of water/mixture flow rates</t>
  </si>
  <si>
    <r>
      <t>Cooling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</si>
  <si>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Delta t, H2O in mixers before and after test section</t>
  </si>
  <si>
    <t>2022.11.24-1</t>
  </si>
  <si>
    <t>2022.11.24-2</t>
  </si>
  <si>
    <t>30.11.2022</t>
  </si>
  <si>
    <t>01.12.2022</t>
  </si>
  <si>
    <t>02.12.2022</t>
  </si>
  <si>
    <t>05.12.2022</t>
  </si>
  <si>
    <t>06.12.2022</t>
  </si>
  <si>
    <t>Dew point</t>
  </si>
  <si>
    <t>Real one</t>
  </si>
  <si>
    <t xml:space="preserve">  63.987	</t>
  </si>
  <si>
    <t>Heat gained</t>
  </si>
  <si>
    <t>Date</t>
  </si>
  <si>
    <t>Re</t>
  </si>
  <si>
    <t xml:space="preserve">Heat lost </t>
  </si>
  <si>
    <t>Condensation flow rate</t>
  </si>
  <si>
    <t>Condensation efficiecny</t>
  </si>
  <si>
    <t>07.12.2022</t>
  </si>
  <si>
    <t>08.12.2022</t>
  </si>
  <si>
    <t>09.12.2022</t>
  </si>
  <si>
    <t>12.12.2022</t>
  </si>
  <si>
    <t>13.12.2022</t>
  </si>
  <si>
    <t>14.12.2022</t>
  </si>
  <si>
    <t>First_Cond</t>
  </si>
  <si>
    <t>Second_Cond</t>
  </si>
  <si>
    <t>Third_Cond</t>
  </si>
  <si>
    <t>Fourth_Cond</t>
  </si>
  <si>
    <t>Fifth_Cond</t>
  </si>
  <si>
    <t>Sixth_Cond</t>
  </si>
  <si>
    <t>Seventh_Cond</t>
  </si>
  <si>
    <t>Eighth_Cond</t>
  </si>
  <si>
    <t>First_Nusselt</t>
  </si>
  <si>
    <t>Second_Nusselt</t>
  </si>
  <si>
    <t>Third_Nusselt</t>
  </si>
  <si>
    <t>Fourth_Nusselt</t>
  </si>
  <si>
    <t>Fifth_Nusselt</t>
  </si>
  <si>
    <t>Sixth_Nusselt</t>
  </si>
  <si>
    <t>Seventh_Nusselt</t>
  </si>
  <si>
    <t>Eighth_Nusselt</t>
  </si>
  <si>
    <t>First_heat_Coef</t>
  </si>
  <si>
    <t>Eighth_heat_Coef</t>
  </si>
  <si>
    <t>Seventh_heat_Coef</t>
  </si>
  <si>
    <t>Sixth_heat_Coef</t>
  </si>
  <si>
    <t>Fifth_heat_Coef</t>
  </si>
  <si>
    <t>Fourth_heat_Coef</t>
  </si>
  <si>
    <t>Third_heat_Coef</t>
  </si>
  <si>
    <t>Second_heat_Coef</t>
  </si>
  <si>
    <t>15.12.2022</t>
  </si>
  <si>
    <t>16.12.2022</t>
  </si>
  <si>
    <t>19.12.2022</t>
  </si>
  <si>
    <t>23.12.2022</t>
  </si>
  <si>
    <t>20.12.2022</t>
  </si>
  <si>
    <t>22.12.2022</t>
  </si>
  <si>
    <t>27.12.2022</t>
  </si>
  <si>
    <t>28.12.2022</t>
  </si>
  <si>
    <t>29.12.2022</t>
  </si>
  <si>
    <t>30.12.2022</t>
  </si>
  <si>
    <t>03.01.2023</t>
  </si>
  <si>
    <t>04.01.2023</t>
  </si>
  <si>
    <t>05.01.2023</t>
  </si>
  <si>
    <t>06.01.2023</t>
  </si>
  <si>
    <t>09.01.2023</t>
  </si>
  <si>
    <t>Heat of condensate_1</t>
  </si>
  <si>
    <t>Heat of condensate_2</t>
  </si>
  <si>
    <t>Heat of condensate_3</t>
  </si>
  <si>
    <t>Heat of condensate_4</t>
  </si>
  <si>
    <t>Heat of condensate_5</t>
  </si>
  <si>
    <t>Heat of condensate_6</t>
  </si>
  <si>
    <t>Heat of condensate_7</t>
  </si>
  <si>
    <t>Heat of condensate_8</t>
  </si>
  <si>
    <t>Heat released by the mixture_1</t>
  </si>
  <si>
    <t>Heat released by the mixture_2</t>
  </si>
  <si>
    <t>Heat released by the mixture_3</t>
  </si>
  <si>
    <t>Heat released by the mixture_4</t>
  </si>
  <si>
    <t>Heat released by the mixture_5</t>
  </si>
  <si>
    <t>Heat released by the mixture_6</t>
  </si>
  <si>
    <t>Heat released by the mixture_7</t>
  </si>
  <si>
    <t>Heat released by the mixture_8</t>
  </si>
  <si>
    <t>Dew point_1</t>
  </si>
  <si>
    <t>Dew point_2</t>
  </si>
  <si>
    <t>Dew point_3</t>
  </si>
  <si>
    <t>Dew point_4</t>
  </si>
  <si>
    <t>Dew point_5</t>
  </si>
  <si>
    <t>Dew point_6</t>
  </si>
  <si>
    <t>Dew point_7</t>
  </si>
  <si>
    <t>Dew point_8</t>
  </si>
  <si>
    <t>Temperature decrease of the mixture_1</t>
  </si>
  <si>
    <t>Temperature decrease of the mixture_2</t>
  </si>
  <si>
    <t>Temperature decrease of the mixture_3</t>
  </si>
  <si>
    <t>Temperature decrease of the mixture_4</t>
  </si>
  <si>
    <t>Temperature decrease of the mixture_5</t>
  </si>
  <si>
    <t>Temperature decrease of the mixture_6</t>
  </si>
  <si>
    <t>Temperature decrease of the mixture_7</t>
  </si>
  <si>
    <t>Temperature decrease of the mixture_8</t>
  </si>
  <si>
    <t>Temperature increase of the cooling water_1</t>
  </si>
  <si>
    <t>Temperature increase of the cooling water_2</t>
  </si>
  <si>
    <t>Temperature increase of the cooling water_3</t>
  </si>
  <si>
    <t>Temperature increase of the cooling water_4</t>
  </si>
  <si>
    <t>Temperature increase of the cooling water_5</t>
  </si>
  <si>
    <t>Temperature increase of the cooling water_6</t>
  </si>
  <si>
    <t>Temperature increase of the cooling water_7</t>
  </si>
  <si>
    <t>Temperature increase of the cooling water_8</t>
  </si>
  <si>
    <t>Specific humidity</t>
  </si>
  <si>
    <t>Dewpoint</t>
  </si>
  <si>
    <t>Specific humidity_1</t>
  </si>
  <si>
    <t>Specific humidity_8</t>
  </si>
  <si>
    <t>Specific humidity_7</t>
  </si>
  <si>
    <t>Specific humidity_6</t>
  </si>
  <si>
    <t>Specific humidity_5</t>
  </si>
  <si>
    <t>Specific humidity_4</t>
  </si>
  <si>
    <t>Specific humidity_3</t>
  </si>
  <si>
    <t>Specific humidity_2</t>
  </si>
  <si>
    <t>Heat gained by cooling water_1</t>
  </si>
  <si>
    <t>Heat gained by cooling water_2</t>
  </si>
  <si>
    <t>Heat gained by cooling water_3</t>
  </si>
  <si>
    <t>Heat gained by cooling water_4</t>
  </si>
  <si>
    <t>Heat gained by cooling water_5</t>
  </si>
  <si>
    <t>Heat gained by cooling water_6</t>
  </si>
  <si>
    <t>Heat gained by cooling water_7</t>
  </si>
  <si>
    <t>Heat gained by cooling water_8</t>
  </si>
  <si>
    <t>Heat mix</t>
  </si>
  <si>
    <t>Heat water</t>
  </si>
  <si>
    <t>Heat condensate</t>
  </si>
  <si>
    <t>Mass Fraction</t>
  </si>
  <si>
    <t>2023.01.11-1</t>
  </si>
  <si>
    <t>2023.01.11-2</t>
  </si>
  <si>
    <t>2023.01.12-1</t>
  </si>
  <si>
    <t>2023.01.12-2</t>
  </si>
  <si>
    <t>2023.01.17-1</t>
  </si>
  <si>
    <t>2023.01.17-2</t>
  </si>
  <si>
    <t>2023.01.19-1</t>
  </si>
  <si>
    <t>2023.01.19-2</t>
  </si>
  <si>
    <t>2023.01.23-1</t>
  </si>
  <si>
    <t>2023.01.23-2</t>
  </si>
  <si>
    <t>2023.01.24-1</t>
  </si>
  <si>
    <t>2023.01.24-2</t>
  </si>
  <si>
    <t>2023.01.30-1</t>
  </si>
  <si>
    <t>2023.01.30-2</t>
  </si>
  <si>
    <t>2023.02.01-1</t>
  </si>
  <si>
    <t>2023.02.01-2</t>
  </si>
  <si>
    <t>2023.02.02-1</t>
  </si>
  <si>
    <t>2023.02.02-2</t>
  </si>
  <si>
    <t>2023.02.06-1</t>
  </si>
  <si>
    <t>2023.02.06-2</t>
  </si>
  <si>
    <t>2023.02.08</t>
  </si>
  <si>
    <t>2023.02.09-1</t>
  </si>
  <si>
    <t>2023.02.09-2</t>
  </si>
  <si>
    <t>2023.02.10</t>
  </si>
  <si>
    <t>2023.02.13-1</t>
  </si>
  <si>
    <t>2023.02.13-2</t>
  </si>
  <si>
    <t>2023.02.14-1</t>
  </si>
  <si>
    <t>2023.02.14-2</t>
  </si>
  <si>
    <t>2023.02.15-1</t>
  </si>
  <si>
    <t>2023.02.20-1</t>
  </si>
  <si>
    <t>2023.02.20-2</t>
  </si>
  <si>
    <t>2023.02.21-2</t>
  </si>
  <si>
    <t>2023.02.21-1</t>
  </si>
  <si>
    <t>2023.02.22-1</t>
  </si>
  <si>
    <t>2023.02.22-2</t>
  </si>
  <si>
    <t>2023.02.23-1</t>
  </si>
  <si>
    <t>2023.02.23-2</t>
  </si>
  <si>
    <t>2023.02.24</t>
  </si>
  <si>
    <t>2023.02.27-1</t>
  </si>
  <si>
    <t>2023.02.27-2</t>
  </si>
  <si>
    <t>2023.02.28-1</t>
  </si>
  <si>
    <t>2023.03.01</t>
  </si>
  <si>
    <t>2023.03.02-1</t>
  </si>
  <si>
    <t>2023.03.02-2</t>
  </si>
  <si>
    <t>Tube_coil_surface_temp1</t>
  </si>
  <si>
    <t>Tube_coil_surface_temp2</t>
  </si>
  <si>
    <t>Tube_coil_surface_temp3</t>
  </si>
  <si>
    <t>Tube_coil_surface_temp4</t>
  </si>
  <si>
    <t>Tube_coil_surface_temp5</t>
  </si>
  <si>
    <t>Tube_coil_surface_temp6</t>
  </si>
  <si>
    <t>Tube_coil_surface_temp7</t>
  </si>
  <si>
    <t>Tube_coil_surface_temp8</t>
  </si>
  <si>
    <t>2023.02.28-2</t>
  </si>
  <si>
    <t>Thermal diffusivity</t>
  </si>
  <si>
    <t>Mass diffusivity</t>
  </si>
  <si>
    <t>LEWIS</t>
  </si>
  <si>
    <t>Pressure</t>
  </si>
  <si>
    <t>x</t>
  </si>
  <si>
    <t>y</t>
  </si>
  <si>
    <t>Thermal diffussivity_1</t>
  </si>
  <si>
    <t>Thermal diffussivity_2</t>
  </si>
  <si>
    <t>Thermal diffussivity_3</t>
  </si>
  <si>
    <t>Thermal diffussivity_4</t>
  </si>
  <si>
    <t>Thermal diffussivity_5</t>
  </si>
  <si>
    <t>Thermal diffussivity_6</t>
  </si>
  <si>
    <t>Thermal diffussivity_7</t>
  </si>
  <si>
    <t>THERMAL CONDUCTIVTY (W/m k)</t>
  </si>
  <si>
    <t>Thermal Conductivity _1</t>
  </si>
  <si>
    <t>Thermal Conductivity _2</t>
  </si>
  <si>
    <t>Thermal Conductivity _3</t>
  </si>
  <si>
    <t>Thermal Conductivity _4</t>
  </si>
  <si>
    <t>Thermal Conductivity _5</t>
  </si>
  <si>
    <t>Thermal Conductivity _6</t>
  </si>
  <si>
    <t>Thermal Conductivity _7</t>
  </si>
  <si>
    <t>DENSITY (kg/m3)</t>
  </si>
  <si>
    <t>Density_1</t>
  </si>
  <si>
    <t>Density_2</t>
  </si>
  <si>
    <t>Density_3</t>
  </si>
  <si>
    <t>Density_4</t>
  </si>
  <si>
    <t>Density_5</t>
  </si>
  <si>
    <t>Density_6</t>
  </si>
  <si>
    <t>Density_7</t>
  </si>
  <si>
    <t>SPECIFIC HEAT (kj/kg k)</t>
  </si>
  <si>
    <t>Specific Heat_1</t>
  </si>
  <si>
    <t>Specific Heat_2</t>
  </si>
  <si>
    <t>Specific Heat_3</t>
  </si>
  <si>
    <t>Specific Heat_4</t>
  </si>
  <si>
    <t>Specific Heat_5</t>
  </si>
  <si>
    <t>Specific Heat_6</t>
  </si>
  <si>
    <t>Specific Heat_7</t>
  </si>
  <si>
    <t>SPECIFIC HEAT OF WATER (kj/kg k)</t>
  </si>
  <si>
    <t>Specific heat of water_1</t>
  </si>
  <si>
    <t>Specific heat of water_2</t>
  </si>
  <si>
    <t>Specific heat of water_3</t>
  </si>
  <si>
    <t>Specific heat of water_4</t>
  </si>
  <si>
    <t>Specific heat of water_5</t>
  </si>
  <si>
    <t>Specific heat of water_6</t>
  </si>
  <si>
    <t>Specific heat of water_7</t>
  </si>
  <si>
    <t>SPECIFIC HEAT AIR (kj/kg k)</t>
  </si>
  <si>
    <t>Specific heat air_1</t>
  </si>
  <si>
    <t>Specific heat air_2</t>
  </si>
  <si>
    <t>Specific heat air_3</t>
  </si>
  <si>
    <t>Specific heat air_4</t>
  </si>
  <si>
    <t>Specific heat air_5</t>
  </si>
  <si>
    <t>Specific heat air_6</t>
  </si>
  <si>
    <t>Specific heat air_7</t>
  </si>
  <si>
    <t>Specific heat air_8</t>
  </si>
  <si>
    <t>MOLE FRACTION OF WATER</t>
  </si>
  <si>
    <t>Mole fraction of water_1</t>
  </si>
  <si>
    <t>Mole fraction of water_2</t>
  </si>
  <si>
    <t>Mole fraction of water_3</t>
  </si>
  <si>
    <t>Mole fraction of water_4</t>
  </si>
  <si>
    <t>Mole fraction of water_5</t>
  </si>
  <si>
    <t>Mole fraction of water_6</t>
  </si>
  <si>
    <t>Mole fraction of water_7</t>
  </si>
  <si>
    <t>WATER DENSITY</t>
  </si>
  <si>
    <t>Water density_1</t>
  </si>
  <si>
    <t>Water density_2</t>
  </si>
  <si>
    <t>Water density_3</t>
  </si>
  <si>
    <t>Water density_4</t>
  </si>
  <si>
    <t>Water density_5</t>
  </si>
  <si>
    <t>Water density_6</t>
  </si>
  <si>
    <t>Water density_7</t>
  </si>
  <si>
    <t>Water density_8</t>
  </si>
  <si>
    <t>AIR DENSITY</t>
  </si>
  <si>
    <t>Air density_1</t>
  </si>
  <si>
    <t>Air density_2</t>
  </si>
  <si>
    <t>Air density_3</t>
  </si>
  <si>
    <t>Air density_4</t>
  </si>
  <si>
    <t>Air density_5</t>
  </si>
  <si>
    <t>Air density_6</t>
  </si>
  <si>
    <t>Air density_7</t>
  </si>
  <si>
    <t>Thermal diffussivity_8</t>
  </si>
  <si>
    <t>Thermal Conductivity _8</t>
  </si>
  <si>
    <t>Density_8</t>
  </si>
  <si>
    <t>Air density_8</t>
  </si>
  <si>
    <t>Mole fraction of water_8</t>
  </si>
  <si>
    <t>Specific heat of water_8</t>
  </si>
  <si>
    <t>Specific Heat_8</t>
  </si>
  <si>
    <t>LEWIS_1</t>
  </si>
  <si>
    <t>LEWIS_2</t>
  </si>
  <si>
    <t>LEWIS_3</t>
  </si>
  <si>
    <t>LEWIS_4</t>
  </si>
  <si>
    <t>LEWIS_5</t>
  </si>
  <si>
    <t>LEWIS_6</t>
  </si>
  <si>
    <t>LEWIS_7</t>
  </si>
  <si>
    <t>Mass of Diffussivity_1</t>
  </si>
  <si>
    <t>Mass of Diffussivity_2</t>
  </si>
  <si>
    <t>Mass of Diffussivity_3</t>
  </si>
  <si>
    <t>Mass of Diffussivity_5</t>
  </si>
  <si>
    <t>Mass of Diffussivity_6</t>
  </si>
  <si>
    <t>Mass of Diffussivity_7</t>
  </si>
  <si>
    <t>Mass of Diffussivity_8</t>
  </si>
  <si>
    <t>LEWIS_8</t>
  </si>
  <si>
    <t>Cooling H2O tin, oC</t>
  </si>
  <si>
    <t>Mixture tin, oC</t>
  </si>
  <si>
    <t>RELATIVE HUMIDITY</t>
  </si>
  <si>
    <t>Relative humidity_1</t>
  </si>
  <si>
    <t>Relative humidity_2</t>
  </si>
  <si>
    <t>Relative humidity_3</t>
  </si>
  <si>
    <t>Relative humidity_4</t>
  </si>
  <si>
    <t>Relative humidity_5</t>
  </si>
  <si>
    <t>Relative humidity_6</t>
  </si>
  <si>
    <t>Relative humidity_7</t>
  </si>
  <si>
    <t>Relative humidity_8</t>
  </si>
  <si>
    <t>Link used to verify relative humidity</t>
  </si>
  <si>
    <t>a</t>
  </si>
  <si>
    <t>b</t>
  </si>
  <si>
    <t>c</t>
  </si>
  <si>
    <t>INTERFACIAL MOLE FRACTION OF WATER VAPOUR</t>
  </si>
  <si>
    <t>Interfaction mole fraction of water vapour_1</t>
  </si>
  <si>
    <t>Interfaction mole fraction of water vapour_2</t>
  </si>
  <si>
    <t>Interfaction mole fraction of water vapour_3</t>
  </si>
  <si>
    <t>Interfaction mole fraction of water vapour_4</t>
  </si>
  <si>
    <t>Interfaction mole fraction of water vapour_5</t>
  </si>
  <si>
    <t>Interfaction mole fraction of water vapour_6</t>
  </si>
  <si>
    <t>Interfaction mole fraction of water vapour_7</t>
  </si>
  <si>
    <t>Interfaction mole fraction of water vapour_8</t>
  </si>
  <si>
    <t>Logarithmic mole fraction of non condensable gases_1</t>
  </si>
  <si>
    <t>Logarithmic mole fraction of non condensable gases_2</t>
  </si>
  <si>
    <t>Logarithmic mole fraction of non condensable gases_3</t>
  </si>
  <si>
    <t>Logarithmic mole fraction of non condensable gases_4</t>
  </si>
  <si>
    <t>Logarithmic mole fraction of non condensable gases_5</t>
  </si>
  <si>
    <t>Logarithmic mole fraction of non condensable gases_6</t>
  </si>
  <si>
    <t>Logarithmic mole fraction of non condensable gases_7</t>
  </si>
  <si>
    <t>Logarithmic mole fraction of non condensable gases_8</t>
  </si>
  <si>
    <t>LOGARITHMIC MOLE FRACTION OF NON CONDENSABLE GASES</t>
  </si>
  <si>
    <t>MASS TRANSFER COEFFICIENT</t>
  </si>
  <si>
    <t>Mass transfer coefficient_1</t>
  </si>
  <si>
    <t>Mass transfer coefficient_2</t>
  </si>
  <si>
    <t>Mass transfer coefficient_3</t>
  </si>
  <si>
    <t>Mass transfer coefficient_4</t>
  </si>
  <si>
    <t>Mass transfer coefficient_5</t>
  </si>
  <si>
    <t>Mass transfer coefficient_6</t>
  </si>
  <si>
    <t>Mass transfer coefficient_7</t>
  </si>
  <si>
    <t>Mass transfer coefficient_8</t>
  </si>
  <si>
    <t>Ideal gas constant-Air</t>
  </si>
  <si>
    <t>Ideal gas constant-Water</t>
  </si>
  <si>
    <t>THERMAL DIFFUSSIVITY M2/S</t>
  </si>
  <si>
    <t>Latent heat of vapourization_1</t>
  </si>
  <si>
    <t>Latent heat of vapourization_2</t>
  </si>
  <si>
    <t>Latent heat of vapourization_3</t>
  </si>
  <si>
    <t>Latent heat of vapourization_4</t>
  </si>
  <si>
    <t>Latent heat of vapourization_5</t>
  </si>
  <si>
    <t>Latent heat of vapourization_6</t>
  </si>
  <si>
    <t>Latent heat of vapourization_7</t>
  </si>
  <si>
    <t>Latent heat of vapourization_8</t>
  </si>
  <si>
    <t>MASS TRANFER</t>
  </si>
  <si>
    <t>Mass transfer_1</t>
  </si>
  <si>
    <t>Mass transfer_2</t>
  </si>
  <si>
    <t>Mass transfer_3</t>
  </si>
  <si>
    <t>Mass transfer_4</t>
  </si>
  <si>
    <t>Mass transfer_5</t>
  </si>
  <si>
    <t>Mass transfer_6</t>
  </si>
  <si>
    <t>Mass transfer_7</t>
  </si>
  <si>
    <t>Mass transfer_8</t>
  </si>
  <si>
    <t>PRANDTL NUMBER</t>
  </si>
  <si>
    <t>Prandtl_1</t>
  </si>
  <si>
    <t>Prandtl_2</t>
  </si>
  <si>
    <t>Prandtl_3</t>
  </si>
  <si>
    <t>Prandtl_4</t>
  </si>
  <si>
    <t>Prandtl_5</t>
  </si>
  <si>
    <t>Prandtl_6</t>
  </si>
  <si>
    <t>Prandtl_7</t>
  </si>
  <si>
    <t>Prandtl_8</t>
  </si>
  <si>
    <t>Vapour viscosity</t>
  </si>
  <si>
    <t>Air viscosity</t>
  </si>
  <si>
    <t>Temperature</t>
  </si>
  <si>
    <t>Viscosity vapour_1</t>
  </si>
  <si>
    <t>Viscosity vapour_2</t>
  </si>
  <si>
    <t>Viscosity vapour_3</t>
  </si>
  <si>
    <t>Viscosity vapour_4</t>
  </si>
  <si>
    <t>Viscosity vapour_5</t>
  </si>
  <si>
    <t>Viscosity vapour_6</t>
  </si>
  <si>
    <t>Viscosity vapour_7</t>
  </si>
  <si>
    <t>Viscosity vapour_8</t>
  </si>
  <si>
    <t>Viscosity_air_1</t>
  </si>
  <si>
    <t>Viscosity_air_2</t>
  </si>
  <si>
    <t>Viscosity_air_3</t>
  </si>
  <si>
    <t>Viscosity_air_4</t>
  </si>
  <si>
    <t>Viscosity_air_5</t>
  </si>
  <si>
    <t>Viscosity_air_6</t>
  </si>
  <si>
    <t>Viscosity_air_7</t>
  </si>
  <si>
    <t>Viscosity_air_8</t>
  </si>
  <si>
    <t>10^6</t>
  </si>
  <si>
    <t>Dynamic Viscosity</t>
  </si>
  <si>
    <t>Kinematic Viscosity</t>
  </si>
  <si>
    <t>[°C]</t>
  </si>
  <si>
    <t>[μPa s],</t>
  </si>
  <si>
    <r>
      <t>[N s/m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*10 </t>
    </r>
    <r>
      <rPr>
        <b/>
        <vertAlign val="superscript"/>
        <sz val="8.8000000000000007"/>
        <color rgb="FF000000"/>
        <rFont val="Arial"/>
        <family val="2"/>
      </rPr>
      <t>-6 </t>
    </r>
    <r>
      <rPr>
        <b/>
        <sz val="8.8000000000000007"/>
        <color rgb="FF000000"/>
        <rFont val="Arial"/>
        <family val="2"/>
      </rPr>
      <t>]</t>
    </r>
  </si>
  <si>
    <t>[cP],</t>
  </si>
  <si>
    <t>[mPa s]</t>
  </si>
  <si>
    <r>
      <t>[lb </t>
    </r>
    <r>
      <rPr>
        <b/>
        <vertAlign val="subscript"/>
        <sz val="8.8000000000000007"/>
        <color rgb="FF000000"/>
        <rFont val="Arial"/>
        <family val="2"/>
      </rPr>
      <t>f </t>
    </r>
    <r>
      <rPr>
        <b/>
        <sz val="8.8000000000000007"/>
        <color rgb="FF000000"/>
        <rFont val="Arial"/>
        <family val="2"/>
      </rPr>
      <t>s/ft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*10-6]</t>
    </r>
  </si>
  <si>
    <r>
      <t>[lb </t>
    </r>
    <r>
      <rPr>
        <b/>
        <vertAlign val="subscript"/>
        <sz val="8.8000000000000007"/>
        <color rgb="FF000000"/>
        <rFont val="Arial"/>
        <family val="2"/>
      </rPr>
      <t>m </t>
    </r>
    <r>
      <rPr>
        <b/>
        <sz val="8.8000000000000007"/>
        <color rgb="FF000000"/>
        <rFont val="Arial"/>
        <family val="2"/>
      </rPr>
      <t>/ft h]</t>
    </r>
  </si>
  <si>
    <t>[cSt],</t>
  </si>
  <si>
    <r>
      <t>[m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/s *10 </t>
    </r>
    <r>
      <rPr>
        <b/>
        <vertAlign val="superscript"/>
        <sz val="8.8000000000000007"/>
        <color rgb="FF000000"/>
        <rFont val="Arial"/>
        <family val="2"/>
      </rPr>
      <t>-6 </t>
    </r>
    <r>
      <rPr>
        <b/>
        <sz val="8.8000000000000007"/>
        <color rgb="FF000000"/>
        <rFont val="Arial"/>
        <family val="2"/>
      </rPr>
      <t>]</t>
    </r>
  </si>
  <si>
    <r>
      <t>[ft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/s*10 </t>
    </r>
    <r>
      <rPr>
        <b/>
        <vertAlign val="superscript"/>
        <sz val="8.8000000000000007"/>
        <color rgb="FF000000"/>
        <rFont val="Arial"/>
        <family val="2"/>
      </rPr>
      <t>-4 </t>
    </r>
    <r>
      <rPr>
        <b/>
        <sz val="8.8000000000000007"/>
        <color rgb="FF000000"/>
        <rFont val="Arial"/>
        <family val="2"/>
      </rPr>
      <t>]</t>
    </r>
  </si>
  <si>
    <t>VISCOSITY_VAPOUR [μPa s]</t>
  </si>
  <si>
    <t>Viscosity mix_1</t>
  </si>
  <si>
    <t>Viscosity mix_2</t>
  </si>
  <si>
    <t>Viscosity mix_3</t>
  </si>
  <si>
    <t>Viscosity mix_4</t>
  </si>
  <si>
    <t>Viscosity mix_5</t>
  </si>
  <si>
    <t>Viscosity mix_6</t>
  </si>
  <si>
    <t>Viscosity mix_7</t>
  </si>
  <si>
    <t>Viscosity mix_8</t>
  </si>
  <si>
    <t>AIR</t>
  </si>
  <si>
    <t>Water</t>
  </si>
  <si>
    <t>VISCOSITY_AIR [μPa s]</t>
  </si>
  <si>
    <t>Absolute</t>
  </si>
  <si>
    <t>pressure</t>
  </si>
  <si>
    <t>Boiling point</t>
  </si>
  <si>
    <t>Specific volume (steam)</t>
  </si>
  <si>
    <t>Density (steam)</t>
  </si>
  <si>
    <t>Specific enthalpy</t>
  </si>
  <si>
    <t>of liquid water (sensible heat)</t>
  </si>
  <si>
    <t>Specific enthalpy of steam</t>
  </si>
  <si>
    <t>(total heat)</t>
  </si>
  <si>
    <t>Latent heat of vaporization</t>
  </si>
  <si>
    <t>Specific heat</t>
  </si>
  <si>
    <t>Dynamic viscosity</t>
  </si>
  <si>
    <t>bar</t>
  </si>
  <si>
    <t>°C</t>
  </si>
  <si>
    <t>m3/kg</t>
  </si>
  <si>
    <t>kg/m3</t>
  </si>
  <si>
    <t>kj/kg</t>
  </si>
  <si>
    <t>Kcal/kg</t>
  </si>
  <si>
    <t>kj/kg.K</t>
  </si>
  <si>
    <t>kg/m.s</t>
  </si>
  <si>
    <t>VISCOSITY_MIX[μPa s]</t>
  </si>
  <si>
    <t>RE_MINE</t>
  </si>
  <si>
    <t>Re_mine_1</t>
  </si>
  <si>
    <t>Re_mine_2</t>
  </si>
  <si>
    <t>Re_mine_3</t>
  </si>
  <si>
    <t>Re_mine_4</t>
  </si>
  <si>
    <t>Re_mine_5</t>
  </si>
  <si>
    <t>Re_mine_6</t>
  </si>
  <si>
    <t>Re_mine_7</t>
  </si>
  <si>
    <t>Re_mine_8</t>
  </si>
  <si>
    <t>NUSSELT</t>
  </si>
  <si>
    <t>Nusselt_1</t>
  </si>
  <si>
    <t>Nusselt_2</t>
  </si>
  <si>
    <t>Nusselt_3</t>
  </si>
  <si>
    <t>Nusselt_4</t>
  </si>
  <si>
    <t>Nusselt_5</t>
  </si>
  <si>
    <t>Nusselt_6</t>
  </si>
  <si>
    <t>Nusselt_7</t>
  </si>
  <si>
    <t>Nusselt_8</t>
  </si>
  <si>
    <t>Heat_transfer_coefficient_1</t>
  </si>
  <si>
    <t>Heat_transfer_coefficient_2</t>
  </si>
  <si>
    <t>Heat_transfer_coefficient_3</t>
  </si>
  <si>
    <t>Heat_transfer_coefficient_4</t>
  </si>
  <si>
    <t>Heat_transfer_coefficient_5</t>
  </si>
  <si>
    <t>Heat_transfer_coefficient_6</t>
  </si>
  <si>
    <t>Heat_transfer_coefficient_7</t>
  </si>
  <si>
    <t>Heat_transfer_coefficient_8</t>
  </si>
  <si>
    <r>
      <t>HEAT TRANSFER COEFFICIENT [W/m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K]</t>
    </r>
  </si>
  <si>
    <t>PHI_av1</t>
  </si>
  <si>
    <t>PHI_av2</t>
  </si>
  <si>
    <t>PHI_av3</t>
  </si>
  <si>
    <t>PHI_av4</t>
  </si>
  <si>
    <t>PHI_av5</t>
  </si>
  <si>
    <t>PHI_av6</t>
  </si>
  <si>
    <t>PHI_av7</t>
  </si>
  <si>
    <t>PHI_av8</t>
  </si>
  <si>
    <t>PHI_va1</t>
  </si>
  <si>
    <t>PHI_va2</t>
  </si>
  <si>
    <t>PHI_va3</t>
  </si>
  <si>
    <t>PHI_va4</t>
  </si>
  <si>
    <t>PHI_va5</t>
  </si>
  <si>
    <t>PHI_va6</t>
  </si>
  <si>
    <t>PHI_va7</t>
  </si>
  <si>
    <t>PHI_va8</t>
  </si>
  <si>
    <t>PHI_AV</t>
  </si>
  <si>
    <t>PHI_VA</t>
  </si>
  <si>
    <t>Density [kg/m3]</t>
  </si>
  <si>
    <t>Temp. [°C]</t>
  </si>
  <si>
    <t>Dyn. Viscosity [mPa.s]</t>
  </si>
  <si>
    <t>Kin. Viscosity [mm²/s]</t>
  </si>
  <si>
    <t>Density [g/cm³]</t>
  </si>
  <si>
    <t>Viscosity [Pa.s]</t>
  </si>
  <si>
    <t>Reynolds</t>
  </si>
  <si>
    <t>State</t>
  </si>
  <si>
    <t>of water</t>
  </si>
  <si>
    <t>Thermal conductivity</t>
  </si>
  <si>
    <t>[mW/m K]</t>
  </si>
  <si>
    <t>[kcal(IT)/(h m K)]</t>
  </si>
  <si>
    <t>[Btu(IT)/(h ft °F)]</t>
  </si>
  <si>
    <t>Thermal conductivity [W/m.K]</t>
  </si>
  <si>
    <r>
      <t>Isochoric Specific Heat (C </t>
    </r>
    <r>
      <rPr>
        <b/>
        <vertAlign val="subscript"/>
        <sz val="8.8000000000000007"/>
        <color rgb="FF000000"/>
        <rFont val="Arial"/>
        <family val="2"/>
      </rPr>
      <t>v </t>
    </r>
    <r>
      <rPr>
        <b/>
        <sz val="8.8000000000000007"/>
        <color rgb="FF000000"/>
        <rFont val="Arial"/>
        <family val="2"/>
      </rPr>
      <t>)</t>
    </r>
  </si>
  <si>
    <r>
      <t>Isobaric Specific Heat (C </t>
    </r>
    <r>
      <rPr>
        <b/>
        <vertAlign val="subscript"/>
        <sz val="8.8000000000000007"/>
        <color rgb="FF000000"/>
        <rFont val="Arial"/>
        <family val="2"/>
      </rPr>
      <t>p </t>
    </r>
    <r>
      <rPr>
        <b/>
        <sz val="8.8000000000000007"/>
        <color rgb="FF000000"/>
        <rFont val="Arial"/>
        <family val="2"/>
      </rPr>
      <t>)</t>
    </r>
  </si>
  <si>
    <t>[J/(mol K)]</t>
  </si>
  <si>
    <t>[kJ/(kg K)]</t>
  </si>
  <si>
    <t>[kWh/(kg K)]</t>
  </si>
  <si>
    <t>[kcal/(kg K)]</t>
  </si>
  <si>
    <t>Specific heat [J/(kg K)]</t>
  </si>
  <si>
    <t>Thermal diffusivity [m2/s]</t>
  </si>
  <si>
    <t>Prandtl</t>
  </si>
  <si>
    <t>X_</t>
  </si>
  <si>
    <t>M_NU</t>
  </si>
  <si>
    <t>L_NU</t>
  </si>
  <si>
    <t>Nusselt</t>
  </si>
  <si>
    <t>Heat transfer coefficient</t>
  </si>
  <si>
    <t>=</t>
  </si>
  <si>
    <t>T_i</t>
  </si>
  <si>
    <t>K_m</t>
  </si>
  <si>
    <t>y_i</t>
  </si>
  <si>
    <t>eq1 [T_I]</t>
  </si>
  <si>
    <t>eq2 [y_i]</t>
  </si>
  <si>
    <t>eq3 [y_lm]</t>
  </si>
  <si>
    <t>eq4 [k_m]</t>
  </si>
  <si>
    <t>y_lm</t>
  </si>
  <si>
    <t>Interfacial mole fraction</t>
  </si>
  <si>
    <t>Interfacial temperature</t>
  </si>
  <si>
    <t>Logarithmic mole fraction</t>
  </si>
  <si>
    <t>Mass transfer coefficient</t>
  </si>
  <si>
    <t>Heat Transfer coefficient</t>
  </si>
  <si>
    <t>H_g</t>
  </si>
  <si>
    <t>t_i</t>
  </si>
  <si>
    <t>Tube coil temperature</t>
  </si>
  <si>
    <t>Y_i</t>
  </si>
  <si>
    <t>Constraints</t>
  </si>
  <si>
    <t>&gt;=</t>
  </si>
  <si>
    <t>&lt;=</t>
  </si>
  <si>
    <t>Mass of Diffussivity_4</t>
  </si>
  <si>
    <t>T_i_1</t>
  </si>
  <si>
    <t>T_i_2</t>
  </si>
  <si>
    <t>T_i_3</t>
  </si>
  <si>
    <t>T_i_4</t>
  </si>
  <si>
    <t>T_i_5</t>
  </si>
  <si>
    <t>T_i_6</t>
  </si>
  <si>
    <t>T_i_7</t>
  </si>
  <si>
    <t>T_i_8</t>
  </si>
  <si>
    <t>Difference</t>
  </si>
  <si>
    <t>Suspicious values</t>
  </si>
  <si>
    <r>
      <t>Temperature [</t>
    </r>
    <r>
      <rPr>
        <b/>
        <sz val="6"/>
        <color rgb="FFD3D3D3"/>
        <rFont val="Arial"/>
        <family val="2"/>
      </rPr>
      <t>O</t>
    </r>
    <r>
      <rPr>
        <b/>
        <sz val="8"/>
        <color rgb="FFD3D3D3"/>
        <rFont val="Arial"/>
        <family val="2"/>
      </rPr>
      <t>C]</t>
    </r>
  </si>
  <si>
    <t>Pressure [bar]</t>
  </si>
  <si>
    <r>
      <t>c</t>
    </r>
    <r>
      <rPr>
        <b/>
        <sz val="6"/>
        <color rgb="FFD3D3D3"/>
        <rFont val="Arial"/>
        <family val="2"/>
      </rPr>
      <t>p</t>
    </r>
    <r>
      <rPr>
        <b/>
        <sz val="8"/>
        <color rgb="FFD3D3D3"/>
        <rFont val="Arial"/>
        <family val="2"/>
      </rPr>
      <t> [kJ/kgK]</t>
    </r>
  </si>
  <si>
    <t>ρ [kg/m3]</t>
  </si>
  <si>
    <r>
      <t>μ*10</t>
    </r>
    <r>
      <rPr>
        <b/>
        <sz val="6"/>
        <color rgb="FFD3D3D3"/>
        <rFont val="Arial"/>
        <family val="2"/>
      </rPr>
      <t>6</t>
    </r>
    <r>
      <rPr>
        <b/>
        <sz val="8"/>
        <color rgb="FFD3D3D3"/>
        <rFont val="Arial"/>
        <family val="2"/>
      </rPr>
      <t> [Pa*s]</t>
    </r>
  </si>
  <si>
    <r>
      <t>ν*10</t>
    </r>
    <r>
      <rPr>
        <b/>
        <sz val="6"/>
        <color rgb="FFD3D3D3"/>
        <rFont val="Arial"/>
        <family val="2"/>
      </rPr>
      <t>6</t>
    </r>
    <r>
      <rPr>
        <b/>
        <sz val="8"/>
        <color rgb="FFD3D3D3"/>
        <rFont val="Arial"/>
        <family val="2"/>
      </rPr>
      <t> [m2/s]</t>
    </r>
  </si>
  <si>
    <t>t</t>
  </si>
  <si>
    <t>p</t>
  </si>
  <si>
    <t>ρ</t>
  </si>
  <si>
    <r>
      <t>c</t>
    </r>
    <r>
      <rPr>
        <sz val="6"/>
        <color rgb="FF000000"/>
        <rFont val="Arial"/>
        <family val="2"/>
      </rPr>
      <t>p</t>
    </r>
  </si>
  <si>
    <r>
      <t>μ *10</t>
    </r>
    <r>
      <rPr>
        <sz val="6"/>
        <color rgb="FF000000"/>
        <rFont val="Arial"/>
        <family val="2"/>
      </rPr>
      <t>6</t>
    </r>
  </si>
  <si>
    <r>
      <t>ν *10</t>
    </r>
    <r>
      <rPr>
        <sz val="6"/>
        <color rgb="FF000000"/>
        <rFont val="Arial"/>
        <family val="2"/>
      </rPr>
      <t>6</t>
    </r>
  </si>
  <si>
    <r>
      <t>[</t>
    </r>
    <r>
      <rPr>
        <sz val="6"/>
        <color rgb="FF000000"/>
        <rFont val="Arial"/>
        <family val="2"/>
      </rPr>
      <t>O</t>
    </r>
    <r>
      <rPr>
        <sz val="8"/>
        <color rgb="FF000000"/>
        <rFont val="Arial"/>
        <family val="2"/>
      </rPr>
      <t> C]</t>
    </r>
  </si>
  <si>
    <t>[bar]</t>
  </si>
  <si>
    <r>
      <t>[kg/m</t>
    </r>
    <r>
      <rPr>
        <sz val="6"/>
        <color rgb="FF000000"/>
        <rFont val="Arial"/>
        <family val="2"/>
      </rPr>
      <t>3</t>
    </r>
    <r>
      <rPr>
        <sz val="8"/>
        <color rgb="FF000000"/>
        <rFont val="Arial"/>
        <family val="2"/>
      </rPr>
      <t>]</t>
    </r>
  </si>
  <si>
    <t>[kJ/kgK]</t>
  </si>
  <si>
    <t>[Pas]</t>
  </si>
  <si>
    <r>
      <t>[m</t>
    </r>
    <r>
      <rPr>
        <sz val="6"/>
        <color rgb="FF000000"/>
        <rFont val="Arial"/>
        <family val="2"/>
      </rPr>
      <t>2</t>
    </r>
    <r>
      <rPr>
        <sz val="8"/>
        <color rgb="FF000000"/>
        <rFont val="Arial"/>
        <family val="2"/>
      </rPr>
      <t>/s]</t>
    </r>
  </si>
  <si>
    <t>Y_I_1</t>
  </si>
  <si>
    <t>Y_I_2</t>
  </si>
  <si>
    <t>Y_I_3</t>
  </si>
  <si>
    <t>Y_I_4</t>
  </si>
  <si>
    <t>Y_I_5</t>
  </si>
  <si>
    <t>Y_I_6</t>
  </si>
  <si>
    <t>Y_I_7</t>
  </si>
  <si>
    <t>Y_I_8</t>
  </si>
  <si>
    <t>t_i_1</t>
  </si>
  <si>
    <t>t_i_2</t>
  </si>
  <si>
    <t>t_i_3</t>
  </si>
  <si>
    <t>t_i_4</t>
  </si>
  <si>
    <t>t_i_5</t>
  </si>
  <si>
    <t>t_i_6</t>
  </si>
  <si>
    <t>t_i_7</t>
  </si>
  <si>
    <t>t_i_8</t>
  </si>
  <si>
    <t>K_m_1</t>
  </si>
  <si>
    <t>K_m_2</t>
  </si>
  <si>
    <t>K_m_3</t>
  </si>
  <si>
    <t>K_m_4</t>
  </si>
  <si>
    <t>K_m_5</t>
  </si>
  <si>
    <t>K_m_6</t>
  </si>
  <si>
    <t>K_m_7</t>
  </si>
  <si>
    <t>K_m_8</t>
  </si>
  <si>
    <t>SCHMIDT NUMBER</t>
  </si>
  <si>
    <t>SCH_1</t>
  </si>
  <si>
    <t>SCH_2</t>
  </si>
  <si>
    <t>SCH_3</t>
  </si>
  <si>
    <t>SCH_4</t>
  </si>
  <si>
    <t>SCH_5</t>
  </si>
  <si>
    <t>SCH_6</t>
  </si>
  <si>
    <t>SCH_7</t>
  </si>
  <si>
    <t>SCH_8</t>
  </si>
  <si>
    <t>SHERWOOD</t>
  </si>
  <si>
    <t>SH_1</t>
  </si>
  <si>
    <t>SH_2</t>
  </si>
  <si>
    <t>SH_3</t>
  </si>
  <si>
    <t>SH_4</t>
  </si>
  <si>
    <t>SH_5</t>
  </si>
  <si>
    <t>SH_6</t>
  </si>
  <si>
    <t>SH_7</t>
  </si>
  <si>
    <t>SH_8</t>
  </si>
  <si>
    <t>01.31.2023</t>
  </si>
  <si>
    <t>Temeprature</t>
  </si>
  <si>
    <t>Thermal conductivity of steam</t>
  </si>
  <si>
    <t>THERMAL CONDUCTIVITY OF AIR</t>
  </si>
  <si>
    <t>Thermal conductivity_air_1</t>
  </si>
  <si>
    <t>Thermal conductivity_air_2</t>
  </si>
  <si>
    <t>Thermal conductivity_air_3</t>
  </si>
  <si>
    <t>Thermal conductivity_air_4</t>
  </si>
  <si>
    <t>Thermal conductivity_air_5</t>
  </si>
  <si>
    <t>Thermal conductivity_air_6</t>
  </si>
  <si>
    <t>Thermal conductivity_air_7</t>
  </si>
  <si>
    <t>Thermal conductivity_air_8</t>
  </si>
  <si>
    <t>Thermal conductivity_vapour_1</t>
  </si>
  <si>
    <t>Thermal conductivity_vapour_2</t>
  </si>
  <si>
    <t>Thermal conductivity_vapour_3</t>
  </si>
  <si>
    <t>Thermal conductivity_vapour_4</t>
  </si>
  <si>
    <t>Thermal conductivity_vapour_5</t>
  </si>
  <si>
    <t>Thermal conductivity_vapour_6</t>
  </si>
  <si>
    <t>Thermal conductivity_vapour_7</t>
  </si>
  <si>
    <t>Thermal conductivity_vapour_8</t>
  </si>
  <si>
    <t>THERMAL CONDUCTIVITY OF VAPOUR</t>
  </si>
  <si>
    <t>Viscosity_1</t>
  </si>
  <si>
    <t>Viscosity_2</t>
  </si>
  <si>
    <t>Viscosity_3</t>
  </si>
  <si>
    <t>Viscosity_4</t>
  </si>
  <si>
    <t>Viscosity_5</t>
  </si>
  <si>
    <t>Viscosity_6</t>
  </si>
  <si>
    <t>Viscosity_7</t>
  </si>
  <si>
    <t>Viscosity_8</t>
  </si>
  <si>
    <t>Reynolds_1</t>
  </si>
  <si>
    <t>Reynolds_2</t>
  </si>
  <si>
    <t>Reynolds_3</t>
  </si>
  <si>
    <t>Reynolds_4</t>
  </si>
  <si>
    <t>Reynolds_5</t>
  </si>
  <si>
    <t>Reynolds_6</t>
  </si>
  <si>
    <t>Reynolds_7</t>
  </si>
  <si>
    <t>Reynolds_8</t>
  </si>
  <si>
    <t>Thermal conductivity_1</t>
  </si>
  <si>
    <t>Thermal conductivity_2</t>
  </si>
  <si>
    <t>Thermal conductivity_3</t>
  </si>
  <si>
    <t>Thermal conductivity_4</t>
  </si>
  <si>
    <t>Thermal conductivity_5</t>
  </si>
  <si>
    <t>Thermal conductivity_6</t>
  </si>
  <si>
    <t>Thermal conductivity_7</t>
  </si>
  <si>
    <t>Thermal conductivity_8</t>
  </si>
  <si>
    <t>Specific heat_1</t>
  </si>
  <si>
    <t>Specific heat_2</t>
  </si>
  <si>
    <t>Specific heat_3</t>
  </si>
  <si>
    <t>Specific heat_4</t>
  </si>
  <si>
    <t>Specific heat_5</t>
  </si>
  <si>
    <t>Specific heat_6</t>
  </si>
  <si>
    <t>Specific heat_7</t>
  </si>
  <si>
    <t>Specific heat_8</t>
  </si>
  <si>
    <t>X_1</t>
  </si>
  <si>
    <t>X_2</t>
  </si>
  <si>
    <t>X_3</t>
  </si>
  <si>
    <t>X_4</t>
  </si>
  <si>
    <t>X_5</t>
  </si>
  <si>
    <t>X_6</t>
  </si>
  <si>
    <t>X_7</t>
  </si>
  <si>
    <t>X_8</t>
  </si>
  <si>
    <t>Nussselt_1</t>
  </si>
  <si>
    <t>Nussselt_2</t>
  </si>
  <si>
    <t>Nussselt_3</t>
  </si>
  <si>
    <t>Nussselt_4</t>
  </si>
  <si>
    <t>Nussselt_5</t>
  </si>
  <si>
    <t>Nussselt_6</t>
  </si>
  <si>
    <t>Nussselt_7</t>
  </si>
  <si>
    <t>Nussselt_8</t>
  </si>
  <si>
    <t>Heat transfer coefficient_1</t>
  </si>
  <si>
    <t>Heat transfer coefficient_2</t>
  </si>
  <si>
    <t>Heat transfer coefficient_3</t>
  </si>
  <si>
    <t>Heat transfer coefficient_4</t>
  </si>
  <si>
    <t>Heat transfer coefficient_5</t>
  </si>
  <si>
    <t>Heat transfer coefficient_6</t>
  </si>
  <si>
    <t>Heat transfer coefficient_7</t>
  </si>
  <si>
    <t>Heat transfer coefficient_8</t>
  </si>
  <si>
    <t>Density (0-100°C at 1 atm, &gt;100 °C at saturation pressure )</t>
  </si>
  <si>
    <t>Specific weight</t>
  </si>
  <si>
    <t>Thermal expansion coefficient</t>
  </si>
  <si>
    <t>Mole fraction of air</t>
  </si>
  <si>
    <t>Mole fraction of air_1</t>
  </si>
  <si>
    <t>Mole fraction of air_2</t>
  </si>
  <si>
    <t>Mole fraction of air_3</t>
  </si>
  <si>
    <t>Mole fraction of air_4</t>
  </si>
  <si>
    <t>Mole fraction of air_5</t>
  </si>
  <si>
    <t>Mole fraction of air_6</t>
  </si>
  <si>
    <t>Mole fraction of air_7</t>
  </si>
  <si>
    <t>Mole fraction of air_8</t>
  </si>
  <si>
    <t>V</t>
  </si>
  <si>
    <t>Enthalpy of dry air_1</t>
  </si>
  <si>
    <t>Enthalpy of dry air_2</t>
  </si>
  <si>
    <t>Enthalpy of dry air_3</t>
  </si>
  <si>
    <t>Enthalpy of dry air_4</t>
  </si>
  <si>
    <t>Enthalpy of dry air_5</t>
  </si>
  <si>
    <t>Enthalpy of dry air_6</t>
  </si>
  <si>
    <t>Enthalpy of dry air_7</t>
  </si>
  <si>
    <t>Enthalpy of dry air_8</t>
  </si>
  <si>
    <t>ENTHALPY OF DRY AIR [Kj/Kg]</t>
  </si>
  <si>
    <t>Enthalpy of Water vapour_1</t>
  </si>
  <si>
    <t>Enthalpy of Water vapour_2</t>
  </si>
  <si>
    <t>Enthalpy of Water vapour_3</t>
  </si>
  <si>
    <t>Enthalpy of Water vapour_4</t>
  </si>
  <si>
    <t>Enthalpy of Water vapour_5</t>
  </si>
  <si>
    <t>Enthalpy of Water vapour_6</t>
  </si>
  <si>
    <t>Enthalpy of Water vapour_7</t>
  </si>
  <si>
    <t>Enthalpy of Water vapour_8</t>
  </si>
  <si>
    <t>ENTHALPY OF WATER VAPOUR[Kj/Kg]</t>
  </si>
  <si>
    <t>LATENT HEAT OF VAPOURIZATION [KJ/Kg]</t>
  </si>
  <si>
    <t>Latent Heat of Vapourization</t>
  </si>
  <si>
    <t>Temperature decrease of the mixture_9</t>
  </si>
  <si>
    <t>Temperature increase of the cooling water_9</t>
  </si>
  <si>
    <t>Effectivness</t>
  </si>
  <si>
    <t>Time</t>
  </si>
  <si>
    <t>Condensation flow rate(Kg/min)</t>
  </si>
  <si>
    <t>M_m</t>
  </si>
  <si>
    <t>M_m1</t>
  </si>
  <si>
    <t>M_m2</t>
  </si>
  <si>
    <t>M_m3</t>
  </si>
  <si>
    <t>M_m4</t>
  </si>
  <si>
    <t>M_m5</t>
  </si>
  <si>
    <t>M_m6</t>
  </si>
  <si>
    <t>M_m7</t>
  </si>
  <si>
    <t>M_m8</t>
  </si>
  <si>
    <t>Mass_of_diffusivity_air_1</t>
  </si>
  <si>
    <t>Mass_of_diffusivity_air_2</t>
  </si>
  <si>
    <t>Mass_of_diffusivity_air_3</t>
  </si>
  <si>
    <t>Mass_of_diffusivity_air_4</t>
  </si>
  <si>
    <t>Mass_of_diffusivity_air_5</t>
  </si>
  <si>
    <t>Mass_of_diffusivity_air_6</t>
  </si>
  <si>
    <t>Mass_of_diffusivity_air_7</t>
  </si>
  <si>
    <t>Mass_of_diffusivity_air_8</t>
  </si>
  <si>
    <t>MASS OF DIFFUSSIVITY  [m/s]</t>
  </si>
  <si>
    <t>MASS OF DIFFUSSIVITY OF AIR[m/s]</t>
  </si>
  <si>
    <t>f_1</t>
  </si>
  <si>
    <t>f_2</t>
  </si>
  <si>
    <t>f_3</t>
  </si>
  <si>
    <t>f_4</t>
  </si>
  <si>
    <t>f_5</t>
  </si>
  <si>
    <t>f_6</t>
  </si>
  <si>
    <t>f_7</t>
  </si>
  <si>
    <t>f_8</t>
  </si>
  <si>
    <t>F</t>
  </si>
  <si>
    <t xml:space="preserve">64.492	</t>
  </si>
  <si>
    <t>Re_vapour</t>
  </si>
  <si>
    <t>Pr_vapour</t>
  </si>
  <si>
    <t>Nusslet_vapour</t>
  </si>
  <si>
    <t>Heat transfer_vapour</t>
  </si>
  <si>
    <t>Viscosity_wall</t>
  </si>
  <si>
    <t>STD</t>
  </si>
  <si>
    <t>Percent</t>
  </si>
  <si>
    <t>Summtion</t>
  </si>
  <si>
    <t>Perc</t>
  </si>
  <si>
    <t>Average of total heat transferred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</si>
</sst>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"/>
    <numFmt numFmtId="166" formatCode="0.000"/>
    <numFmt numFmtId="167" formatCode="0.0000"/>
  </numFmts>
  <fonts count="42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b/>
      <vertAlign val="subscript"/>
      <sz val="11"/>
      <color theme="1"/>
      <name val="Calibri"/>
      <family val="2"/>
      <charset val="186"/>
      <scheme val="minor"/>
    </font>
    <font>
      <b/>
      <vertAlign val="superscript"/>
      <sz val="11"/>
      <color theme="1"/>
      <name val="Calibri"/>
      <family val="2"/>
      <charset val="186"/>
      <scheme val="minor"/>
    </font>
    <font>
      <strike/>
      <sz val="11"/>
      <color theme="1"/>
      <name val="Calibri"/>
      <family val="2"/>
      <charset val="186"/>
      <scheme val="minor"/>
    </font>
    <font>
      <b/>
      <sz val="11"/>
      <color rgb="FFFF000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b/>
      <sz val="11"/>
      <color theme="1"/>
      <name val="Calibri"/>
      <family val="2"/>
      <charset val="186"/>
    </font>
    <font>
      <sz val="11"/>
      <name val="Calibri"/>
      <family val="2"/>
      <charset val="186"/>
      <scheme val="minor"/>
    </font>
    <font>
      <sz val="9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name val="Calibri"/>
      <family val="2"/>
      <scheme val="minor"/>
    </font>
    <font>
      <sz val="10"/>
      <color rgb="FF374151"/>
      <name val="Segoe UI"/>
      <family val="2"/>
    </font>
    <font>
      <b/>
      <sz val="11"/>
      <color theme="6" tint="0.79998168889431442"/>
      <name val="Calibri"/>
      <family val="2"/>
      <scheme val="minor"/>
    </font>
    <font>
      <u/>
      <sz val="11"/>
      <color theme="10"/>
      <name val="Calibri"/>
      <family val="2"/>
      <charset val="186"/>
      <scheme val="minor"/>
    </font>
    <font>
      <sz val="8"/>
      <color rgb="FF000000"/>
      <name val="Arial"/>
      <family val="2"/>
    </font>
    <font>
      <b/>
      <sz val="11"/>
      <name val="Calibri"/>
      <family val="2"/>
      <scheme val="minor"/>
    </font>
    <font>
      <sz val="8.8000000000000007"/>
      <color rgb="FF000000"/>
      <name val="Arial"/>
      <family val="2"/>
    </font>
    <font>
      <b/>
      <sz val="8.8000000000000007"/>
      <color rgb="FF000000"/>
      <name val="Arial"/>
      <family val="2"/>
    </font>
    <font>
      <b/>
      <vertAlign val="superscript"/>
      <sz val="8.8000000000000007"/>
      <color rgb="FF000000"/>
      <name val="Arial"/>
      <family val="2"/>
    </font>
    <font>
      <b/>
      <vertAlign val="subscript"/>
      <sz val="8.8000000000000007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rgb="FF333333"/>
      <name val="Arial"/>
      <family val="2"/>
    </font>
    <font>
      <i/>
      <sz val="8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8"/>
      <color rgb="FF5A5A5A"/>
      <name val="Arial"/>
      <family val="2"/>
    </font>
    <font>
      <sz val="8"/>
      <color rgb="FF5A5A5A"/>
      <name val="Arial"/>
      <family val="2"/>
    </font>
    <font>
      <sz val="8"/>
      <color rgb="FF000000"/>
      <name val="Courier New"/>
      <family val="3"/>
    </font>
    <font>
      <b/>
      <sz val="8"/>
      <color rgb="FFD3D3D3"/>
      <name val="Arial"/>
      <family val="2"/>
    </font>
    <font>
      <b/>
      <sz val="6"/>
      <color rgb="FFD3D3D3"/>
      <name val="Arial"/>
      <family val="2"/>
    </font>
    <font>
      <sz val="8"/>
      <color rgb="FFD3D3D3"/>
      <name val="Arial"/>
      <family val="2"/>
    </font>
    <font>
      <sz val="6"/>
      <color rgb="FF000000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F8F8F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F5792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 style="medium">
        <color rgb="FFCCCCCC"/>
      </left>
      <right/>
      <top style="medium">
        <color rgb="FFC0C0C0"/>
      </top>
      <bottom style="medium">
        <color rgb="FFCCCCCC"/>
      </bottom>
      <diagonal/>
    </border>
    <border>
      <left/>
      <right/>
      <top style="medium">
        <color rgb="FFC0C0C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/>
      <diagonal/>
    </border>
    <border>
      <left style="medium">
        <color rgb="FFC0C0C0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0C0C0"/>
      </right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/>
      <top/>
      <bottom/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0C0C0"/>
      </top>
      <bottom/>
      <diagonal/>
    </border>
    <border>
      <left style="medium">
        <color rgb="FFCCCCCC"/>
      </left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/>
      <bottom/>
      <diagonal/>
    </border>
    <border>
      <left style="medium">
        <color rgb="FFC0C0C0"/>
      </left>
      <right style="medium">
        <color rgb="FFCCCCCC"/>
      </right>
      <top/>
      <bottom style="medium">
        <color rgb="FFC0C0C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rgb="FF3F5792"/>
      </bottom>
      <diagonal/>
    </border>
    <border>
      <left style="medium">
        <color rgb="FFE0E0E0"/>
      </left>
      <right/>
      <top style="medium">
        <color rgb="FFFFFFFF"/>
      </top>
      <bottom style="medium">
        <color rgb="FFE0E0E0"/>
      </bottom>
      <diagonal/>
    </border>
    <border>
      <left style="medium">
        <color rgb="FFE0E0E0"/>
      </left>
      <right/>
      <top style="medium">
        <color rgb="FFFFFFFF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E0E0E0"/>
      </bottom>
      <diagonal/>
    </border>
    <border>
      <left style="medium">
        <color rgb="FFE0E0E0"/>
      </left>
      <right/>
      <top style="medium">
        <color rgb="FFCCCCCC"/>
      </top>
      <bottom style="medium">
        <color rgb="FFE0E0E0"/>
      </bottom>
      <diagonal/>
    </border>
    <border>
      <left style="medium">
        <color rgb="FFE0E0E0"/>
      </left>
      <right style="medium">
        <color rgb="FFCCCCCC"/>
      </right>
      <top style="medium">
        <color rgb="FFCCCCCC"/>
      </top>
      <bottom style="medium">
        <color rgb="FFE0E0E0"/>
      </bottom>
      <diagonal/>
    </border>
    <border>
      <left style="medium">
        <color rgb="FFCCCCCC"/>
      </left>
      <right/>
      <top style="medium">
        <color rgb="FFFFFFFF"/>
      </top>
      <bottom/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/>
      <diagonal/>
    </border>
    <border>
      <left style="medium">
        <color rgb="FFCCCCCC"/>
      </left>
      <right/>
      <top style="medium">
        <color rgb="FFFFFFFF"/>
      </top>
      <bottom style="medium">
        <color rgb="FFE0E0E0"/>
      </bottom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 style="medium">
        <color rgb="FFE0E0E0"/>
      </bottom>
      <diagonal/>
    </border>
    <border>
      <left style="medium">
        <color rgb="FFCCCCCC"/>
      </left>
      <right/>
      <top style="medium">
        <color rgb="FFFFFFFF"/>
      </top>
      <bottom style="medium">
        <color rgb="FFCCCCCC"/>
      </bottom>
      <diagonal/>
    </border>
    <border>
      <left style="medium">
        <color rgb="FFE0E0E0"/>
      </left>
      <right/>
      <top style="medium">
        <color rgb="FFFFFFFF"/>
      </top>
      <bottom style="medium">
        <color rgb="FFCCCCCC"/>
      </bottom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 style="medium">
        <color rgb="FFCCCCCC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/>
      <right style="medium">
        <color rgb="FFC0C0C0"/>
      </right>
      <top/>
      <bottom style="medium">
        <color rgb="FFC0C0C0"/>
      </bottom>
      <diagonal/>
    </border>
  </borders>
  <cellStyleXfs count="11">
    <xf numFmtId="0" fontId="0" fillId="0" borderId="0"/>
    <xf numFmtId="0" fontId="3" fillId="20" borderId="0" applyNumberFormat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 applyNumberFormat="0" applyFill="0" applyBorder="0" applyAlignment="0" applyProtection="0"/>
    <xf numFmtId="9" fontId="14" fillId="0" borderId="0" applyFont="0" applyFill="0" applyBorder="0" applyAlignment="0" applyProtection="0"/>
  </cellStyleXfs>
  <cellXfs count="338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4" fontId="0" fillId="2" borderId="3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2" borderId="3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vertical="center" wrapText="1"/>
    </xf>
    <xf numFmtId="0" fontId="0" fillId="0" borderId="3" xfId="0" applyBorder="1"/>
    <xf numFmtId="1" fontId="0" fillId="2" borderId="3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0" fillId="2" borderId="0" xfId="0" applyFill="1"/>
    <xf numFmtId="0" fontId="0" fillId="2" borderId="4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10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14" fontId="0" fillId="5" borderId="0" xfId="0" applyNumberFormat="1" applyFill="1" applyAlignment="1">
      <alignment horizontal="center" vertical="center"/>
    </xf>
    <xf numFmtId="14" fontId="0" fillId="5" borderId="3" xfId="0" applyNumberFormat="1" applyFill="1" applyBorder="1" applyAlignment="1">
      <alignment horizontal="center"/>
    </xf>
    <xf numFmtId="14" fontId="0" fillId="5" borderId="3" xfId="0" applyNumberForma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4" fontId="0" fillId="5" borderId="7" xfId="0" applyNumberFormat="1" applyFill="1" applyBorder="1" applyAlignment="1">
      <alignment horizontal="center" vertical="center"/>
    </xf>
    <xf numFmtId="0" fontId="0" fillId="5" borderId="4" xfId="0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6" borderId="0" xfId="0" applyFill="1"/>
    <xf numFmtId="0" fontId="0" fillId="7" borderId="3" xfId="0" applyFill="1" applyBorder="1" applyAlignment="1">
      <alignment horizontal="center"/>
    </xf>
    <xf numFmtId="0" fontId="0" fillId="8" borderId="3" xfId="0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1" fontId="0" fillId="2" borderId="3" xfId="0" applyNumberFormat="1" applyFill="1" applyBorder="1" applyAlignment="1">
      <alignment horizontal="center" vertical="center"/>
    </xf>
    <xf numFmtId="14" fontId="0" fillId="8" borderId="3" xfId="0" applyNumberFormat="1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14" fontId="0" fillId="11" borderId="3" xfId="0" applyNumberForma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left" vertical="center" wrapText="1"/>
    </xf>
    <xf numFmtId="0" fontId="0" fillId="11" borderId="0" xfId="0" applyFill="1"/>
    <xf numFmtId="14" fontId="0" fillId="11" borderId="3" xfId="0" applyNumberForma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14" fontId="0" fillId="12" borderId="3" xfId="0" applyNumberFormat="1" applyFill="1" applyBorder="1" applyAlignment="1">
      <alignment horizontal="center" vertical="center" wrapText="1"/>
    </xf>
    <xf numFmtId="0" fontId="0" fillId="12" borderId="3" xfId="0" applyFill="1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wrapText="1"/>
    </xf>
    <xf numFmtId="0" fontId="0" fillId="12" borderId="0" xfId="0" applyFill="1"/>
    <xf numFmtId="14" fontId="0" fillId="10" borderId="3" xfId="0" applyNumberFormat="1" applyFill="1" applyBorder="1" applyAlignment="1">
      <alignment horizontal="center"/>
    </xf>
    <xf numFmtId="14" fontId="0" fillId="10" borderId="7" xfId="0" applyNumberFormat="1" applyFill="1" applyBorder="1" applyAlignment="1">
      <alignment horizontal="center" vertical="center"/>
    </xf>
    <xf numFmtId="0" fontId="9" fillId="2" borderId="0" xfId="0" applyFont="1" applyFill="1"/>
    <xf numFmtId="2" fontId="0" fillId="0" borderId="4" xfId="0" applyNumberFormat="1" applyBorder="1" applyAlignment="1">
      <alignment horizontal="center" vertical="center" wrapText="1"/>
    </xf>
    <xf numFmtId="0" fontId="0" fillId="13" borderId="3" xfId="0" applyFill="1" applyBorder="1" applyAlignment="1">
      <alignment horizontal="center"/>
    </xf>
    <xf numFmtId="14" fontId="0" fillId="13" borderId="3" xfId="0" applyNumberForma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 wrapText="1"/>
    </xf>
    <xf numFmtId="164" fontId="11" fillId="13" borderId="3" xfId="0" applyNumberFormat="1" applyFont="1" applyFill="1" applyBorder="1" applyAlignment="1">
      <alignment horizontal="center" vertical="center" wrapText="1"/>
    </xf>
    <xf numFmtId="164" fontId="11" fillId="13" borderId="4" xfId="0" applyNumberFormat="1" applyFont="1" applyFill="1" applyBorder="1" applyAlignment="1">
      <alignment horizontal="center" vertical="center" wrapText="1"/>
    </xf>
    <xf numFmtId="0" fontId="11" fillId="13" borderId="3" xfId="0" applyFont="1" applyFill="1" applyBorder="1" applyAlignment="1">
      <alignment horizontal="center"/>
    </xf>
    <xf numFmtId="14" fontId="11" fillId="13" borderId="3" xfId="0" applyNumberFormat="1" applyFont="1" applyFill="1" applyBorder="1" applyAlignment="1">
      <alignment horizontal="center"/>
    </xf>
    <xf numFmtId="164" fontId="11" fillId="13" borderId="3" xfId="0" applyNumberFormat="1" applyFon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4" fontId="11" fillId="6" borderId="3" xfId="0" applyNumberFormat="1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1" fillId="14" borderId="3" xfId="0" applyFont="1" applyFill="1" applyBorder="1" applyAlignment="1">
      <alignment horizontal="center"/>
    </xf>
    <xf numFmtId="14" fontId="11" fillId="14" borderId="3" xfId="0" applyNumberFormat="1" applyFont="1" applyFill="1" applyBorder="1" applyAlignment="1">
      <alignment horizontal="center"/>
    </xf>
    <xf numFmtId="0" fontId="11" fillId="14" borderId="3" xfId="0" applyFont="1" applyFill="1" applyBorder="1" applyAlignment="1">
      <alignment horizontal="center" vertical="center" wrapText="1"/>
    </xf>
    <xf numFmtId="0" fontId="11" fillId="14" borderId="3" xfId="0" applyFont="1" applyFill="1" applyBorder="1" applyAlignment="1">
      <alignment horizontal="center" vertical="center"/>
    </xf>
    <xf numFmtId="14" fontId="11" fillId="14" borderId="3" xfId="0" applyNumberFormat="1" applyFont="1" applyFill="1" applyBorder="1" applyAlignment="1">
      <alignment horizontal="center" vertical="center"/>
    </xf>
    <xf numFmtId="14" fontId="0" fillId="15" borderId="3" xfId="0" applyNumberFormat="1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11" fillId="15" borderId="3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11" fillId="16" borderId="3" xfId="0" applyFont="1" applyFill="1" applyBorder="1" applyAlignment="1">
      <alignment horizontal="center" vertical="center" wrapText="1"/>
    </xf>
    <xf numFmtId="0" fontId="0" fillId="16" borderId="3" xfId="0" applyFill="1" applyBorder="1" applyAlignment="1">
      <alignment horizontal="center" vertical="center"/>
    </xf>
    <xf numFmtId="14" fontId="0" fillId="16" borderId="3" xfId="0" applyNumberForma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/>
    </xf>
    <xf numFmtId="14" fontId="0" fillId="10" borderId="3" xfId="0" applyNumberFormat="1" applyFill="1" applyBorder="1" applyAlignment="1">
      <alignment horizontal="center" vertical="center"/>
    </xf>
    <xf numFmtId="0" fontId="0" fillId="17" borderId="3" xfId="0" applyFill="1" applyBorder="1" applyAlignment="1">
      <alignment horizontal="center"/>
    </xf>
    <xf numFmtId="0" fontId="11" fillId="8" borderId="3" xfId="0" applyFont="1" applyFill="1" applyBorder="1" applyAlignment="1">
      <alignment horizontal="center" vertical="center" wrapText="1"/>
    </xf>
    <xf numFmtId="0" fontId="0" fillId="8" borderId="3" xfId="0" applyFill="1" applyBorder="1"/>
    <xf numFmtId="14" fontId="0" fillId="17" borderId="3" xfId="0" applyNumberFormat="1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14" fontId="0" fillId="18" borderId="3" xfId="0" applyNumberFormat="1" applyFill="1" applyBorder="1" applyAlignment="1">
      <alignment horizontal="center"/>
    </xf>
    <xf numFmtId="0" fontId="11" fillId="18" borderId="3" xfId="0" applyFont="1" applyFill="1" applyBorder="1" applyAlignment="1">
      <alignment horizontal="center" vertical="center" wrapText="1"/>
    </xf>
    <xf numFmtId="0" fontId="11" fillId="18" borderId="3" xfId="0" applyFont="1" applyFill="1" applyBorder="1" applyAlignment="1">
      <alignment horizontal="center" vertical="center"/>
    </xf>
    <xf numFmtId="0" fontId="0" fillId="18" borderId="3" xfId="0" applyFill="1" applyBorder="1" applyAlignment="1">
      <alignment horizontal="center"/>
    </xf>
    <xf numFmtId="0" fontId="11" fillId="19" borderId="3" xfId="0" applyFont="1" applyFill="1" applyBorder="1" applyAlignment="1">
      <alignment horizontal="center" vertical="center"/>
    </xf>
    <xf numFmtId="14" fontId="0" fillId="19" borderId="3" xfId="0" applyNumberFormat="1" applyFill="1" applyBorder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164" fontId="11" fillId="6" borderId="3" xfId="0" applyNumberFormat="1" applyFont="1" applyFill="1" applyBorder="1" applyAlignment="1">
      <alignment horizontal="center" vertical="center" wrapText="1"/>
    </xf>
    <xf numFmtId="0" fontId="11" fillId="11" borderId="3" xfId="0" applyFont="1" applyFill="1" applyBorder="1" applyAlignment="1">
      <alignment horizontal="center"/>
    </xf>
    <xf numFmtId="14" fontId="11" fillId="11" borderId="3" xfId="0" applyNumberFormat="1" applyFont="1" applyFill="1" applyBorder="1" applyAlignment="1">
      <alignment horizontal="center"/>
    </xf>
    <xf numFmtId="0" fontId="11" fillId="11" borderId="3" xfId="0" applyFon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/>
    </xf>
    <xf numFmtId="0" fontId="4" fillId="8" borderId="3" xfId="0" applyFont="1" applyFill="1" applyBorder="1" applyAlignment="1">
      <alignment horizontal="left" vertical="center"/>
    </xf>
    <xf numFmtId="14" fontId="0" fillId="11" borderId="3" xfId="0" applyNumberFormat="1" applyFill="1" applyBorder="1" applyAlignment="1">
      <alignment horizontal="center"/>
    </xf>
    <xf numFmtId="1" fontId="11" fillId="6" borderId="3" xfId="0" applyNumberFormat="1" applyFont="1" applyFill="1" applyBorder="1" applyAlignment="1">
      <alignment horizontal="center" vertical="center" wrapText="1"/>
    </xf>
    <xf numFmtId="1" fontId="11" fillId="11" borderId="3" xfId="0" applyNumberFormat="1" applyFont="1" applyFill="1" applyBorder="1" applyAlignment="1">
      <alignment horizontal="center" vertical="center" wrapText="1"/>
    </xf>
    <xf numFmtId="2" fontId="11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/>
    <xf numFmtId="14" fontId="0" fillId="3" borderId="3" xfId="0" applyNumberForma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0" fillId="3" borderId="0" xfId="0" applyNumberFormat="1" applyFill="1" applyAlignment="1">
      <alignment horizontal="center" vertical="center"/>
    </xf>
    <xf numFmtId="14" fontId="11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 applyAlignment="1">
      <alignment horizontal="center"/>
    </xf>
    <xf numFmtId="14" fontId="3" fillId="20" borderId="0" xfId="1" applyNumberFormat="1"/>
    <xf numFmtId="164" fontId="3" fillId="20" borderId="0" xfId="1" applyNumberFormat="1" applyAlignment="1">
      <alignment horizontal="center"/>
    </xf>
    <xf numFmtId="0" fontId="3" fillId="20" borderId="8" xfId="1" applyBorder="1" applyAlignment="1">
      <alignment horizontal="center" vertical="center" wrapText="1"/>
    </xf>
    <xf numFmtId="0" fontId="3" fillId="20" borderId="0" xfId="1" applyBorder="1" applyAlignment="1">
      <alignment horizontal="center" vertical="center" wrapText="1"/>
    </xf>
    <xf numFmtId="165" fontId="0" fillId="2" borderId="0" xfId="0" applyNumberFormat="1" applyFill="1"/>
    <xf numFmtId="0" fontId="11" fillId="19" borderId="8" xfId="0" applyFont="1" applyFill="1" applyBorder="1" applyAlignment="1">
      <alignment horizontal="center" vertical="center" wrapText="1"/>
    </xf>
    <xf numFmtId="0" fontId="11" fillId="19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1" fillId="19" borderId="9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2" fillId="0" borderId="0" xfId="0" applyFont="1"/>
    <xf numFmtId="0" fontId="12" fillId="21" borderId="1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21" borderId="11" xfId="0" applyFont="1" applyFill="1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14" fontId="11" fillId="14" borderId="3" xfId="0" applyNumberFormat="1" applyFont="1" applyFill="1" applyBorder="1" applyAlignment="1">
      <alignment horizontal="center" vertical="center" wrapText="1"/>
    </xf>
    <xf numFmtId="2" fontId="11" fillId="14" borderId="4" xfId="0" applyNumberFormat="1" applyFont="1" applyFill="1" applyBorder="1" applyAlignment="1">
      <alignment horizontal="center" vertical="center" wrapText="1"/>
    </xf>
    <xf numFmtId="14" fontId="11" fillId="2" borderId="3" xfId="0" applyNumberFormat="1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164" fontId="11" fillId="2" borderId="4" xfId="0" applyNumberFormat="1" applyFont="1" applyFill="1" applyBorder="1" applyAlignment="1">
      <alignment horizontal="center" vertical="center" wrapText="1"/>
    </xf>
    <xf numFmtId="14" fontId="11" fillId="22" borderId="3" xfId="0" applyNumberFormat="1" applyFont="1" applyFill="1" applyBorder="1" applyAlignment="1">
      <alignment horizontal="center" vertical="center" wrapText="1"/>
    </xf>
    <xf numFmtId="0" fontId="11" fillId="22" borderId="3" xfId="0" applyFont="1" applyFill="1" applyBorder="1" applyAlignment="1">
      <alignment horizontal="center" vertical="center" wrapText="1"/>
    </xf>
    <xf numFmtId="164" fontId="11" fillId="22" borderId="3" xfId="0" applyNumberFormat="1" applyFont="1" applyFill="1" applyBorder="1" applyAlignment="1">
      <alignment horizontal="center" vertical="center" wrapText="1"/>
    </xf>
    <xf numFmtId="14" fontId="0" fillId="22" borderId="3" xfId="0" applyNumberForma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0" fillId="22" borderId="3" xfId="0" applyNumberFormat="1" applyFill="1" applyBorder="1" applyAlignment="1">
      <alignment horizontal="center"/>
    </xf>
    <xf numFmtId="14" fontId="11" fillId="3" borderId="3" xfId="0" applyNumberFormat="1" applyFont="1" applyFill="1" applyBorder="1" applyAlignment="1">
      <alignment horizontal="center" vertical="center" wrapText="1"/>
    </xf>
    <xf numFmtId="164" fontId="11" fillId="3" borderId="4" xfId="0" applyNumberFormat="1" applyFont="1" applyFill="1" applyBorder="1" applyAlignment="1">
      <alignment horizontal="center" vertical="center" wrapText="1"/>
    </xf>
    <xf numFmtId="164" fontId="11" fillId="2" borderId="3" xfId="0" applyNumberFormat="1" applyFont="1" applyFill="1" applyBorder="1" applyAlignment="1">
      <alignment horizontal="center" vertical="center" wrapText="1"/>
    </xf>
    <xf numFmtId="0" fontId="17" fillId="0" borderId="0" xfId="0" applyFont="1"/>
    <xf numFmtId="0" fontId="17" fillId="0" borderId="0" xfId="0" applyFont="1" applyAlignment="1">
      <alignment vertical="center"/>
    </xf>
    <xf numFmtId="14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4" fontId="0" fillId="13" borderId="8" xfId="0" applyNumberFormat="1" applyFill="1" applyBorder="1" applyAlignment="1">
      <alignment horizontal="center" vertical="center"/>
    </xf>
    <xf numFmtId="0" fontId="11" fillId="13" borderId="8" xfId="0" applyFont="1" applyFill="1" applyBorder="1" applyAlignment="1">
      <alignment horizontal="center" vertical="center" wrapText="1"/>
    </xf>
    <xf numFmtId="164" fontId="11" fillId="13" borderId="8" xfId="0" applyNumberFormat="1" applyFont="1" applyFill="1" applyBorder="1" applyAlignment="1">
      <alignment horizontal="center" vertical="center" wrapText="1"/>
    </xf>
    <xf numFmtId="14" fontId="0" fillId="13" borderId="9" xfId="0" applyNumberFormat="1" applyFill="1" applyBorder="1" applyAlignment="1">
      <alignment horizontal="center" vertical="center"/>
    </xf>
    <xf numFmtId="2" fontId="11" fillId="13" borderId="8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14" borderId="0" xfId="0" applyFont="1" applyFill="1" applyAlignment="1">
      <alignment horizontal="center" vertical="center" wrapText="1"/>
    </xf>
    <xf numFmtId="0" fontId="13" fillId="23" borderId="0" xfId="0" applyFont="1" applyFill="1" applyAlignment="1">
      <alignment horizontal="center" vertical="center" wrapText="1"/>
    </xf>
    <xf numFmtId="0" fontId="13" fillId="24" borderId="0" xfId="0" applyFont="1" applyFill="1" applyAlignment="1">
      <alignment horizontal="center" vertical="center" wrapText="1"/>
    </xf>
    <xf numFmtId="0" fontId="16" fillId="0" borderId="0" xfId="0" applyFont="1" applyAlignment="1">
      <alignment wrapText="1"/>
    </xf>
    <xf numFmtId="1" fontId="13" fillId="0" borderId="0" xfId="0" applyNumberFormat="1" applyFont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4" fontId="11" fillId="0" borderId="3" xfId="0" applyNumberFormat="1" applyFont="1" applyBorder="1" applyAlignment="1">
      <alignment horizontal="center" vertical="center" wrapText="1"/>
    </xf>
    <xf numFmtId="164" fontId="11" fillId="0" borderId="4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167" fontId="0" fillId="14" borderId="3" xfId="0" applyNumberFormat="1" applyFill="1" applyBorder="1" applyAlignment="1">
      <alignment horizontal="center" vertical="center" wrapText="1"/>
    </xf>
    <xf numFmtId="0" fontId="0" fillId="14" borderId="0" xfId="0" applyFill="1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14" fontId="0" fillId="2" borderId="0" xfId="0" applyNumberFormat="1" applyFill="1" applyAlignment="1">
      <alignment horizontal="center" vertical="center" wrapText="1"/>
    </xf>
    <xf numFmtId="167" fontId="0" fillId="0" borderId="3" xfId="0" applyNumberForma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25" borderId="12" xfId="0" applyFont="1" applyFill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 wrapText="1"/>
    </xf>
    <xf numFmtId="0" fontId="22" fillId="25" borderId="24" xfId="0" applyFont="1" applyFill="1" applyBorder="1" applyAlignment="1">
      <alignment horizontal="center" vertical="center" wrapText="1"/>
    </xf>
    <xf numFmtId="0" fontId="22" fillId="25" borderId="25" xfId="0" applyFont="1" applyFill="1" applyBorder="1" applyAlignment="1">
      <alignment horizontal="center" vertical="center" wrapText="1"/>
    </xf>
    <xf numFmtId="0" fontId="22" fillId="0" borderId="27" xfId="0" applyFont="1" applyBorder="1" applyAlignment="1">
      <alignment horizontal="center" vertical="center" wrapText="1"/>
    </xf>
    <xf numFmtId="0" fontId="22" fillId="0" borderId="28" xfId="0" applyFont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2" borderId="25" xfId="0" applyFont="1" applyFill="1" applyBorder="1" applyAlignment="1">
      <alignment horizontal="center" vertical="center" wrapText="1"/>
    </xf>
    <xf numFmtId="0" fontId="22" fillId="26" borderId="24" xfId="0" applyFont="1" applyFill="1" applyBorder="1" applyAlignment="1">
      <alignment horizontal="center" vertical="center" wrapText="1"/>
    </xf>
    <xf numFmtId="0" fontId="22" fillId="26" borderId="12" xfId="0" applyFont="1" applyFill="1" applyBorder="1" applyAlignment="1">
      <alignment horizontal="center" vertical="center" wrapText="1"/>
    </xf>
    <xf numFmtId="0" fontId="22" fillId="26" borderId="26" xfId="0" applyFont="1" applyFill="1" applyBorder="1" applyAlignment="1">
      <alignment horizontal="center" vertical="center" wrapText="1"/>
    </xf>
    <xf numFmtId="0" fontId="22" fillId="26" borderId="27" xfId="0" applyFont="1" applyFill="1" applyBorder="1" applyAlignment="1">
      <alignment horizontal="center" vertical="center" wrapText="1"/>
    </xf>
    <xf numFmtId="0" fontId="26" fillId="26" borderId="0" xfId="0" applyFont="1" applyFill="1"/>
    <xf numFmtId="0" fontId="27" fillId="25" borderId="0" xfId="0" applyFont="1" applyFill="1" applyAlignment="1">
      <alignment horizontal="center" vertical="center" wrapText="1"/>
    </xf>
    <xf numFmtId="0" fontId="28" fillId="25" borderId="0" xfId="0" applyFont="1" applyFill="1" applyAlignment="1">
      <alignment horizontal="center" vertical="center" wrapText="1"/>
    </xf>
    <xf numFmtId="0" fontId="28" fillId="27" borderId="0" xfId="0" applyFont="1" applyFill="1" applyAlignment="1">
      <alignment horizontal="center" vertical="center" wrapText="1"/>
    </xf>
    <xf numFmtId="0" fontId="27" fillId="27" borderId="0" xfId="0" applyFont="1" applyFill="1" applyAlignment="1">
      <alignment horizontal="center" vertical="center" wrapText="1"/>
    </xf>
    <xf numFmtId="0" fontId="29" fillId="27" borderId="0" xfId="0" applyFont="1" applyFill="1" applyAlignment="1">
      <alignment horizontal="right" vertical="center" wrapText="1"/>
    </xf>
    <xf numFmtId="0" fontId="27" fillId="27" borderId="0" xfId="0" applyFont="1" applyFill="1" applyAlignment="1">
      <alignment horizontal="right" vertical="center" wrapText="1"/>
    </xf>
    <xf numFmtId="0" fontId="19" fillId="26" borderId="0" xfId="9" applyFill="1"/>
    <xf numFmtId="0" fontId="13" fillId="13" borderId="0" xfId="0" applyFont="1" applyFill="1" applyAlignment="1">
      <alignment horizontal="center" vertical="center" wrapText="1"/>
    </xf>
    <xf numFmtId="0" fontId="13" fillId="28" borderId="0" xfId="0" applyFont="1" applyFill="1" applyAlignment="1">
      <alignment horizontal="center" vertical="center" wrapText="1"/>
    </xf>
    <xf numFmtId="0" fontId="0" fillId="28" borderId="0" xfId="0" applyFill="1" applyAlignment="1">
      <alignment horizontal="center" vertical="center" wrapText="1"/>
    </xf>
    <xf numFmtId="0" fontId="0" fillId="28" borderId="0" xfId="0" applyFill="1" applyAlignment="1">
      <alignment horizontal="center" wrapText="1"/>
    </xf>
    <xf numFmtId="0" fontId="19" fillId="28" borderId="0" xfId="9" applyFill="1" applyAlignment="1">
      <alignment horizontal="center" wrapText="1"/>
    </xf>
    <xf numFmtId="0" fontId="0" fillId="28" borderId="0" xfId="0" applyFill="1"/>
    <xf numFmtId="0" fontId="20" fillId="28" borderId="0" xfId="0" applyFont="1" applyFill="1" applyAlignment="1">
      <alignment horizontal="center" vertical="center"/>
    </xf>
    <xf numFmtId="0" fontId="23" fillId="0" borderId="22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31" fillId="27" borderId="0" xfId="0" applyFont="1" applyFill="1" applyAlignment="1">
      <alignment horizontal="left" vertical="center" wrapText="1"/>
    </xf>
    <xf numFmtId="0" fontId="31" fillId="27" borderId="29" xfId="0" applyFont="1" applyFill="1" applyBorder="1" applyAlignment="1">
      <alignment horizontal="left" vertical="center" wrapText="1"/>
    </xf>
    <xf numFmtId="0" fontId="32" fillId="27" borderId="30" xfId="0" applyFont="1" applyFill="1" applyBorder="1" applyAlignment="1">
      <alignment horizontal="left" vertical="center" wrapText="1"/>
    </xf>
    <xf numFmtId="0" fontId="32" fillId="27" borderId="31" xfId="0" applyFont="1" applyFill="1" applyBorder="1" applyAlignment="1">
      <alignment horizontal="left" vertical="center" wrapText="1"/>
    </xf>
    <xf numFmtId="0" fontId="23" fillId="0" borderId="12" xfId="0" applyFont="1" applyBorder="1" applyAlignment="1">
      <alignment horizontal="center" vertical="center" wrapText="1"/>
    </xf>
    <xf numFmtId="0" fontId="23" fillId="0" borderId="32" xfId="0" applyFont="1" applyBorder="1" applyAlignment="1">
      <alignment horizontal="center" vertical="center" wrapText="1"/>
    </xf>
    <xf numFmtId="0" fontId="23" fillId="0" borderId="33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22" fillId="0" borderId="26" xfId="0" applyFont="1" applyBorder="1" applyAlignment="1">
      <alignment horizontal="center" vertical="center" wrapText="1"/>
    </xf>
    <xf numFmtId="0" fontId="0" fillId="1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29" borderId="0" xfId="0" applyFill="1" applyAlignment="1">
      <alignment horizontal="center" vertical="center"/>
    </xf>
    <xf numFmtId="14" fontId="16" fillId="0" borderId="0" xfId="0" applyNumberFormat="1" applyFont="1" applyAlignment="1">
      <alignment horizontal="center" vertical="center" wrapText="1"/>
    </xf>
    <xf numFmtId="0" fontId="13" fillId="30" borderId="37" xfId="0" applyFont="1" applyFill="1" applyBorder="1" applyAlignment="1">
      <alignment horizontal="center" vertical="center" wrapText="1"/>
    </xf>
    <xf numFmtId="0" fontId="13" fillId="30" borderId="38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13" fillId="14" borderId="37" xfId="0" applyFont="1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 wrapText="1"/>
    </xf>
    <xf numFmtId="0" fontId="13" fillId="14" borderId="36" xfId="0" applyFont="1" applyFill="1" applyBorder="1" applyAlignment="1">
      <alignment horizontal="center" vertical="center" wrapText="1"/>
    </xf>
    <xf numFmtId="0" fontId="0" fillId="14" borderId="39" xfId="0" applyFill="1" applyBorder="1" applyAlignment="1">
      <alignment horizontal="center" vertical="center" wrapText="1"/>
    </xf>
    <xf numFmtId="0" fontId="0" fillId="14" borderId="41" xfId="0" applyFill="1" applyBorder="1" applyAlignment="1">
      <alignment horizontal="center" vertical="center" wrapText="1"/>
    </xf>
    <xf numFmtId="166" fontId="0" fillId="0" borderId="3" xfId="0" applyNumberFormat="1" applyBorder="1" applyAlignment="1">
      <alignment horizontal="center" vertical="center"/>
    </xf>
    <xf numFmtId="0" fontId="2" fillId="0" borderId="3" xfId="2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13" fillId="7" borderId="0" xfId="0" applyFont="1" applyFill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34" fillId="31" borderId="42" xfId="0" applyFont="1" applyFill="1" applyBorder="1" applyAlignment="1">
      <alignment horizontal="left" wrapText="1"/>
    </xf>
    <xf numFmtId="0" fontId="36" fillId="32" borderId="0" xfId="0" applyFont="1" applyFill="1" applyAlignment="1">
      <alignment vertical="top" wrapText="1"/>
    </xf>
    <xf numFmtId="0" fontId="36" fillId="33" borderId="0" xfId="0" applyFont="1" applyFill="1" applyAlignment="1">
      <alignment vertical="top" wrapText="1"/>
    </xf>
    <xf numFmtId="0" fontId="36" fillId="34" borderId="0" xfId="0" applyFont="1" applyFill="1" applyAlignment="1">
      <alignment vertical="top" wrapText="1"/>
    </xf>
    <xf numFmtId="0" fontId="20" fillId="36" borderId="44" xfId="0" applyFont="1" applyFill="1" applyBorder="1" applyAlignment="1">
      <alignment horizontal="left" vertical="center" wrapText="1"/>
    </xf>
    <xf numFmtId="0" fontId="20" fillId="36" borderId="43" xfId="0" applyFont="1" applyFill="1" applyBorder="1" applyAlignment="1">
      <alignment horizontal="left" vertical="center" wrapText="1"/>
    </xf>
    <xf numFmtId="0" fontId="20" fillId="35" borderId="45" xfId="0" applyFont="1" applyFill="1" applyBorder="1" applyAlignment="1">
      <alignment horizontal="left" vertical="center" wrapText="1"/>
    </xf>
    <xf numFmtId="0" fontId="20" fillId="35" borderId="46" xfId="0" applyFont="1" applyFill="1" applyBorder="1" applyAlignment="1">
      <alignment horizontal="left" vertical="center" wrapText="1"/>
    </xf>
    <xf numFmtId="0" fontId="20" fillId="35" borderId="47" xfId="0" applyFont="1" applyFill="1" applyBorder="1" applyAlignment="1">
      <alignment horizontal="left" vertical="center" wrapText="1"/>
    </xf>
    <xf numFmtId="0" fontId="20" fillId="36" borderId="48" xfId="0" applyFont="1" applyFill="1" applyBorder="1" applyAlignment="1">
      <alignment horizontal="left" vertical="center" wrapText="1"/>
    </xf>
    <xf numFmtId="0" fontId="20" fillId="36" borderId="49" xfId="0" applyFont="1" applyFill="1" applyBorder="1" applyAlignment="1">
      <alignment horizontal="left" vertical="center" wrapText="1"/>
    </xf>
    <xf numFmtId="0" fontId="20" fillId="36" borderId="50" xfId="0" applyFont="1" applyFill="1" applyBorder="1" applyAlignment="1">
      <alignment horizontal="left" vertical="center" wrapText="1"/>
    </xf>
    <xf numFmtId="0" fontId="20" fillId="36" borderId="51" xfId="0" applyFont="1" applyFill="1" applyBorder="1" applyAlignment="1">
      <alignment horizontal="left" vertical="center" wrapText="1"/>
    </xf>
    <xf numFmtId="0" fontId="20" fillId="36" borderId="52" xfId="0" applyFont="1" applyFill="1" applyBorder="1" applyAlignment="1">
      <alignment horizontal="left" vertical="center" wrapText="1"/>
    </xf>
    <xf numFmtId="0" fontId="20" fillId="36" borderId="53" xfId="0" applyFont="1" applyFill="1" applyBorder="1" applyAlignment="1">
      <alignment horizontal="left" vertical="center" wrapText="1"/>
    </xf>
    <xf numFmtId="0" fontId="20" fillId="36" borderId="54" xfId="0" applyFont="1" applyFill="1" applyBorder="1" applyAlignment="1">
      <alignment horizontal="left" vertical="center" wrapText="1"/>
    </xf>
    <xf numFmtId="0" fontId="13" fillId="19" borderId="55" xfId="0" applyFont="1" applyFill="1" applyBorder="1" applyAlignment="1">
      <alignment horizontal="center" vertical="center" wrapText="1"/>
    </xf>
    <xf numFmtId="0" fontId="13" fillId="19" borderId="56" xfId="0" applyFont="1" applyFill="1" applyBorder="1" applyAlignment="1">
      <alignment horizontal="center" vertical="center" wrapText="1"/>
    </xf>
    <xf numFmtId="0" fontId="13" fillId="19" borderId="37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37" borderId="39" xfId="0" applyFill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8" fillId="0" borderId="0" xfId="0" applyFont="1"/>
    <xf numFmtId="0" fontId="39" fillId="0" borderId="0" xfId="0" applyFont="1" applyAlignment="1">
      <alignment horizontal="center" vertical="center" wrapText="1"/>
    </xf>
    <xf numFmtId="14" fontId="1" fillId="2" borderId="6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22" fillId="25" borderId="26" xfId="0" applyFont="1" applyFill="1" applyBorder="1" applyAlignment="1">
      <alignment horizontal="center" vertical="center" wrapText="1"/>
    </xf>
    <xf numFmtId="0" fontId="22" fillId="25" borderId="27" xfId="0" applyFont="1" applyFill="1" applyBorder="1" applyAlignment="1">
      <alignment horizontal="center" vertical="center" wrapText="1"/>
    </xf>
    <xf numFmtId="0" fontId="0" fillId="0" borderId="63" xfId="0" applyBorder="1"/>
    <xf numFmtId="0" fontId="19" fillId="0" borderId="0" xfId="9" applyAlignment="1">
      <alignment horizontal="center" vertical="center" wrapText="1"/>
    </xf>
    <xf numFmtId="2" fontId="0" fillId="0" borderId="0" xfId="0" applyNumberFormat="1" applyAlignment="1">
      <alignment wrapText="1"/>
    </xf>
    <xf numFmtId="0" fontId="13" fillId="38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wrapText="1"/>
    </xf>
    <xf numFmtId="167" fontId="0" fillId="2" borderId="3" xfId="0" applyNumberFormat="1" applyFill="1" applyBorder="1" applyAlignment="1">
      <alignment horizontal="center" vertical="center" wrapText="1"/>
    </xf>
    <xf numFmtId="167" fontId="0" fillId="2" borderId="0" xfId="0" applyNumberFormat="1" applyFill="1" applyAlignment="1">
      <alignment horizontal="center" vertical="center" wrapText="1"/>
    </xf>
    <xf numFmtId="0" fontId="0" fillId="14" borderId="0" xfId="0" applyFill="1"/>
    <xf numFmtId="0" fontId="12" fillId="0" borderId="11" xfId="0" applyFont="1" applyBorder="1" applyAlignment="1">
      <alignment vertical="center" wrapText="1"/>
    </xf>
    <xf numFmtId="14" fontId="0" fillId="39" borderId="0" xfId="0" applyNumberFormat="1" applyFill="1" applyAlignment="1">
      <alignment horizontal="center" vertical="center" wrapText="1"/>
    </xf>
    <xf numFmtId="0" fontId="16" fillId="0" borderId="3" xfId="2" applyFont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40" fillId="27" borderId="0" xfId="0" applyFont="1" applyFill="1" applyAlignment="1">
      <alignment horizontal="right" vertical="center" wrapText="1"/>
    </xf>
    <xf numFmtId="0" fontId="41" fillId="27" borderId="0" xfId="0" applyFont="1" applyFill="1" applyAlignment="1">
      <alignment horizontal="right" vertical="center" wrapText="1"/>
    </xf>
    <xf numFmtId="0" fontId="0" fillId="0" borderId="39" xfId="0" applyBorder="1" applyAlignment="1">
      <alignment horizontal="center" vertical="center" wrapText="1"/>
    </xf>
    <xf numFmtId="9" fontId="0" fillId="0" borderId="0" xfId="10" applyFon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0" fontId="21" fillId="0" borderId="0" xfId="9" applyFont="1" applyAlignment="1">
      <alignment horizontal="center" vertical="center" wrapText="1"/>
    </xf>
    <xf numFmtId="0" fontId="19" fillId="0" borderId="57" xfId="9" applyBorder="1" applyAlignment="1">
      <alignment horizontal="center" vertical="center" wrapText="1"/>
    </xf>
    <xf numFmtId="0" fontId="19" fillId="0" borderId="58" xfId="9" applyBorder="1" applyAlignment="1">
      <alignment horizontal="center" vertical="center" wrapText="1"/>
    </xf>
    <xf numFmtId="0" fontId="19" fillId="0" borderId="59" xfId="9" applyBorder="1" applyAlignment="1">
      <alignment horizontal="center" vertical="center" wrapText="1"/>
    </xf>
    <xf numFmtId="0" fontId="23" fillId="0" borderId="57" xfId="0" applyFont="1" applyBorder="1" applyAlignment="1">
      <alignment horizontal="center" vertical="center" wrapText="1"/>
    </xf>
    <xf numFmtId="0" fontId="23" fillId="0" borderId="59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23" fillId="0" borderId="34" xfId="0" applyFont="1" applyBorder="1" applyAlignment="1">
      <alignment horizontal="center" vertical="center" wrapText="1"/>
    </xf>
    <xf numFmtId="0" fontId="23" fillId="0" borderId="35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13" fillId="13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29" borderId="0" xfId="0" applyFont="1" applyFill="1" applyAlignment="1">
      <alignment horizontal="center" vertical="center"/>
    </xf>
    <xf numFmtId="0" fontId="23" fillId="0" borderId="20" xfId="0" applyFont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7" fillId="25" borderId="0" xfId="0" applyFont="1" applyFill="1" applyAlignment="1">
      <alignment horizontal="center" vertical="center" wrapText="1"/>
    </xf>
  </cellXfs>
  <cellStyles count="11">
    <cellStyle name="60% - Accent3" xfId="1" builtinId="40"/>
    <cellStyle name="Hyperlink" xfId="9" builtinId="8"/>
    <cellStyle name="Normal" xfId="0" builtinId="0"/>
    <cellStyle name="Normal 2" xfId="4" xr:uid="{C5EC5196-564B-4A4D-8409-4B010BCFA7C9}"/>
    <cellStyle name="Normal 2 2" xfId="6" xr:uid="{A6B27F8F-B05F-4B71-8A36-AB9F1B0D18F3}"/>
    <cellStyle name="Normal 2 3" xfId="8" xr:uid="{036DE2D5-4A1E-4281-91B0-7B7A49B868BD}"/>
    <cellStyle name="Normal 3" xfId="2" xr:uid="{D2DBDDEB-C183-47C3-99B5-8429CADF2133}"/>
    <cellStyle name="Paprastas 2" xfId="3" xr:uid="{72549FB3-3D04-4CA8-9DE3-191F61873649}"/>
    <cellStyle name="Paprastas 2 2" xfId="5" xr:uid="{310407AC-B9FA-4C31-B02E-D49C948B6E0E}"/>
    <cellStyle name="Paprastas 2 3" xfId="7" xr:uid="{3344A06E-BB26-4BB4-9EC5-19F94887ED41}"/>
    <cellStyle name="Percent" xfId="10" builtinId="5"/>
  </cellStyles>
  <dxfs count="1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5.xml"/><Relationship Id="rId21" Type="http://schemas.openxmlformats.org/officeDocument/2006/relationships/externalLink" Target="externalLinks/externalLink9.xml"/><Relationship Id="rId42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51.xml"/><Relationship Id="rId84" Type="http://schemas.openxmlformats.org/officeDocument/2006/relationships/externalLink" Target="externalLinks/externalLink72.xml"/><Relationship Id="rId138" Type="http://schemas.openxmlformats.org/officeDocument/2006/relationships/externalLink" Target="externalLinks/externalLink126.xml"/><Relationship Id="rId107" Type="http://schemas.openxmlformats.org/officeDocument/2006/relationships/externalLink" Target="externalLinks/externalLink95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41.xml"/><Relationship Id="rId74" Type="http://schemas.openxmlformats.org/officeDocument/2006/relationships/externalLink" Target="externalLinks/externalLink62.xml"/><Relationship Id="rId128" Type="http://schemas.openxmlformats.org/officeDocument/2006/relationships/externalLink" Target="externalLinks/externalLink116.xml"/><Relationship Id="rId149" Type="http://schemas.openxmlformats.org/officeDocument/2006/relationships/externalLink" Target="externalLinks/externalLink137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3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43" Type="http://schemas.openxmlformats.org/officeDocument/2006/relationships/externalLink" Target="externalLinks/externalLink31.xml"/><Relationship Id="rId48" Type="http://schemas.openxmlformats.org/officeDocument/2006/relationships/externalLink" Target="externalLinks/externalLink36.xml"/><Relationship Id="rId64" Type="http://schemas.openxmlformats.org/officeDocument/2006/relationships/externalLink" Target="externalLinks/externalLink52.xml"/><Relationship Id="rId69" Type="http://schemas.openxmlformats.org/officeDocument/2006/relationships/externalLink" Target="externalLinks/externalLink57.xml"/><Relationship Id="rId113" Type="http://schemas.openxmlformats.org/officeDocument/2006/relationships/externalLink" Target="externalLinks/externalLink101.xml"/><Relationship Id="rId118" Type="http://schemas.openxmlformats.org/officeDocument/2006/relationships/externalLink" Target="externalLinks/externalLink106.xml"/><Relationship Id="rId134" Type="http://schemas.openxmlformats.org/officeDocument/2006/relationships/externalLink" Target="externalLinks/externalLink122.xml"/><Relationship Id="rId139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68.xml"/><Relationship Id="rId85" Type="http://schemas.openxmlformats.org/officeDocument/2006/relationships/externalLink" Target="externalLinks/externalLink73.xml"/><Relationship Id="rId150" Type="http://schemas.openxmlformats.org/officeDocument/2006/relationships/externalLink" Target="externalLinks/externalLink138.xml"/><Relationship Id="rId155" Type="http://schemas.openxmlformats.org/officeDocument/2006/relationships/sheetMetadata" Target="metadata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59" Type="http://schemas.openxmlformats.org/officeDocument/2006/relationships/externalLink" Target="externalLinks/externalLink47.xml"/><Relationship Id="rId103" Type="http://schemas.openxmlformats.org/officeDocument/2006/relationships/externalLink" Target="externalLinks/externalLink91.xml"/><Relationship Id="rId108" Type="http://schemas.openxmlformats.org/officeDocument/2006/relationships/externalLink" Target="externalLinks/externalLink96.xml"/><Relationship Id="rId124" Type="http://schemas.openxmlformats.org/officeDocument/2006/relationships/externalLink" Target="externalLinks/externalLink112.xml"/><Relationship Id="rId129" Type="http://schemas.openxmlformats.org/officeDocument/2006/relationships/externalLink" Target="externalLinks/externalLink117.xml"/><Relationship Id="rId54" Type="http://schemas.openxmlformats.org/officeDocument/2006/relationships/externalLink" Target="externalLinks/externalLink42.xml"/><Relationship Id="rId70" Type="http://schemas.openxmlformats.org/officeDocument/2006/relationships/externalLink" Target="externalLinks/externalLink58.xml"/><Relationship Id="rId75" Type="http://schemas.openxmlformats.org/officeDocument/2006/relationships/externalLink" Target="externalLinks/externalLink63.xml"/><Relationship Id="rId91" Type="http://schemas.openxmlformats.org/officeDocument/2006/relationships/externalLink" Target="externalLinks/externalLink79.xml"/><Relationship Id="rId96" Type="http://schemas.openxmlformats.org/officeDocument/2006/relationships/externalLink" Target="externalLinks/externalLink84.xml"/><Relationship Id="rId140" Type="http://schemas.openxmlformats.org/officeDocument/2006/relationships/externalLink" Target="externalLinks/externalLink128.xml"/><Relationship Id="rId145" Type="http://schemas.openxmlformats.org/officeDocument/2006/relationships/externalLink" Target="externalLinks/externalLink1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37.xml"/><Relationship Id="rId114" Type="http://schemas.openxmlformats.org/officeDocument/2006/relationships/externalLink" Target="externalLinks/externalLink102.xml"/><Relationship Id="rId119" Type="http://schemas.openxmlformats.org/officeDocument/2006/relationships/externalLink" Target="externalLinks/externalLink107.xml"/><Relationship Id="rId44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8.xml"/><Relationship Id="rId65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69.xml"/><Relationship Id="rId86" Type="http://schemas.openxmlformats.org/officeDocument/2006/relationships/externalLink" Target="externalLinks/externalLink74.xml"/><Relationship Id="rId130" Type="http://schemas.openxmlformats.org/officeDocument/2006/relationships/externalLink" Target="externalLinks/externalLink118.xml"/><Relationship Id="rId135" Type="http://schemas.openxmlformats.org/officeDocument/2006/relationships/externalLink" Target="externalLinks/externalLink123.xml"/><Relationship Id="rId151" Type="http://schemas.openxmlformats.org/officeDocument/2006/relationships/externalLink" Target="externalLinks/externalLink139.xml"/><Relationship Id="rId156" Type="http://schemas.openxmlformats.org/officeDocument/2006/relationships/calcChain" Target="calcChain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9" Type="http://schemas.openxmlformats.org/officeDocument/2006/relationships/externalLink" Target="externalLinks/externalLink27.xml"/><Relationship Id="rId109" Type="http://schemas.openxmlformats.org/officeDocument/2006/relationships/externalLink" Target="externalLinks/externalLink97.xml"/><Relationship Id="rId34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38.xml"/><Relationship Id="rId55" Type="http://schemas.openxmlformats.org/officeDocument/2006/relationships/externalLink" Target="externalLinks/externalLink43.xml"/><Relationship Id="rId76" Type="http://schemas.openxmlformats.org/officeDocument/2006/relationships/externalLink" Target="externalLinks/externalLink64.xml"/><Relationship Id="rId97" Type="http://schemas.openxmlformats.org/officeDocument/2006/relationships/externalLink" Target="externalLinks/externalLink85.xml"/><Relationship Id="rId104" Type="http://schemas.openxmlformats.org/officeDocument/2006/relationships/externalLink" Target="externalLinks/externalLink92.xml"/><Relationship Id="rId120" Type="http://schemas.openxmlformats.org/officeDocument/2006/relationships/externalLink" Target="externalLinks/externalLink108.xml"/><Relationship Id="rId125" Type="http://schemas.openxmlformats.org/officeDocument/2006/relationships/externalLink" Target="externalLinks/externalLink113.xml"/><Relationship Id="rId141" Type="http://schemas.openxmlformats.org/officeDocument/2006/relationships/externalLink" Target="externalLinks/externalLink129.xml"/><Relationship Id="rId146" Type="http://schemas.openxmlformats.org/officeDocument/2006/relationships/externalLink" Target="externalLinks/externalLink13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9.xml"/><Relationship Id="rId92" Type="http://schemas.openxmlformats.org/officeDocument/2006/relationships/externalLink" Target="externalLinks/externalLink8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7.xml"/><Relationship Id="rId24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66" Type="http://schemas.openxmlformats.org/officeDocument/2006/relationships/externalLink" Target="externalLinks/externalLink54.xml"/><Relationship Id="rId87" Type="http://schemas.openxmlformats.org/officeDocument/2006/relationships/externalLink" Target="externalLinks/externalLink75.xml"/><Relationship Id="rId110" Type="http://schemas.openxmlformats.org/officeDocument/2006/relationships/externalLink" Target="externalLinks/externalLink98.xml"/><Relationship Id="rId115" Type="http://schemas.openxmlformats.org/officeDocument/2006/relationships/externalLink" Target="externalLinks/externalLink103.xml"/><Relationship Id="rId131" Type="http://schemas.openxmlformats.org/officeDocument/2006/relationships/externalLink" Target="externalLinks/externalLink119.xml"/><Relationship Id="rId136" Type="http://schemas.openxmlformats.org/officeDocument/2006/relationships/externalLink" Target="externalLinks/externalLink124.xml"/><Relationship Id="rId61" Type="http://schemas.openxmlformats.org/officeDocument/2006/relationships/externalLink" Target="externalLinks/externalLink49.xml"/><Relationship Id="rId82" Type="http://schemas.openxmlformats.org/officeDocument/2006/relationships/externalLink" Target="externalLinks/externalLink70.xml"/><Relationship Id="rId152" Type="http://schemas.openxmlformats.org/officeDocument/2006/relationships/theme" Target="theme/theme1.xml"/><Relationship Id="rId1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2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56" Type="http://schemas.openxmlformats.org/officeDocument/2006/relationships/externalLink" Target="externalLinks/externalLink44.xml"/><Relationship Id="rId77" Type="http://schemas.openxmlformats.org/officeDocument/2006/relationships/externalLink" Target="externalLinks/externalLink65.xml"/><Relationship Id="rId100" Type="http://schemas.openxmlformats.org/officeDocument/2006/relationships/externalLink" Target="externalLinks/externalLink88.xml"/><Relationship Id="rId105" Type="http://schemas.openxmlformats.org/officeDocument/2006/relationships/externalLink" Target="externalLinks/externalLink93.xml"/><Relationship Id="rId126" Type="http://schemas.openxmlformats.org/officeDocument/2006/relationships/externalLink" Target="externalLinks/externalLink114.xml"/><Relationship Id="rId147" Type="http://schemas.openxmlformats.org/officeDocument/2006/relationships/externalLink" Target="externalLinks/externalLink13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72" Type="http://schemas.openxmlformats.org/officeDocument/2006/relationships/externalLink" Target="externalLinks/externalLink60.xml"/><Relationship Id="rId93" Type="http://schemas.openxmlformats.org/officeDocument/2006/relationships/externalLink" Target="externalLinks/externalLink81.xml"/><Relationship Id="rId98" Type="http://schemas.openxmlformats.org/officeDocument/2006/relationships/externalLink" Target="externalLinks/externalLink86.xml"/><Relationship Id="rId121" Type="http://schemas.openxmlformats.org/officeDocument/2006/relationships/externalLink" Target="externalLinks/externalLink109.xml"/><Relationship Id="rId142" Type="http://schemas.openxmlformats.org/officeDocument/2006/relationships/externalLink" Target="externalLinks/externalLink13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34.xml"/><Relationship Id="rId67" Type="http://schemas.openxmlformats.org/officeDocument/2006/relationships/externalLink" Target="externalLinks/externalLink55.xml"/><Relationship Id="rId116" Type="http://schemas.openxmlformats.org/officeDocument/2006/relationships/externalLink" Target="externalLinks/externalLink104.xml"/><Relationship Id="rId137" Type="http://schemas.openxmlformats.org/officeDocument/2006/relationships/externalLink" Target="externalLinks/externalLink125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62" Type="http://schemas.openxmlformats.org/officeDocument/2006/relationships/externalLink" Target="externalLinks/externalLink50.xml"/><Relationship Id="rId83" Type="http://schemas.openxmlformats.org/officeDocument/2006/relationships/externalLink" Target="externalLinks/externalLink71.xml"/><Relationship Id="rId88" Type="http://schemas.openxmlformats.org/officeDocument/2006/relationships/externalLink" Target="externalLinks/externalLink76.xml"/><Relationship Id="rId111" Type="http://schemas.openxmlformats.org/officeDocument/2006/relationships/externalLink" Target="externalLinks/externalLink99.xml"/><Relationship Id="rId132" Type="http://schemas.openxmlformats.org/officeDocument/2006/relationships/externalLink" Target="externalLinks/externalLink120.xml"/><Relationship Id="rId153" Type="http://schemas.openxmlformats.org/officeDocument/2006/relationships/styles" Target="styles.xml"/><Relationship Id="rId15" Type="http://schemas.openxmlformats.org/officeDocument/2006/relationships/externalLink" Target="externalLinks/externalLink3.xml"/><Relationship Id="rId36" Type="http://schemas.openxmlformats.org/officeDocument/2006/relationships/externalLink" Target="externalLinks/externalLink24.xml"/><Relationship Id="rId57" Type="http://schemas.openxmlformats.org/officeDocument/2006/relationships/externalLink" Target="externalLinks/externalLink45.xml"/><Relationship Id="rId106" Type="http://schemas.openxmlformats.org/officeDocument/2006/relationships/externalLink" Target="externalLinks/externalLink94.xml"/><Relationship Id="rId127" Type="http://schemas.openxmlformats.org/officeDocument/2006/relationships/externalLink" Target="externalLinks/externalLink11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40.xml"/><Relationship Id="rId73" Type="http://schemas.openxmlformats.org/officeDocument/2006/relationships/externalLink" Target="externalLinks/externalLink61.xml"/><Relationship Id="rId78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82.xml"/><Relationship Id="rId99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9.xml"/><Relationship Id="rId122" Type="http://schemas.openxmlformats.org/officeDocument/2006/relationships/externalLink" Target="externalLinks/externalLink110.xml"/><Relationship Id="rId143" Type="http://schemas.openxmlformats.org/officeDocument/2006/relationships/externalLink" Target="externalLinks/externalLink131.xml"/><Relationship Id="rId148" Type="http://schemas.openxmlformats.org/officeDocument/2006/relationships/externalLink" Target="externalLinks/externalLink13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35.xml"/><Relationship Id="rId68" Type="http://schemas.openxmlformats.org/officeDocument/2006/relationships/externalLink" Target="externalLinks/externalLink56.xml"/><Relationship Id="rId89" Type="http://schemas.openxmlformats.org/officeDocument/2006/relationships/externalLink" Target="externalLinks/externalLink77.xml"/><Relationship Id="rId112" Type="http://schemas.openxmlformats.org/officeDocument/2006/relationships/externalLink" Target="externalLinks/externalLink100.xml"/><Relationship Id="rId133" Type="http://schemas.openxmlformats.org/officeDocument/2006/relationships/externalLink" Target="externalLinks/externalLink121.xml"/><Relationship Id="rId154" Type="http://schemas.openxmlformats.org/officeDocument/2006/relationships/sharedStrings" Target="sharedStrings.xml"/><Relationship Id="rId16" Type="http://schemas.openxmlformats.org/officeDocument/2006/relationships/externalLink" Target="externalLinks/externalLink4.xml"/><Relationship Id="rId37" Type="http://schemas.openxmlformats.org/officeDocument/2006/relationships/externalLink" Target="externalLinks/externalLink25.xml"/><Relationship Id="rId58" Type="http://schemas.openxmlformats.org/officeDocument/2006/relationships/externalLink" Target="externalLinks/externalLink46.xml"/><Relationship Id="rId79" Type="http://schemas.openxmlformats.org/officeDocument/2006/relationships/externalLink" Target="externalLinks/externalLink67.xml"/><Relationship Id="rId102" Type="http://schemas.openxmlformats.org/officeDocument/2006/relationships/externalLink" Target="externalLinks/externalLink90.xml"/><Relationship Id="rId123" Type="http://schemas.openxmlformats.org/officeDocument/2006/relationships/externalLink" Target="externalLinks/externalLink111.xml"/><Relationship Id="rId144" Type="http://schemas.openxmlformats.org/officeDocument/2006/relationships/externalLink" Target="externalLinks/externalLink132.xml"/><Relationship Id="rId90" Type="http://schemas.openxmlformats.org/officeDocument/2006/relationships/externalLink" Target="externalLinks/externalLink7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Water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'Cooling water'!$DU$3:$DU$39</c:f>
              <c:numCache>
                <c:formatCode>General</c:formatCode>
                <c:ptCount val="37"/>
                <c:pt idx="0">
                  <c:v>0.1</c:v>
                </c:pt>
                <c:pt idx="1">
                  <c:v>1</c:v>
                </c:pt>
                <c:pt idx="2">
                  <c:v>4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  <c:pt idx="19">
                  <c:v>90</c:v>
                </c:pt>
                <c:pt idx="20">
                  <c:v>95</c:v>
                </c:pt>
                <c:pt idx="21">
                  <c:v>100</c:v>
                </c:pt>
                <c:pt idx="22">
                  <c:v>110</c:v>
                </c:pt>
                <c:pt idx="23">
                  <c:v>120</c:v>
                </c:pt>
                <c:pt idx="24">
                  <c:v>140</c:v>
                </c:pt>
                <c:pt idx="25">
                  <c:v>160</c:v>
                </c:pt>
                <c:pt idx="26">
                  <c:v>180</c:v>
                </c:pt>
                <c:pt idx="27">
                  <c:v>200</c:v>
                </c:pt>
                <c:pt idx="28">
                  <c:v>220</c:v>
                </c:pt>
                <c:pt idx="29">
                  <c:v>240</c:v>
                </c:pt>
                <c:pt idx="30">
                  <c:v>260</c:v>
                </c:pt>
                <c:pt idx="31">
                  <c:v>280</c:v>
                </c:pt>
                <c:pt idx="32">
                  <c:v>300</c:v>
                </c:pt>
                <c:pt idx="33">
                  <c:v>320</c:v>
                </c:pt>
                <c:pt idx="34">
                  <c:v>340</c:v>
                </c:pt>
                <c:pt idx="35">
                  <c:v>360</c:v>
                </c:pt>
                <c:pt idx="36">
                  <c:v>373.94600000000003</c:v>
                </c:pt>
              </c:numCache>
            </c:numRef>
          </c:cat>
          <c:val>
            <c:numRef>
              <c:f>'Cooling water'!$DW$3:$DW$39</c:f>
              <c:numCache>
                <c:formatCode>General</c:formatCode>
                <c:ptCount val="37"/>
                <c:pt idx="0">
                  <c:v>999.85</c:v>
                </c:pt>
                <c:pt idx="1">
                  <c:v>999.9</c:v>
                </c:pt>
                <c:pt idx="2">
                  <c:v>999.97</c:v>
                </c:pt>
                <c:pt idx="3">
                  <c:v>999.7</c:v>
                </c:pt>
                <c:pt idx="4">
                  <c:v>999.1</c:v>
                </c:pt>
                <c:pt idx="5">
                  <c:v>998.21</c:v>
                </c:pt>
                <c:pt idx="6">
                  <c:v>997.05</c:v>
                </c:pt>
                <c:pt idx="7">
                  <c:v>995.65</c:v>
                </c:pt>
                <c:pt idx="8">
                  <c:v>994.03</c:v>
                </c:pt>
                <c:pt idx="9">
                  <c:v>992.22</c:v>
                </c:pt>
                <c:pt idx="10">
                  <c:v>990.21</c:v>
                </c:pt>
                <c:pt idx="11">
                  <c:v>988.04</c:v>
                </c:pt>
                <c:pt idx="12">
                  <c:v>985.69</c:v>
                </c:pt>
                <c:pt idx="13">
                  <c:v>983.2</c:v>
                </c:pt>
                <c:pt idx="14">
                  <c:v>980.55</c:v>
                </c:pt>
                <c:pt idx="15">
                  <c:v>977.76</c:v>
                </c:pt>
                <c:pt idx="16">
                  <c:v>974.84</c:v>
                </c:pt>
                <c:pt idx="17">
                  <c:v>971.79</c:v>
                </c:pt>
                <c:pt idx="18">
                  <c:v>968.61</c:v>
                </c:pt>
                <c:pt idx="19">
                  <c:v>965.31</c:v>
                </c:pt>
                <c:pt idx="20">
                  <c:v>961.89</c:v>
                </c:pt>
                <c:pt idx="21">
                  <c:v>958.35</c:v>
                </c:pt>
                <c:pt idx="22">
                  <c:v>950.95</c:v>
                </c:pt>
                <c:pt idx="23">
                  <c:v>943.11</c:v>
                </c:pt>
                <c:pt idx="24">
                  <c:v>926.13</c:v>
                </c:pt>
                <c:pt idx="25">
                  <c:v>907.45</c:v>
                </c:pt>
                <c:pt idx="26">
                  <c:v>887</c:v>
                </c:pt>
                <c:pt idx="27">
                  <c:v>864.66</c:v>
                </c:pt>
                <c:pt idx="28">
                  <c:v>840.22</c:v>
                </c:pt>
                <c:pt idx="29">
                  <c:v>813.37</c:v>
                </c:pt>
                <c:pt idx="30">
                  <c:v>783.63</c:v>
                </c:pt>
                <c:pt idx="31">
                  <c:v>750.28</c:v>
                </c:pt>
                <c:pt idx="32">
                  <c:v>712.14</c:v>
                </c:pt>
                <c:pt idx="33">
                  <c:v>667.09</c:v>
                </c:pt>
                <c:pt idx="34">
                  <c:v>610.66999999999996</c:v>
                </c:pt>
                <c:pt idx="35">
                  <c:v>527.59</c:v>
                </c:pt>
                <c:pt idx="36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83-4686-9F74-02152532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461792"/>
        <c:axId val="1309462272"/>
      </c:lineChart>
      <c:catAx>
        <c:axId val="13094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462272"/>
        <c:crosses val="autoZero"/>
        <c:auto val="1"/>
        <c:lblAlgn val="ctr"/>
        <c:lblOffset val="100"/>
        <c:noMultiLvlLbl val="0"/>
      </c:catAx>
      <c:valAx>
        <c:axId val="13094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46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7-4A1B-AD7A-2E4007859921}"/>
            </c:ext>
          </c:extLst>
        </c:ser>
        <c:ser>
          <c:idx val="1"/>
          <c:order val="1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7-4A1B-AD7A-2E4007859921}"/>
            </c:ext>
          </c:extLst>
        </c:ser>
        <c:ser>
          <c:idx val="2"/>
          <c:order val="2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D7-4A1B-AD7A-2E4007859921}"/>
            </c:ext>
          </c:extLst>
        </c:ser>
        <c:ser>
          <c:idx val="3"/>
          <c:order val="3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D7-4A1B-AD7A-2E400785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7904"/>
        <c:axId val="515024960"/>
      </c:scatterChart>
      <c:valAx>
        <c:axId val="51501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4960"/>
        <c:crosses val="autoZero"/>
        <c:crossBetween val="midCat"/>
      </c:valAx>
      <c:valAx>
        <c:axId val="5150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8-4D48-87C3-8EE334F91A74}"/>
            </c:ext>
          </c:extLst>
        </c:ser>
        <c:ser>
          <c:idx val="1"/>
          <c:order val="1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8-4D48-87C3-8EE334F91A74}"/>
            </c:ext>
          </c:extLst>
        </c:ser>
        <c:ser>
          <c:idx val="2"/>
          <c:order val="2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E8-4D48-87C3-8EE334F91A74}"/>
            </c:ext>
          </c:extLst>
        </c:ser>
        <c:ser>
          <c:idx val="3"/>
          <c:order val="3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E8-4D48-87C3-8EE334F9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5352"/>
        <c:axId val="515025744"/>
      </c:scatterChart>
      <c:valAx>
        <c:axId val="515025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744"/>
        <c:crosses val="autoZero"/>
        <c:crossBetween val="midCat"/>
      </c:valAx>
      <c:valAx>
        <c:axId val="5150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E-49B2-B060-954570A8CED8}"/>
            </c:ext>
          </c:extLst>
        </c:ser>
        <c:ser>
          <c:idx val="2"/>
          <c:order val="1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E-49B2-B060-954570A8CED8}"/>
            </c:ext>
          </c:extLst>
        </c:ser>
        <c:ser>
          <c:idx val="1"/>
          <c:order val="2"/>
          <c:tx>
            <c:strRef>
              <c:f>Sheet1!$G$3</c:f>
              <c:strCache>
                <c:ptCount val="1"/>
                <c:pt idx="0">
                  <c:v>1l-kartotas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Sheet1!$G$5:$G$12</c:f>
              <c:numCache>
                <c:formatCode>General</c:formatCode>
                <c:ptCount val="8"/>
                <c:pt idx="0">
                  <c:v>19.009780541994434</c:v>
                </c:pt>
                <c:pt idx="1">
                  <c:v>33.199651598495713</c:v>
                </c:pt>
                <c:pt idx="2">
                  <c:v>45.597050010439666</c:v>
                </c:pt>
                <c:pt idx="3">
                  <c:v>55.547303924020291</c:v>
                </c:pt>
                <c:pt idx="4">
                  <c:v>62.066643532956313</c:v>
                </c:pt>
                <c:pt idx="5">
                  <c:v>63.597579580591642</c:v>
                </c:pt>
                <c:pt idx="6">
                  <c:v>58.444844630519718</c:v>
                </c:pt>
                <c:pt idx="7">
                  <c:v>44.588051513600092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E-49B2-B060-954570A8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3784"/>
        <c:axId val="515023392"/>
      </c:scatterChart>
      <c:valAx>
        <c:axId val="51502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392"/>
        <c:crosses val="autoZero"/>
        <c:crossBetween val="midCat"/>
      </c:valAx>
      <c:valAx>
        <c:axId val="5150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92-4D3D-8408-FE9CB152403A}"/>
            </c:ext>
          </c:extLst>
        </c:ser>
        <c:ser>
          <c:idx val="2"/>
          <c:order val="1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92-4D3D-8408-FE9CB152403A}"/>
            </c:ext>
          </c:extLst>
        </c:ser>
        <c:ser>
          <c:idx val="1"/>
          <c:order val="2"/>
          <c:tx>
            <c:strRef>
              <c:f>Sheet1!$G$22</c:f>
              <c:strCache>
                <c:ptCount val="1"/>
                <c:pt idx="0">
                  <c:v>1 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Sheet1!$G$24:$G$31</c:f>
              <c:numCache>
                <c:formatCode>General</c:formatCode>
                <c:ptCount val="8"/>
                <c:pt idx="0">
                  <c:v>49.681861640066721</c:v>
                </c:pt>
                <c:pt idx="1">
                  <c:v>59.327509535026202</c:v>
                </c:pt>
                <c:pt idx="2">
                  <c:v>71.987212831319525</c:v>
                </c:pt>
                <c:pt idx="3">
                  <c:v>81.676532791937689</c:v>
                </c:pt>
                <c:pt idx="4">
                  <c:v>89.561475041445476</c:v>
                </c:pt>
                <c:pt idx="5">
                  <c:v>99.643223606208352</c:v>
                </c:pt>
                <c:pt idx="6">
                  <c:v>113.05997719961599</c:v>
                </c:pt>
                <c:pt idx="7">
                  <c:v>133.10385106576129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92-4D3D-8408-FE9CB1524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1040"/>
        <c:axId val="515015552"/>
      </c:scatterChart>
      <c:valAx>
        <c:axId val="5150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552"/>
        <c:crosses val="autoZero"/>
        <c:crossBetween val="midCat"/>
      </c:valAx>
      <c:valAx>
        <c:axId val="5150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D-412C-8863-A67F009131CF}"/>
            </c:ext>
          </c:extLst>
        </c:ser>
        <c:ser>
          <c:idx val="2"/>
          <c:order val="1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DD-412C-8863-A67F00913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528"/>
        <c:axId val="515021432"/>
      </c:scatterChart>
      <c:valAx>
        <c:axId val="51502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432"/>
        <c:crosses val="autoZero"/>
        <c:crossBetween val="midCat"/>
      </c:valAx>
      <c:valAx>
        <c:axId val="51502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7-431B-B619-DE2DFFC2499D}"/>
            </c:ext>
          </c:extLst>
        </c:ser>
        <c:ser>
          <c:idx val="2"/>
          <c:order val="1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7-431B-B619-DE2DFFC24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920"/>
        <c:axId val="515014768"/>
      </c:scatterChart>
      <c:valAx>
        <c:axId val="51502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4768"/>
        <c:crosses val="autoZero"/>
        <c:crossBetween val="midCat"/>
      </c:valAx>
      <c:valAx>
        <c:axId val="5150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Sheet1!$C$40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Sheet1!$C$42:$C$49</c:f>
              <c:numCache>
                <c:formatCode>General</c:formatCode>
                <c:ptCount val="8"/>
                <c:pt idx="0">
                  <c:v>9.0762929191626576</c:v>
                </c:pt>
                <c:pt idx="1">
                  <c:v>20.25162420505864</c:v>
                </c:pt>
                <c:pt idx="2">
                  <c:v>31.038664299026262</c:v>
                </c:pt>
                <c:pt idx="3">
                  <c:v>40.40261733394717</c:v>
                </c:pt>
                <c:pt idx="4">
                  <c:v>47.720594740671672</c:v>
                </c:pt>
                <c:pt idx="5">
                  <c:v>50.592013090357639</c:v>
                </c:pt>
                <c:pt idx="6">
                  <c:v>45.347951127188132</c:v>
                </c:pt>
                <c:pt idx="7">
                  <c:v>27.886859084876434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6-4C36-8EEA-BCBD5BB19539}"/>
            </c:ext>
          </c:extLst>
        </c:ser>
        <c:ser>
          <c:idx val="1"/>
          <c:order val="1"/>
          <c:tx>
            <c:strRef>
              <c:f>Sheet1!$D$40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Sheet1!$D$42:$D$49</c:f>
              <c:numCache>
                <c:formatCode>General</c:formatCode>
                <c:ptCount val="8"/>
                <c:pt idx="0">
                  <c:v>8.3641762715067109</c:v>
                </c:pt>
                <c:pt idx="1">
                  <c:v>19.197021097115371</c:v>
                </c:pt>
                <c:pt idx="2">
                  <c:v>30.249587333799582</c:v>
                </c:pt>
                <c:pt idx="3">
                  <c:v>40.694475476941349</c:v>
                </c:pt>
                <c:pt idx="4">
                  <c:v>48.749610877536171</c:v>
                </c:pt>
                <c:pt idx="5">
                  <c:v>51.870243419183069</c:v>
                </c:pt>
                <c:pt idx="6">
                  <c:v>47.336333198410458</c:v>
                </c:pt>
                <c:pt idx="7">
                  <c:v>31.200175517703808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6-4C36-8EEA-BCBD5BB19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5944"/>
        <c:axId val="515022216"/>
      </c:scatterChart>
      <c:valAx>
        <c:axId val="51501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216"/>
        <c:crosses val="autoZero"/>
        <c:crossBetween val="midCat"/>
      </c:valAx>
      <c:valAx>
        <c:axId val="51502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Sheet1!$C$56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Sheet1!$C$58:$C$65</c:f>
              <c:numCache>
                <c:formatCode>General</c:formatCode>
                <c:ptCount val="8"/>
                <c:pt idx="0">
                  <c:v>15.29276972508818</c:v>
                </c:pt>
                <c:pt idx="1">
                  <c:v>23.969693078602567</c:v>
                </c:pt>
                <c:pt idx="2">
                  <c:v>33.303353752982311</c:v>
                </c:pt>
                <c:pt idx="3">
                  <c:v>42.556084619172836</c:v>
                </c:pt>
                <c:pt idx="4">
                  <c:v>51.088188746809145</c:v>
                </c:pt>
                <c:pt idx="5">
                  <c:v>60.673623025383968</c:v>
                </c:pt>
                <c:pt idx="6">
                  <c:v>69.348604651846344</c:v>
                </c:pt>
                <c:pt idx="7">
                  <c:v>76.679718726057146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E-49A2-9DAF-37D8A79B45EF}"/>
            </c:ext>
          </c:extLst>
        </c:ser>
        <c:ser>
          <c:idx val="1"/>
          <c:order val="1"/>
          <c:tx>
            <c:strRef>
              <c:f>Sheet1!$D$56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Sheet1!$D$58:$D$65</c:f>
              <c:numCache>
                <c:formatCode>General</c:formatCode>
                <c:ptCount val="8"/>
                <c:pt idx="0">
                  <c:v>13.911176458406626</c:v>
                </c:pt>
                <c:pt idx="1">
                  <c:v>20.931350356799214</c:v>
                </c:pt>
                <c:pt idx="2">
                  <c:v>28.894878165163369</c:v>
                </c:pt>
                <c:pt idx="3">
                  <c:v>37.190437728827739</c:v>
                </c:pt>
                <c:pt idx="4">
                  <c:v>45.884911441504116</c:v>
                </c:pt>
                <c:pt idx="5">
                  <c:v>56.42229186717416</c:v>
                </c:pt>
                <c:pt idx="6">
                  <c:v>67.084400155938241</c:v>
                </c:pt>
                <c:pt idx="7">
                  <c:v>77.753696473132464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8E-49A2-9DAF-37D8A79B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9080"/>
        <c:axId val="515022608"/>
      </c:scatterChart>
      <c:valAx>
        <c:axId val="515019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608"/>
        <c:crosses val="autoZero"/>
        <c:crossBetween val="midCat"/>
      </c:valAx>
      <c:valAx>
        <c:axId val="5150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Sheet1!$F$40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Sheet1!$F$42:$F$49</c:f>
              <c:numCache>
                <c:formatCode>General</c:formatCode>
                <c:ptCount val="8"/>
                <c:pt idx="0">
                  <c:v>20.114764206195609</c:v>
                </c:pt>
                <c:pt idx="1">
                  <c:v>24.203835579921048</c:v>
                </c:pt>
                <c:pt idx="2">
                  <c:v>27.963773682096033</c:v>
                </c:pt>
                <c:pt idx="3">
                  <c:v>32.161449938700407</c:v>
                </c:pt>
                <c:pt idx="4">
                  <c:v>36.66294371434762</c:v>
                </c:pt>
                <c:pt idx="5">
                  <c:v>39.89688892530036</c:v>
                </c:pt>
                <c:pt idx="6">
                  <c:v>41.922290921700544</c:v>
                </c:pt>
                <c:pt idx="7">
                  <c:v>41.462303433123672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5F5-AE52-230631382D31}"/>
            </c:ext>
          </c:extLst>
        </c:ser>
        <c:ser>
          <c:idx val="2"/>
          <c:order val="1"/>
          <c:tx>
            <c:strRef>
              <c:f>Sheet1!$E$40</c:f>
              <c:strCache>
                <c:ptCount val="1"/>
                <c:pt idx="0">
                  <c:v>2l-nep. Auksta. 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Sheet1!$E$42:$E$49</c:f>
              <c:numCache>
                <c:formatCode>General</c:formatCode>
                <c:ptCount val="8"/>
                <c:pt idx="0">
                  <c:v>20.884449931006078</c:v>
                </c:pt>
                <c:pt idx="1">
                  <c:v>21.099168083223073</c:v>
                </c:pt>
                <c:pt idx="2">
                  <c:v>21.429191262340211</c:v>
                </c:pt>
                <c:pt idx="3">
                  <c:v>23.171610799663686</c:v>
                </c:pt>
                <c:pt idx="4">
                  <c:v>27.63475335953094</c:v>
                </c:pt>
                <c:pt idx="5">
                  <c:v>35.702483169269058</c:v>
                </c:pt>
                <c:pt idx="6">
                  <c:v>47.709019700904953</c:v>
                </c:pt>
                <c:pt idx="7">
                  <c:v>64.139764183958576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C7-45F5-AE52-23063138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6728"/>
        <c:axId val="515019472"/>
      </c:scatterChart>
      <c:valAx>
        <c:axId val="51501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472"/>
        <c:crosses val="autoZero"/>
        <c:crossBetween val="midCat"/>
      </c:valAx>
      <c:valAx>
        <c:axId val="515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6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Sheet1!$F$56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Sheet1!$F$58:$F$65</c:f>
              <c:numCache>
                <c:formatCode>General</c:formatCode>
                <c:ptCount val="8"/>
                <c:pt idx="0">
                  <c:v>30.783229278233875</c:v>
                </c:pt>
                <c:pt idx="1">
                  <c:v>28.179686119546325</c:v>
                </c:pt>
                <c:pt idx="2">
                  <c:v>25.904978951131802</c:v>
                </c:pt>
                <c:pt idx="3">
                  <c:v>25.146079179828966</c:v>
                </c:pt>
                <c:pt idx="4">
                  <c:v>27.327609426313483</c:v>
                </c:pt>
                <c:pt idx="5">
                  <c:v>34.745080221575108</c:v>
                </c:pt>
                <c:pt idx="6">
                  <c:v>47.8177268636951</c:v>
                </c:pt>
                <c:pt idx="7">
                  <c:v>67.276705081719555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B-4D2C-9166-0E4B10CB5EEE}"/>
            </c:ext>
          </c:extLst>
        </c:ser>
        <c:ser>
          <c:idx val="1"/>
          <c:order val="1"/>
          <c:tx>
            <c:strRef>
              <c:f>Sheet1!$E$56</c:f>
              <c:strCache>
                <c:ptCount val="1"/>
                <c:pt idx="0">
                  <c:v>2 l nep. Auksta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Sheet1!$E$58:$E$65</c:f>
              <c:numCache>
                <c:formatCode>General</c:formatCode>
                <c:ptCount val="8"/>
                <c:pt idx="0">
                  <c:v>17.19301678612015</c:v>
                </c:pt>
                <c:pt idx="1">
                  <c:v>18.498166374402604</c:v>
                </c:pt>
                <c:pt idx="2">
                  <c:v>20.593452103186557</c:v>
                </c:pt>
                <c:pt idx="3">
                  <c:v>24.444111491416411</c:v>
                </c:pt>
                <c:pt idx="4">
                  <c:v>30.435868544225613</c:v>
                </c:pt>
                <c:pt idx="5">
                  <c:v>41.83365508831757</c:v>
                </c:pt>
                <c:pt idx="6">
                  <c:v>56.143118755618353</c:v>
                </c:pt>
                <c:pt idx="7">
                  <c:v>70.043894586068745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B-4D2C-9166-0E4B10CB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8488"/>
        <c:axId val="515028880"/>
      </c:scatterChart>
      <c:valAx>
        <c:axId val="51502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880"/>
        <c:crosses val="autoZero"/>
        <c:crossBetween val="midCat"/>
      </c:valAx>
      <c:valAx>
        <c:axId val="5150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'[110]Eksp.200406 (13)'!$F$5:$F$13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'[110]Eksp.200406 (13)'!$T$5:$T$13</c:f>
              <c:numCache>
                <c:formatCode>General</c:formatCode>
                <c:ptCount val="9"/>
                <c:pt idx="0">
                  <c:v>77.201732741488456</c:v>
                </c:pt>
                <c:pt idx="1">
                  <c:v>65.944537646656471</c:v>
                </c:pt>
                <c:pt idx="2">
                  <c:v>49.626110499116805</c:v>
                </c:pt>
                <c:pt idx="3">
                  <c:v>39.362720503455364</c:v>
                </c:pt>
                <c:pt idx="4">
                  <c:v>32.22099197183293</c:v>
                </c:pt>
                <c:pt idx="5">
                  <c:v>25.304966787768212</c:v>
                </c:pt>
                <c:pt idx="6">
                  <c:v>20.26327736708399</c:v>
                </c:pt>
                <c:pt idx="7">
                  <c:v>15.289930380278797</c:v>
                </c:pt>
                <c:pt idx="8">
                  <c:v>9.1899954925026037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21-406A-A20E-03132687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30448"/>
        <c:axId val="515029664"/>
      </c:scatterChart>
      <c:valAx>
        <c:axId val="51503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9664"/>
        <c:crosses val="autoZero"/>
        <c:crossBetween val="midCat"/>
        <c:majorUnit val="1"/>
      </c:valAx>
      <c:valAx>
        <c:axId val="515029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3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20200406 Re=350,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 2l/m nepur</a:t>
            </a:r>
            <a:r>
              <a:rPr lang="lt-LT" baseline="0"/>
              <a:t>š</a:t>
            </a:r>
            <a:r>
              <a:rPr lang="en-US" baseline="0"/>
              <a:t>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[110]Chronologija!$E$32:$L$32</c:f>
              <c:numCache>
                <c:formatCode>General</c:formatCode>
                <c:ptCount val="8"/>
                <c:pt idx="0">
                  <c:v>135</c:v>
                </c:pt>
                <c:pt idx="1">
                  <c:v>113</c:v>
                </c:pt>
                <c:pt idx="2">
                  <c:v>0</c:v>
                </c:pt>
                <c:pt idx="3">
                  <c:v>26.5</c:v>
                </c:pt>
                <c:pt idx="4">
                  <c:v>0</c:v>
                </c:pt>
                <c:pt idx="5">
                  <c:v>8.5</c:v>
                </c:pt>
                <c:pt idx="6">
                  <c:v>0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5-44AF-88F1-793C9B8CF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5027312"/>
        <c:axId val="515027704"/>
      </c:barChart>
      <c:catAx>
        <c:axId val="51502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704"/>
        <c:crosses val="autoZero"/>
        <c:auto val="1"/>
        <c:lblAlgn val="ctr"/>
        <c:lblOffset val="100"/>
        <c:noMultiLvlLbl val="0"/>
      </c:catAx>
      <c:valAx>
        <c:axId val="51502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20200406 Re=350, au</a:t>
            </a:r>
            <a:r>
              <a:rPr lang="lt-LT" sz="1600" b="0" i="0" baseline="0">
                <a:effectLst/>
              </a:rPr>
              <a:t>š. </a:t>
            </a:r>
            <a:r>
              <a:rPr lang="en-US" sz="1600" b="0" i="0" baseline="0">
                <a:effectLst/>
              </a:rPr>
              <a:t>= 2l/m nepur</a:t>
            </a:r>
            <a:r>
              <a:rPr lang="lt-LT" sz="1600" b="0" i="0" baseline="0">
                <a:effectLst/>
              </a:rPr>
              <a:t>š</a:t>
            </a:r>
            <a:r>
              <a:rPr lang="en-US" sz="1600" b="0" i="0" baseline="0">
                <a:effectLst/>
              </a:rPr>
              <a:t>kiama</a:t>
            </a:r>
            <a:endParaRPr lang="lt-LT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[110]Chronologija!$E$33:$L$33</c:f>
              <c:numCache>
                <c:formatCode>General</c:formatCode>
                <c:ptCount val="8"/>
                <c:pt idx="1">
                  <c:v>248</c:v>
                </c:pt>
                <c:pt idx="3">
                  <c:v>26.5</c:v>
                </c:pt>
                <c:pt idx="5">
                  <c:v>8.5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B-4D18-94B2-1EFDFFB0D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493552"/>
        <c:axId val="512488848"/>
      </c:barChart>
      <c:catAx>
        <c:axId val="51249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8848"/>
        <c:crosses val="autoZero"/>
        <c:auto val="1"/>
        <c:lblAlgn val="ctr"/>
        <c:lblOffset val="100"/>
        <c:noMultiLvlLbl val="0"/>
      </c:catAx>
      <c:valAx>
        <c:axId val="5124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</a:t>
            </a:r>
            <a:r>
              <a:rPr lang="en-US" baseline="0"/>
              <a:t>. nepu</a:t>
            </a:r>
            <a:r>
              <a:rPr lang="lt-LT" baseline="0"/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[111]chronologija!$C$32:$J$32</c:f>
              <c:numCache>
                <c:formatCode>General</c:formatCode>
                <c:ptCount val="8"/>
                <c:pt idx="0">
                  <c:v>199.5</c:v>
                </c:pt>
                <c:pt idx="1">
                  <c:v>130.19999999999999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119.8</c:v>
                </c:pt>
                <c:pt idx="6">
                  <c:v>24.6</c:v>
                </c:pt>
                <c:pt idx="7">
                  <c:v>772.7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F-42BA-BEAB-AE27711A5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87672"/>
        <c:axId val="512489240"/>
      </c:barChart>
      <c:catAx>
        <c:axId val="512487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9240"/>
        <c:crosses val="autoZero"/>
        <c:auto val="1"/>
        <c:lblAlgn val="ctr"/>
        <c:lblOffset val="100"/>
        <c:noMultiLvlLbl val="0"/>
      </c:catAx>
      <c:valAx>
        <c:axId val="5124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l/min.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[111]chronologija!$C$33:$J$33</c:f>
              <c:numCache>
                <c:formatCode>General</c:formatCode>
                <c:ptCount val="8"/>
                <c:pt idx="1">
                  <c:v>329.7</c:v>
                </c:pt>
                <c:pt idx="3">
                  <c:v>0</c:v>
                </c:pt>
                <c:pt idx="5">
                  <c:v>119.8</c:v>
                </c:pt>
                <c:pt idx="7">
                  <c:v>797.30000000000007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4-4437-B249-1D9ED1DBD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90416"/>
        <c:axId val="360566184"/>
      </c:barChart>
      <c:catAx>
        <c:axId val="51249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66184"/>
        <c:crosses val="autoZero"/>
        <c:auto val="1"/>
        <c:lblAlgn val="ctr"/>
        <c:lblOffset val="100"/>
        <c:noMultiLvlLbl val="0"/>
      </c:catAx>
      <c:valAx>
        <c:axId val="36056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'[112]Keithley Matavimai'!$S$5:$S$12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'[112]Keithley Matavimai'!$V$6:$V$13</c:f>
              <c:numCache>
                <c:formatCode>General</c:formatCode>
                <c:ptCount val="8"/>
                <c:pt idx="0">
                  <c:v>65.853533738175486</c:v>
                </c:pt>
                <c:pt idx="1">
                  <c:v>56.266062900856873</c:v>
                </c:pt>
                <c:pt idx="2">
                  <c:v>43.75198425416594</c:v>
                </c:pt>
                <c:pt idx="3">
                  <c:v>38.230932611973415</c:v>
                </c:pt>
                <c:pt idx="4">
                  <c:v>31.072344282598433</c:v>
                </c:pt>
                <c:pt idx="5">
                  <c:v>25.816406728256137</c:v>
                </c:pt>
                <c:pt idx="6">
                  <c:v>21.544500681209108</c:v>
                </c:pt>
                <c:pt idx="7">
                  <c:v>17.86527328714919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35-4F43-85F7-E4603858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95760"/>
        <c:axId val="509096936"/>
      </c:scatterChart>
      <c:valAx>
        <c:axId val="509095760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6936"/>
        <c:crosses val="autoZero"/>
        <c:crossBetween val="midCat"/>
        <c:majorUnit val="1"/>
      </c:valAx>
      <c:valAx>
        <c:axId val="509096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t, C</a:t>
                </a:r>
                <a:endParaRPr lang="lt-LT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>
            <c:manualLayout>
              <c:xMode val="edge"/>
              <c:yMode val="edge"/>
              <c:x val="4.6233958186487151E-2"/>
              <c:y val="0.444121264873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[113]Chronologija!$D$32:$K$32</c:f>
              <c:numCache>
                <c:formatCode>General</c:formatCode>
                <c:ptCount val="8"/>
                <c:pt idx="0">
                  <c:v>19.3</c:v>
                </c:pt>
                <c:pt idx="1">
                  <c:v>233</c:v>
                </c:pt>
                <c:pt idx="2">
                  <c:v>5</c:v>
                </c:pt>
                <c:pt idx="3">
                  <c:v>276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A-4A29-9B17-D20D4F8D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594304"/>
        <c:axId val="513875688"/>
      </c:barChart>
      <c:catAx>
        <c:axId val="36259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5688"/>
        <c:crosses val="autoZero"/>
        <c:auto val="1"/>
        <c:lblAlgn val="ctr"/>
        <c:lblOffset val="100"/>
        <c:noMultiLvlLbl val="0"/>
      </c:catAx>
      <c:valAx>
        <c:axId val="51387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9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[113]Chronologija!$D$33:$K$33</c:f>
              <c:numCache>
                <c:formatCode>General</c:formatCode>
                <c:ptCount val="8"/>
                <c:pt idx="1">
                  <c:v>252.3</c:v>
                </c:pt>
                <c:pt idx="3">
                  <c:v>281</c:v>
                </c:pt>
                <c:pt idx="5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C-4D79-B826-E4F8B662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0000"/>
        <c:axId val="513877256"/>
      </c:barChart>
      <c:catAx>
        <c:axId val="5138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256"/>
        <c:crosses val="autoZero"/>
        <c:auto val="1"/>
        <c:lblAlgn val="ctr"/>
        <c:lblOffset val="100"/>
        <c:noMultiLvlLbl val="0"/>
      </c:catAx>
      <c:valAx>
        <c:axId val="5138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'[114]Keithley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'[114]Keithley Matavimai'!$V$6:$V$14</c:f>
              <c:numCache>
                <c:formatCode>General</c:formatCode>
                <c:ptCount val="9"/>
                <c:pt idx="0">
                  <c:v>73.764450834106384</c:v>
                </c:pt>
                <c:pt idx="1">
                  <c:v>65.032283490142362</c:v>
                </c:pt>
                <c:pt idx="2">
                  <c:v>52.094397415862964</c:v>
                </c:pt>
                <c:pt idx="3">
                  <c:v>48.017438173986648</c:v>
                </c:pt>
                <c:pt idx="4">
                  <c:v>39.740800320475344</c:v>
                </c:pt>
                <c:pt idx="5">
                  <c:v>33.923414687700159</c:v>
                </c:pt>
                <c:pt idx="6">
                  <c:v>29.222359205093554</c:v>
                </c:pt>
                <c:pt idx="7">
                  <c:v>24.684157044256889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27-4E28-9E26-10BA5CA36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69808"/>
        <c:axId val="513870200"/>
      </c:scatterChart>
      <c:valAx>
        <c:axId val="5138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200"/>
        <c:crosses val="autoZero"/>
        <c:crossBetween val="midCat"/>
        <c:majorUnit val="1"/>
      </c:valAx>
      <c:valAx>
        <c:axId val="51387020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[115]Chronologija!$D$29:$K$29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[115]Chronologija!$D$31:$K$31</c:f>
              <c:numCache>
                <c:formatCode>General</c:formatCode>
                <c:ptCount val="8"/>
                <c:pt idx="0">
                  <c:v>81</c:v>
                </c:pt>
                <c:pt idx="1">
                  <c:v>65</c:v>
                </c:pt>
                <c:pt idx="2">
                  <c:v>29</c:v>
                </c:pt>
                <c:pt idx="3">
                  <c:v>21</c:v>
                </c:pt>
                <c:pt idx="4">
                  <c:v>29</c:v>
                </c:pt>
                <c:pt idx="5">
                  <c:v>764</c:v>
                </c:pt>
                <c:pt idx="6">
                  <c:v>15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A-40CC-B00D-843F5D5F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0984"/>
        <c:axId val="513876080"/>
      </c:barChart>
      <c:catAx>
        <c:axId val="513870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080"/>
        <c:crosses val="autoZero"/>
        <c:auto val="1"/>
        <c:lblAlgn val="ctr"/>
        <c:lblOffset val="100"/>
        <c:noMultiLvlLbl val="0"/>
      </c:catAx>
      <c:valAx>
        <c:axId val="5138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[115]Chronologija!$D$29:$K$29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[115]Chronologija!$D$32:$K$32</c:f>
              <c:numCache>
                <c:formatCode>General</c:formatCode>
                <c:ptCount val="8"/>
                <c:pt idx="1">
                  <c:v>146</c:v>
                </c:pt>
                <c:pt idx="3">
                  <c:v>50</c:v>
                </c:pt>
                <c:pt idx="5">
                  <c:v>793</c:v>
                </c:pt>
                <c:pt idx="7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2-46DB-84A2-1D57F5257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3728"/>
        <c:axId val="513877648"/>
      </c:barChart>
      <c:catAx>
        <c:axId val="51387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648"/>
        <c:crosses val="autoZero"/>
        <c:auto val="1"/>
        <c:lblAlgn val="ctr"/>
        <c:lblOffset val="100"/>
        <c:noMultiLvlLbl val="0"/>
      </c:catAx>
      <c:valAx>
        <c:axId val="5138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'[115]Keithley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'[115]Keithley Matavimai'!$V$6:$V$14</c:f>
              <c:numCache>
                <c:formatCode>General</c:formatCode>
                <c:ptCount val="9"/>
                <c:pt idx="0">
                  <c:v>82.028315686619038</c:v>
                </c:pt>
                <c:pt idx="1">
                  <c:v>71.744159400466117</c:v>
                </c:pt>
                <c:pt idx="2">
                  <c:v>61.318507192890642</c:v>
                </c:pt>
                <c:pt idx="3">
                  <c:v>57.484958665275293</c:v>
                </c:pt>
                <c:pt idx="4">
                  <c:v>49.432901791101919</c:v>
                </c:pt>
                <c:pt idx="5">
                  <c:v>43.068196832234236</c:v>
                </c:pt>
                <c:pt idx="6">
                  <c:v>38.762089601949214</c:v>
                </c:pt>
                <c:pt idx="7">
                  <c:v>33.37256270697759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E-4594-A5F3-19FB57201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8432"/>
        <c:axId val="513873336"/>
      </c:scatterChart>
      <c:valAx>
        <c:axId val="513878432"/>
        <c:scaling>
          <c:orientation val="minMax"/>
          <c:max val="9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336"/>
        <c:crosses val="autoZero"/>
        <c:crossBetween val="midCat"/>
        <c:majorUnit val="1"/>
      </c:valAx>
      <c:valAx>
        <c:axId val="5138733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[116]Chronologija!$D$38:$K$38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[116]Chronologija!$D$39:$K$39</c:f>
              <c:numCache>
                <c:formatCode>General</c:formatCode>
                <c:ptCount val="8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68240"/>
        <c:axId val="513876864"/>
      </c:barChart>
      <c:catAx>
        <c:axId val="51386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864"/>
        <c:crosses val="autoZero"/>
        <c:auto val="1"/>
        <c:lblAlgn val="ctr"/>
        <c:lblOffset val="100"/>
        <c:noMultiLvlLbl val="0"/>
      </c:catAx>
      <c:valAx>
        <c:axId val="513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[116]Chronologija!$D$38:$K$38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[116]Chronologija!$D$40:$K$40</c:f>
              <c:numCache>
                <c:formatCode>General</c:formatCode>
                <c:ptCount val="8"/>
                <c:pt idx="1">
                  <c:v>25</c:v>
                </c:pt>
                <c:pt idx="3">
                  <c:v>29</c:v>
                </c:pt>
                <c:pt idx="5">
                  <c:v>25</c:v>
                </c:pt>
                <c:pt idx="7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8824"/>
        <c:axId val="513879216"/>
      </c:barChart>
      <c:catAx>
        <c:axId val="51387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9216"/>
        <c:crosses val="autoZero"/>
        <c:auto val="1"/>
        <c:lblAlgn val="ctr"/>
        <c:lblOffset val="100"/>
        <c:noMultiLvlLbl val="0"/>
      </c:catAx>
      <c:valAx>
        <c:axId val="51387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'[116]Keithley Matavimai'!$X$6:$X$13</c:f>
              <c:numCache>
                <c:formatCode>General</c:formatCode>
                <c:ptCount val="8"/>
                <c:pt idx="0">
                  <c:v>80.499116437146625</c:v>
                </c:pt>
                <c:pt idx="1">
                  <c:v>69.428492384183215</c:v>
                </c:pt>
                <c:pt idx="2">
                  <c:v>59.920445527338053</c:v>
                </c:pt>
                <c:pt idx="3">
                  <c:v>54.191906945817799</c:v>
                </c:pt>
                <c:pt idx="4">
                  <c:v>47.529611272292307</c:v>
                </c:pt>
                <c:pt idx="5">
                  <c:v>40.2169217565026</c:v>
                </c:pt>
                <c:pt idx="6">
                  <c:v>36.244192739249705</c:v>
                </c:pt>
                <c:pt idx="7">
                  <c:v>30.624145220958063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0592"/>
        <c:axId val="513869416"/>
      </c:scatterChart>
      <c:valAx>
        <c:axId val="51387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416"/>
        <c:crosses val="autoZero"/>
        <c:crossBetween val="midCat"/>
        <c:majorUnit val="1"/>
      </c:valAx>
      <c:valAx>
        <c:axId val="51386941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[117]Chronologija!$D$37:$K$37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[117]Chronologija!$D$38:$K$38</c:f>
              <c:numCache>
                <c:formatCode>General</c:formatCode>
                <c:ptCount val="8"/>
                <c:pt idx="0">
                  <c:v>14</c:v>
                </c:pt>
                <c:pt idx="1">
                  <c:v>14</c:v>
                </c:pt>
                <c:pt idx="2">
                  <c:v>21</c:v>
                </c:pt>
                <c:pt idx="3">
                  <c:v>32</c:v>
                </c:pt>
                <c:pt idx="4">
                  <c:v>41</c:v>
                </c:pt>
                <c:pt idx="5">
                  <c:v>111</c:v>
                </c:pt>
                <c:pt idx="6">
                  <c:v>14</c:v>
                </c:pt>
                <c:pt idx="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1376"/>
        <c:axId val="513872552"/>
      </c:barChart>
      <c:catAx>
        <c:axId val="51387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2552"/>
        <c:crosses val="autoZero"/>
        <c:auto val="1"/>
        <c:lblAlgn val="ctr"/>
        <c:lblOffset val="100"/>
        <c:noMultiLvlLbl val="0"/>
      </c:catAx>
      <c:valAx>
        <c:axId val="51387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[117]Chronologija!$D$37:$K$37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[117]Chronologija!$D$39:$K$39</c:f>
              <c:numCache>
                <c:formatCode>General</c:formatCode>
                <c:ptCount val="8"/>
                <c:pt idx="1">
                  <c:v>28</c:v>
                </c:pt>
                <c:pt idx="3">
                  <c:v>53</c:v>
                </c:pt>
                <c:pt idx="5">
                  <c:v>152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4120"/>
        <c:axId val="513874512"/>
      </c:barChart>
      <c:catAx>
        <c:axId val="513874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512"/>
        <c:crosses val="autoZero"/>
        <c:auto val="1"/>
        <c:lblAlgn val="ctr"/>
        <c:lblOffset val="100"/>
        <c:noMultiLvlLbl val="0"/>
      </c:catAx>
      <c:valAx>
        <c:axId val="5138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'[117]Keithley Matavimai'!$X$6:$X$13</c:f>
              <c:numCache>
                <c:formatCode>General</c:formatCode>
                <c:ptCount val="8"/>
                <c:pt idx="0">
                  <c:v>61.678013127370193</c:v>
                </c:pt>
                <c:pt idx="1">
                  <c:v>53.776395839348538</c:v>
                </c:pt>
                <c:pt idx="2">
                  <c:v>46.068146184906375</c:v>
                </c:pt>
                <c:pt idx="3">
                  <c:v>41.62335190397885</c:v>
                </c:pt>
                <c:pt idx="4">
                  <c:v>36.585259504426233</c:v>
                </c:pt>
                <c:pt idx="5">
                  <c:v>31.506530268272734</c:v>
                </c:pt>
                <c:pt idx="6">
                  <c:v>28.200704680062195</c:v>
                </c:pt>
                <c:pt idx="7">
                  <c:v>23.905686682466083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83136"/>
        <c:axId val="513880784"/>
      </c:scatterChart>
      <c:valAx>
        <c:axId val="51388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784"/>
        <c:crosses val="autoZero"/>
        <c:crossBetween val="midCat"/>
        <c:majorUnit val="1"/>
      </c:valAx>
      <c:valAx>
        <c:axId val="51388078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[118]Chronologija!$D$40:$K$40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[118]Chronologija!$D$41:$K$41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68</c:v>
                </c:pt>
                <c:pt idx="4">
                  <c:v>4</c:v>
                </c:pt>
                <c:pt idx="5">
                  <c:v>21</c:v>
                </c:pt>
                <c:pt idx="6">
                  <c:v>112</c:v>
                </c:pt>
                <c:pt idx="7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1568"/>
        <c:axId val="513881176"/>
      </c:barChart>
      <c:catAx>
        <c:axId val="51388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176"/>
        <c:crosses val="autoZero"/>
        <c:auto val="1"/>
        <c:lblAlgn val="ctr"/>
        <c:lblOffset val="100"/>
        <c:noMultiLvlLbl val="0"/>
      </c:catAx>
      <c:valAx>
        <c:axId val="51388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[118]Chronologija!$D$40:$K$40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[118]Chronologija!$D$42:$K$42</c:f>
              <c:numCache>
                <c:formatCode>General</c:formatCode>
                <c:ptCount val="8"/>
                <c:pt idx="1">
                  <c:v>31</c:v>
                </c:pt>
                <c:pt idx="3">
                  <c:v>85</c:v>
                </c:pt>
                <c:pt idx="5">
                  <c:v>25</c:v>
                </c:pt>
                <c:pt idx="7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2352"/>
        <c:axId val="513882744"/>
      </c:barChart>
      <c:catAx>
        <c:axId val="51388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744"/>
        <c:crosses val="autoZero"/>
        <c:auto val="1"/>
        <c:lblAlgn val="ctr"/>
        <c:lblOffset val="100"/>
        <c:noMultiLvlLbl val="0"/>
      </c:catAx>
      <c:valAx>
        <c:axId val="51388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8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'[118]Keithley Matavimai'!$X$6:$X$13</c:f>
              <c:numCache>
                <c:formatCode>General</c:formatCode>
                <c:ptCount val="8"/>
                <c:pt idx="0">
                  <c:v>80.037779763342769</c:v>
                </c:pt>
                <c:pt idx="1">
                  <c:v>72.310464435938627</c:v>
                </c:pt>
                <c:pt idx="2">
                  <c:v>60.062441000552354</c:v>
                </c:pt>
                <c:pt idx="3">
                  <c:v>55.68609999344266</c:v>
                </c:pt>
                <c:pt idx="4">
                  <c:v>47.715652973476814</c:v>
                </c:pt>
                <c:pt idx="5">
                  <c:v>41.049431443558682</c:v>
                </c:pt>
                <c:pt idx="6">
                  <c:v>36.525314054551338</c:v>
                </c:pt>
                <c:pt idx="7">
                  <c:v>31.421099822667841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87840"/>
        <c:axId val="520092936"/>
      </c:scatterChart>
      <c:valAx>
        <c:axId val="52008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936"/>
        <c:crosses val="autoZero"/>
        <c:crossBetween val="midCat"/>
        <c:majorUnit val="1"/>
      </c:valAx>
      <c:valAx>
        <c:axId val="520092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[119]Chronologija!$D$55:$K$55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[119]Chronologija!$D$56:$K$56</c:f>
              <c:numCache>
                <c:formatCode>General</c:formatCode>
                <c:ptCount val="8"/>
                <c:pt idx="0">
                  <c:v>17</c:v>
                </c:pt>
                <c:pt idx="1">
                  <c:v>213</c:v>
                </c:pt>
                <c:pt idx="2">
                  <c:v>30</c:v>
                </c:pt>
                <c:pt idx="3">
                  <c:v>34</c:v>
                </c:pt>
                <c:pt idx="4">
                  <c:v>31</c:v>
                </c:pt>
                <c:pt idx="5">
                  <c:v>129</c:v>
                </c:pt>
                <c:pt idx="6">
                  <c:v>108</c:v>
                </c:pt>
                <c:pt idx="7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8232"/>
        <c:axId val="520096856"/>
      </c:barChart>
      <c:catAx>
        <c:axId val="520088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856"/>
        <c:crosses val="autoZero"/>
        <c:auto val="1"/>
        <c:lblAlgn val="ctr"/>
        <c:lblOffset val="100"/>
        <c:noMultiLvlLbl val="0"/>
      </c:catAx>
      <c:valAx>
        <c:axId val="5200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8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[119]Chronologija!$D$55:$K$55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[119]Chronologija!$D$57:$K$57</c:f>
              <c:numCache>
                <c:formatCode>General</c:formatCode>
                <c:ptCount val="8"/>
                <c:pt idx="1">
                  <c:v>230</c:v>
                </c:pt>
                <c:pt idx="3">
                  <c:v>64</c:v>
                </c:pt>
                <c:pt idx="5">
                  <c:v>160</c:v>
                </c:pt>
                <c:pt idx="7">
                  <c:v>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7640"/>
        <c:axId val="520089408"/>
      </c:barChart>
      <c:catAx>
        <c:axId val="520097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408"/>
        <c:crosses val="autoZero"/>
        <c:auto val="1"/>
        <c:lblAlgn val="ctr"/>
        <c:lblOffset val="100"/>
        <c:noMultiLvlLbl val="0"/>
      </c:catAx>
      <c:valAx>
        <c:axId val="5200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'[119]Keithley Matavimai'!$X$6:$X$13</c:f>
              <c:numCache>
                <c:formatCode>General</c:formatCode>
                <c:ptCount val="8"/>
                <c:pt idx="0">
                  <c:v>48.42667314958306</c:v>
                </c:pt>
                <c:pt idx="1">
                  <c:v>45.584609890800053</c:v>
                </c:pt>
                <c:pt idx="2">
                  <c:v>37.662702679307323</c:v>
                </c:pt>
                <c:pt idx="3">
                  <c:v>35.875245883891708</c:v>
                </c:pt>
                <c:pt idx="4">
                  <c:v>31.328523228253154</c:v>
                </c:pt>
                <c:pt idx="5">
                  <c:v>28.433134870548443</c:v>
                </c:pt>
                <c:pt idx="6">
                  <c:v>25.475919534820996</c:v>
                </c:pt>
                <c:pt idx="7">
                  <c:v>23.47830132521014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8424"/>
        <c:axId val="520089800"/>
      </c:scatterChart>
      <c:valAx>
        <c:axId val="520098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800"/>
        <c:crosses val="autoZero"/>
        <c:crossBetween val="midCat"/>
        <c:majorUnit val="1"/>
      </c:valAx>
      <c:valAx>
        <c:axId val="5200898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[120]Chronologija!$D$25:$K$25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[120]Chronologija!$D$26:$K$26</c:f>
              <c:numCache>
                <c:formatCode>General</c:formatCode>
                <c:ptCount val="8"/>
                <c:pt idx="0">
                  <c:v>12</c:v>
                </c:pt>
                <c:pt idx="1">
                  <c:v>207</c:v>
                </c:pt>
                <c:pt idx="2">
                  <c:v>24</c:v>
                </c:pt>
                <c:pt idx="3">
                  <c:v>21</c:v>
                </c:pt>
                <c:pt idx="4">
                  <c:v>20</c:v>
                </c:pt>
                <c:pt idx="5">
                  <c:v>14</c:v>
                </c:pt>
                <c:pt idx="6">
                  <c:v>46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8032"/>
        <c:axId val="520094112"/>
      </c:barChart>
      <c:catAx>
        <c:axId val="52009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4112"/>
        <c:crosses val="autoZero"/>
        <c:auto val="1"/>
        <c:lblAlgn val="ctr"/>
        <c:lblOffset val="100"/>
        <c:noMultiLvlLbl val="0"/>
      </c:catAx>
      <c:valAx>
        <c:axId val="5200941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03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[120]Chronologija!$D$25:$K$25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[120]Chronologija!$D$27:$K$27</c:f>
              <c:numCache>
                <c:formatCode>General</c:formatCode>
                <c:ptCount val="8"/>
                <c:pt idx="1">
                  <c:v>219</c:v>
                </c:pt>
                <c:pt idx="3">
                  <c:v>45</c:v>
                </c:pt>
                <c:pt idx="5">
                  <c:v>34</c:v>
                </c:pt>
                <c:pt idx="7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2544"/>
        <c:axId val="520089016"/>
      </c:barChart>
      <c:catAx>
        <c:axId val="52009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016"/>
        <c:crosses val="autoZero"/>
        <c:auto val="1"/>
        <c:lblAlgn val="ctr"/>
        <c:lblOffset val="100"/>
        <c:noMultiLvlLbl val="0"/>
      </c:catAx>
      <c:valAx>
        <c:axId val="52008901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54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'[120]Keithley Matavimai'!$X$6:$X$13</c:f>
              <c:numCache>
                <c:formatCode>General</c:formatCode>
                <c:ptCount val="8"/>
                <c:pt idx="0">
                  <c:v>52.990522242399507</c:v>
                </c:pt>
                <c:pt idx="1">
                  <c:v>49.402698057034577</c:v>
                </c:pt>
                <c:pt idx="2">
                  <c:v>40.989032816885</c:v>
                </c:pt>
                <c:pt idx="3">
                  <c:v>38.113109996352158</c:v>
                </c:pt>
                <c:pt idx="4">
                  <c:v>33.229882619801927</c:v>
                </c:pt>
                <c:pt idx="5">
                  <c:v>29.473566147903</c:v>
                </c:pt>
                <c:pt idx="6">
                  <c:v>26.381608620542963</c:v>
                </c:pt>
                <c:pt idx="7">
                  <c:v>23.294429890143199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3720"/>
        <c:axId val="520096072"/>
      </c:scatterChart>
      <c:valAx>
        <c:axId val="52009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072"/>
        <c:crosses val="autoZero"/>
        <c:crossBetween val="midCat"/>
        <c:majorUnit val="1"/>
      </c:valAx>
      <c:valAx>
        <c:axId val="52009607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3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316</a:t>
            </a:r>
            <a:r>
              <a:rPr lang="en-US"/>
              <a:t>, ausin. 2 l/min,</a:t>
            </a:r>
            <a:r>
              <a:rPr lang="en-US" baseline="0"/>
              <a:t>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[121]Chronologija!$D$52:$K$52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[121]Chronologija!$D$53:$K$53</c:f>
              <c:numCache>
                <c:formatCode>General</c:formatCode>
                <c:ptCount val="8"/>
                <c:pt idx="0">
                  <c:v>5</c:v>
                </c:pt>
                <c:pt idx="1">
                  <c:v>52</c:v>
                </c:pt>
                <c:pt idx="2">
                  <c:v>11</c:v>
                </c:pt>
                <c:pt idx="3">
                  <c:v>37</c:v>
                </c:pt>
                <c:pt idx="4">
                  <c:v>3</c:v>
                </c:pt>
                <c:pt idx="5">
                  <c:v>132</c:v>
                </c:pt>
                <c:pt idx="6">
                  <c:v>1</c:v>
                </c:pt>
                <c:pt idx="7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0584"/>
        <c:axId val="520086664"/>
      </c:barChart>
      <c:catAx>
        <c:axId val="520090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6664"/>
        <c:crosses val="autoZero"/>
        <c:auto val="1"/>
        <c:lblAlgn val="ctr"/>
        <c:lblOffset val="100"/>
        <c:noMultiLvlLbl val="0"/>
      </c:catAx>
      <c:valAx>
        <c:axId val="520086664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Re</a:t>
            </a:r>
            <a:r>
              <a:rPr lang="ru-RU" sz="1400" b="0" i="0" u="none" strike="noStrike" baseline="0">
                <a:effectLst/>
              </a:rPr>
              <a:t> </a:t>
            </a:r>
            <a:r>
              <a:rPr lang="en-US" sz="1400" b="0" i="0" u="none" strike="noStrike" baseline="0">
                <a:effectLst/>
              </a:rPr>
              <a:t>orientac=</a:t>
            </a:r>
            <a:r>
              <a:rPr lang="lt-LT" sz="1400" b="0" i="0" u="none" strike="noStrike" baseline="0">
                <a:effectLst/>
              </a:rPr>
              <a:t>316</a:t>
            </a:r>
            <a:r>
              <a:rPr lang="en-US" sz="1400" b="0" i="0" u="none" strike="noStrike" baseline="0">
                <a:effectLst/>
              </a:rPr>
              <a:t>, ausin. 2 l/min,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[121]Chronologija!$D$52:$K$52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[121]Chronologija!$D$54:$K$54</c:f>
              <c:numCache>
                <c:formatCode>General</c:formatCode>
                <c:ptCount val="8"/>
                <c:pt idx="1">
                  <c:v>57</c:v>
                </c:pt>
                <c:pt idx="3">
                  <c:v>48</c:v>
                </c:pt>
                <c:pt idx="5">
                  <c:v>135</c:v>
                </c:pt>
                <c:pt idx="7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5288"/>
        <c:axId val="520092152"/>
      </c:barChart>
      <c:catAx>
        <c:axId val="520095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152"/>
        <c:crosses val="autoZero"/>
        <c:auto val="1"/>
        <c:lblAlgn val="ctr"/>
        <c:lblOffset val="100"/>
        <c:noMultiLvlLbl val="0"/>
      </c:catAx>
      <c:valAx>
        <c:axId val="520092152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2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'[121]Keithley Matavimai'!$X$6:$X$13</c:f>
              <c:numCache>
                <c:formatCode>General</c:formatCode>
                <c:ptCount val="8"/>
                <c:pt idx="0">
                  <c:v>41.351976966399533</c:v>
                </c:pt>
                <c:pt idx="1">
                  <c:v>32.252420084024735</c:v>
                </c:pt>
                <c:pt idx="2">
                  <c:v>24.797799637414684</c:v>
                </c:pt>
                <c:pt idx="3">
                  <c:v>19.946029650568391</c:v>
                </c:pt>
                <c:pt idx="4">
                  <c:v>15.655881181292578</c:v>
                </c:pt>
                <c:pt idx="5">
                  <c:v>12.058137158230359</c:v>
                </c:pt>
                <c:pt idx="6">
                  <c:v>9.5123222007991544</c:v>
                </c:pt>
                <c:pt idx="7">
                  <c:v>7.5768794383196294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5680"/>
        <c:axId val="520096464"/>
      </c:scatterChart>
      <c:valAx>
        <c:axId val="52009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464"/>
        <c:crosses val="autoZero"/>
        <c:crossBetween val="midCat"/>
        <c:majorUnit val="1"/>
      </c:valAx>
      <c:valAx>
        <c:axId val="5200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</a:t>
            </a:r>
            <a:r>
              <a:rPr lang="en-US"/>
              <a:t>, ausin. 2l/m, dumai per ekon.</a:t>
            </a:r>
            <a:r>
              <a:rPr lang="en-US" baseline="0"/>
              <a:t> purskiama </a:t>
            </a:r>
            <a:r>
              <a:rPr lang="lt-LT" baseline="0"/>
              <a:t>į katila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[122]Chronologija!$D$63:$K$63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[122]Chronologija!$D$64:$K$64</c:f>
              <c:numCache>
                <c:formatCode>General</c:formatCode>
                <c:ptCount val="8"/>
                <c:pt idx="0">
                  <c:v>310</c:v>
                </c:pt>
                <c:pt idx="1">
                  <c:v>45</c:v>
                </c:pt>
                <c:pt idx="2">
                  <c:v>13</c:v>
                </c:pt>
                <c:pt idx="3">
                  <c:v>55</c:v>
                </c:pt>
                <c:pt idx="4">
                  <c:v>19</c:v>
                </c:pt>
                <c:pt idx="5">
                  <c:v>29</c:v>
                </c:pt>
                <c:pt idx="6">
                  <c:v>16</c:v>
                </c:pt>
                <c:pt idx="7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7056"/>
        <c:axId val="520091368"/>
      </c:barChart>
      <c:catAx>
        <c:axId val="52008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1368"/>
        <c:crosses val="autoZero"/>
        <c:auto val="1"/>
        <c:lblAlgn val="ctr"/>
        <c:lblOffset val="100"/>
        <c:noMultiLvlLbl val="0"/>
      </c:catAx>
      <c:valAx>
        <c:axId val="5200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, ausin. 2l/m, dumai per ekon. purskiama </a:t>
            </a:r>
            <a:r>
              <a:rPr lang="lt-L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į katila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[122]Chronologija!$D$63:$K$63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[122]Chronologija!$D$65:$K$65</c:f>
              <c:numCache>
                <c:formatCode>General</c:formatCode>
                <c:ptCount val="8"/>
                <c:pt idx="1">
                  <c:v>355</c:v>
                </c:pt>
                <c:pt idx="3">
                  <c:v>68</c:v>
                </c:pt>
                <c:pt idx="5">
                  <c:v>48</c:v>
                </c:pt>
                <c:pt idx="7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100384"/>
        <c:axId val="520101168"/>
      </c:barChart>
      <c:catAx>
        <c:axId val="52010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168"/>
        <c:crosses val="autoZero"/>
        <c:auto val="1"/>
        <c:lblAlgn val="ctr"/>
        <c:lblOffset val="100"/>
        <c:noMultiLvlLbl val="0"/>
      </c:catAx>
      <c:valAx>
        <c:axId val="5201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3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'[122]Keithley Matavimai'!$X$6:$X$13</c:f>
              <c:numCache>
                <c:formatCode>General</c:formatCode>
                <c:ptCount val="8"/>
                <c:pt idx="0">
                  <c:v>38.12196559287991</c:v>
                </c:pt>
                <c:pt idx="1">
                  <c:v>38.069967646617847</c:v>
                </c:pt>
                <c:pt idx="2">
                  <c:v>30.023211287992702</c:v>
                </c:pt>
                <c:pt idx="3">
                  <c:v>30.223565003631883</c:v>
                </c:pt>
                <c:pt idx="4">
                  <c:v>25.204148880721014</c:v>
                </c:pt>
                <c:pt idx="5">
                  <c:v>23.797546876163089</c:v>
                </c:pt>
                <c:pt idx="6">
                  <c:v>21.309506580701871</c:v>
                </c:pt>
                <c:pt idx="7">
                  <c:v>18.796280762229706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01952"/>
        <c:axId val="520102344"/>
      </c:scatterChart>
      <c:valAx>
        <c:axId val="52010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2344"/>
        <c:crosses val="autoZero"/>
        <c:crossBetween val="midCat"/>
        <c:majorUnit val="1"/>
      </c:valAx>
      <c:valAx>
        <c:axId val="52010234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7.21.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314, ausin. 2l/min,</a:t>
            </a:r>
            <a:r>
              <a:rPr lang="lt-LT" baseline="0"/>
              <a:t> purskimas į kurykla,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[123]Chronologija!$D$61:$K$61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[123]Chronologija!$D$62:$K$62</c:f>
              <c:numCache>
                <c:formatCode>General</c:formatCode>
                <c:ptCount val="8"/>
                <c:pt idx="0">
                  <c:v>101</c:v>
                </c:pt>
                <c:pt idx="1">
                  <c:v>184</c:v>
                </c:pt>
                <c:pt idx="2">
                  <c:v>12</c:v>
                </c:pt>
                <c:pt idx="3">
                  <c:v>7</c:v>
                </c:pt>
                <c:pt idx="4">
                  <c:v>6</c:v>
                </c:pt>
                <c:pt idx="5">
                  <c:v>332</c:v>
                </c:pt>
                <c:pt idx="6">
                  <c:v>34</c:v>
                </c:pt>
                <c:pt idx="7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9600"/>
        <c:axId val="520099992"/>
      </c:barChart>
      <c:catAx>
        <c:axId val="52009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992"/>
        <c:crosses val="autoZero"/>
        <c:auto val="1"/>
        <c:lblAlgn val="ctr"/>
        <c:lblOffset val="100"/>
        <c:noMultiLvlLbl val="0"/>
      </c:catAx>
      <c:valAx>
        <c:axId val="52009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2020.0</a:t>
            </a:r>
            <a:r>
              <a:rPr lang="lt-LT" sz="1400" b="0" i="0" baseline="0">
                <a:effectLst/>
              </a:rPr>
              <a:t>7.21.</a:t>
            </a:r>
            <a:r>
              <a:rPr lang="en-US" sz="1400" b="0" i="0" baseline="0">
                <a:effectLst/>
              </a:rPr>
              <a:t> 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314, ausin. 2l/min, purskimas į kurykla, dumai per ekonom.</a:t>
            </a:r>
            <a:endParaRPr lang="lt-L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[123]Chronologija!$D$61:$K$61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[123]Chronologija!$D$63:$K$63</c:f>
              <c:numCache>
                <c:formatCode>General</c:formatCode>
                <c:ptCount val="8"/>
                <c:pt idx="1">
                  <c:v>285</c:v>
                </c:pt>
                <c:pt idx="3">
                  <c:v>19</c:v>
                </c:pt>
                <c:pt idx="5">
                  <c:v>338</c:v>
                </c:pt>
                <c:pt idx="7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4464"/>
        <c:axId val="512814072"/>
      </c:barChart>
      <c:catAx>
        <c:axId val="51281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072"/>
        <c:crosses val="autoZero"/>
        <c:auto val="1"/>
        <c:lblAlgn val="ctr"/>
        <c:lblOffset val="100"/>
        <c:noMultiLvlLbl val="0"/>
      </c:catAx>
      <c:valAx>
        <c:axId val="512814072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'[123]Keithley Matavimai'!$X$6:$X$13</c:f>
              <c:numCache>
                <c:formatCode>General</c:formatCode>
                <c:ptCount val="8"/>
                <c:pt idx="0">
                  <c:v>32.852085844780717</c:v>
                </c:pt>
                <c:pt idx="1">
                  <c:v>27.31210042597467</c:v>
                </c:pt>
                <c:pt idx="2">
                  <c:v>20.700067658032154</c:v>
                </c:pt>
                <c:pt idx="3">
                  <c:v>17.5298437342935</c:v>
                </c:pt>
                <c:pt idx="4">
                  <c:v>13.668166520149242</c:v>
                </c:pt>
                <c:pt idx="5">
                  <c:v>10.811002624683915</c:v>
                </c:pt>
                <c:pt idx="6">
                  <c:v>9.7603059664834078</c:v>
                </c:pt>
                <c:pt idx="7">
                  <c:v>8.0600965296393809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4856"/>
        <c:axId val="512812896"/>
      </c:scatterChart>
      <c:valAx>
        <c:axId val="51281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896"/>
        <c:crosses val="autoZero"/>
        <c:crossBetween val="midCat"/>
        <c:majorUnit val="1"/>
      </c:valAx>
      <c:valAx>
        <c:axId val="5128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ausin. 2 l/min.</a:t>
            </a:r>
            <a:r>
              <a:rPr lang="lt-LT" baseline="0"/>
              <a:t>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[124]Chronologija!$D$60:$K$60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[124]Chronologija!$D$61:$K$61</c:f>
              <c:numCache>
                <c:formatCode>General</c:formatCode>
                <c:ptCount val="8"/>
                <c:pt idx="0">
                  <c:v>41</c:v>
                </c:pt>
                <c:pt idx="1">
                  <c:v>330</c:v>
                </c:pt>
                <c:pt idx="2">
                  <c:v>213</c:v>
                </c:pt>
                <c:pt idx="3">
                  <c:v>49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5640"/>
        <c:axId val="512811720"/>
      </c:barChart>
      <c:catAx>
        <c:axId val="512815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1720"/>
        <c:crosses val="autoZero"/>
        <c:auto val="1"/>
        <c:lblAlgn val="ctr"/>
        <c:lblOffset val="100"/>
        <c:noMultiLvlLbl val="0"/>
      </c:catAx>
      <c:valAx>
        <c:axId val="5128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</a:t>
            </a:r>
            <a:r>
              <a:rPr lang="lt-LT" sz="1400" b="0" i="0" u="none" strike="noStrike" baseline="0">
                <a:effectLst/>
              </a:rPr>
              <a:t>ausin. 2 l/min.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[124]Chronologija!$D$60:$K$60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[124]Chronologija!$D$62:$K$62</c:f>
              <c:numCache>
                <c:formatCode>General</c:formatCode>
                <c:ptCount val="8"/>
                <c:pt idx="1">
                  <c:v>371</c:v>
                </c:pt>
                <c:pt idx="3">
                  <c:v>262</c:v>
                </c:pt>
                <c:pt idx="5">
                  <c:v>35</c:v>
                </c:pt>
                <c:pt idx="7">
                  <c:v>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1128"/>
        <c:axId val="512821912"/>
      </c:barChart>
      <c:catAx>
        <c:axId val="51282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912"/>
        <c:crosses val="autoZero"/>
        <c:auto val="1"/>
        <c:lblAlgn val="ctr"/>
        <c:lblOffset val="100"/>
        <c:noMultiLvlLbl val="0"/>
      </c:catAx>
      <c:valAx>
        <c:axId val="51282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'[124]Keithley Matavimai'!$X$6:$X$13</c:f>
              <c:numCache>
                <c:formatCode>General</c:formatCode>
                <c:ptCount val="8"/>
                <c:pt idx="0">
                  <c:v>38.206815962512373</c:v>
                </c:pt>
                <c:pt idx="1">
                  <c:v>38.555224121048496</c:v>
                </c:pt>
                <c:pt idx="2">
                  <c:v>30.581876569714602</c:v>
                </c:pt>
                <c:pt idx="3">
                  <c:v>31.5802820926164</c:v>
                </c:pt>
                <c:pt idx="4">
                  <c:v>26.444598136033882</c:v>
                </c:pt>
                <c:pt idx="5">
                  <c:v>24.455487871716642</c:v>
                </c:pt>
                <c:pt idx="6">
                  <c:v>22.526797618775717</c:v>
                </c:pt>
                <c:pt idx="7">
                  <c:v>21.357631820964976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6816"/>
        <c:axId val="512822696"/>
      </c:scatterChart>
      <c:valAx>
        <c:axId val="51281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2696"/>
        <c:crosses val="autoZero"/>
        <c:crossBetween val="midCat"/>
        <c:majorUnit val="1"/>
      </c:valAx>
      <c:valAx>
        <c:axId val="51282269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319</a:t>
            </a:r>
            <a:r>
              <a:rPr lang="en-US"/>
              <a:t>, ausin. 1l/min, dumai</a:t>
            </a:r>
            <a:r>
              <a:rPr lang="en-US" baseline="0"/>
              <a:t> per ekon. , vanduo nepur</a:t>
            </a:r>
            <a:r>
              <a:rPr lang="lt-LT" baseline="0"/>
              <a:t>škiamas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[125]Chronologija!$D$57:$K$57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[125]Chronologija!$D$58:$K$58</c:f>
              <c:numCache>
                <c:formatCode>General</c:formatCode>
                <c:ptCount val="8"/>
                <c:pt idx="0">
                  <c:v>16</c:v>
                </c:pt>
                <c:pt idx="1">
                  <c:v>3</c:v>
                </c:pt>
                <c:pt idx="2">
                  <c:v>29</c:v>
                </c:pt>
                <c:pt idx="3">
                  <c:v>14</c:v>
                </c:pt>
                <c:pt idx="4">
                  <c:v>88</c:v>
                </c:pt>
                <c:pt idx="5">
                  <c:v>49</c:v>
                </c:pt>
                <c:pt idx="6">
                  <c:v>35</c:v>
                </c:pt>
                <c:pt idx="7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9168"/>
        <c:axId val="512819952"/>
      </c:barChart>
      <c:catAx>
        <c:axId val="51281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952"/>
        <c:crosses val="autoZero"/>
        <c:auto val="1"/>
        <c:lblAlgn val="ctr"/>
        <c:lblOffset val="100"/>
        <c:noMultiLvlLbl val="0"/>
      </c:catAx>
      <c:valAx>
        <c:axId val="5128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</a:t>
            </a:r>
            <a:r>
              <a:rPr lang="en-US" sz="1400" b="0" i="0" baseline="0">
                <a:effectLst/>
              </a:rPr>
              <a:t>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319</a:t>
            </a:r>
            <a:r>
              <a:rPr lang="en-US" sz="1400" b="0" i="0" baseline="0">
                <a:effectLst/>
              </a:rPr>
              <a:t>, ausin. 1l/min, dumai per ekon. , vanduo nepur</a:t>
            </a:r>
            <a:r>
              <a:rPr lang="lt-LT" sz="1400" b="0" i="0" baseline="0">
                <a:effectLst/>
              </a:rPr>
              <a:t>škiamas</a:t>
            </a:r>
            <a:endParaRPr lang="lt-LT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[125]Chronologija!$D$57:$K$57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[125]Chronologija!$D$59:$K$59</c:f>
              <c:numCache>
                <c:formatCode>General</c:formatCode>
                <c:ptCount val="8"/>
                <c:pt idx="1">
                  <c:v>19</c:v>
                </c:pt>
                <c:pt idx="3">
                  <c:v>43</c:v>
                </c:pt>
                <c:pt idx="5">
                  <c:v>137</c:v>
                </c:pt>
                <c:pt idx="7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032"/>
        <c:axId val="512823480"/>
      </c:barChart>
      <c:catAx>
        <c:axId val="51281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480"/>
        <c:crosses val="autoZero"/>
        <c:auto val="1"/>
        <c:lblAlgn val="ctr"/>
        <c:lblOffset val="100"/>
        <c:noMultiLvlLbl val="0"/>
      </c:catAx>
      <c:valAx>
        <c:axId val="5128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Gyvatuko paviršiaus ir vandens</a:t>
            </a:r>
            <a:r>
              <a:rPr lang="lt-LT" baseline="0"/>
              <a:t> </a:t>
            </a:r>
            <a:r>
              <a:rPr lang="lt-LT"/>
              <a:t>temperatūros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'[125]Keithley Matavimai'!$W$6:$W$13</c:f>
              <c:numCache>
                <c:formatCode>General</c:formatCode>
                <c:ptCount val="8"/>
                <c:pt idx="0">
                  <c:v>43.246459002098199</c:v>
                </c:pt>
                <c:pt idx="1">
                  <c:v>40.091959946802753</c:v>
                </c:pt>
                <c:pt idx="2">
                  <c:v>39.746266428845388</c:v>
                </c:pt>
                <c:pt idx="3">
                  <c:v>38.116783978625541</c:v>
                </c:pt>
                <c:pt idx="4">
                  <c:v>38.030347996310063</c:v>
                </c:pt>
                <c:pt idx="5">
                  <c:v>36.951777989252442</c:v>
                </c:pt>
                <c:pt idx="6">
                  <c:v>36.661601549108966</c:v>
                </c:pt>
                <c:pt idx="7">
                  <c:v>36.016979987843357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7992"/>
        <c:axId val="512820344"/>
      </c:scatterChart>
      <c:valAx>
        <c:axId val="512817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0344"/>
        <c:crosses val="autoZero"/>
        <c:crossBetween val="midCat"/>
        <c:majorUnit val="1"/>
      </c:valAx>
      <c:valAx>
        <c:axId val="51282034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[126]Chronologija!$D$55:$K$55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[126]Chronologija!$D$56:$K$56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19</c:v>
                </c:pt>
                <c:pt idx="3">
                  <c:v>22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3288"/>
        <c:axId val="512812504"/>
      </c:barChart>
      <c:catAx>
        <c:axId val="512813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504"/>
        <c:crosses val="autoZero"/>
        <c:auto val="1"/>
        <c:lblAlgn val="ctr"/>
        <c:lblOffset val="100"/>
        <c:noMultiLvlLbl val="0"/>
      </c:catAx>
      <c:valAx>
        <c:axId val="51281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3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[126]Chronologija!$D$55:$K$55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[126]Chronologija!$D$57:$K$57</c:f>
              <c:numCache>
                <c:formatCode>General</c:formatCode>
                <c:ptCount val="8"/>
                <c:pt idx="1">
                  <c:v>37</c:v>
                </c:pt>
                <c:pt idx="3">
                  <c:v>41</c:v>
                </c:pt>
                <c:pt idx="5">
                  <c:v>41</c:v>
                </c:pt>
                <c:pt idx="7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424"/>
        <c:axId val="512817600"/>
      </c:barChart>
      <c:catAx>
        <c:axId val="512816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600"/>
        <c:crosses val="autoZero"/>
        <c:auto val="1"/>
        <c:lblAlgn val="ctr"/>
        <c:lblOffset val="100"/>
        <c:noMultiLvlLbl val="0"/>
      </c:catAx>
      <c:valAx>
        <c:axId val="5128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'[126]Keithley Matavimai'!$W$6:$W$13</c:f>
              <c:numCache>
                <c:formatCode>General</c:formatCode>
                <c:ptCount val="8"/>
                <c:pt idx="0">
                  <c:v>53.640000871360932</c:v>
                </c:pt>
                <c:pt idx="1">
                  <c:v>48.708010347981791</c:v>
                </c:pt>
                <c:pt idx="2">
                  <c:v>47.988529622804265</c:v>
                </c:pt>
                <c:pt idx="3">
                  <c:v>44.689307040401737</c:v>
                </c:pt>
                <c:pt idx="4">
                  <c:v>44.676680671925105</c:v>
                </c:pt>
                <c:pt idx="5">
                  <c:v>41.598772853828741</c:v>
                </c:pt>
                <c:pt idx="6">
                  <c:v>41.939026706710933</c:v>
                </c:pt>
                <c:pt idx="7">
                  <c:v>40.143428022026697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9560"/>
        <c:axId val="512823872"/>
      </c:scatterChart>
      <c:valAx>
        <c:axId val="51281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872"/>
        <c:crosses val="autoZero"/>
        <c:crossBetween val="midCat"/>
        <c:majorUnit val="1"/>
      </c:valAx>
      <c:valAx>
        <c:axId val="51282387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[127]Chronologija!$D$62:$K$62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[127]Chronologija!$D$63:$K$63</c:f>
              <c:numCache>
                <c:formatCode>General</c:formatCode>
                <c:ptCount val="8"/>
                <c:pt idx="0">
                  <c:v>351</c:v>
                </c:pt>
                <c:pt idx="1">
                  <c:v>27</c:v>
                </c:pt>
                <c:pt idx="2">
                  <c:v>44</c:v>
                </c:pt>
                <c:pt idx="3">
                  <c:v>51</c:v>
                </c:pt>
                <c:pt idx="4">
                  <c:v>54</c:v>
                </c:pt>
                <c:pt idx="5">
                  <c:v>621</c:v>
                </c:pt>
                <c:pt idx="6">
                  <c:v>39</c:v>
                </c:pt>
                <c:pt idx="7">
                  <c:v>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6616"/>
        <c:axId val="512827008"/>
      </c:barChart>
      <c:catAx>
        <c:axId val="512826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7008"/>
        <c:crosses val="autoZero"/>
        <c:auto val="1"/>
        <c:lblAlgn val="ctr"/>
        <c:lblOffset val="100"/>
        <c:noMultiLvlLbl val="0"/>
      </c:catAx>
      <c:valAx>
        <c:axId val="5128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[127]Chronologija!$D$62:$K$62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[127]Chronologija!$D$64:$K$64</c:f>
              <c:numCache>
                <c:formatCode>General</c:formatCode>
                <c:ptCount val="8"/>
                <c:pt idx="1">
                  <c:v>378</c:v>
                </c:pt>
                <c:pt idx="3">
                  <c:v>95</c:v>
                </c:pt>
                <c:pt idx="5">
                  <c:v>675</c:v>
                </c:pt>
                <c:pt idx="7">
                  <c:v>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5048"/>
        <c:axId val="512824656"/>
      </c:barChart>
      <c:catAx>
        <c:axId val="512825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4656"/>
        <c:crosses val="autoZero"/>
        <c:auto val="1"/>
        <c:lblAlgn val="ctr"/>
        <c:lblOffset val="100"/>
        <c:noMultiLvlLbl val="0"/>
      </c:catAx>
      <c:valAx>
        <c:axId val="5128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'[127]Keithley Matavimai'!$W$6:$W$13</c:f>
              <c:numCache>
                <c:formatCode>General</c:formatCode>
                <c:ptCount val="8"/>
                <c:pt idx="0">
                  <c:v>45.844417166652157</c:v>
                </c:pt>
                <c:pt idx="1">
                  <c:v>44.661693633991298</c:v>
                </c:pt>
                <c:pt idx="2">
                  <c:v>43.124420225794857</c:v>
                </c:pt>
                <c:pt idx="3">
                  <c:v>42.274710410914899</c:v>
                </c:pt>
                <c:pt idx="4">
                  <c:v>41.414870509434863</c:v>
                </c:pt>
                <c:pt idx="5">
                  <c:v>40.881976719247319</c:v>
                </c:pt>
                <c:pt idx="6">
                  <c:v>39.51701482007266</c:v>
                </c:pt>
                <c:pt idx="7">
                  <c:v>38.372968417851489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26224"/>
        <c:axId val="512362016"/>
      </c:scatterChart>
      <c:valAx>
        <c:axId val="51282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016"/>
        <c:crosses val="autoZero"/>
        <c:crossBetween val="midCat"/>
        <c:majorUnit val="1"/>
      </c:valAx>
      <c:valAx>
        <c:axId val="512362016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[128]Chronologija!$D$36:$K$36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[128]Chronologija!$D$37:$K$37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22</c:v>
                </c:pt>
                <c:pt idx="3">
                  <c:v>32</c:v>
                </c:pt>
                <c:pt idx="4">
                  <c:v>21</c:v>
                </c:pt>
                <c:pt idx="5">
                  <c:v>196</c:v>
                </c:pt>
                <c:pt idx="6">
                  <c:v>140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424"/>
        <c:axId val="512361624"/>
      </c:barChart>
      <c:catAx>
        <c:axId val="51237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1624"/>
        <c:crosses val="autoZero"/>
        <c:auto val="1"/>
        <c:lblAlgn val="ctr"/>
        <c:lblOffset val="100"/>
        <c:noMultiLvlLbl val="0"/>
      </c:catAx>
      <c:valAx>
        <c:axId val="5123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[128]Chronologija!$D$36:$K$36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[128]Chronologija!$D$38:$K$38</c:f>
              <c:numCache>
                <c:formatCode>General</c:formatCode>
                <c:ptCount val="8"/>
                <c:pt idx="1">
                  <c:v>37</c:v>
                </c:pt>
                <c:pt idx="3">
                  <c:v>54</c:v>
                </c:pt>
                <c:pt idx="5">
                  <c:v>217</c:v>
                </c:pt>
                <c:pt idx="7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976"/>
        <c:axId val="512364368"/>
      </c:barChart>
      <c:catAx>
        <c:axId val="512363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368"/>
        <c:crosses val="autoZero"/>
        <c:auto val="1"/>
        <c:lblAlgn val="ctr"/>
        <c:lblOffset val="100"/>
        <c:noMultiLvlLbl val="0"/>
      </c:catAx>
      <c:valAx>
        <c:axId val="5123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'[128]Keithley Matavimai'!$W$6:$W$13</c:f>
              <c:numCache>
                <c:formatCode>General</c:formatCode>
                <c:ptCount val="8"/>
                <c:pt idx="0">
                  <c:v>43.914739589780673</c:v>
                </c:pt>
                <c:pt idx="1">
                  <c:v>42.216751172880628</c:v>
                </c:pt>
                <c:pt idx="2">
                  <c:v>41.35368511646643</c:v>
                </c:pt>
                <c:pt idx="3">
                  <c:v>40.694582957263634</c:v>
                </c:pt>
                <c:pt idx="4">
                  <c:v>40.258403351822572</c:v>
                </c:pt>
                <c:pt idx="5">
                  <c:v>39.941261758210366</c:v>
                </c:pt>
                <c:pt idx="6">
                  <c:v>38.981351433558515</c:v>
                </c:pt>
                <c:pt idx="7">
                  <c:v>38.512603743065299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2800"/>
        <c:axId val="512364760"/>
      </c:scatterChart>
      <c:valAx>
        <c:axId val="51236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760"/>
        <c:crosses val="autoZero"/>
        <c:crossBetween val="midCat"/>
        <c:majorUnit val="1"/>
      </c:valAx>
      <c:valAx>
        <c:axId val="512364760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[129]Chronologija!$D$40:$K$40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[129]Chronologija!$D$41:$K$41</c:f>
              <c:numCache>
                <c:formatCode>General</c:formatCode>
                <c:ptCount val="8"/>
                <c:pt idx="0">
                  <c:v>216</c:v>
                </c:pt>
                <c:pt idx="1">
                  <c:v>10</c:v>
                </c:pt>
                <c:pt idx="2">
                  <c:v>44</c:v>
                </c:pt>
                <c:pt idx="3">
                  <c:v>9</c:v>
                </c:pt>
                <c:pt idx="4">
                  <c:v>29</c:v>
                </c:pt>
                <c:pt idx="5">
                  <c:v>15</c:v>
                </c:pt>
                <c:pt idx="6">
                  <c:v>22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7896"/>
        <c:axId val="512365936"/>
      </c:barChart>
      <c:catAx>
        <c:axId val="512367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5936"/>
        <c:crosses val="autoZero"/>
        <c:auto val="1"/>
        <c:lblAlgn val="ctr"/>
        <c:lblOffset val="100"/>
        <c:noMultiLvlLbl val="0"/>
      </c:catAx>
      <c:valAx>
        <c:axId val="5123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[129]Chronologija!$D$40:$K$40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[129]Chronologija!$D$42:$K$42</c:f>
              <c:numCache>
                <c:formatCode>General</c:formatCode>
                <c:ptCount val="8"/>
                <c:pt idx="1">
                  <c:v>226</c:v>
                </c:pt>
                <c:pt idx="3">
                  <c:v>53</c:v>
                </c:pt>
                <c:pt idx="5">
                  <c:v>44</c:v>
                </c:pt>
                <c:pt idx="7">
                  <c:v>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816"/>
        <c:axId val="512368288"/>
      </c:barChart>
      <c:catAx>
        <c:axId val="512371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8288"/>
        <c:crosses val="autoZero"/>
        <c:auto val="1"/>
        <c:lblAlgn val="ctr"/>
        <c:lblOffset val="100"/>
        <c:noMultiLvlLbl val="0"/>
      </c:catAx>
      <c:valAx>
        <c:axId val="5123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'[129]Keithley Matavimai'!$X$6:$X$13</c:f>
              <c:numCache>
                <c:formatCode>General</c:formatCode>
                <c:ptCount val="8"/>
                <c:pt idx="0">
                  <c:v>63.480023609669537</c:v>
                </c:pt>
                <c:pt idx="1">
                  <c:v>58.744709511419558</c:v>
                </c:pt>
                <c:pt idx="2">
                  <c:v>48.606548045621572</c:v>
                </c:pt>
                <c:pt idx="3">
                  <c:v>47.882369250333483</c:v>
                </c:pt>
                <c:pt idx="4">
                  <c:v>40.050663424618577</c:v>
                </c:pt>
                <c:pt idx="5">
                  <c:v>36.756869969141121</c:v>
                </c:pt>
                <c:pt idx="6">
                  <c:v>31.858094707921609</c:v>
                </c:pt>
                <c:pt idx="7">
                  <c:v>28.865253426396652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7112"/>
        <c:axId val="512366328"/>
      </c:scatterChart>
      <c:valAx>
        <c:axId val="51236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328"/>
        <c:crosses val="autoZero"/>
        <c:crossBetween val="midCat"/>
        <c:majorUnit val="1"/>
      </c:valAx>
      <c:valAx>
        <c:axId val="51236632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[130]Chronologija!$D$43:$K$43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[130]Chronologija!$D$44:$K$44</c:f>
              <c:numCache>
                <c:formatCode>General</c:formatCode>
                <c:ptCount val="8"/>
                <c:pt idx="0">
                  <c:v>4</c:v>
                </c:pt>
                <c:pt idx="1">
                  <c:v>240</c:v>
                </c:pt>
                <c:pt idx="2">
                  <c:v>143</c:v>
                </c:pt>
                <c:pt idx="3">
                  <c:v>168</c:v>
                </c:pt>
                <c:pt idx="4">
                  <c:v>253</c:v>
                </c:pt>
                <c:pt idx="5">
                  <c:v>29</c:v>
                </c:pt>
                <c:pt idx="6">
                  <c:v>94</c:v>
                </c:pt>
                <c:pt idx="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192"/>
        <c:axId val="512363584"/>
      </c:barChart>
      <c:catAx>
        <c:axId val="512363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584"/>
        <c:crosses val="autoZero"/>
        <c:auto val="1"/>
        <c:lblAlgn val="ctr"/>
        <c:lblOffset val="100"/>
        <c:noMultiLvlLbl val="0"/>
      </c:catAx>
      <c:valAx>
        <c:axId val="5123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[130]Chronologija!$D$43:$K$43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[130]Chronologija!$D$45:$K$45</c:f>
              <c:numCache>
                <c:formatCode>General</c:formatCode>
                <c:ptCount val="8"/>
                <c:pt idx="1">
                  <c:v>244</c:v>
                </c:pt>
                <c:pt idx="3">
                  <c:v>311</c:v>
                </c:pt>
                <c:pt idx="5">
                  <c:v>282</c:v>
                </c:pt>
                <c:pt idx="7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6720"/>
        <c:axId val="512371032"/>
      </c:barChart>
      <c:catAx>
        <c:axId val="51236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032"/>
        <c:crosses val="autoZero"/>
        <c:auto val="1"/>
        <c:lblAlgn val="ctr"/>
        <c:lblOffset val="100"/>
        <c:noMultiLvlLbl val="0"/>
      </c:catAx>
      <c:valAx>
        <c:axId val="51237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'[130]Keithley Matavimai'!$X$6:$X$13</c:f>
              <c:numCache>
                <c:formatCode>General</c:formatCode>
                <c:ptCount val="8"/>
                <c:pt idx="0">
                  <c:v>48.336495485564228</c:v>
                </c:pt>
                <c:pt idx="1">
                  <c:v>40.503765995650866</c:v>
                </c:pt>
                <c:pt idx="2">
                  <c:v>30.73952127890443</c:v>
                </c:pt>
                <c:pt idx="3">
                  <c:v>26.431877396899111</c:v>
                </c:pt>
                <c:pt idx="4">
                  <c:v>20.628540969162017</c:v>
                </c:pt>
                <c:pt idx="5">
                  <c:v>17.450719988998284</c:v>
                </c:pt>
                <c:pt idx="6">
                  <c:v>13.594584430403451</c:v>
                </c:pt>
                <c:pt idx="7">
                  <c:v>12.444008726741949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0056"/>
        <c:axId val="512369072"/>
      </c:scatterChart>
      <c:valAx>
        <c:axId val="512360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072"/>
        <c:crosses val="autoZero"/>
        <c:crossBetween val="midCat"/>
        <c:majorUnit val="1"/>
      </c:valAx>
      <c:valAx>
        <c:axId val="5123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[131]Chronologija!$D$37:$K$37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[131]Chronologija!$D$38:$K$38</c:f>
              <c:numCache>
                <c:formatCode>General</c:formatCode>
                <c:ptCount val="8"/>
                <c:pt idx="0">
                  <c:v>431</c:v>
                </c:pt>
                <c:pt idx="1">
                  <c:v>15</c:v>
                </c:pt>
                <c:pt idx="2">
                  <c:v>34</c:v>
                </c:pt>
                <c:pt idx="3">
                  <c:v>171</c:v>
                </c:pt>
                <c:pt idx="4">
                  <c:v>134</c:v>
                </c:pt>
                <c:pt idx="5">
                  <c:v>228</c:v>
                </c:pt>
                <c:pt idx="6">
                  <c:v>27</c:v>
                </c:pt>
                <c:pt idx="7">
                  <c:v>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9856"/>
        <c:axId val="512360840"/>
      </c:barChart>
      <c:catAx>
        <c:axId val="5123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840"/>
        <c:crosses val="autoZero"/>
        <c:auto val="1"/>
        <c:lblAlgn val="ctr"/>
        <c:lblOffset val="100"/>
        <c:noMultiLvlLbl val="0"/>
      </c:catAx>
      <c:valAx>
        <c:axId val="51236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[131]Chronologija!$D$37:$K$37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[131]Chronologija!$D$39:$K$39</c:f>
              <c:numCache>
                <c:formatCode>General</c:formatCode>
                <c:ptCount val="8"/>
                <c:pt idx="1">
                  <c:v>446</c:v>
                </c:pt>
                <c:pt idx="3">
                  <c:v>205</c:v>
                </c:pt>
                <c:pt idx="4">
                  <c:v>0</c:v>
                </c:pt>
                <c:pt idx="5">
                  <c:v>362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3776"/>
        <c:axId val="512375736"/>
      </c:barChart>
      <c:catAx>
        <c:axId val="51237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5736"/>
        <c:crosses val="autoZero"/>
        <c:auto val="1"/>
        <c:lblAlgn val="ctr"/>
        <c:lblOffset val="100"/>
        <c:noMultiLvlLbl val="0"/>
      </c:catAx>
      <c:valAx>
        <c:axId val="51237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'[131]Keithley Matavimai'!$X$6:$X$13</c:f>
              <c:numCache>
                <c:formatCode>General</c:formatCode>
                <c:ptCount val="8"/>
                <c:pt idx="0">
                  <c:v>47.510504842514756</c:v>
                </c:pt>
                <c:pt idx="1">
                  <c:v>47.143094450301803</c:v>
                </c:pt>
                <c:pt idx="2">
                  <c:v>38.662886388406378</c:v>
                </c:pt>
                <c:pt idx="3">
                  <c:v>39.60098684493483</c:v>
                </c:pt>
                <c:pt idx="4">
                  <c:v>33.351515014133902</c:v>
                </c:pt>
                <c:pt idx="5">
                  <c:v>31.541646744476136</c:v>
                </c:pt>
                <c:pt idx="6">
                  <c:v>28.33299541158927</c:v>
                </c:pt>
                <c:pt idx="7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74168"/>
        <c:axId val="512372600"/>
      </c:scatterChart>
      <c:valAx>
        <c:axId val="512374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600"/>
        <c:crosses val="autoZero"/>
        <c:crossBetween val="midCat"/>
        <c:majorUnit val="1"/>
      </c:valAx>
      <c:valAx>
        <c:axId val="5123726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[132]Chronologija!$D$37:$K$37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[132]Chronologija!$D$38:$K$38</c:f>
              <c:numCache>
                <c:formatCode>General</c:formatCode>
                <c:ptCount val="8"/>
                <c:pt idx="0">
                  <c:v>294</c:v>
                </c:pt>
                <c:pt idx="1">
                  <c:v>166</c:v>
                </c:pt>
                <c:pt idx="2">
                  <c:v>83</c:v>
                </c:pt>
                <c:pt idx="3">
                  <c:v>181</c:v>
                </c:pt>
                <c:pt idx="4">
                  <c:v>236</c:v>
                </c:pt>
                <c:pt idx="5">
                  <c:v>7</c:v>
                </c:pt>
                <c:pt idx="6">
                  <c:v>54</c:v>
                </c:pt>
                <c:pt idx="7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2992"/>
        <c:axId val="512373384"/>
      </c:barChart>
      <c:catAx>
        <c:axId val="512372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384"/>
        <c:crosses val="autoZero"/>
        <c:auto val="1"/>
        <c:lblAlgn val="ctr"/>
        <c:lblOffset val="100"/>
        <c:noMultiLvlLbl val="0"/>
      </c:catAx>
      <c:valAx>
        <c:axId val="51237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[132]Chronologija!$D$37:$K$37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[132]Chronologija!$D$39:$K$39</c:f>
              <c:numCache>
                <c:formatCode>General</c:formatCode>
                <c:ptCount val="8"/>
                <c:pt idx="1">
                  <c:v>460</c:v>
                </c:pt>
                <c:pt idx="3">
                  <c:v>264</c:v>
                </c:pt>
                <c:pt idx="5">
                  <c:v>243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3312"/>
        <c:axId val="510724096"/>
      </c:barChart>
      <c:catAx>
        <c:axId val="51072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096"/>
        <c:crosses val="autoZero"/>
        <c:auto val="1"/>
        <c:lblAlgn val="ctr"/>
        <c:lblOffset val="100"/>
        <c:noMultiLvlLbl val="0"/>
      </c:catAx>
      <c:valAx>
        <c:axId val="5107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'[132]Keithley Matavimai'!$X$6:$X$13</c:f>
              <c:numCache>
                <c:formatCode>General</c:formatCode>
                <c:ptCount val="8"/>
                <c:pt idx="0">
                  <c:v>42.769293679796661</c:v>
                </c:pt>
                <c:pt idx="1">
                  <c:v>38.714844963329668</c:v>
                </c:pt>
                <c:pt idx="2">
                  <c:v>28.380249141070767</c:v>
                </c:pt>
                <c:pt idx="3">
                  <c:v>24.314125805732935</c:v>
                </c:pt>
                <c:pt idx="4">
                  <c:v>20.357311317322914</c:v>
                </c:pt>
                <c:pt idx="5">
                  <c:v>16.638701862853875</c:v>
                </c:pt>
                <c:pt idx="6">
                  <c:v>14.229136941014048</c:v>
                </c:pt>
                <c:pt idx="7">
                  <c:v>13.495528633476624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4880"/>
        <c:axId val="510725664"/>
      </c:scatterChart>
      <c:valAx>
        <c:axId val="51072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664"/>
        <c:crosses val="autoZero"/>
        <c:crossBetween val="midCat"/>
        <c:majorUnit val="1"/>
      </c:valAx>
      <c:valAx>
        <c:axId val="5107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[133]Chronologija!$D$44:$K$44</c:f>
              <c:numCache>
                <c:formatCode>General</c:formatCode>
                <c:ptCount val="8"/>
                <c:pt idx="0">
                  <c:v>317</c:v>
                </c:pt>
                <c:pt idx="1">
                  <c:v>15</c:v>
                </c:pt>
                <c:pt idx="2">
                  <c:v>52</c:v>
                </c:pt>
                <c:pt idx="3">
                  <c:v>26</c:v>
                </c:pt>
                <c:pt idx="4">
                  <c:v>167</c:v>
                </c:pt>
                <c:pt idx="5">
                  <c:v>469</c:v>
                </c:pt>
                <c:pt idx="6">
                  <c:v>19</c:v>
                </c:pt>
                <c:pt idx="7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1544"/>
        <c:axId val="510733896"/>
      </c:barChart>
      <c:catAx>
        <c:axId val="510731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3896"/>
        <c:crosses val="autoZero"/>
        <c:auto val="1"/>
        <c:lblAlgn val="ctr"/>
        <c:lblOffset val="100"/>
        <c:noMultiLvlLbl val="0"/>
      </c:catAx>
      <c:valAx>
        <c:axId val="5107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[133]Chronologija!$D$45:$K$45</c:f>
              <c:numCache>
                <c:formatCode>General</c:formatCode>
                <c:ptCount val="8"/>
                <c:pt idx="1">
                  <c:v>332</c:v>
                </c:pt>
                <c:pt idx="3">
                  <c:v>78</c:v>
                </c:pt>
                <c:pt idx="5">
                  <c:v>636</c:v>
                </c:pt>
                <c:pt idx="7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6056"/>
        <c:axId val="510730760"/>
      </c:barChart>
      <c:catAx>
        <c:axId val="510726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760"/>
        <c:crosses val="autoZero"/>
        <c:auto val="1"/>
        <c:lblAlgn val="ctr"/>
        <c:lblOffset val="100"/>
        <c:noMultiLvlLbl val="0"/>
      </c:catAx>
      <c:valAx>
        <c:axId val="5107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'[133]Keithley Matavimai'!$X$6:$X$13</c:f>
              <c:numCache>
                <c:formatCode>General</c:formatCode>
                <c:ptCount val="8"/>
                <c:pt idx="0">
                  <c:v>73.849499324111164</c:v>
                </c:pt>
                <c:pt idx="1">
                  <c:v>64.396862041218057</c:v>
                </c:pt>
                <c:pt idx="2">
                  <c:v>56.44865383959349</c:v>
                </c:pt>
                <c:pt idx="3">
                  <c:v>50.766082504409098</c:v>
                </c:pt>
                <c:pt idx="4">
                  <c:v>45.289497043284314</c:v>
                </c:pt>
                <c:pt idx="5">
                  <c:v>39.268243733511426</c:v>
                </c:pt>
                <c:pt idx="6">
                  <c:v>35.514397688229487</c:v>
                </c:pt>
                <c:pt idx="7">
                  <c:v>32.446712365792294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6448"/>
        <c:axId val="510722920"/>
      </c:scatterChart>
      <c:valAx>
        <c:axId val="51072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2920"/>
        <c:crosses val="autoZero"/>
        <c:crossBetween val="midCat"/>
        <c:majorUnit val="1"/>
      </c:valAx>
      <c:valAx>
        <c:axId val="51072292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[134]Chronologija!$D$44:$K$44</c:f>
              <c:numCache>
                <c:formatCode>General</c:formatCode>
                <c:ptCount val="8"/>
                <c:pt idx="0">
                  <c:v>77</c:v>
                </c:pt>
                <c:pt idx="1">
                  <c:v>80</c:v>
                </c:pt>
                <c:pt idx="2">
                  <c:v>205</c:v>
                </c:pt>
                <c:pt idx="3">
                  <c:v>190</c:v>
                </c:pt>
                <c:pt idx="4">
                  <c:v>42</c:v>
                </c:pt>
                <c:pt idx="5">
                  <c:v>177</c:v>
                </c:pt>
                <c:pt idx="6">
                  <c:v>79</c:v>
                </c:pt>
                <c:pt idx="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408"/>
        <c:axId val="510724488"/>
      </c:barChart>
      <c:catAx>
        <c:axId val="510728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488"/>
        <c:crosses val="autoZero"/>
        <c:auto val="1"/>
        <c:lblAlgn val="ctr"/>
        <c:lblOffset val="100"/>
        <c:noMultiLvlLbl val="0"/>
      </c:catAx>
      <c:valAx>
        <c:axId val="51072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[134]Chronologija!$D$47:$K$47</c:f>
              <c:numCache>
                <c:formatCode>General</c:formatCode>
                <c:ptCount val="8"/>
                <c:pt idx="1">
                  <c:v>157</c:v>
                </c:pt>
                <c:pt idx="3">
                  <c:v>395</c:v>
                </c:pt>
                <c:pt idx="5">
                  <c:v>219</c:v>
                </c:pt>
                <c:pt idx="7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800"/>
        <c:axId val="510725272"/>
      </c:barChart>
      <c:catAx>
        <c:axId val="510728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272"/>
        <c:crosses val="autoZero"/>
        <c:auto val="1"/>
        <c:lblAlgn val="ctr"/>
        <c:lblOffset val="100"/>
        <c:noMultiLvlLbl val="0"/>
      </c:catAx>
      <c:valAx>
        <c:axId val="5107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'[134]Keithley Matavimai'!$W$6:$W$13</c:f>
              <c:numCache>
                <c:formatCode>General</c:formatCode>
                <c:ptCount val="8"/>
                <c:pt idx="0">
                  <c:v>25.379553654089236</c:v>
                </c:pt>
                <c:pt idx="1">
                  <c:v>23.881159296081847</c:v>
                </c:pt>
                <c:pt idx="2">
                  <c:v>22.784147638174108</c:v>
                </c:pt>
                <c:pt idx="3">
                  <c:v>22.148226064499983</c:v>
                </c:pt>
                <c:pt idx="4">
                  <c:v>21.545678620377174</c:v>
                </c:pt>
                <c:pt idx="5">
                  <c:v>21.494632807356471</c:v>
                </c:pt>
                <c:pt idx="6">
                  <c:v>20.612948956328932</c:v>
                </c:pt>
                <c:pt idx="7">
                  <c:v>20.442195253960616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7232"/>
        <c:axId val="510729192"/>
      </c:scatterChart>
      <c:valAx>
        <c:axId val="51072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192"/>
        <c:crosses val="autoZero"/>
        <c:crossBetween val="midCat"/>
        <c:majorUnit val="1"/>
      </c:valAx>
      <c:valAx>
        <c:axId val="51072919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[135]Chronologija!$D$44:$K$44</c:f>
              <c:numCache>
                <c:formatCode>General</c:formatCode>
                <c:ptCount val="8"/>
                <c:pt idx="0">
                  <c:v>423</c:v>
                </c:pt>
                <c:pt idx="1">
                  <c:v>65</c:v>
                </c:pt>
                <c:pt idx="2">
                  <c:v>262</c:v>
                </c:pt>
                <c:pt idx="3">
                  <c:v>28</c:v>
                </c:pt>
                <c:pt idx="4">
                  <c:v>104</c:v>
                </c:pt>
                <c:pt idx="5">
                  <c:v>131</c:v>
                </c:pt>
                <c:pt idx="6">
                  <c:v>21</c:v>
                </c:pt>
                <c:pt idx="7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7624"/>
        <c:axId val="510729584"/>
      </c:barChart>
      <c:catAx>
        <c:axId val="51072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584"/>
        <c:crosses val="autoZero"/>
        <c:auto val="1"/>
        <c:lblAlgn val="ctr"/>
        <c:lblOffset val="100"/>
        <c:noMultiLvlLbl val="0"/>
      </c:catAx>
      <c:valAx>
        <c:axId val="510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[135]Chronologija!$D$47:$K$47</c:f>
              <c:numCache>
                <c:formatCode>General</c:formatCode>
                <c:ptCount val="8"/>
                <c:pt idx="1">
                  <c:v>488</c:v>
                </c:pt>
                <c:pt idx="3">
                  <c:v>290</c:v>
                </c:pt>
                <c:pt idx="5">
                  <c:v>235</c:v>
                </c:pt>
                <c:pt idx="7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2328"/>
        <c:axId val="510730368"/>
      </c:barChart>
      <c:catAx>
        <c:axId val="510732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368"/>
        <c:crosses val="autoZero"/>
        <c:auto val="1"/>
        <c:lblAlgn val="ctr"/>
        <c:lblOffset val="100"/>
        <c:noMultiLvlLbl val="0"/>
      </c:catAx>
      <c:valAx>
        <c:axId val="5107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'[135]Keithley Matavimai'!$X$6:$X$13</c:f>
              <c:numCache>
                <c:formatCode>General</c:formatCode>
                <c:ptCount val="8"/>
                <c:pt idx="0">
                  <c:v>43.908522572481402</c:v>
                </c:pt>
                <c:pt idx="1">
                  <c:v>36.486858555255623</c:v>
                </c:pt>
                <c:pt idx="2">
                  <c:v>30.900561031905891</c:v>
                </c:pt>
                <c:pt idx="3">
                  <c:v>25.572098427121563</c:v>
                </c:pt>
                <c:pt idx="4">
                  <c:v>22.868827480091536</c:v>
                </c:pt>
                <c:pt idx="5">
                  <c:v>17.899705295843763</c:v>
                </c:pt>
                <c:pt idx="6">
                  <c:v>15.374197054657152</c:v>
                </c:pt>
                <c:pt idx="7">
                  <c:v>13.82713487042189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31936"/>
        <c:axId val="510732720"/>
      </c:scatterChart>
      <c:valAx>
        <c:axId val="51073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720"/>
        <c:crosses val="autoZero"/>
        <c:crossBetween val="midCat"/>
        <c:majorUnit val="1"/>
      </c:valAx>
      <c:valAx>
        <c:axId val="5107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[136]Chronologija!$D$44:$K$44</c:f>
              <c:numCache>
                <c:formatCode>General</c:formatCode>
                <c:ptCount val="8"/>
                <c:pt idx="0">
                  <c:v>28</c:v>
                </c:pt>
                <c:pt idx="1">
                  <c:v>18</c:v>
                </c:pt>
                <c:pt idx="2">
                  <c:v>26</c:v>
                </c:pt>
                <c:pt idx="3">
                  <c:v>35</c:v>
                </c:pt>
                <c:pt idx="4">
                  <c:v>27</c:v>
                </c:pt>
                <c:pt idx="5">
                  <c:v>37</c:v>
                </c:pt>
                <c:pt idx="6">
                  <c:v>21</c:v>
                </c:pt>
                <c:pt idx="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480"/>
        <c:axId val="510741344"/>
      </c:barChart>
      <c:catAx>
        <c:axId val="51074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344"/>
        <c:crosses val="autoZero"/>
        <c:auto val="1"/>
        <c:lblAlgn val="ctr"/>
        <c:lblOffset val="100"/>
        <c:noMultiLvlLbl val="0"/>
      </c:catAx>
      <c:valAx>
        <c:axId val="5107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[136]Chronologija!$D$45:$K$45</c:f>
              <c:numCache>
                <c:formatCode>General</c:formatCode>
                <c:ptCount val="8"/>
                <c:pt idx="1">
                  <c:v>46</c:v>
                </c:pt>
                <c:pt idx="3">
                  <c:v>61</c:v>
                </c:pt>
                <c:pt idx="5">
                  <c:v>64</c:v>
                </c:pt>
                <c:pt idx="7">
                  <c:v>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5264"/>
        <c:axId val="510739384"/>
      </c:barChart>
      <c:catAx>
        <c:axId val="51074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9384"/>
        <c:crosses val="autoZero"/>
        <c:auto val="1"/>
        <c:lblAlgn val="ctr"/>
        <c:lblOffset val="100"/>
        <c:noMultiLvlLbl val="0"/>
      </c:catAx>
      <c:valAx>
        <c:axId val="51073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'[136]Keithley Matavimai'!$X$6:$X$13</c:f>
              <c:numCache>
                <c:formatCode>General</c:formatCode>
                <c:ptCount val="8"/>
                <c:pt idx="0">
                  <c:v>60.000872255251259</c:v>
                </c:pt>
                <c:pt idx="1">
                  <c:v>54.391994264042431</c:v>
                </c:pt>
                <c:pt idx="2">
                  <c:v>46.077792636881249</c:v>
                </c:pt>
                <c:pt idx="3">
                  <c:v>43.734496803515917</c:v>
                </c:pt>
                <c:pt idx="4">
                  <c:v>37.702030291161243</c:v>
                </c:pt>
                <c:pt idx="5">
                  <c:v>33.36386117626612</c:v>
                </c:pt>
                <c:pt idx="6">
                  <c:v>32.672102161097229</c:v>
                </c:pt>
                <c:pt idx="7">
                  <c:v>32.246590917812824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560"/>
        <c:axId val="510745656"/>
      </c:scatterChart>
      <c:valAx>
        <c:axId val="51074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656"/>
        <c:crosses val="autoZero"/>
        <c:crossBetween val="midCat"/>
        <c:majorUnit val="1"/>
      </c:valAx>
      <c:valAx>
        <c:axId val="51074565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[137]Chronologija!$D$44:$K$44</c:f>
              <c:numCache>
                <c:formatCode>General</c:formatCode>
                <c:ptCount val="8"/>
                <c:pt idx="0">
                  <c:v>289</c:v>
                </c:pt>
                <c:pt idx="1">
                  <c:v>139</c:v>
                </c:pt>
                <c:pt idx="2">
                  <c:v>63</c:v>
                </c:pt>
                <c:pt idx="3">
                  <c:v>189</c:v>
                </c:pt>
                <c:pt idx="4">
                  <c:v>55</c:v>
                </c:pt>
                <c:pt idx="5">
                  <c:v>131</c:v>
                </c:pt>
                <c:pt idx="6">
                  <c:v>118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3304"/>
        <c:axId val="510736640"/>
      </c:barChart>
      <c:catAx>
        <c:axId val="510743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640"/>
        <c:crosses val="autoZero"/>
        <c:auto val="1"/>
        <c:lblAlgn val="ctr"/>
        <c:lblOffset val="100"/>
        <c:noMultiLvlLbl val="0"/>
      </c:catAx>
      <c:valAx>
        <c:axId val="510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[137]Chronologija!$D$45:$K$45</c:f>
              <c:numCache>
                <c:formatCode>General</c:formatCode>
                <c:ptCount val="8"/>
                <c:pt idx="1">
                  <c:v>428</c:v>
                </c:pt>
                <c:pt idx="3">
                  <c:v>252</c:v>
                </c:pt>
                <c:pt idx="5">
                  <c:v>186</c:v>
                </c:pt>
                <c:pt idx="7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464"/>
        <c:axId val="510735856"/>
      </c:barChart>
      <c:catAx>
        <c:axId val="510735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856"/>
        <c:crosses val="autoZero"/>
        <c:auto val="1"/>
        <c:lblAlgn val="ctr"/>
        <c:lblOffset val="100"/>
        <c:noMultiLvlLbl val="0"/>
      </c:catAx>
      <c:valAx>
        <c:axId val="5107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'[137]Keithley Matavimai'!$X$6:$X$13</c:f>
              <c:numCache>
                <c:formatCode>General</c:formatCode>
                <c:ptCount val="8"/>
                <c:pt idx="0">
                  <c:v>43.258976891029661</c:v>
                </c:pt>
                <c:pt idx="1">
                  <c:v>38.996986233240662</c:v>
                </c:pt>
                <c:pt idx="2">
                  <c:v>29.415548646960264</c:v>
                </c:pt>
                <c:pt idx="3">
                  <c:v>25.372264731833116</c:v>
                </c:pt>
                <c:pt idx="4">
                  <c:v>22.208367934021755</c:v>
                </c:pt>
                <c:pt idx="5">
                  <c:v>18.419771171448684</c:v>
                </c:pt>
                <c:pt idx="6">
                  <c:v>15.569550750704042</c:v>
                </c:pt>
                <c:pt idx="7">
                  <c:v>13.867874844960575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1736"/>
        <c:axId val="510737032"/>
      </c:scatterChart>
      <c:valAx>
        <c:axId val="510741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032"/>
        <c:crosses val="autoZero"/>
        <c:crossBetween val="midCat"/>
        <c:majorUnit val="1"/>
      </c:valAx>
      <c:valAx>
        <c:axId val="51073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[138]Chronologija!$D$44:$K$44</c:f>
              <c:numCache>
                <c:formatCode>General</c:formatCode>
                <c:ptCount val="8"/>
                <c:pt idx="0">
                  <c:v>407</c:v>
                </c:pt>
                <c:pt idx="1">
                  <c:v>15</c:v>
                </c:pt>
                <c:pt idx="2">
                  <c:v>69</c:v>
                </c:pt>
                <c:pt idx="3">
                  <c:v>130</c:v>
                </c:pt>
                <c:pt idx="4">
                  <c:v>20</c:v>
                </c:pt>
                <c:pt idx="5">
                  <c:v>159</c:v>
                </c:pt>
                <c:pt idx="6">
                  <c:v>14</c:v>
                </c:pt>
                <c:pt idx="7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8600"/>
        <c:axId val="510736248"/>
      </c:barChart>
      <c:catAx>
        <c:axId val="51073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248"/>
        <c:crosses val="autoZero"/>
        <c:auto val="1"/>
        <c:lblAlgn val="ctr"/>
        <c:lblOffset val="100"/>
        <c:noMultiLvlLbl val="0"/>
      </c:catAx>
      <c:valAx>
        <c:axId val="510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[138]Chronologija!$D$45:$K$45</c:f>
              <c:numCache>
                <c:formatCode>General</c:formatCode>
                <c:ptCount val="8"/>
                <c:pt idx="1">
                  <c:v>422</c:v>
                </c:pt>
                <c:pt idx="3">
                  <c:v>199</c:v>
                </c:pt>
                <c:pt idx="5">
                  <c:v>179</c:v>
                </c:pt>
                <c:pt idx="7">
                  <c:v>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2128"/>
        <c:axId val="510737424"/>
      </c:barChart>
      <c:catAx>
        <c:axId val="51074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424"/>
        <c:crosses val="autoZero"/>
        <c:auto val="1"/>
        <c:lblAlgn val="ctr"/>
        <c:lblOffset val="100"/>
        <c:noMultiLvlLbl val="0"/>
      </c:catAx>
      <c:valAx>
        <c:axId val="5107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'[138]Keithley Matavimai'!$X$6:$X$13</c:f>
              <c:numCache>
                <c:formatCode>General</c:formatCode>
                <c:ptCount val="8"/>
                <c:pt idx="0">
                  <c:v>44.485890718048843</c:v>
                </c:pt>
                <c:pt idx="1">
                  <c:v>44.905654442283392</c:v>
                </c:pt>
                <c:pt idx="2">
                  <c:v>38</c:v>
                </c:pt>
                <c:pt idx="3">
                  <c:v>38.179820850243011</c:v>
                </c:pt>
                <c:pt idx="4">
                  <c:v>33.248587507831353</c:v>
                </c:pt>
                <c:pt idx="5">
                  <c:v>30.843298305917912</c:v>
                </c:pt>
                <c:pt idx="6">
                  <c:v>28.083449530126348</c:v>
                </c:pt>
                <c:pt idx="7">
                  <c:v>27.831839621180496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168"/>
        <c:axId val="510746832"/>
      </c:scatterChart>
      <c:valAx>
        <c:axId val="510740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832"/>
        <c:crosses val="autoZero"/>
        <c:crossBetween val="midCat"/>
        <c:majorUnit val="1"/>
      </c:valAx>
      <c:valAx>
        <c:axId val="51074683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[139]Chronologija!$D$43:$K$43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[139]Chronologija!$D$44:$K$44</c:f>
              <c:numCache>
                <c:formatCode>General</c:formatCode>
                <c:ptCount val="8"/>
                <c:pt idx="0">
                  <c:v>84</c:v>
                </c:pt>
                <c:pt idx="1">
                  <c:v>55</c:v>
                </c:pt>
                <c:pt idx="2">
                  <c:v>267</c:v>
                </c:pt>
                <c:pt idx="3">
                  <c:v>5</c:v>
                </c:pt>
                <c:pt idx="4">
                  <c:v>71</c:v>
                </c:pt>
                <c:pt idx="5">
                  <c:v>168</c:v>
                </c:pt>
                <c:pt idx="6">
                  <c:v>159</c:v>
                </c:pt>
                <c:pt idx="7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088"/>
        <c:axId val="510746440"/>
      </c:barChart>
      <c:catAx>
        <c:axId val="510744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440"/>
        <c:crosses val="autoZero"/>
        <c:auto val="1"/>
        <c:lblAlgn val="ctr"/>
        <c:lblOffset val="100"/>
        <c:noMultiLvlLbl val="0"/>
      </c:catAx>
      <c:valAx>
        <c:axId val="510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[139]Chronologija!$D$43:$K$43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[139]Chronologija!$D$45:$K$45</c:f>
              <c:numCache>
                <c:formatCode>General</c:formatCode>
                <c:ptCount val="8"/>
                <c:pt idx="1">
                  <c:v>139</c:v>
                </c:pt>
                <c:pt idx="3">
                  <c:v>272</c:v>
                </c:pt>
                <c:pt idx="5">
                  <c:v>239</c:v>
                </c:pt>
                <c:pt idx="7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072"/>
        <c:axId val="510748008"/>
      </c:barChart>
      <c:catAx>
        <c:axId val="51073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8008"/>
        <c:crosses val="autoZero"/>
        <c:auto val="1"/>
        <c:lblAlgn val="ctr"/>
        <c:lblOffset val="100"/>
        <c:noMultiLvlLbl val="0"/>
      </c:catAx>
      <c:valAx>
        <c:axId val="51074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'[139]Keithley Matavimai'!$X$6:$X$13</c:f>
              <c:numCache>
                <c:formatCode>General</c:formatCode>
                <c:ptCount val="8"/>
                <c:pt idx="0">
                  <c:v>43.50817662491658</c:v>
                </c:pt>
                <c:pt idx="1">
                  <c:v>36.174691835325824</c:v>
                </c:pt>
                <c:pt idx="2">
                  <c:v>27.488052523621718</c:v>
                </c:pt>
                <c:pt idx="3">
                  <c:v>24.04164029693365</c:v>
                </c:pt>
                <c:pt idx="4">
                  <c:v>19.210152744642404</c:v>
                </c:pt>
                <c:pt idx="5">
                  <c:v>16.051156232427285</c:v>
                </c:pt>
                <c:pt idx="6">
                  <c:v>14.313610313723157</c:v>
                </c:pt>
                <c:pt idx="7">
                  <c:v>13.30674870208977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7616"/>
        <c:axId val="510749576"/>
      </c:scatterChart>
      <c:valAx>
        <c:axId val="51074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9576"/>
        <c:crosses val="autoZero"/>
        <c:crossBetween val="midCat"/>
        <c:majorUnit val="1"/>
      </c:valAx>
      <c:valAx>
        <c:axId val="5107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hyperlink" Target="https://www.ryantoomey.org/wiki/Chilton_and_Colburn_J_factor_analogy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7.xml"/><Relationship Id="rId21" Type="http://schemas.openxmlformats.org/officeDocument/2006/relationships/chart" Target="../charts/chart32.xml"/><Relationship Id="rId42" Type="http://schemas.openxmlformats.org/officeDocument/2006/relationships/chart" Target="../charts/chart53.xml"/><Relationship Id="rId47" Type="http://schemas.openxmlformats.org/officeDocument/2006/relationships/chart" Target="../charts/chart58.xml"/><Relationship Id="rId63" Type="http://schemas.openxmlformats.org/officeDocument/2006/relationships/chart" Target="../charts/chart74.xml"/><Relationship Id="rId68" Type="http://schemas.openxmlformats.org/officeDocument/2006/relationships/chart" Target="../charts/chart79.xml"/><Relationship Id="rId84" Type="http://schemas.openxmlformats.org/officeDocument/2006/relationships/chart" Target="../charts/chart95.xml"/><Relationship Id="rId16" Type="http://schemas.openxmlformats.org/officeDocument/2006/relationships/chart" Target="../charts/chart27.xml"/><Relationship Id="rId11" Type="http://schemas.openxmlformats.org/officeDocument/2006/relationships/chart" Target="../charts/chart22.xml"/><Relationship Id="rId32" Type="http://schemas.openxmlformats.org/officeDocument/2006/relationships/chart" Target="../charts/chart43.xml"/><Relationship Id="rId37" Type="http://schemas.openxmlformats.org/officeDocument/2006/relationships/chart" Target="../charts/chart48.xml"/><Relationship Id="rId53" Type="http://schemas.openxmlformats.org/officeDocument/2006/relationships/chart" Target="../charts/chart64.xml"/><Relationship Id="rId58" Type="http://schemas.openxmlformats.org/officeDocument/2006/relationships/chart" Target="../charts/chart69.xml"/><Relationship Id="rId74" Type="http://schemas.openxmlformats.org/officeDocument/2006/relationships/chart" Target="../charts/chart85.xml"/><Relationship Id="rId79" Type="http://schemas.openxmlformats.org/officeDocument/2006/relationships/chart" Target="../charts/chart90.xml"/><Relationship Id="rId5" Type="http://schemas.openxmlformats.org/officeDocument/2006/relationships/chart" Target="../charts/chart16.xml"/><Relationship Id="rId61" Type="http://schemas.openxmlformats.org/officeDocument/2006/relationships/chart" Target="../charts/chart72.xml"/><Relationship Id="rId82" Type="http://schemas.openxmlformats.org/officeDocument/2006/relationships/chart" Target="../charts/chart93.xml"/><Relationship Id="rId19" Type="http://schemas.openxmlformats.org/officeDocument/2006/relationships/chart" Target="../charts/chart30.xml"/><Relationship Id="rId14" Type="http://schemas.openxmlformats.org/officeDocument/2006/relationships/chart" Target="../charts/chart25.xml"/><Relationship Id="rId22" Type="http://schemas.openxmlformats.org/officeDocument/2006/relationships/chart" Target="../charts/chart33.xml"/><Relationship Id="rId27" Type="http://schemas.openxmlformats.org/officeDocument/2006/relationships/chart" Target="../charts/chart38.xml"/><Relationship Id="rId30" Type="http://schemas.openxmlformats.org/officeDocument/2006/relationships/chart" Target="../charts/chart41.xml"/><Relationship Id="rId35" Type="http://schemas.openxmlformats.org/officeDocument/2006/relationships/chart" Target="../charts/chart46.xml"/><Relationship Id="rId43" Type="http://schemas.openxmlformats.org/officeDocument/2006/relationships/chart" Target="../charts/chart54.xml"/><Relationship Id="rId48" Type="http://schemas.openxmlformats.org/officeDocument/2006/relationships/chart" Target="../charts/chart59.xml"/><Relationship Id="rId56" Type="http://schemas.openxmlformats.org/officeDocument/2006/relationships/chart" Target="../charts/chart67.xml"/><Relationship Id="rId64" Type="http://schemas.openxmlformats.org/officeDocument/2006/relationships/chart" Target="../charts/chart75.xml"/><Relationship Id="rId69" Type="http://schemas.openxmlformats.org/officeDocument/2006/relationships/chart" Target="../charts/chart80.xml"/><Relationship Id="rId77" Type="http://schemas.openxmlformats.org/officeDocument/2006/relationships/chart" Target="../charts/chart88.xml"/><Relationship Id="rId8" Type="http://schemas.openxmlformats.org/officeDocument/2006/relationships/chart" Target="../charts/chart19.xml"/><Relationship Id="rId51" Type="http://schemas.openxmlformats.org/officeDocument/2006/relationships/chart" Target="../charts/chart62.xml"/><Relationship Id="rId72" Type="http://schemas.openxmlformats.org/officeDocument/2006/relationships/chart" Target="../charts/chart83.xml"/><Relationship Id="rId80" Type="http://schemas.openxmlformats.org/officeDocument/2006/relationships/chart" Target="../charts/chart91.xml"/><Relationship Id="rId3" Type="http://schemas.openxmlformats.org/officeDocument/2006/relationships/chart" Target="../charts/chart14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5" Type="http://schemas.openxmlformats.org/officeDocument/2006/relationships/chart" Target="../charts/chart36.xml"/><Relationship Id="rId33" Type="http://schemas.openxmlformats.org/officeDocument/2006/relationships/chart" Target="../charts/chart44.xml"/><Relationship Id="rId38" Type="http://schemas.openxmlformats.org/officeDocument/2006/relationships/chart" Target="../charts/chart49.xml"/><Relationship Id="rId46" Type="http://schemas.openxmlformats.org/officeDocument/2006/relationships/chart" Target="../charts/chart57.xml"/><Relationship Id="rId59" Type="http://schemas.openxmlformats.org/officeDocument/2006/relationships/chart" Target="../charts/chart70.xml"/><Relationship Id="rId67" Type="http://schemas.openxmlformats.org/officeDocument/2006/relationships/chart" Target="../charts/chart78.xml"/><Relationship Id="rId20" Type="http://schemas.openxmlformats.org/officeDocument/2006/relationships/chart" Target="../charts/chart31.xml"/><Relationship Id="rId41" Type="http://schemas.openxmlformats.org/officeDocument/2006/relationships/chart" Target="../charts/chart52.xml"/><Relationship Id="rId54" Type="http://schemas.openxmlformats.org/officeDocument/2006/relationships/chart" Target="../charts/chart65.xml"/><Relationship Id="rId62" Type="http://schemas.openxmlformats.org/officeDocument/2006/relationships/chart" Target="../charts/chart73.xml"/><Relationship Id="rId70" Type="http://schemas.openxmlformats.org/officeDocument/2006/relationships/chart" Target="../charts/chart81.xml"/><Relationship Id="rId75" Type="http://schemas.openxmlformats.org/officeDocument/2006/relationships/chart" Target="../charts/chart86.xml"/><Relationship Id="rId83" Type="http://schemas.openxmlformats.org/officeDocument/2006/relationships/chart" Target="../charts/chart94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5" Type="http://schemas.openxmlformats.org/officeDocument/2006/relationships/chart" Target="../charts/chart26.xml"/><Relationship Id="rId23" Type="http://schemas.openxmlformats.org/officeDocument/2006/relationships/chart" Target="../charts/chart34.xml"/><Relationship Id="rId28" Type="http://schemas.openxmlformats.org/officeDocument/2006/relationships/chart" Target="../charts/chart39.xml"/><Relationship Id="rId36" Type="http://schemas.openxmlformats.org/officeDocument/2006/relationships/chart" Target="../charts/chart47.xml"/><Relationship Id="rId49" Type="http://schemas.openxmlformats.org/officeDocument/2006/relationships/chart" Target="../charts/chart60.xml"/><Relationship Id="rId57" Type="http://schemas.openxmlformats.org/officeDocument/2006/relationships/chart" Target="../charts/chart68.xml"/><Relationship Id="rId10" Type="http://schemas.openxmlformats.org/officeDocument/2006/relationships/chart" Target="../charts/chart21.xml"/><Relationship Id="rId31" Type="http://schemas.openxmlformats.org/officeDocument/2006/relationships/chart" Target="../charts/chart42.xml"/><Relationship Id="rId44" Type="http://schemas.openxmlformats.org/officeDocument/2006/relationships/chart" Target="../charts/chart55.xml"/><Relationship Id="rId52" Type="http://schemas.openxmlformats.org/officeDocument/2006/relationships/chart" Target="../charts/chart63.xml"/><Relationship Id="rId60" Type="http://schemas.openxmlformats.org/officeDocument/2006/relationships/chart" Target="../charts/chart71.xml"/><Relationship Id="rId65" Type="http://schemas.openxmlformats.org/officeDocument/2006/relationships/chart" Target="../charts/chart76.xml"/><Relationship Id="rId73" Type="http://schemas.openxmlformats.org/officeDocument/2006/relationships/chart" Target="../charts/chart84.xml"/><Relationship Id="rId78" Type="http://schemas.openxmlformats.org/officeDocument/2006/relationships/chart" Target="../charts/chart89.xml"/><Relationship Id="rId81" Type="http://schemas.openxmlformats.org/officeDocument/2006/relationships/chart" Target="../charts/chart92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39" Type="http://schemas.openxmlformats.org/officeDocument/2006/relationships/chart" Target="../charts/chart50.xml"/><Relationship Id="rId34" Type="http://schemas.openxmlformats.org/officeDocument/2006/relationships/chart" Target="../charts/chart45.xml"/><Relationship Id="rId50" Type="http://schemas.openxmlformats.org/officeDocument/2006/relationships/chart" Target="../charts/chart61.xml"/><Relationship Id="rId55" Type="http://schemas.openxmlformats.org/officeDocument/2006/relationships/chart" Target="../charts/chart66.xml"/><Relationship Id="rId76" Type="http://schemas.openxmlformats.org/officeDocument/2006/relationships/chart" Target="../charts/chart87.xml"/><Relationship Id="rId7" Type="http://schemas.openxmlformats.org/officeDocument/2006/relationships/chart" Target="../charts/chart18.xml"/><Relationship Id="rId71" Type="http://schemas.openxmlformats.org/officeDocument/2006/relationships/chart" Target="../charts/chart82.xml"/><Relationship Id="rId2" Type="http://schemas.openxmlformats.org/officeDocument/2006/relationships/chart" Target="../charts/chart13.xml"/><Relationship Id="rId29" Type="http://schemas.openxmlformats.org/officeDocument/2006/relationships/chart" Target="../charts/chart40.xml"/><Relationship Id="rId24" Type="http://schemas.openxmlformats.org/officeDocument/2006/relationships/chart" Target="../charts/chart35.xml"/><Relationship Id="rId40" Type="http://schemas.openxmlformats.org/officeDocument/2006/relationships/chart" Target="../charts/chart51.xml"/><Relationship Id="rId45" Type="http://schemas.openxmlformats.org/officeDocument/2006/relationships/chart" Target="../charts/chart56.xml"/><Relationship Id="rId66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123</xdr:col>
      <xdr:colOff>706891</xdr:colOff>
      <xdr:row>0</xdr:row>
      <xdr:rowOff>19050</xdr:rowOff>
    </xdr:from>
    <xdr:to>
      <xdr:col>125</xdr:col>
      <xdr:colOff>757236</xdr:colOff>
      <xdr:row>0</xdr:row>
      <xdr:rowOff>461962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7F8E3B-6CBD-09D7-27A3-2AFBF381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13066" y="19050"/>
          <a:ext cx="2102984" cy="4429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202</xdr:col>
      <xdr:colOff>15240</xdr:colOff>
      <xdr:row>0</xdr:row>
      <xdr:rowOff>17145</xdr:rowOff>
    </xdr:from>
    <xdr:to>
      <xdr:col>204</xdr:col>
      <xdr:colOff>289269</xdr:colOff>
      <xdr:row>0</xdr:row>
      <xdr:rowOff>786645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68155-B62F-3EA5-6E80-D3B439393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786560" y="17145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184</xdr:col>
      <xdr:colOff>22860</xdr:colOff>
      <xdr:row>0</xdr:row>
      <xdr:rowOff>7620</xdr:rowOff>
    </xdr:from>
    <xdr:to>
      <xdr:col>185</xdr:col>
      <xdr:colOff>516094</xdr:colOff>
      <xdr:row>0</xdr:row>
      <xdr:rowOff>1007620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D33F95-D629-E908-51B8-20C04FB4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504340" y="7620"/>
          <a:ext cx="1285714" cy="1000000"/>
        </a:xfrm>
        <a:prstGeom prst="rect">
          <a:avLst/>
        </a:prstGeom>
      </xdr:spPr>
    </xdr:pic>
    <xdr:clientData/>
  </xdr:twoCellAnchor>
  <xdr:twoCellAnchor editAs="oneCell">
    <xdr:from>
      <xdr:col>198</xdr:col>
      <xdr:colOff>822960</xdr:colOff>
      <xdr:row>0</xdr:row>
      <xdr:rowOff>121920</xdr:rowOff>
    </xdr:from>
    <xdr:to>
      <xdr:col>200</xdr:col>
      <xdr:colOff>737036</xdr:colOff>
      <xdr:row>0</xdr:row>
      <xdr:rowOff>826682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6A0F09-D763-8549-EFBB-1B70B04E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831940" y="121920"/>
          <a:ext cx="1590476" cy="704762"/>
        </a:xfrm>
        <a:prstGeom prst="rect">
          <a:avLst/>
        </a:prstGeom>
      </xdr:spPr>
    </xdr:pic>
    <xdr:clientData/>
  </xdr:twoCellAnchor>
  <xdr:twoCellAnchor editAs="oneCell">
    <xdr:from>
      <xdr:col>354</xdr:col>
      <xdr:colOff>0</xdr:colOff>
      <xdr:row>1</xdr:row>
      <xdr:rowOff>0</xdr:rowOff>
    </xdr:from>
    <xdr:to>
      <xdr:col>358</xdr:col>
      <xdr:colOff>183399</xdr:colOff>
      <xdr:row>1</xdr:row>
      <xdr:rowOff>594360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D8E82A6-CC5A-411C-1D9E-9E0E7C62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8554220" y="1287780"/>
          <a:ext cx="2827539" cy="594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128</xdr:col>
      <xdr:colOff>64770</xdr:colOff>
      <xdr:row>1</xdr:row>
      <xdr:rowOff>480060</xdr:rowOff>
    </xdr:from>
    <xdr:to>
      <xdr:col>135</xdr:col>
      <xdr:colOff>369570</xdr:colOff>
      <xdr:row>15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8B69CC-349F-4514-83CA-23F40390C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147320</xdr:rowOff>
    </xdr:from>
    <xdr:to>
      <xdr:col>7</xdr:col>
      <xdr:colOff>495300</xdr:colOff>
      <xdr:row>2</xdr:row>
      <xdr:rowOff>35560</xdr:rowOff>
    </xdr:to>
    <xdr:sp macro="" textlink="">
      <xdr:nvSpPr>
        <xdr:cNvPr id="23" name="OpenSolver7">
          <a:extLst>
            <a:ext uri="{FF2B5EF4-FFF2-40B4-BE49-F238E27FC236}">
              <a16:creationId xmlns:a16="http://schemas.microsoft.com/office/drawing/2014/main" id="{9CB69DE3-2041-7CBA-9DFD-F85ED164FA86}"/>
            </a:ext>
          </a:extLst>
        </xdr:cNvPr>
        <xdr:cNvSpPr/>
      </xdr:nvSpPr>
      <xdr:spPr>
        <a:xfrm>
          <a:off x="4297680" y="14732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0</xdr:row>
      <xdr:rowOff>147320</xdr:rowOff>
    </xdr:from>
    <xdr:to>
      <xdr:col>12</xdr:col>
      <xdr:colOff>495300</xdr:colOff>
      <xdr:row>2</xdr:row>
      <xdr:rowOff>35560</xdr:rowOff>
    </xdr:to>
    <xdr:sp macro="" textlink="">
      <xdr:nvSpPr>
        <xdr:cNvPr id="27" name="OpenSolver11">
          <a:extLst>
            <a:ext uri="{FF2B5EF4-FFF2-40B4-BE49-F238E27FC236}">
              <a16:creationId xmlns:a16="http://schemas.microsoft.com/office/drawing/2014/main" id="{4CBD2F72-B1DE-E693-9CBC-DD0FF73EB560}"/>
            </a:ext>
          </a:extLst>
        </xdr:cNvPr>
        <xdr:cNvSpPr/>
      </xdr:nvSpPr>
      <xdr:spPr>
        <a:xfrm>
          <a:off x="7223760" y="14732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213360</xdr:colOff>
      <xdr:row>1</xdr:row>
      <xdr:rowOff>190500</xdr:rowOff>
    </xdr:from>
    <xdr:to>
      <xdr:col>18</xdr:col>
      <xdr:colOff>487389</xdr:colOff>
      <xdr:row>5</xdr:row>
      <xdr:rowOff>106560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3AD338-EE36-448F-A434-6FCB07CA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9720" y="739140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8</xdr:col>
      <xdr:colOff>281940</xdr:colOff>
      <xdr:row>0</xdr:row>
      <xdr:rowOff>15240</xdr:rowOff>
    </xdr:from>
    <xdr:to>
      <xdr:col>9</xdr:col>
      <xdr:colOff>775174</xdr:colOff>
      <xdr:row>3</xdr:row>
      <xdr:rowOff>39880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9BE460-CD42-429F-A7BC-2BCF51AE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8460" y="15240"/>
          <a:ext cx="1285714" cy="10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</xdr:colOff>
      <xdr:row>23</xdr:row>
      <xdr:rowOff>0</xdr:rowOff>
    </xdr:from>
    <xdr:to>
      <xdr:col>23</xdr:col>
      <xdr:colOff>328353</xdr:colOff>
      <xdr:row>25</xdr:row>
      <xdr:rowOff>182880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CEC08B-8B2C-F6C0-E383-6ACB9DF8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0" y="4754880"/>
          <a:ext cx="2660073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56</xdr:row>
      <xdr:rowOff>91440</xdr:rowOff>
    </xdr:from>
    <xdr:to>
      <xdr:col>15</xdr:col>
      <xdr:colOff>53049</xdr:colOff>
      <xdr:row>60</xdr:row>
      <xdr:rowOff>7500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592CF5-2074-4409-9321-704890EBC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7940" y="10881360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20</xdr:col>
      <xdr:colOff>243840</xdr:colOff>
      <xdr:row>49</xdr:row>
      <xdr:rowOff>38100</xdr:rowOff>
    </xdr:from>
    <xdr:to>
      <xdr:col>23</xdr:col>
      <xdr:colOff>526473</xdr:colOff>
      <xdr:row>52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D50C44-41AE-49F9-84F1-D60F8996E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00120" y="9547860"/>
          <a:ext cx="2660073" cy="609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335280</xdr:colOff>
      <xdr:row>6</xdr:row>
      <xdr:rowOff>99060</xdr:rowOff>
    </xdr:from>
    <xdr:to>
      <xdr:col>18</xdr:col>
      <xdr:colOff>340796</xdr:colOff>
      <xdr:row>9</xdr:row>
      <xdr:rowOff>163742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81DED6-EE87-4289-9501-E6E14C82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21640" y="1714500"/>
          <a:ext cx="1590476" cy="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538371</xdr:colOff>
      <xdr:row>29</xdr:row>
      <xdr:rowOff>17291</xdr:rowOff>
    </xdr:from>
    <xdr:to>
      <xdr:col>19</xdr:col>
      <xdr:colOff>828263</xdr:colOff>
      <xdr:row>47</xdr:row>
      <xdr:rowOff>48891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2828" y="3081856"/>
          <a:ext cx="4629978" cy="34606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828243</xdr:colOff>
      <xdr:row>29</xdr:row>
      <xdr:rowOff>16562</xdr:rowOff>
    </xdr:from>
    <xdr:to>
      <xdr:col>24</xdr:col>
      <xdr:colOff>2116</xdr:colOff>
      <xdr:row>47</xdr:row>
      <xdr:rowOff>43562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6" y="3081127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546635</xdr:colOff>
      <xdr:row>47</xdr:row>
      <xdr:rowOff>157369</xdr:rowOff>
    </xdr:from>
    <xdr:to>
      <xdr:col>19</xdr:col>
      <xdr:colOff>830379</xdr:colOff>
      <xdr:row>65</xdr:row>
      <xdr:rowOff>184369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1092" y="9500152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828241</xdr:colOff>
      <xdr:row>47</xdr:row>
      <xdr:rowOff>140805</xdr:rowOff>
    </xdr:from>
    <xdr:to>
      <xdr:col>24</xdr:col>
      <xdr:colOff>2114</xdr:colOff>
      <xdr:row>65</xdr:row>
      <xdr:rowOff>167805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4" y="9483588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9137</xdr:colOff>
      <xdr:row>67</xdr:row>
      <xdr:rowOff>37925</xdr:rowOff>
    </xdr:from>
    <xdr:to>
      <xdr:col>19</xdr:col>
      <xdr:colOff>1150131</xdr:colOff>
      <xdr:row>85</xdr:row>
      <xdr:rowOff>64925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150" y="13192451"/>
          <a:ext cx="4605086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1142981</xdr:colOff>
      <xdr:row>67</xdr:row>
      <xdr:rowOff>8282</xdr:rowOff>
    </xdr:from>
    <xdr:to>
      <xdr:col>24</xdr:col>
      <xdr:colOff>316854</xdr:colOff>
      <xdr:row>85</xdr:row>
      <xdr:rowOff>35282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7524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331286</xdr:colOff>
      <xdr:row>67</xdr:row>
      <xdr:rowOff>8282</xdr:rowOff>
    </xdr:from>
    <xdr:to>
      <xdr:col>32</xdr:col>
      <xdr:colOff>51812</xdr:colOff>
      <xdr:row>85</xdr:row>
      <xdr:rowOff>35282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5786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49679</xdr:colOff>
      <xdr:row>67</xdr:row>
      <xdr:rowOff>33130</xdr:rowOff>
    </xdr:from>
    <xdr:to>
      <xdr:col>39</xdr:col>
      <xdr:colOff>383117</xdr:colOff>
      <xdr:row>85</xdr:row>
      <xdr:rowOff>60130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83" y="10899913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844906</xdr:colOff>
      <xdr:row>85</xdr:row>
      <xdr:rowOff>156883</xdr:rowOff>
    </xdr:from>
    <xdr:to>
      <xdr:col>19</xdr:col>
      <xdr:colOff>1219680</xdr:colOff>
      <xdr:row>103</xdr:row>
      <xdr:rowOff>183883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8181" y="16739908"/>
          <a:ext cx="4699124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1133475</xdr:colOff>
      <xdr:row>85</xdr:row>
      <xdr:rowOff>85725</xdr:rowOff>
    </xdr:from>
    <xdr:to>
      <xdr:col>24</xdr:col>
      <xdr:colOff>443294</xdr:colOff>
      <xdr:row>103</xdr:row>
      <xdr:rowOff>112725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1100" y="16668750"/>
          <a:ext cx="4758119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371475</xdr:colOff>
      <xdr:row>85</xdr:row>
      <xdr:rowOff>76200</xdr:rowOff>
    </xdr:from>
    <xdr:to>
      <xdr:col>32</xdr:col>
      <xdr:colOff>195991</xdr:colOff>
      <xdr:row>103</xdr:row>
      <xdr:rowOff>103200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7400" y="16659225"/>
          <a:ext cx="4701316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85</xdr:row>
      <xdr:rowOff>47625</xdr:rowOff>
    </xdr:from>
    <xdr:to>
      <xdr:col>40</xdr:col>
      <xdr:colOff>15016</xdr:colOff>
      <xdr:row>103</xdr:row>
      <xdr:rowOff>74625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03225" y="16630650"/>
          <a:ext cx="4701316" cy="345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583998</xdr:colOff>
      <xdr:row>0</xdr:row>
      <xdr:rowOff>135702</xdr:rowOff>
    </xdr:from>
    <xdr:to>
      <xdr:col>32</xdr:col>
      <xdr:colOff>279198</xdr:colOff>
      <xdr:row>15</xdr:row>
      <xdr:rowOff>21402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556667</xdr:colOff>
      <xdr:row>15</xdr:row>
      <xdr:rowOff>144569</xdr:rowOff>
    </xdr:from>
    <xdr:to>
      <xdr:col>32</xdr:col>
      <xdr:colOff>245091</xdr:colOff>
      <xdr:row>30</xdr:row>
      <xdr:rowOff>30269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413039</xdr:colOff>
      <xdr:row>1</xdr:row>
      <xdr:rowOff>15586</xdr:rowOff>
    </xdr:from>
    <xdr:to>
      <xdr:col>16</xdr:col>
      <xdr:colOff>108239</xdr:colOff>
      <xdr:row>15</xdr:row>
      <xdr:rowOff>91786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414770</xdr:colOff>
      <xdr:row>18</xdr:row>
      <xdr:rowOff>77066</xdr:rowOff>
    </xdr:from>
    <xdr:to>
      <xdr:col>16</xdr:col>
      <xdr:colOff>113434</xdr:colOff>
      <xdr:row>32</xdr:row>
      <xdr:rowOff>153266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308114</xdr:colOff>
      <xdr:row>16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19</xdr:row>
      <xdr:rowOff>0</xdr:rowOff>
    </xdr:from>
    <xdr:to>
      <xdr:col>24</xdr:col>
      <xdr:colOff>311578</xdr:colOff>
      <xdr:row>33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421171</xdr:colOff>
      <xdr:row>36</xdr:row>
      <xdr:rowOff>164824</xdr:rowOff>
    </xdr:from>
    <xdr:to>
      <xdr:col>16</xdr:col>
      <xdr:colOff>123148</xdr:colOff>
      <xdr:row>51</xdr:row>
      <xdr:rowOff>50524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466725</xdr:colOff>
      <xdr:row>53</xdr:row>
      <xdr:rowOff>76200</xdr:rowOff>
    </xdr:from>
    <xdr:to>
      <xdr:col>16</xdr:col>
      <xdr:colOff>168702</xdr:colOff>
      <xdr:row>67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37</xdr:row>
      <xdr:rowOff>0</xdr:rowOff>
    </xdr:from>
    <xdr:to>
      <xdr:col>25</xdr:col>
      <xdr:colOff>311577</xdr:colOff>
      <xdr:row>51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552450</xdr:colOff>
      <xdr:row>52</xdr:row>
      <xdr:rowOff>19050</xdr:rowOff>
    </xdr:from>
    <xdr:to>
      <xdr:col>25</xdr:col>
      <xdr:colOff>254427</xdr:colOff>
      <xdr:row>66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352425</xdr:colOff>
      <xdr:row>2</xdr:row>
      <xdr:rowOff>47626</xdr:rowOff>
    </xdr:from>
    <xdr:to>
      <xdr:col>26</xdr:col>
      <xdr:colOff>63874</xdr:colOff>
      <xdr:row>16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8</xdr:col>
      <xdr:colOff>107016</xdr:colOff>
      <xdr:row>16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171450</xdr:colOff>
      <xdr:row>2</xdr:row>
      <xdr:rowOff>38100</xdr:rowOff>
    </xdr:from>
    <xdr:to>
      <xdr:col>16</xdr:col>
      <xdr:colOff>278466</xdr:colOff>
      <xdr:row>16</xdr:row>
      <xdr:rowOff>128588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104775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180976</xdr:colOff>
      <xdr:row>16</xdr:row>
      <xdr:rowOff>166688</xdr:rowOff>
    </xdr:from>
    <xdr:to>
      <xdr:col>16</xdr:col>
      <xdr:colOff>314325</xdr:colOff>
      <xdr:row>30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400050</xdr:colOff>
      <xdr:row>17</xdr:row>
      <xdr:rowOff>47625</xdr:rowOff>
    </xdr:from>
    <xdr:to>
      <xdr:col>26</xdr:col>
      <xdr:colOff>85725</xdr:colOff>
      <xdr:row>31</xdr:row>
      <xdr:rowOff>38101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30</xdr:row>
      <xdr:rowOff>185737</xdr:rowOff>
    </xdr:from>
    <xdr:to>
      <xdr:col>8</xdr:col>
      <xdr:colOff>95250</xdr:colOff>
      <xdr:row>44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123825</xdr:colOff>
      <xdr:row>30</xdr:row>
      <xdr:rowOff>161925</xdr:rowOff>
    </xdr:from>
    <xdr:to>
      <xdr:col>16</xdr:col>
      <xdr:colOff>333375</xdr:colOff>
      <xdr:row>44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466725</xdr:colOff>
      <xdr:row>31</xdr:row>
      <xdr:rowOff>38101</xdr:rowOff>
    </xdr:from>
    <xdr:to>
      <xdr:col>26</xdr:col>
      <xdr:colOff>136072</xdr:colOff>
      <xdr:row>44</xdr:row>
      <xdr:rowOff>176893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59871</xdr:colOff>
      <xdr:row>44</xdr:row>
      <xdr:rowOff>149679</xdr:rowOff>
    </xdr:from>
    <xdr:to>
      <xdr:col>8</xdr:col>
      <xdr:colOff>95250</xdr:colOff>
      <xdr:row>62</xdr:row>
      <xdr:rowOff>122464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149678</xdr:colOff>
      <xdr:row>45</xdr:row>
      <xdr:rowOff>13606</xdr:rowOff>
    </xdr:from>
    <xdr:to>
      <xdr:col>16</xdr:col>
      <xdr:colOff>312964</xdr:colOff>
      <xdr:row>62</xdr:row>
      <xdr:rowOff>104773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476250</xdr:colOff>
      <xdr:row>45</xdr:row>
      <xdr:rowOff>40822</xdr:rowOff>
    </xdr:from>
    <xdr:to>
      <xdr:col>26</xdr:col>
      <xdr:colOff>136072</xdr:colOff>
      <xdr:row>63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64</xdr:row>
      <xdr:rowOff>108857</xdr:rowOff>
    </xdr:from>
    <xdr:to>
      <xdr:col>8</xdr:col>
      <xdr:colOff>163286</xdr:colOff>
      <xdr:row>80</xdr:row>
      <xdr:rowOff>95250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244929</xdr:colOff>
      <xdr:row>64</xdr:row>
      <xdr:rowOff>27214</xdr:rowOff>
    </xdr:from>
    <xdr:to>
      <xdr:col>16</xdr:col>
      <xdr:colOff>326571</xdr:colOff>
      <xdr:row>80</xdr:row>
      <xdr:rowOff>59871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64</xdr:row>
      <xdr:rowOff>1</xdr:rowOff>
    </xdr:from>
    <xdr:to>
      <xdr:col>26</xdr:col>
      <xdr:colOff>285750</xdr:colOff>
      <xdr:row>80</xdr:row>
      <xdr:rowOff>95251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80</xdr:row>
      <xdr:rowOff>176893</xdr:rowOff>
    </xdr:from>
    <xdr:to>
      <xdr:col>8</xdr:col>
      <xdr:colOff>299358</xdr:colOff>
      <xdr:row>96</xdr:row>
      <xdr:rowOff>13607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360093</xdr:colOff>
      <xdr:row>80</xdr:row>
      <xdr:rowOff>162540</xdr:rowOff>
    </xdr:from>
    <xdr:to>
      <xdr:col>16</xdr:col>
      <xdr:colOff>462643</xdr:colOff>
      <xdr:row>96</xdr:row>
      <xdr:rowOff>27213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1</xdr:colOff>
      <xdr:row>80</xdr:row>
      <xdr:rowOff>176893</xdr:rowOff>
    </xdr:from>
    <xdr:to>
      <xdr:col>26</xdr:col>
      <xdr:colOff>367393</xdr:colOff>
      <xdr:row>96</xdr:row>
      <xdr:rowOff>68037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</xdr:colOff>
      <xdr:row>96</xdr:row>
      <xdr:rowOff>81643</xdr:rowOff>
    </xdr:from>
    <xdr:to>
      <xdr:col>8</xdr:col>
      <xdr:colOff>272144</xdr:colOff>
      <xdr:row>113</xdr:row>
      <xdr:rowOff>68037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299375</xdr:colOff>
      <xdr:row>96</xdr:row>
      <xdr:rowOff>48013</xdr:rowOff>
    </xdr:from>
    <xdr:to>
      <xdr:col>16</xdr:col>
      <xdr:colOff>503464</xdr:colOff>
      <xdr:row>113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1</xdr:colOff>
      <xdr:row>96</xdr:row>
      <xdr:rowOff>176894</xdr:rowOff>
    </xdr:from>
    <xdr:to>
      <xdr:col>26</xdr:col>
      <xdr:colOff>367393</xdr:colOff>
      <xdr:row>113</xdr:row>
      <xdr:rowOff>136072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8</xdr:col>
      <xdr:colOff>353786</xdr:colOff>
      <xdr:row>132</xdr:row>
      <xdr:rowOff>176893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327828</xdr:colOff>
      <xdr:row>113</xdr:row>
      <xdr:rowOff>188027</xdr:rowOff>
    </xdr:from>
    <xdr:to>
      <xdr:col>17</xdr:col>
      <xdr:colOff>69292</xdr:colOff>
      <xdr:row>132</xdr:row>
      <xdr:rowOff>174420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81644</xdr:colOff>
      <xdr:row>113</xdr:row>
      <xdr:rowOff>176893</xdr:rowOff>
    </xdr:from>
    <xdr:to>
      <xdr:col>26</xdr:col>
      <xdr:colOff>258536</xdr:colOff>
      <xdr:row>132</xdr:row>
      <xdr:rowOff>81643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55644</xdr:colOff>
      <xdr:row>133</xdr:row>
      <xdr:rowOff>54428</xdr:rowOff>
    </xdr:from>
    <xdr:to>
      <xdr:col>8</xdr:col>
      <xdr:colOff>258536</xdr:colOff>
      <xdr:row>147</xdr:row>
      <xdr:rowOff>176893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326572</xdr:colOff>
      <xdr:row>132</xdr:row>
      <xdr:rowOff>170708</xdr:rowOff>
    </xdr:from>
    <xdr:to>
      <xdr:col>17</xdr:col>
      <xdr:colOff>13608</xdr:colOff>
      <xdr:row>148</xdr:row>
      <xdr:rowOff>40821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122464</xdr:colOff>
      <xdr:row>132</xdr:row>
      <xdr:rowOff>136072</xdr:rowOff>
    </xdr:from>
    <xdr:to>
      <xdr:col>26</xdr:col>
      <xdr:colOff>381000</xdr:colOff>
      <xdr:row>148</xdr:row>
      <xdr:rowOff>136072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95251</xdr:colOff>
      <xdr:row>148</xdr:row>
      <xdr:rowOff>27215</xdr:rowOff>
    </xdr:from>
    <xdr:to>
      <xdr:col>8</xdr:col>
      <xdr:colOff>340180</xdr:colOff>
      <xdr:row>163</xdr:row>
      <xdr:rowOff>95251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357518</xdr:colOff>
      <xdr:row>148</xdr:row>
      <xdr:rowOff>69273</xdr:rowOff>
    </xdr:from>
    <xdr:to>
      <xdr:col>16</xdr:col>
      <xdr:colOff>585107</xdr:colOff>
      <xdr:row>163</xdr:row>
      <xdr:rowOff>81643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27216</xdr:colOff>
      <xdr:row>148</xdr:row>
      <xdr:rowOff>122465</xdr:rowOff>
    </xdr:from>
    <xdr:to>
      <xdr:col>27</xdr:col>
      <xdr:colOff>244929</xdr:colOff>
      <xdr:row>163</xdr:row>
      <xdr:rowOff>122464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54428</xdr:colOff>
      <xdr:row>163</xdr:row>
      <xdr:rowOff>176893</xdr:rowOff>
    </xdr:from>
    <xdr:to>
      <xdr:col>8</xdr:col>
      <xdr:colOff>394608</xdr:colOff>
      <xdr:row>179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342671</xdr:colOff>
      <xdr:row>163</xdr:row>
      <xdr:rowOff>138547</xdr:rowOff>
    </xdr:from>
    <xdr:to>
      <xdr:col>17</xdr:col>
      <xdr:colOff>108857</xdr:colOff>
      <xdr:row>179</xdr:row>
      <xdr:rowOff>27215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122465</xdr:colOff>
      <xdr:row>163</xdr:row>
      <xdr:rowOff>136072</xdr:rowOff>
    </xdr:from>
    <xdr:to>
      <xdr:col>27</xdr:col>
      <xdr:colOff>367393</xdr:colOff>
      <xdr:row>179</xdr:row>
      <xdr:rowOff>108858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179</xdr:row>
      <xdr:rowOff>108858</xdr:rowOff>
    </xdr:from>
    <xdr:to>
      <xdr:col>8</xdr:col>
      <xdr:colOff>381000</xdr:colOff>
      <xdr:row>193</xdr:row>
      <xdr:rowOff>40822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488641</xdr:colOff>
      <xdr:row>179</xdr:row>
      <xdr:rowOff>138543</xdr:rowOff>
    </xdr:from>
    <xdr:to>
      <xdr:col>17</xdr:col>
      <xdr:colOff>108857</xdr:colOff>
      <xdr:row>193</xdr:row>
      <xdr:rowOff>68036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163286</xdr:colOff>
      <xdr:row>179</xdr:row>
      <xdr:rowOff>95250</xdr:rowOff>
    </xdr:from>
    <xdr:to>
      <xdr:col>27</xdr:col>
      <xdr:colOff>312964</xdr:colOff>
      <xdr:row>193</xdr:row>
      <xdr:rowOff>176893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194</xdr:row>
      <xdr:rowOff>1</xdr:rowOff>
    </xdr:from>
    <xdr:to>
      <xdr:col>8</xdr:col>
      <xdr:colOff>408215</xdr:colOff>
      <xdr:row>209</xdr:row>
      <xdr:rowOff>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519565</xdr:colOff>
      <xdr:row>193</xdr:row>
      <xdr:rowOff>184314</xdr:rowOff>
    </xdr:from>
    <xdr:to>
      <xdr:col>17</xdr:col>
      <xdr:colOff>95250</xdr:colOff>
      <xdr:row>208</xdr:row>
      <xdr:rowOff>122464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190501</xdr:colOff>
      <xdr:row>194</xdr:row>
      <xdr:rowOff>13608</xdr:rowOff>
    </xdr:from>
    <xdr:to>
      <xdr:col>27</xdr:col>
      <xdr:colOff>176892</xdr:colOff>
      <xdr:row>209</xdr:row>
      <xdr:rowOff>54430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40821</xdr:colOff>
      <xdr:row>211</xdr:row>
      <xdr:rowOff>163286</xdr:rowOff>
    </xdr:from>
    <xdr:to>
      <xdr:col>8</xdr:col>
      <xdr:colOff>394608</xdr:colOff>
      <xdr:row>227</xdr:row>
      <xdr:rowOff>176893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484929</xdr:colOff>
      <xdr:row>212</xdr:row>
      <xdr:rowOff>8659</xdr:rowOff>
    </xdr:from>
    <xdr:to>
      <xdr:col>17</xdr:col>
      <xdr:colOff>226394</xdr:colOff>
      <xdr:row>228</xdr:row>
      <xdr:rowOff>22266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299357</xdr:colOff>
      <xdr:row>212</xdr:row>
      <xdr:rowOff>27215</xdr:rowOff>
    </xdr:from>
    <xdr:to>
      <xdr:col>26</xdr:col>
      <xdr:colOff>598714</xdr:colOff>
      <xdr:row>228</xdr:row>
      <xdr:rowOff>149679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230</xdr:row>
      <xdr:rowOff>1</xdr:rowOff>
    </xdr:from>
    <xdr:to>
      <xdr:col>8</xdr:col>
      <xdr:colOff>381000</xdr:colOff>
      <xdr:row>247</xdr:row>
      <xdr:rowOff>27215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</xdr:col>
      <xdr:colOff>542821</xdr:colOff>
      <xdr:row>229</xdr:row>
      <xdr:rowOff>123425</xdr:rowOff>
    </xdr:from>
    <xdr:to>
      <xdr:col>17</xdr:col>
      <xdr:colOff>244929</xdr:colOff>
      <xdr:row>246</xdr:row>
      <xdr:rowOff>163286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299357</xdr:colOff>
      <xdr:row>229</xdr:row>
      <xdr:rowOff>95250</xdr:rowOff>
    </xdr:from>
    <xdr:to>
      <xdr:col>27</xdr:col>
      <xdr:colOff>68035</xdr:colOff>
      <xdr:row>247</xdr:row>
      <xdr:rowOff>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248</xdr:row>
      <xdr:rowOff>0</xdr:rowOff>
    </xdr:from>
    <xdr:to>
      <xdr:col>8</xdr:col>
      <xdr:colOff>394608</xdr:colOff>
      <xdr:row>264</xdr:row>
      <xdr:rowOff>136071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476251</xdr:colOff>
      <xdr:row>247</xdr:row>
      <xdr:rowOff>149678</xdr:rowOff>
    </xdr:from>
    <xdr:to>
      <xdr:col>17</xdr:col>
      <xdr:colOff>340179</xdr:colOff>
      <xdr:row>264</xdr:row>
      <xdr:rowOff>176893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340180</xdr:colOff>
      <xdr:row>247</xdr:row>
      <xdr:rowOff>54428</xdr:rowOff>
    </xdr:from>
    <xdr:to>
      <xdr:col>27</xdr:col>
      <xdr:colOff>122464</xdr:colOff>
      <xdr:row>264</xdr:row>
      <xdr:rowOff>136071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265</xdr:row>
      <xdr:rowOff>0</xdr:rowOff>
    </xdr:from>
    <xdr:to>
      <xdr:col>8</xdr:col>
      <xdr:colOff>421822</xdr:colOff>
      <xdr:row>282</xdr:row>
      <xdr:rowOff>40821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413184</xdr:colOff>
      <xdr:row>265</xdr:row>
      <xdr:rowOff>28450</xdr:rowOff>
    </xdr:from>
    <xdr:to>
      <xdr:col>17</xdr:col>
      <xdr:colOff>285750</xdr:colOff>
      <xdr:row>282</xdr:row>
      <xdr:rowOff>81643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326572</xdr:colOff>
      <xdr:row>264</xdr:row>
      <xdr:rowOff>176894</xdr:rowOff>
    </xdr:from>
    <xdr:to>
      <xdr:col>27</xdr:col>
      <xdr:colOff>95250</xdr:colOff>
      <xdr:row>283</xdr:row>
      <xdr:rowOff>81643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284</xdr:row>
      <xdr:rowOff>22412</xdr:rowOff>
    </xdr:from>
    <xdr:to>
      <xdr:col>8</xdr:col>
      <xdr:colOff>459441</xdr:colOff>
      <xdr:row>301</xdr:row>
      <xdr:rowOff>11206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501303</xdr:colOff>
      <xdr:row>284</xdr:row>
      <xdr:rowOff>60613</xdr:rowOff>
    </xdr:from>
    <xdr:to>
      <xdr:col>17</xdr:col>
      <xdr:colOff>493059</xdr:colOff>
      <xdr:row>301</xdr:row>
      <xdr:rowOff>44824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560296</xdr:colOff>
      <xdr:row>284</xdr:row>
      <xdr:rowOff>11206</xdr:rowOff>
    </xdr:from>
    <xdr:to>
      <xdr:col>27</xdr:col>
      <xdr:colOff>145678</xdr:colOff>
      <xdr:row>302</xdr:row>
      <xdr:rowOff>11207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302</xdr:row>
      <xdr:rowOff>0</xdr:rowOff>
    </xdr:from>
    <xdr:to>
      <xdr:col>8</xdr:col>
      <xdr:colOff>515471</xdr:colOff>
      <xdr:row>320</xdr:row>
      <xdr:rowOff>78441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587383</xdr:colOff>
      <xdr:row>302</xdr:row>
      <xdr:rowOff>14262</xdr:rowOff>
    </xdr:from>
    <xdr:to>
      <xdr:col>17</xdr:col>
      <xdr:colOff>582706</xdr:colOff>
      <xdr:row>320</xdr:row>
      <xdr:rowOff>100853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44823</xdr:colOff>
      <xdr:row>302</xdr:row>
      <xdr:rowOff>168089</xdr:rowOff>
    </xdr:from>
    <xdr:to>
      <xdr:col>27</xdr:col>
      <xdr:colOff>156882</xdr:colOff>
      <xdr:row>320</xdr:row>
      <xdr:rowOff>123265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1</xdr:colOff>
      <xdr:row>321</xdr:row>
      <xdr:rowOff>0</xdr:rowOff>
    </xdr:from>
    <xdr:to>
      <xdr:col>8</xdr:col>
      <xdr:colOff>504266</xdr:colOff>
      <xdr:row>338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</xdr:col>
      <xdr:colOff>581783</xdr:colOff>
      <xdr:row>320</xdr:row>
      <xdr:rowOff>154334</xdr:rowOff>
    </xdr:from>
    <xdr:to>
      <xdr:col>17</xdr:col>
      <xdr:colOff>571500</xdr:colOff>
      <xdr:row>337</xdr:row>
      <xdr:rowOff>190499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0</xdr:colOff>
      <xdr:row>321</xdr:row>
      <xdr:rowOff>1</xdr:rowOff>
    </xdr:from>
    <xdr:to>
      <xdr:col>27</xdr:col>
      <xdr:colOff>201706</xdr:colOff>
      <xdr:row>338</xdr:row>
      <xdr:rowOff>22413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1</xdr:colOff>
      <xdr:row>338</xdr:row>
      <xdr:rowOff>0</xdr:rowOff>
    </xdr:from>
    <xdr:to>
      <xdr:col>8</xdr:col>
      <xdr:colOff>481854</xdr:colOff>
      <xdr:row>354</xdr:row>
      <xdr:rowOff>67235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8</xdr:col>
      <xdr:colOff>546127</xdr:colOff>
      <xdr:row>338</xdr:row>
      <xdr:rowOff>17319</xdr:rowOff>
    </xdr:from>
    <xdr:to>
      <xdr:col>17</xdr:col>
      <xdr:colOff>571499</xdr:colOff>
      <xdr:row>354</xdr:row>
      <xdr:rowOff>100853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605117</xdr:colOff>
      <xdr:row>338</xdr:row>
      <xdr:rowOff>22412</xdr:rowOff>
    </xdr:from>
    <xdr:to>
      <xdr:col>27</xdr:col>
      <xdr:colOff>257736</xdr:colOff>
      <xdr:row>354</xdr:row>
      <xdr:rowOff>156881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56029</xdr:colOff>
      <xdr:row>354</xdr:row>
      <xdr:rowOff>179295</xdr:rowOff>
    </xdr:from>
    <xdr:to>
      <xdr:col>9</xdr:col>
      <xdr:colOff>22411</xdr:colOff>
      <xdr:row>373</xdr:row>
      <xdr:rowOff>89647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105529</xdr:colOff>
      <xdr:row>355</xdr:row>
      <xdr:rowOff>81498</xdr:rowOff>
    </xdr:from>
    <xdr:to>
      <xdr:col>17</xdr:col>
      <xdr:colOff>598588</xdr:colOff>
      <xdr:row>373</xdr:row>
      <xdr:rowOff>126322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67236</xdr:colOff>
      <xdr:row>355</xdr:row>
      <xdr:rowOff>89649</xdr:rowOff>
    </xdr:from>
    <xdr:to>
      <xdr:col>27</xdr:col>
      <xdr:colOff>369795</xdr:colOff>
      <xdr:row>373</xdr:row>
      <xdr:rowOff>67237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374</xdr:row>
      <xdr:rowOff>1</xdr:rowOff>
    </xdr:from>
    <xdr:to>
      <xdr:col>9</xdr:col>
      <xdr:colOff>0</xdr:colOff>
      <xdr:row>392</xdr:row>
      <xdr:rowOff>168089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9</xdr:col>
      <xdr:colOff>60707</xdr:colOff>
      <xdr:row>373</xdr:row>
      <xdr:rowOff>171145</xdr:rowOff>
    </xdr:from>
    <xdr:to>
      <xdr:col>18</xdr:col>
      <xdr:colOff>60707</xdr:colOff>
      <xdr:row>392</xdr:row>
      <xdr:rowOff>148733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168088</xdr:colOff>
      <xdr:row>374</xdr:row>
      <xdr:rowOff>1</xdr:rowOff>
    </xdr:from>
    <xdr:to>
      <xdr:col>28</xdr:col>
      <xdr:colOff>373997</xdr:colOff>
      <xdr:row>393</xdr:row>
      <xdr:rowOff>11207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394</xdr:row>
      <xdr:rowOff>1</xdr:rowOff>
    </xdr:from>
    <xdr:to>
      <xdr:col>8</xdr:col>
      <xdr:colOff>593912</xdr:colOff>
      <xdr:row>412</xdr:row>
      <xdr:rowOff>156883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9</xdr:col>
      <xdr:colOff>49501</xdr:colOff>
      <xdr:row>393</xdr:row>
      <xdr:rowOff>159939</xdr:rowOff>
    </xdr:from>
    <xdr:to>
      <xdr:col>18</xdr:col>
      <xdr:colOff>11206</xdr:colOff>
      <xdr:row>413</xdr:row>
      <xdr:rowOff>1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56029</xdr:colOff>
      <xdr:row>393</xdr:row>
      <xdr:rowOff>145677</xdr:rowOff>
    </xdr:from>
    <xdr:to>
      <xdr:col>28</xdr:col>
      <xdr:colOff>437030</xdr:colOff>
      <xdr:row>412</xdr:row>
      <xdr:rowOff>156882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413</xdr:row>
      <xdr:rowOff>145677</xdr:rowOff>
    </xdr:from>
    <xdr:to>
      <xdr:col>9</xdr:col>
      <xdr:colOff>44823</xdr:colOff>
      <xdr:row>432</xdr:row>
      <xdr:rowOff>179295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9</xdr:col>
      <xdr:colOff>105531</xdr:colOff>
      <xdr:row>413</xdr:row>
      <xdr:rowOff>103910</xdr:rowOff>
    </xdr:from>
    <xdr:to>
      <xdr:col>18</xdr:col>
      <xdr:colOff>150354</xdr:colOff>
      <xdr:row>432</xdr:row>
      <xdr:rowOff>137528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163286</xdr:colOff>
      <xdr:row>413</xdr:row>
      <xdr:rowOff>54429</xdr:rowOff>
    </xdr:from>
    <xdr:to>
      <xdr:col>28</xdr:col>
      <xdr:colOff>381000</xdr:colOff>
      <xdr:row>433</xdr:row>
      <xdr:rowOff>1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434</xdr:row>
      <xdr:rowOff>1</xdr:rowOff>
    </xdr:from>
    <xdr:to>
      <xdr:col>9</xdr:col>
      <xdr:colOff>27214</xdr:colOff>
      <xdr:row>452</xdr:row>
      <xdr:rowOff>176893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9</xdr:col>
      <xdr:colOff>59905</xdr:colOff>
      <xdr:row>434</xdr:row>
      <xdr:rowOff>27070</xdr:rowOff>
    </xdr:from>
    <xdr:to>
      <xdr:col>18</xdr:col>
      <xdr:colOff>87119</xdr:colOff>
      <xdr:row>453</xdr:row>
      <xdr:rowOff>13462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163285</xdr:colOff>
      <xdr:row>433</xdr:row>
      <xdr:rowOff>13607</xdr:rowOff>
    </xdr:from>
    <xdr:to>
      <xdr:col>28</xdr:col>
      <xdr:colOff>435429</xdr:colOff>
      <xdr:row>453</xdr:row>
      <xdr:rowOff>27214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453</xdr:row>
      <xdr:rowOff>163287</xdr:rowOff>
    </xdr:from>
    <xdr:to>
      <xdr:col>8</xdr:col>
      <xdr:colOff>598715</xdr:colOff>
      <xdr:row>475</xdr:row>
      <xdr:rowOff>173185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9</xdr:col>
      <xdr:colOff>99126</xdr:colOff>
      <xdr:row>453</xdr:row>
      <xdr:rowOff>171946</xdr:rowOff>
    </xdr:from>
    <xdr:to>
      <xdr:col>18</xdr:col>
      <xdr:colOff>204107</xdr:colOff>
      <xdr:row>475</xdr:row>
      <xdr:rowOff>163286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244929</xdr:colOff>
      <xdr:row>454</xdr:row>
      <xdr:rowOff>0</xdr:rowOff>
    </xdr:from>
    <xdr:to>
      <xdr:col>28</xdr:col>
      <xdr:colOff>520273</xdr:colOff>
      <xdr:row>475</xdr:row>
      <xdr:rowOff>61913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0</xdr:colOff>
      <xdr:row>476</xdr:row>
      <xdr:rowOff>40821</xdr:rowOff>
    </xdr:from>
    <xdr:to>
      <xdr:col>8</xdr:col>
      <xdr:colOff>585108</xdr:colOff>
      <xdr:row>498</xdr:row>
      <xdr:rowOff>32164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3876</xdr:colOff>
      <xdr:row>476</xdr:row>
      <xdr:rowOff>22266</xdr:rowOff>
    </xdr:from>
    <xdr:to>
      <xdr:col>18</xdr:col>
      <xdr:colOff>258535</xdr:colOff>
      <xdr:row>498</xdr:row>
      <xdr:rowOff>13607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381000</xdr:colOff>
      <xdr:row>476</xdr:row>
      <xdr:rowOff>95250</xdr:rowOff>
    </xdr:from>
    <xdr:to>
      <xdr:col>29</xdr:col>
      <xdr:colOff>44023</xdr:colOff>
      <xdr:row>497</xdr:row>
      <xdr:rowOff>157163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3.11.2022\Arunas%2023.11.2022.xlsx" TargetMode="External"/><Relationship Id="rId1" Type="http://schemas.openxmlformats.org/officeDocument/2006/relationships/externalLinkPath" Target="23.11.2022/Arunas%2023.11.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4.11.2022/First%20exp/Copy%20of%20Arunas%2024.11.2022%20Fir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First%20exp\Arunas%2024.11.2022%20First.xlsx" TargetMode="External"/><Relationship Id="rId1" Type="http://schemas.openxmlformats.org/officeDocument/2006/relationships/externalLinkPath" Target="24.11.2022/First%20exp/Arunas%2024.11.2022%20First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Second%20exp\Arunas%2024.11.2022%20Second.xlsx" TargetMode="External"/><Relationship Id="rId1" Type="http://schemas.openxmlformats.org/officeDocument/2006/relationships/externalLinkPath" Target="24.11.2022/Second%20exp/Arunas%2024.11.2022%20Second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First%20exp\2022-11-24-1Horizon.eksp.%20eiga.xlsx" TargetMode="External"/><Relationship Id="rId1" Type="http://schemas.openxmlformats.org/officeDocument/2006/relationships/externalLinkPath" Target="24.11.2022/First%20exp/2022-11-24-1Horizon.eksp.%20eiga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5.11.2022\Arunas%202022-11-25.%20eiga.xlsx" TargetMode="External"/><Relationship Id="rId1" Type="http://schemas.openxmlformats.org/officeDocument/2006/relationships/externalLinkPath" Target="25.11.2022/Arunas%202022-11-25.%20eiga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First%20experiment\Arunas%202022-11-28-1.%20eiga.xlsx" TargetMode="External"/><Relationship Id="rId1" Type="http://schemas.openxmlformats.org/officeDocument/2006/relationships/externalLinkPath" Target="28.11.2022/First%20experiment/Arunas%202022-11-28-1.%20eiga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First%20experiment\2022-11-28-1Horizon.eksp.%20eiga.xlsx" TargetMode="External"/><Relationship Id="rId1" Type="http://schemas.openxmlformats.org/officeDocument/2006/relationships/externalLinkPath" Target="28.11.2022/First%20experiment/2022-11-28-1Horizon.eksp.%20eiga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Second%20experiment\Arunas%202022-11-28-2.%20eiga.xlsx" TargetMode="External"/><Relationship Id="rId1" Type="http://schemas.openxmlformats.org/officeDocument/2006/relationships/externalLinkPath" Target="28.11.2022/Second%20experiment/Arunas%202022-11-28-2.%20eiga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1.2022\First%20experiment\2022-11-30-1Arunas.%20eiga.xlsx" TargetMode="External"/><Relationship Id="rId1" Type="http://schemas.openxmlformats.org/officeDocument/2006/relationships/externalLinkPath" Target="30.11.2022/First%20experiment/2022-11-30-1Arunas.%20eiga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1.2022\Second%20experiment\2022-11-30-2Arunas.eksp.%20eiga.xlsx" TargetMode="External"/><Relationship Id="rId1" Type="http://schemas.openxmlformats.org/officeDocument/2006/relationships/externalLinkPath" Target="30.11.2022/Second%20experiment/2022-11-30-2Arunas.eksp.%20eiga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1.12.2022\2022-12-01-Arunas.%20eiga.xlsx" TargetMode="External"/><Relationship Id="rId1" Type="http://schemas.openxmlformats.org/officeDocument/2006/relationships/externalLinkPath" Target="01.12.2022/2022-12-01-Arunas.%20eiga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2.12.2022\2022-12-02-Arunas.%20eiga.xlsx" TargetMode="External"/><Relationship Id="rId1" Type="http://schemas.openxmlformats.org/officeDocument/2006/relationships/externalLinkPath" Target="02.12.2022/2022-12-02-Arunas.%20eiga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12.2022\2022-12-05-Arunas.%20eiga.xlsx" TargetMode="External"/><Relationship Id="rId1" Type="http://schemas.openxmlformats.org/officeDocument/2006/relationships/externalLinkPath" Target="05.12.2022/2022-12-05-Arunas.%20eiga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12.2022\First%20experiment\2022-12-06-Arunas.%20eiga.xlsx" TargetMode="External"/><Relationship Id="rId1" Type="http://schemas.openxmlformats.org/officeDocument/2006/relationships/externalLinkPath" Target="06.12.2022/First%20experiment/2022-12-06-Arunas.%20eiga.xlsx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12.2022\Second%20experiment\2022-12-06-2Arunas.%20eiga.xlsx" TargetMode="External"/><Relationship Id="rId1" Type="http://schemas.openxmlformats.org/officeDocument/2006/relationships/externalLinkPath" Target="06.12.2022/Second%20experiment/2022-12-06-2Arunas.%20eiga.xlsx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7.12.2022\First%20Experiment\2022-12-07-1Arunas.%20eiga.xlsx" TargetMode="External"/><Relationship Id="rId1" Type="http://schemas.openxmlformats.org/officeDocument/2006/relationships/externalLinkPath" Target="07.12.2022/First%20Experiment/2022-12-07-1Arunas.%20eiga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7.12.2022\Second%20experiment\2022-12-07-2Arunas.%20eiga.xlsx" TargetMode="External"/><Relationship Id="rId1" Type="http://schemas.openxmlformats.org/officeDocument/2006/relationships/externalLinkPath" Target="07.12.2022/Second%20experiment/2022-12-07-2Arunas.%20eiga.xlsx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8.12.2022\First%20experiment\2022-12-08-1Horizon.eksp.%20eiga.xlsx" TargetMode="External"/><Relationship Id="rId1" Type="http://schemas.openxmlformats.org/officeDocument/2006/relationships/externalLinkPath" Target="08.12.2022/First%20experiment/2022-12-08-1Horizon.eksp.%20eiga.xlsx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8.12.2022\Second%20Experiment\2022-12-08-2Horizon.eksp.%20eiga.xlsx" TargetMode="External"/><Relationship Id="rId1" Type="http://schemas.openxmlformats.org/officeDocument/2006/relationships/externalLinkPath" Target="08.12.2022/Second%20Experiment/2022-12-08-2Horizon.eksp.%20eiga.xlsx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12.2022\2022-12-09-Arunas.%20eiga.xlsx" TargetMode="External"/><Relationship Id="rId1" Type="http://schemas.openxmlformats.org/officeDocument/2006/relationships/externalLinkPath" Target="09.12.2022/2022-12-09-Arunas.%20eiga.xlsx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2.12.2022\First%20experiment\2022-12-12-Arunaseiga.xlsx" TargetMode="External"/><Relationship Id="rId1" Type="http://schemas.openxmlformats.org/officeDocument/2006/relationships/externalLinkPath" Target="12.12.2022/First%20experiment/2022-12-12-Arunaseiga.xlsx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2.12.2022\Second%20experiment\2022-12-12-2Arunas.%20eiga.xlsx" TargetMode="External"/><Relationship Id="rId1" Type="http://schemas.openxmlformats.org/officeDocument/2006/relationships/externalLinkPath" Target="12.12.2022/Second%20experiment/2022-12-12-2Arunas.%20eiga.xlsx" TargetMode="External"/></Relationships>
</file>

<file path=xl/externalLinks/_rels/externalLink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3.12.2022\First%20experiment\2022-12-13-1Horizon.eksp.%20eiga.xlsx" TargetMode="External"/><Relationship Id="rId1" Type="http://schemas.openxmlformats.org/officeDocument/2006/relationships/externalLinkPath" Target="13.12.2022/First%20experiment/2022-12-13-1Horizon.eksp.%20eiga.xlsx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3.12.2022\Second%20experiment\2022-12-13-2Horizon.eksp.%20eiga.xlsx" TargetMode="External"/><Relationship Id="rId1" Type="http://schemas.openxmlformats.org/officeDocument/2006/relationships/externalLinkPath" Target="13.12.2022/Second%20experiment/2022-12-13-2Horizon.eksp.%20eiga.xlsx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4.12.2022\2022-12-14-Horizon.eksp.%20eiga.xlsx" TargetMode="External"/><Relationship Id="rId1" Type="http://schemas.openxmlformats.org/officeDocument/2006/relationships/externalLinkPath" Target="14.12.2022/2022-12-14-Horizon.eksp.%20eiga.xlsx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5.12.2022\First%20experiment\2022-12-15-1Horizon.eksp.%20eiga.xlsx" TargetMode="External"/><Relationship Id="rId1" Type="http://schemas.openxmlformats.org/officeDocument/2006/relationships/externalLinkPath" Target="15.12.2022/First%20experiment/2022-12-15-1Horizon.eksp.%20eiga.xlsx" TargetMode="External"/></Relationships>
</file>

<file path=xl/externalLinks/_rels/externalLink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5.12.2022\Second%20experiment\2022-12-15-2Horizon.eksp.%20eiga.xlsx" TargetMode="External"/><Relationship Id="rId1" Type="http://schemas.openxmlformats.org/officeDocument/2006/relationships/externalLinkPath" Target="15.12.2022/Second%20experiment/2022-12-15-2Horizon.eksp.%20eiga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6.12.2022\First%20experiment\2022-12-17-1-Horizon.eksp.%20eiga.xlsx" TargetMode="External"/><Relationship Id="rId1" Type="http://schemas.openxmlformats.org/officeDocument/2006/relationships/externalLinkPath" Target="16.12.2022/First%20experiment/2022-12-17-1-Horizon.eksp.%20eiga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6.12.2022\Second%20Experiment\2022-12-17-2-Horizon.eksp.%20eiga.xlsx" TargetMode="External"/><Relationship Id="rId1" Type="http://schemas.openxmlformats.org/officeDocument/2006/relationships/externalLinkPath" Target="16.12.2022/Second%20Experiment/2022-12-17-2-Horizon.eksp.%20eiga.xlsx" TargetMode="External"/></Relationships>
</file>

<file path=xl/externalLinks/_rels/externalLink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9.12.2022\First%20experiment\2022-12-19-1Arunas.%20eiga.xlsx" TargetMode="External"/><Relationship Id="rId1" Type="http://schemas.openxmlformats.org/officeDocument/2006/relationships/externalLinkPath" Target="19.12.2022/First%20experiment/2022-12-19-1Arunas.%20eiga.xlsx" TargetMode="External"/></Relationships>
</file>

<file path=xl/externalLinks/_rels/externalLink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9.12.2022\Second%20experiment\2022-12-19-2Arunas.%20eiga.xlsx" TargetMode="External"/><Relationship Id="rId1" Type="http://schemas.openxmlformats.org/officeDocument/2006/relationships/externalLinkPath" Target="19.12.2022/Second%20experiment/2022-12-19-2Arunas.%20eiga.xlsx" TargetMode="External"/></Relationships>
</file>

<file path=xl/externalLinks/_rels/externalLink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0.12.2022\First%20experiment\2022-12-20-1Arunas.eksp.%20eiga.xlsx" TargetMode="External"/><Relationship Id="rId1" Type="http://schemas.openxmlformats.org/officeDocument/2006/relationships/externalLinkPath" Target="20.12.2022/First%20experiment/2022-12-20-1Arunas.eksp.%20eiga.xlsx" TargetMode="External"/></Relationships>
</file>

<file path=xl/externalLinks/_rels/externalLink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0.12.2022\Second%20experiment\2022-12-20-2Arunas.eksp.%20eiga.xlsx" TargetMode="External"/><Relationship Id="rId1" Type="http://schemas.openxmlformats.org/officeDocument/2006/relationships/externalLinkPath" Target="20.12.2022/Second%20experiment/2022-12-20-2Arunas.eksp.%20eiga.xlsx" TargetMode="External"/></Relationships>
</file>

<file path=xl/externalLinks/_rels/externalLink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2.12.2022\First%20experiiment\2022-12-22-Arunas.%20eiga.xlsx" TargetMode="External"/><Relationship Id="rId1" Type="http://schemas.openxmlformats.org/officeDocument/2006/relationships/externalLinkPath" Target="22.12.2022/First%20experiiment/2022-12-22-Arunas.%20eiga.xlsx" TargetMode="External"/></Relationships>
</file>

<file path=xl/externalLinks/_rels/externalLink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2.12.2022\Second%20experiment\2022-12-22-Arunas.eksp.%20eiga.xlsx" TargetMode="External"/><Relationship Id="rId1" Type="http://schemas.openxmlformats.org/officeDocument/2006/relationships/externalLinkPath" Target="22.12.2022/Second%20experiment/2022-12-22-Arunas.eksp.%20eiga.xlsx" TargetMode="External"/></Relationships>
</file>

<file path=xl/externalLinks/_rels/externalLink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3.12.2022\2022-12-23-Arunas.%20eiga.xlsx" TargetMode="External"/><Relationship Id="rId1" Type="http://schemas.openxmlformats.org/officeDocument/2006/relationships/externalLinkPath" Target="23.12.2022/2022-12-23-Arunas.%20eiga.xlsx" TargetMode="External"/></Relationships>
</file>

<file path=xl/externalLinks/_rels/externalLink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First%20experiment\2022-12-27-Arunas.xlsx" TargetMode="External"/><Relationship Id="rId1" Type="http://schemas.openxmlformats.org/officeDocument/2006/relationships/externalLinkPath" Target="27.12.2022/First%20experiment/2022-12-27-Arunas.xlsx" TargetMode="External"/></Relationships>
</file>

<file path=xl/externalLinks/_rels/externalLink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First%20experiment\2022-11-27-Horizon.eksp.%20eiga.xlsx" TargetMode="External"/><Relationship Id="rId1" Type="http://schemas.openxmlformats.org/officeDocument/2006/relationships/externalLinkPath" Target="27.12.2022/First%20experiment/2022-11-27-Horizon.eksp.%20eiga.xlsx" TargetMode="External"/></Relationships>
</file>

<file path=xl/externalLinks/_rels/externalLink4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Second%20experiment\2022-12-27-2Arunas.%20eiga.xlsx" TargetMode="External"/><Relationship Id="rId1" Type="http://schemas.openxmlformats.org/officeDocument/2006/relationships/externalLinkPath" Target="27.12.2022/Second%20experiment/2022-12-27-2Arunas.%20eiga.xlsx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Fie=rst%20experiment\2022-12-28-Arunas.%20eiga.xlsx" TargetMode="External"/><Relationship Id="rId1" Type="http://schemas.openxmlformats.org/officeDocument/2006/relationships/externalLinkPath" Target="28.12.2022/Fie=rst%20experiment/2022-12-28-Arunas.%20eiga.xlsx" TargetMode="External"/></Relationships>
</file>

<file path=xl/externalLinks/_rels/externalLink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Second%20experiment\2022-12-28-Arunas.%20eiga.xlsx" TargetMode="External"/><Relationship Id="rId1" Type="http://schemas.openxmlformats.org/officeDocument/2006/relationships/externalLinkPath" Target="28.12.2022/Second%20experiment/2022-12-28-Arunas.%20eiga.xlsx" TargetMode="External"/></Relationships>
</file>

<file path=xl/externalLinks/_rels/externalLink4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Second%20experiment\2022-11-28-Horizon.eksp.%20eiga.xlsx" TargetMode="External"/><Relationship Id="rId1" Type="http://schemas.openxmlformats.org/officeDocument/2006/relationships/externalLinkPath" Target="28.12.2022/Second%20experiment/2022-11-28-Horizon.eksp.%20eiga.xlsx" TargetMode="External"/></Relationships>
</file>

<file path=xl/externalLinks/_rels/externalLink4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9.12.2022\2022-12-29-Arunas.%20eiga.xlsx" TargetMode="External"/><Relationship Id="rId1" Type="http://schemas.openxmlformats.org/officeDocument/2006/relationships/externalLinkPath" Target="29.12.2022/2022-12-29-Arunas.%20eiga.xlsx" TargetMode="External"/></Relationships>
</file>

<file path=xl/externalLinks/_rels/externalLink4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2.2022\2022-12-30-Arunas.xlsx" TargetMode="External"/><Relationship Id="rId1" Type="http://schemas.openxmlformats.org/officeDocument/2006/relationships/externalLinkPath" Target="30.12.2022/2022-12-30-Arunas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3.01.2023\First%20experiment\2023-01-03-1-Arunas.xlsx" TargetMode="External"/><Relationship Id="rId1" Type="http://schemas.openxmlformats.org/officeDocument/2006/relationships/externalLinkPath" Target="03.01.2023/First%20experiment/2023-01-03-1-Arunas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4.01.2023\2023-01-04-Arunas.xlsx" TargetMode="External"/><Relationship Id="rId1" Type="http://schemas.openxmlformats.org/officeDocument/2006/relationships/externalLinkPath" Target="04.01.2023/2023-01-04-Arunas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01.2023\2023-01-05-1-Arunas.xlsx" TargetMode="External"/><Relationship Id="rId1" Type="http://schemas.openxmlformats.org/officeDocument/2006/relationships/externalLinkPath" Target="05.01.2023/2023-01-05-1-Arunas.xlsx" TargetMode="External"/></Relationships>
</file>

<file path=xl/externalLinks/_rels/externalLink4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01.2023\2023-01-05-2-Arunas.xlsx" TargetMode="External"/><Relationship Id="rId1" Type="http://schemas.openxmlformats.org/officeDocument/2006/relationships/externalLinkPath" Target="05.01.2023/2023-01-05-2-Arunas.xlsx" TargetMode="External"/></Relationships>
</file>

<file path=xl/externalLinks/_rels/externalLink5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01.2023\2023-01-06-Arunaseiga.xlsx" TargetMode="External"/><Relationship Id="rId1" Type="http://schemas.openxmlformats.org/officeDocument/2006/relationships/externalLinkPath" Target="06.01.2023/2023-01-06-Arunaseiga.xlsx" TargetMode="External"/></Relationships>
</file>

<file path=xl/externalLinks/_rels/externalLink5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01.2023\First%20experiment\2023-01-09-Arunas.%20eiga.xlsx" TargetMode="External"/><Relationship Id="rId1" Type="http://schemas.openxmlformats.org/officeDocument/2006/relationships/externalLinkPath" Target="09.01.2023/First%20experiment/2023-01-09-Arunas.%20eiga.xlsx" TargetMode="External"/></Relationships>
</file>

<file path=xl/externalLinks/_rels/externalLink5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01.2023\Second%20experiment\2023-01-09-2-Arunas.xlsx" TargetMode="External"/><Relationship Id="rId1" Type="http://schemas.openxmlformats.org/officeDocument/2006/relationships/externalLinkPath" Target="09.01.2023/Second%20experiment/2023-01-09-2-Arunas.xlsx" TargetMode="External"/></Relationships>
</file>

<file path=xl/externalLinks/_rels/externalLink5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1\2023-01-11-1Horizon.eksp.%20eiga.xlsx" TargetMode="External"/><Relationship Id="rId1" Type="http://schemas.openxmlformats.org/officeDocument/2006/relationships/externalLinkPath" Target="Rest%20of%20the%20data/Tube%20coil%20exp/Tube%20coil%20exp/20230111/2023-01-11-1Horizon.eksp.%20eiga.xlsx" TargetMode="External"/></Relationships>
</file>

<file path=xl/externalLinks/_rels/externalLink5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1\2023-01-11-2Horizon.eksp.%20eiga.xlsx" TargetMode="External"/><Relationship Id="rId1" Type="http://schemas.openxmlformats.org/officeDocument/2006/relationships/externalLinkPath" Target="Rest%20of%20the%20data/Tube%20coil%20exp/Tube%20coil%20exp/20230111/2023-01-11-2Horizon.eksp.%20eiga.xlsx" TargetMode="External"/></Relationships>
</file>

<file path=xl/externalLinks/_rels/externalLink5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2\2023-01-12-1Horizon.eksp.%20eiga.xlsx" TargetMode="External"/><Relationship Id="rId1" Type="http://schemas.openxmlformats.org/officeDocument/2006/relationships/externalLinkPath" Target="Rest%20of%20the%20data/Tube%20coil%20exp/Tube%20coil%20exp/20230112/2023-01-12-1Horizon.eksp.%20eiga.xlsx" TargetMode="External"/></Relationships>
</file>

<file path=xl/externalLinks/_rels/externalLink5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2\2023-01-12-2Horizon.eksp.%20eiga.xlsx" TargetMode="External"/><Relationship Id="rId1" Type="http://schemas.openxmlformats.org/officeDocument/2006/relationships/externalLinkPath" Target="Rest%20of%20the%20data/Tube%20coil%20exp/Tube%20coil%20exp/20230112/2023-01-12-2Horizon.eksp.%20eiga.xlsx" TargetMode="External"/></Relationships>
</file>

<file path=xl/externalLinks/_rels/externalLink5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3\2023-01-13Horizon.eksp.%20eiga.xlsx" TargetMode="External"/><Relationship Id="rId1" Type="http://schemas.openxmlformats.org/officeDocument/2006/relationships/externalLinkPath" Target="Rest%20of%20the%20data/Tube%20coil%20exp/Tube%20coil%20exp/20230113/2023-01-13Horizon.eksp.%20eiga.xlsx" TargetMode="External"/></Relationships>
</file>

<file path=xl/externalLinks/_rels/externalLink5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6\2023-01-16-Horizon.eksp.%20eiga.xlsx" TargetMode="External"/><Relationship Id="rId1" Type="http://schemas.openxmlformats.org/officeDocument/2006/relationships/externalLinkPath" Target="Rest%20of%20the%20data/Tube%20coil%20exp/Tube%20coil%20exp/20230116/2023-01-16-Horizon.eksp.%20eiga.xlsx" TargetMode="External"/></Relationships>
</file>

<file path=xl/externalLinks/_rels/externalLink5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2023-01-18-Horizon.eksp.%20eiga.xlsx" TargetMode="External"/><Relationship Id="rId1" Type="http://schemas.openxmlformats.org/officeDocument/2006/relationships/externalLinkPath" Target="Rest%20of%20the%20data/2023-01-18-Horizon.eksp.%20eiga.xlsx" TargetMode="External"/></Relationships>
</file>

<file path=xl/externalLinks/_rels/externalLink6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7\2023-01-17-1-Horizon.eksp.%20eiga.xlsx" TargetMode="External"/><Relationship Id="rId1" Type="http://schemas.openxmlformats.org/officeDocument/2006/relationships/externalLinkPath" Target="Rest%20of%20the%20data/Tube%20coil%20exp/Tube%20coil%20exp/20230117/2023-01-17-1-Horizon.eksp.%20eiga.xlsx" TargetMode="External"/></Relationships>
</file>

<file path=xl/externalLinks/_rels/externalLink6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nival%20Stores\Downloads\2023-01-17-1-Horizon.eksp.%20eiga%20(1).xlsx" TargetMode="External"/><Relationship Id="rId1" Type="http://schemas.openxmlformats.org/officeDocument/2006/relationships/externalLinkPath" Target="file:///C:\Users\Carnival%20Stores\Downloads\2023-01-17-1-Horizon.eksp.%20eiga%20(1).xlsx" TargetMode="External"/></Relationships>
</file>

<file path=xl/externalLinks/_rels/externalLink6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7\2023-01-17-2-Horizon.eksp.%20eiga.xlsx" TargetMode="External"/><Relationship Id="rId1" Type="http://schemas.openxmlformats.org/officeDocument/2006/relationships/externalLinkPath" Target="Rest%20of%20the%20data/Tube%20coil%20exp/Tube%20coil%20exp/20230117/2023-01-17-2-Horizon.eksp.%20eiga.xlsx" TargetMode="External"/></Relationships>
</file>

<file path=xl/externalLinks/_rels/externalLink6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8\2023-01-18-Horizon.eksp.%20eiga.xlsx" TargetMode="External"/><Relationship Id="rId1" Type="http://schemas.openxmlformats.org/officeDocument/2006/relationships/externalLinkPath" Target="Rest%20of%20the%20data/Tube%20coil%20exp/Tube%20coil%20exp/20230118/2023-01-18-Horizon.eksp.%20eiga.xlsx" TargetMode="External"/></Relationships>
</file>

<file path=xl/externalLinks/_rels/externalLink6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9\2023-01-19-1-Horizon.eksp.%20eiga.xlsx" TargetMode="External"/><Relationship Id="rId1" Type="http://schemas.openxmlformats.org/officeDocument/2006/relationships/externalLinkPath" Target="Rest%20of%20the%20data/Tube%20coil%20exp/Tube%20coil%20exp/20230119/2023-01-19-1-Horizon.eksp.%20eiga.xlsx" TargetMode="External"/></Relationships>
</file>

<file path=xl/externalLinks/_rels/externalLink6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9\2023-01-19-2-Horizon.eksp.%20eiga.xlsx" TargetMode="External"/><Relationship Id="rId1" Type="http://schemas.openxmlformats.org/officeDocument/2006/relationships/externalLinkPath" Target="Rest%20of%20the%20data/Tube%20coil%20exp/Tube%20coil%20exp/20230119/2023-01-19-2-Horizon.eksp.%20eiga.xlsx" TargetMode="External"/></Relationships>
</file>

<file path=xl/externalLinks/_rels/externalLink6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0\2023-01-20-Horizon.eksp.%20eiga.xlsx" TargetMode="External"/><Relationship Id="rId1" Type="http://schemas.openxmlformats.org/officeDocument/2006/relationships/externalLinkPath" Target="Rest%20of%20the%20data/Tube%20coil%20exp/Tube%20coil%20exp/20230120/2023-01-20-Horizon.eksp.%20eiga.xlsx" TargetMode="External"/></Relationships>
</file>

<file path=xl/externalLinks/_rels/externalLink6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3\2023-01-23-1Horizon.eksp.%20eiga.xlsx" TargetMode="External"/><Relationship Id="rId1" Type="http://schemas.openxmlformats.org/officeDocument/2006/relationships/externalLinkPath" Target="Rest%20of%20the%20data/Tube%20coil%20exp/Tube%20coil%20exp/20230123/2023-01-23-1Horizon.eksp.%20eiga.xlsx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nival%20Stores\Desktop\KIT\2023-01-24-1Horizon.eksp.%20eiga.xlsx" TargetMode="External"/><Relationship Id="rId1" Type="http://schemas.openxmlformats.org/officeDocument/2006/relationships/externalLinkPath" Target="file:///C:\Users\Carnival%20Stores\Desktop\KIT\2023-01-24-1Horizon.eksp.%20eiga.xlsx" TargetMode="External"/></Relationships>
</file>

<file path=xl/externalLinks/_rels/externalLink6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3\2023-01-23-2-Horizon.eksp.%20eiga.xlsx" TargetMode="External"/><Relationship Id="rId1" Type="http://schemas.openxmlformats.org/officeDocument/2006/relationships/externalLinkPath" Target="Rest%20of%20the%20data/Tube%20coil%20exp/Tube%20coil%20exp/20230123/2023-01-23-2-Horizon.eksp.%20eiga.xlsx" TargetMode="External"/></Relationships>
</file>

<file path=xl/externalLinks/_rels/externalLink7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4\2023-01-24-1-Horizon.eksp.%20eiga.xlsx" TargetMode="External"/><Relationship Id="rId1" Type="http://schemas.openxmlformats.org/officeDocument/2006/relationships/externalLinkPath" Target="Rest%20of%20the%20data/Tube%20coil%20exp/Tube%20coil%20exp/20230124/2023-01-24-1-Horizon.eksp.%20eiga.xlsx" TargetMode="External"/></Relationships>
</file>

<file path=xl/externalLinks/_rels/externalLink7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4\2023-01-24-2-Horizon.eksp.%20eiga.xlsx" TargetMode="External"/><Relationship Id="rId1" Type="http://schemas.openxmlformats.org/officeDocument/2006/relationships/externalLinkPath" Target="Rest%20of%20the%20data/Tube%20coil%20exp/Tube%20coil%20exp/20230124/2023-01-24-2-Horizon.eksp.%20eiga.xlsx" TargetMode="External"/></Relationships>
</file>

<file path=xl/externalLinks/_rels/externalLink7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5\2023-01-25-Horizon.eksp.%20eiga.xlsx" TargetMode="External"/><Relationship Id="rId1" Type="http://schemas.openxmlformats.org/officeDocument/2006/relationships/externalLinkPath" Target="Rest%20of%20the%20data/Tube%20coil%20exp/Tube%20coil%20exp/20230125/2023-01-25-Horizon.eksp.%20eiga.xlsx" TargetMode="External"/></Relationships>
</file>

<file path=xl/externalLinks/_rels/externalLink7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6\2023-01-26-Horizon.eksp.%20eiga.xlsx" TargetMode="External"/><Relationship Id="rId1" Type="http://schemas.openxmlformats.org/officeDocument/2006/relationships/externalLinkPath" Target="Rest%20of%20the%20data/Tube%20coil%20exp/Tube%20coil%20exp/20230126/2023-01-26-Horizon.eksp.%20eiga.xlsx" TargetMode="External"/></Relationships>
</file>

<file path=xl/externalLinks/_rels/externalLink7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7\2023-01-27-Horizon.eksp.%20eiga.xlsx" TargetMode="External"/><Relationship Id="rId1" Type="http://schemas.openxmlformats.org/officeDocument/2006/relationships/externalLinkPath" Target="Rest%20of%20the%20data/Tube%20coil%20exp/Tube%20coil%20exp/20230127/2023-01-27-Horizon.eksp.%20eiga.xlsx" TargetMode="External"/></Relationships>
</file>

<file path=xl/externalLinks/_rels/externalLink7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0\2023-01-30-1-Horizon.eksp.%20eiga.xlsx" TargetMode="External"/><Relationship Id="rId1" Type="http://schemas.openxmlformats.org/officeDocument/2006/relationships/externalLinkPath" Target="Rest%20of%20the%20data/Tube%20coil%20exp/Tube%20coil%20exp/20230130/2023-01-30-1-Horizon.eksp.%20eiga.xlsx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0\2023-01-30-2-Horizon.eksp.%20eiga.xlsx" TargetMode="External"/><Relationship Id="rId1" Type="http://schemas.openxmlformats.org/officeDocument/2006/relationships/externalLinkPath" Target="Rest%20of%20the%20data/Tube%20coil%20exp/Tube%20coil%20exp/20230130/2023-01-30-2-Horizon.eksp.%20eiga.xlsx" TargetMode="External"/></Relationships>
</file>

<file path=xl/externalLinks/_rels/externalLink7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1\2023-01-31-Horizon.eksp.%20eiga.xlsx" TargetMode="External"/><Relationship Id="rId1" Type="http://schemas.openxmlformats.org/officeDocument/2006/relationships/externalLinkPath" Target="Rest%20of%20the%20data/Tube%20coil%20exp/Tube%20coil%20exp/20230131/2023-01-31-Horizon.eksp.%20eiga.xlsx" TargetMode="External"/></Relationships>
</file>

<file path=xl/externalLinks/_rels/externalLink7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1\2023-02-01-1-Horizon.eksp.%20eiga.xlsx" TargetMode="External"/><Relationship Id="rId1" Type="http://schemas.openxmlformats.org/officeDocument/2006/relationships/externalLinkPath" Target="Rest%20of%20the%20data/Tube%20coil%20exp/Tube%20coil%20exp/20230201/2023-02-01-1-Horizon.eksp.%20eiga.xlsx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1\2023-02-01-2Horizon.eksp.%20eiga.xlsx" TargetMode="External"/><Relationship Id="rId1" Type="http://schemas.openxmlformats.org/officeDocument/2006/relationships/externalLinkPath" Target="Rest%20of%20the%20data/Tube%20coil%20exp/Tube%20coil%20exp/20230201/2023-02-01-2Horizon.eksp.%20eiga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2\2023-02-02-1Horizon.eksp.%20eiga.xlsx" TargetMode="External"/><Relationship Id="rId1" Type="http://schemas.openxmlformats.org/officeDocument/2006/relationships/externalLinkPath" Target="Rest%20of%20the%20data/Tube%20coil%20exp/Tube%20coil%20exp/20230202/2023-02-02-1Horizon.eksp.%20eiga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2\2023-02-02-2-Horizon.eksp.%20eiga.xlsx" TargetMode="External"/><Relationship Id="rId1" Type="http://schemas.openxmlformats.org/officeDocument/2006/relationships/externalLinkPath" Target="Rest%20of%20the%20data/Tube%20coil%20exp/Tube%20coil%20exp/20230202/2023-02-02-2-Horizon.eksp.%20eiga.xlsx" TargetMode="External"/></Relationships>
</file>

<file path=xl/externalLinks/_rels/externalLink8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3\2023-02-03-Horizon.eksp.%20eiga.xlsx" TargetMode="External"/><Relationship Id="rId1" Type="http://schemas.openxmlformats.org/officeDocument/2006/relationships/externalLinkPath" Target="Rest%20of%20the%20data/Tube%20coil%20exp/Tube%20coil%20exp/20230203/2023-02-03-Horizon.eksp.%20eiga.xlsx" TargetMode="External"/></Relationships>
</file>

<file path=xl/externalLinks/_rels/externalLink8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6\2023-02-06-1-Horizon.eksp.%20eiga.xlsx" TargetMode="External"/><Relationship Id="rId1" Type="http://schemas.openxmlformats.org/officeDocument/2006/relationships/externalLinkPath" Target="Rest%20of%20the%20data/Tube%20coil%20exp/Tube%20coil%20exp/20230206/2023-02-06-1-Horizon.eksp.%20eiga.xlsx" TargetMode="External"/></Relationships>
</file>

<file path=xl/externalLinks/_rels/externalLink8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6\2023-02-06-2-Horizon.eksp.%20eiga.xlsx" TargetMode="External"/><Relationship Id="rId1" Type="http://schemas.openxmlformats.org/officeDocument/2006/relationships/externalLinkPath" Target="Rest%20of%20the%20data/Tube%20coil%20exp/Tube%20coil%20exp/20230206/2023-02-06-2-Horizon.eksp.%20eiga.xlsx" TargetMode="External"/></Relationships>
</file>

<file path=xl/externalLinks/_rels/externalLink8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8\2023-02-08-1-Horizon.eksp.%20eiga.xlsx" TargetMode="External"/><Relationship Id="rId1" Type="http://schemas.openxmlformats.org/officeDocument/2006/relationships/externalLinkPath" Target="Rest%20of%20the%20data/Tube%20coil%20exp/Tube%20coil%20exp/20230208/2023-02-08-1-Horizon.eksp.%20eiga.xlsx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9\2023-02-09-1-Horizon.eksp.%20eiga.xlsx" TargetMode="External"/><Relationship Id="rId1" Type="http://schemas.openxmlformats.org/officeDocument/2006/relationships/externalLinkPath" Target="Rest%20of%20the%20data/Tube%20coil%20exp/Tube%20coil%20exp/20230209/2023-02-09-1-Horizon.eksp.%20eiga.xlsx" TargetMode="External"/></Relationships>
</file>

<file path=xl/externalLinks/_rels/externalLink8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9\2023-02-09-2-Horizon.eksp.%20eiga.xlsx" TargetMode="External"/><Relationship Id="rId1" Type="http://schemas.openxmlformats.org/officeDocument/2006/relationships/externalLinkPath" Target="Rest%20of%20the%20data/Tube%20coil%20exp/Tube%20coil%20exp/20230209/2023-02-09-2-Horizon.eksp.%20eiga.xlsx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0\2023-02-10-1Horizon.eksp.%20eiga.xlsx" TargetMode="External"/><Relationship Id="rId1" Type="http://schemas.openxmlformats.org/officeDocument/2006/relationships/externalLinkPath" Target="Rest%20of%20the%20data/Tube%20coil%20exp/Tube%20coil%20exp/20230210/2023-02-10-1Horizon.eksp.%20eiga.xlsx" TargetMode="External"/></Relationships>
</file>

<file path=xl/externalLinks/_rels/externalLink8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3\2023-02-13-1Horizon.eksp.%20eiga.xlsx" TargetMode="External"/><Relationship Id="rId1" Type="http://schemas.openxmlformats.org/officeDocument/2006/relationships/externalLinkPath" Target="Rest%20of%20the%20data/Tube%20coil%20exp/Tube%20coil%20exp/20230213/2023-02-13-1Horizon.eksp.%20eiga.xlsx" TargetMode="External"/></Relationships>
</file>

<file path=xl/externalLinks/_rels/externalLink9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3\2023-02-13-2Horizon.eksp.%20eiga.xlsx" TargetMode="External"/><Relationship Id="rId1" Type="http://schemas.openxmlformats.org/officeDocument/2006/relationships/externalLinkPath" Target="Rest%20of%20the%20data/Tube%20coil%20exp/Tube%20coil%20exp/20230213/2023-02-13-2Horizon.eksp.%20eiga.xlsx" TargetMode="External"/></Relationships>
</file>

<file path=xl/externalLinks/_rels/externalLink9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4\2023-02-14-1Horizon.eksp.%20eiga.xlsx" TargetMode="External"/><Relationship Id="rId1" Type="http://schemas.openxmlformats.org/officeDocument/2006/relationships/externalLinkPath" Target="Rest%20of%20the%20data/Tube%20coil%20exp/Tube%20coil%20exp/20230214/2023-02-14-1Horizon.eksp.%20eiga.xlsx" TargetMode="External"/></Relationships>
</file>

<file path=xl/externalLinks/_rels/externalLink9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4\2023-02-14-2Horizon.eksp.%20eiga.xlsx" TargetMode="External"/><Relationship Id="rId1" Type="http://schemas.openxmlformats.org/officeDocument/2006/relationships/externalLinkPath" Target="Rest%20of%20the%20data/Tube%20coil%20exp/Tube%20coil%20exp/20230214/2023-02-14-2Horizon.eksp.%20eiga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5\2023-02-15-Horizon.eksp.%20eiga.xlsx" TargetMode="External"/><Relationship Id="rId1" Type="http://schemas.openxmlformats.org/officeDocument/2006/relationships/externalLinkPath" Target="Rest%20of%20the%20data/Tube%20coil%20exp/Tube%20coil%20exp/20230215/2023-02-15-Horizon.eksp.%20eiga.xlsx" TargetMode="External"/></Relationships>
</file>

<file path=xl/externalLinks/_rels/externalLink9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0\2023-02-20-1-Horizon.eksp.%20eiga.xlsx" TargetMode="External"/><Relationship Id="rId1" Type="http://schemas.openxmlformats.org/officeDocument/2006/relationships/externalLinkPath" Target="Rest%20of%20the%20data/Tube%20coil%20exp/Tube%20coil%20exp/20230220/2023-02-20-1-Horizon.eksp.%20eiga.xlsx" TargetMode="External"/></Relationships>
</file>

<file path=xl/externalLinks/_rels/externalLink9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0\2023-02-20-2-Horizon.eksp.%20eiga.xlsx" TargetMode="External"/><Relationship Id="rId1" Type="http://schemas.openxmlformats.org/officeDocument/2006/relationships/externalLinkPath" Target="Rest%20of%20the%20data/Tube%20coil%20exp/Tube%20coil%20exp/20230220/2023-02-20-2-Horizon.eksp.%20eiga.xlsx" TargetMode="External"/></Relationships>
</file>

<file path=xl/externalLinks/_rels/externalLink9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1\2023-02-21-1-Horizon.eksp.%20eiga.xlsx" TargetMode="External"/><Relationship Id="rId1" Type="http://schemas.openxmlformats.org/officeDocument/2006/relationships/externalLinkPath" Target="Rest%20of%20the%20data/Tube%20coil%20exp/Tube%20coil%20exp/20230221/2023-02-21-1-Horizon.eksp.%20eiga.xlsx" TargetMode="External"/></Relationships>
</file>

<file path=xl/externalLinks/_rels/externalLink9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1\2023-02-21-2Horizon.eksp.%20eiga.xlsx" TargetMode="External"/><Relationship Id="rId1" Type="http://schemas.openxmlformats.org/officeDocument/2006/relationships/externalLinkPath" Target="Rest%20of%20the%20data/Tube%20coil%20exp/Tube%20coil%20exp/20230221/2023-02-21-2Horizon.eksp.%20eiga.xlsx" TargetMode="External"/></Relationships>
</file>

<file path=xl/externalLinks/_rels/externalLink9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2\2023-02-22-1Horizon.eksp.%20eiga.xlsx" TargetMode="External"/><Relationship Id="rId1" Type="http://schemas.openxmlformats.org/officeDocument/2006/relationships/externalLinkPath" Target="Rest%20of%20the%20data/Tube%20coil%20exp/Tube%20coil%20exp/20230222/2023-02-22-1Horizon.eksp.%20eiga.xlsx" TargetMode="External"/></Relationships>
</file>

<file path=xl/externalLinks/_rels/externalLink9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2\2023-02-22-2-Horizon.eksp.%20eiga.xlsx" TargetMode="External"/><Relationship Id="rId1" Type="http://schemas.openxmlformats.org/officeDocument/2006/relationships/externalLinkPath" Target="Rest%20of%20the%20data/Tube%20coil%20exp/Tube%20coil%20exp/20230222/2023-02-22-2-Horizon.eksp.%20eiga.xlsx" TargetMode="External"/></Relationships>
</file>

<file path=xl/externalLinks/_rels/externalLink10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3\2023-02-23-1-Horizon.eksp.%20eiga.xlsx" TargetMode="External"/><Relationship Id="rId1" Type="http://schemas.openxmlformats.org/officeDocument/2006/relationships/externalLinkPath" Target="Rest%20of%20the%20data/Tube%20coil%20exp/Tube%20coil%20exp/20230223/2023-02-23-1-Horizon.eksp.%20eiga.xlsx" TargetMode="External"/></Relationships>
</file>

<file path=xl/externalLinks/_rels/externalLink10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3\2023-02-23-2-Horizon.eksp.%20eiga.xlsx" TargetMode="External"/><Relationship Id="rId1" Type="http://schemas.openxmlformats.org/officeDocument/2006/relationships/externalLinkPath" Target="Rest%20of%20the%20data/Tube%20coil%20exp/Tube%20coil%20exp/20230223/2023-02-23-2-Horizon.eksp.%20eiga.xlsx" TargetMode="External"/></Relationships>
</file>

<file path=xl/externalLinks/_rels/externalLink10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4\2023-02-24-Horizon.eksp.%20eiga.xlsx" TargetMode="External"/><Relationship Id="rId1" Type="http://schemas.openxmlformats.org/officeDocument/2006/relationships/externalLinkPath" Target="Rest%20of%20the%20data/Tube%20coil%20exp/Tube%20coil%20exp/20230224/2023-02-24-Horizon.eksp.%20eiga.xlsx" TargetMode="External"/></Relationships>
</file>

<file path=xl/externalLinks/_rels/externalLink10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7\2023-02-27-1Horizon.eksp.%20eiga.xlsx" TargetMode="External"/><Relationship Id="rId1" Type="http://schemas.openxmlformats.org/officeDocument/2006/relationships/externalLinkPath" Target="Rest%20of%20the%20data/Tube%20coil%20exp/Tube%20coil%20exp/20230227/2023-02-27-1Horizon.eksp.%20eiga.xlsx" TargetMode="External"/></Relationships>
</file>

<file path=xl/externalLinks/_rels/externalLink10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7\2023-02-27-2Horizon.eksp.%20eiga.xlsx" TargetMode="External"/><Relationship Id="rId1" Type="http://schemas.openxmlformats.org/officeDocument/2006/relationships/externalLinkPath" Target="Rest%20of%20the%20data/Tube%20coil%20exp/Tube%20coil%20exp/20230227/2023-02-27-2Horizon.eksp.%20eiga.xlsx" TargetMode="External"/></Relationships>
</file>

<file path=xl/externalLinks/_rels/externalLink10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8\2023-02-28-1Horizon.eksp.%20eiga.xlsx" TargetMode="External"/><Relationship Id="rId1" Type="http://schemas.openxmlformats.org/officeDocument/2006/relationships/externalLinkPath" Target="Rest%20of%20the%20data/Tube%20coil%20exp/Tube%20coil%20exp/20230228/2023-02-28-1Horizon.eksp.%20eiga.xlsx" TargetMode="External"/></Relationships>
</file>

<file path=xl/externalLinks/_rels/externalLink10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8\2023-02-28-2-Horizon.eksp.%20eiga.xlsx" TargetMode="External"/><Relationship Id="rId1" Type="http://schemas.openxmlformats.org/officeDocument/2006/relationships/externalLinkPath" Target="Rest%20of%20the%20data/Tube%20coil%20exp/Tube%20coil%20exp/20230228/2023-02-28-2-Horizon.eksp.%20eiga.xlsx" TargetMode="External"/></Relationships>
</file>

<file path=xl/externalLinks/_rels/externalLink10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1\2023-03-01Horizon.eksp.%20eiga.xlsx" TargetMode="External"/><Relationship Id="rId1" Type="http://schemas.openxmlformats.org/officeDocument/2006/relationships/externalLinkPath" Target="Rest%20of%20the%20data/Tube%20coil%20exp/Tube%20coil%20exp/20230301/2023-03-01Horizon.eksp.%20eiga.xlsx" TargetMode="External"/></Relationships>
</file>

<file path=xl/externalLinks/_rels/externalLink10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2\2023-03-02-1Horizon.eksp.%20eiga.xlsx" TargetMode="External"/><Relationship Id="rId1" Type="http://schemas.openxmlformats.org/officeDocument/2006/relationships/externalLinkPath" Target="Rest%20of%20the%20data/Tube%20coil%20exp/Tube%20coil%20exp/20230302/2023-03-02-1Horizon.eksp.%20eiga.xlsx" TargetMode="External"/></Relationships>
</file>

<file path=xl/externalLinks/_rels/externalLink10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2\2023-03-02-2Horizon.eksp.%20eiga.xlsx" TargetMode="External"/><Relationship Id="rId1" Type="http://schemas.openxmlformats.org/officeDocument/2006/relationships/externalLinkPath" Target="Rest%20of%20the%20data/Tube%20coil%20exp/Tube%20coil%20exp/20230302/2023-03-02-2Horizon.eksp.%20eiga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6\20200406_Horiz.%20eksp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eksp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ruozas-kond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eksp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ruozas-total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20\20200420_Horiz.%20ruozas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2-po%20izoliac\20200702_Horizon.eksp.%20eiga+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3\20200703_Horizon.eksp.%20eiga+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9\20200709_Horizon.eksp.%20eiga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1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2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7\2020-07-17_Horizon.eksp.%20eiga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0\2020-07-20_Horizon.eksp.%20eiga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1\2020-07-21_Horizon.eksp.%20eiga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3\2020-07-23_Horizon.eksp.%20eiga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7\2020-07-27_Horizon.eksp.%20eiga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3\2020-08-03_Horizon.eksp.%20eiga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6\2020-08-06_Horizon.eksp.%20eiga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18\2020-08-18_Horizon.eksp.%20eiga.xlsx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4\2020-08-24_Horizon.eksp.%20eiga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5\2020-08-25_Horizon.eksp.%20eiga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7\2020-08-27_Horizon.eksp.%20eiga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8\2020-08-28_Horizon.eksp.%20eiga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31\2020-08-31_Horizon.eksp.%20eiga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3\2020-09-03_Horizon.eksp.%20eiga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4\2020-09-04_Horizon.eksp.%20eiga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7\2020-09-07_Horizon.eksp.%20eiga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8\2020-09-08_Horizon.eksp.%20eiga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15\2020-09-15_Horizon.eksp.%20eiga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Su%20karsto%20oro%20stendu\2020-09-17_Horizon.eksp.%20eig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84.432413313316772</v>
          </cell>
        </row>
        <row r="6">
          <cell r="V6">
            <v>80.60120062807421</v>
          </cell>
          <cell r="W6">
            <v>49.995803045410419</v>
          </cell>
        </row>
        <row r="7">
          <cell r="V7">
            <v>78.100023326811808</v>
          </cell>
          <cell r="W7">
            <v>51.309438193788587</v>
          </cell>
        </row>
        <row r="8">
          <cell r="V8">
            <v>76.052694550269464</v>
          </cell>
          <cell r="W8">
            <v>48.553106797074555</v>
          </cell>
        </row>
        <row r="9">
          <cell r="V9">
            <v>73.956439360273563</v>
          </cell>
          <cell r="W9">
            <v>44.21359779311198</v>
          </cell>
        </row>
        <row r="10">
          <cell r="V10">
            <v>72.406710610917216</v>
          </cell>
          <cell r="W10">
            <v>42.362407103371879</v>
          </cell>
        </row>
        <row r="11">
          <cell r="V11">
            <v>65.75132858466155</v>
          </cell>
          <cell r="W11">
            <v>40.647585109263403</v>
          </cell>
        </row>
        <row r="12">
          <cell r="V12">
            <v>67.135520836961206</v>
          </cell>
          <cell r="W12">
            <v>36.551029259502847</v>
          </cell>
        </row>
        <row r="13">
          <cell r="V13">
            <v>64.947327701930007</v>
          </cell>
          <cell r="W13">
            <v>33.350056661430557</v>
          </cell>
        </row>
      </sheetData>
      <sheetData sheetId="4"/>
      <sheetData sheetId="5">
        <row r="24">
          <cell r="B24">
            <v>40.274244602552933</v>
          </cell>
        </row>
        <row r="25">
          <cell r="B25">
            <v>38.259181070788657</v>
          </cell>
          <cell r="F25">
            <v>196.77353761674829</v>
          </cell>
        </row>
        <row r="26">
          <cell r="B26">
            <v>35.541495744500772</v>
          </cell>
          <cell r="F26">
            <v>264.20675740116059</v>
          </cell>
        </row>
        <row r="27">
          <cell r="B27">
            <v>32.246859198171279</v>
          </cell>
          <cell r="F27">
            <v>318.51578184601414</v>
          </cell>
        </row>
        <row r="28">
          <cell r="B28">
            <v>28.500942006282195</v>
          </cell>
          <cell r="F28">
            <v>359.8299939952804</v>
          </cell>
        </row>
        <row r="29">
          <cell r="B29">
            <v>24.429414743315498</v>
          </cell>
          <cell r="F29">
            <v>388.39407472676868</v>
          </cell>
        </row>
        <row r="30">
          <cell r="B30">
            <v>20.157947983753203</v>
          </cell>
          <cell r="F30">
            <v>404.52663678457878</v>
          </cell>
        </row>
        <row r="31">
          <cell r="B31">
            <v>15.812212302077313</v>
          </cell>
          <cell r="F31">
            <v>408.58084295271749</v>
          </cell>
        </row>
        <row r="32">
          <cell r="B32">
            <v>11.517878272769821</v>
          </cell>
          <cell r="F32">
            <v>400.90918857926255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300.32488582814722</v>
          </cell>
        </row>
        <row r="19">
          <cell r="G19">
            <v>437.07019270879135</v>
          </cell>
        </row>
        <row r="20">
          <cell r="G20">
            <v>536.72345379696822</v>
          </cell>
        </row>
        <row r="21">
          <cell r="G21">
            <v>597.52089955440192</v>
          </cell>
        </row>
        <row r="22">
          <cell r="G22">
            <v>620.3720919912148</v>
          </cell>
        </row>
        <row r="23">
          <cell r="G23">
            <v>666.05139592744251</v>
          </cell>
        </row>
        <row r="24">
          <cell r="G24">
            <v>661.69766968030115</v>
          </cell>
        </row>
        <row r="25">
          <cell r="G25">
            <v>601.47280836708899</v>
          </cell>
        </row>
        <row r="26">
          <cell r="D26">
            <v>8284.6670129438262</v>
          </cell>
        </row>
        <row r="27">
          <cell r="D27">
            <v>8378.0440785733081</v>
          </cell>
        </row>
        <row r="29">
          <cell r="D29">
            <v>810.25784647105013</v>
          </cell>
        </row>
        <row r="127">
          <cell r="E127">
            <v>6.2724143098299906E-2</v>
          </cell>
          <cell r="F127">
            <v>0.1499496149721837</v>
          </cell>
        </row>
        <row r="128">
          <cell r="E128">
            <v>4.9537089681037538E-2</v>
          </cell>
          <cell r="F128">
            <v>0.57198054921771724</v>
          </cell>
        </row>
        <row r="129">
          <cell r="E129">
            <v>3.1069335487306924E-2</v>
          </cell>
          <cell r="F129">
            <v>1.5916348038634058E-2</v>
          </cell>
        </row>
        <row r="130">
          <cell r="E130">
            <v>3.9831924485440817E-2</v>
          </cell>
          <cell r="F130">
            <v>0.45830488567419486</v>
          </cell>
        </row>
        <row r="131">
          <cell r="E131">
            <v>2.3554796728123412E-2</v>
          </cell>
          <cell r="F131">
            <v>4.8012384330293263E-2</v>
          </cell>
        </row>
        <row r="132">
          <cell r="E132">
            <v>0.10729927406424705</v>
          </cell>
          <cell r="F132">
            <v>0.74120031013137899</v>
          </cell>
        </row>
        <row r="133">
          <cell r="E133">
            <v>-1.8710119573157487E-2</v>
          </cell>
          <cell r="F133">
            <v>3.3103323581372919E-2</v>
          </cell>
        </row>
        <row r="134">
          <cell r="E134">
            <v>4.3261318137919669E-2</v>
          </cell>
          <cell r="F134">
            <v>0.77421394357866091</v>
          </cell>
        </row>
      </sheetData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114.22680758272772</v>
          </cell>
        </row>
        <row r="6">
          <cell r="V6">
            <v>108.74420521621816</v>
          </cell>
        </row>
        <row r="7">
          <cell r="V7">
            <v>102.5648020526733</v>
          </cell>
        </row>
        <row r="8">
          <cell r="V8">
            <v>99.618817672663894</v>
          </cell>
        </row>
        <row r="9">
          <cell r="V9">
            <v>96.340907324448196</v>
          </cell>
        </row>
        <row r="10">
          <cell r="V10">
            <v>92.898864233727423</v>
          </cell>
        </row>
        <row r="11">
          <cell r="V11">
            <v>89.07540940850869</v>
          </cell>
        </row>
        <row r="12">
          <cell r="V12">
            <v>85.330894035056261</v>
          </cell>
        </row>
        <row r="13">
          <cell r="V13">
            <v>81.380037495214125</v>
          </cell>
        </row>
      </sheetData>
      <sheetData sheetId="4"/>
      <sheetData sheetId="5">
        <row r="24">
          <cell r="B24">
            <v>29.659280300718564</v>
          </cell>
        </row>
        <row r="25">
          <cell r="B25">
            <v>28.019035250361636</v>
          </cell>
          <cell r="F25">
            <v>242.99939738438596</v>
          </cell>
        </row>
        <row r="26">
          <cell r="B26">
            <v>26.148244761978972</v>
          </cell>
          <cell r="F26">
            <v>276.29132028307788</v>
          </cell>
        </row>
        <row r="27">
          <cell r="B27">
            <v>24.072524198800021</v>
          </cell>
          <cell r="F27">
            <v>305.49661846445827</v>
          </cell>
        </row>
        <row r="28">
          <cell r="B28">
            <v>21.817488924054242</v>
          </cell>
          <cell r="F28">
            <v>330.64499730656354</v>
          </cell>
        </row>
        <row r="29">
          <cell r="B29">
            <v>19.408754300971093</v>
          </cell>
          <cell r="F29">
            <v>351.77904272259889</v>
          </cell>
        </row>
        <row r="30">
          <cell r="B30">
            <v>16.871935692780028</v>
          </cell>
          <cell r="F30">
            <v>368.95148168343241</v>
          </cell>
        </row>
        <row r="31">
          <cell r="B31">
            <v>14.232648462710504</v>
          </cell>
          <cell r="F31">
            <v>382.22247097208981</v>
          </cell>
        </row>
        <row r="32">
          <cell r="B32">
            <v>11.516507973991978</v>
          </cell>
          <cell r="F32">
            <v>391.65697671064265</v>
          </cell>
        </row>
      </sheetData>
      <sheetData sheetId="6"/>
      <sheetData sheetId="7">
        <row r="18">
          <cell r="G18">
            <v>173.36565163061681</v>
          </cell>
        </row>
        <row r="19">
          <cell r="G19">
            <v>201.56891213826324</v>
          </cell>
        </row>
        <row r="20">
          <cell r="G20">
            <v>229.54706115117571</v>
          </cell>
        </row>
        <row r="21">
          <cell r="G21">
            <v>254.68674652221523</v>
          </cell>
        </row>
        <row r="22">
          <cell r="G22">
            <v>281.37363391918927</v>
          </cell>
        </row>
        <row r="23">
          <cell r="G23">
            <v>307.80978354410871</v>
          </cell>
        </row>
        <row r="24">
          <cell r="G24">
            <v>329.97818201677171</v>
          </cell>
        </row>
        <row r="25">
          <cell r="G25">
            <v>342.52579173045336</v>
          </cell>
        </row>
        <row r="127">
          <cell r="E127">
            <v>0.12567630806017235</v>
          </cell>
          <cell r="F127">
            <v>9.7744044781784504E-3</v>
          </cell>
        </row>
        <row r="128">
          <cell r="E128">
            <v>0.15621832309268904</v>
          </cell>
          <cell r="F128">
            <v>0.57203039096059938</v>
          </cell>
        </row>
        <row r="129">
          <cell r="E129">
            <v>6.5934760720016194E-2</v>
          </cell>
          <cell r="F129">
            <v>1.0736500380114257E-2</v>
          </cell>
        </row>
        <row r="130">
          <cell r="E130">
            <v>8.8739411910192481E-2</v>
          </cell>
          <cell r="F130">
            <v>0.59228442206307952</v>
          </cell>
        </row>
        <row r="131">
          <cell r="E131">
            <v>7.510206027666573E-2</v>
          </cell>
          <cell r="F131">
            <v>1.1660194584509412E-2</v>
          </cell>
        </row>
        <row r="132">
          <cell r="E132">
            <v>9.7001038383226448E-2</v>
          </cell>
          <cell r="F132">
            <v>0.5719737989906829</v>
          </cell>
        </row>
        <row r="133">
          <cell r="E133">
            <v>7.9637663105438392E-2</v>
          </cell>
          <cell r="F133">
            <v>1.07940353537511E-2</v>
          </cell>
        </row>
        <row r="134">
          <cell r="E134">
            <v>9.5890087299575044E-2</v>
          </cell>
          <cell r="F134">
            <v>0.54763801437036796</v>
          </cell>
        </row>
      </sheetData>
      <sheetData sheetId="8"/>
      <sheetData sheetId="9">
        <row r="4">
          <cell r="J4">
            <v>105.97556718282472</v>
          </cell>
        </row>
        <row r="5">
          <cell r="J5">
            <v>125.08765841907814</v>
          </cell>
        </row>
        <row r="6">
          <cell r="J6">
            <v>143.58582011311586</v>
          </cell>
        </row>
        <row r="7">
          <cell r="J7">
            <v>160.41389230519036</v>
          </cell>
        </row>
        <row r="8">
          <cell r="J8">
            <v>178.86947129972145</v>
          </cell>
        </row>
        <row r="9">
          <cell r="J9">
            <v>197.28428967200841</v>
          </cell>
        </row>
        <row r="10">
          <cell r="J10">
            <v>213.63059454008655</v>
          </cell>
        </row>
        <row r="11">
          <cell r="J11">
            <v>223.62406572600364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6">
          <cell r="W6">
            <v>43.152355372794752</v>
          </cell>
        </row>
        <row r="7">
          <cell r="W7">
            <v>39.104120649667827</v>
          </cell>
        </row>
        <row r="8">
          <cell r="W8">
            <v>37.451917052761111</v>
          </cell>
        </row>
        <row r="9">
          <cell r="W9">
            <v>33.72065681962539</v>
          </cell>
        </row>
        <row r="10">
          <cell r="W10">
            <v>33.590042553793957</v>
          </cell>
        </row>
        <row r="11">
          <cell r="W11">
            <v>33.090341690060292</v>
          </cell>
        </row>
        <row r="12">
          <cell r="W12">
            <v>31.301956273371971</v>
          </cell>
        </row>
        <row r="13">
          <cell r="W13">
            <v>27.50593748776306</v>
          </cell>
        </row>
      </sheetData>
      <sheetData sheetId="4"/>
      <sheetData sheetId="5"/>
      <sheetData sheetId="6"/>
      <sheetData sheetId="7">
        <row r="15">
          <cell r="F15">
            <v>900</v>
          </cell>
        </row>
        <row r="26">
          <cell r="D26">
            <v>8059.5426190070111</v>
          </cell>
        </row>
        <row r="27">
          <cell r="D27">
            <v>6980.6752835438492</v>
          </cell>
        </row>
        <row r="29">
          <cell r="D29">
            <v>2050.161478362229</v>
          </cell>
        </row>
      </sheetData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125.102418487666</v>
          </cell>
        </row>
        <row r="6">
          <cell r="V6">
            <v>118.97897823996277</v>
          </cell>
          <cell r="W6">
            <v>43.344156813619072</v>
          </cell>
        </row>
        <row r="7">
          <cell r="V7">
            <v>113.88177077367176</v>
          </cell>
          <cell r="W7">
            <v>39.080401060414822</v>
          </cell>
        </row>
        <row r="8">
          <cell r="V8">
            <v>108.20675344340009</v>
          </cell>
          <cell r="W8">
            <v>37.921021321482705</v>
          </cell>
        </row>
        <row r="9">
          <cell r="V9">
            <v>104.94718654219919</v>
          </cell>
          <cell r="W9">
            <v>33.897013569179308</v>
          </cell>
        </row>
        <row r="10">
          <cell r="V10">
            <v>100.00001080691233</v>
          </cell>
          <cell r="W10">
            <v>33.772323998870633</v>
          </cell>
        </row>
        <row r="11">
          <cell r="V11">
            <v>96.167074314991268</v>
          </cell>
          <cell r="W11">
            <v>33.420040179687625</v>
          </cell>
        </row>
        <row r="12">
          <cell r="V12">
            <v>92.030283205486015</v>
          </cell>
          <cell r="W12">
            <v>31.421589721010491</v>
          </cell>
        </row>
        <row r="13">
          <cell r="V13">
            <v>87.544690140939665</v>
          </cell>
          <cell r="W13">
            <v>27.509001764608666</v>
          </cell>
        </row>
      </sheetData>
      <sheetData sheetId="4"/>
      <sheetData sheetId="5">
        <row r="24">
          <cell r="B24">
            <v>29.954523544792732</v>
          </cell>
        </row>
        <row r="25">
          <cell r="B25">
            <v>28.336544970954925</v>
          </cell>
        </row>
        <row r="26">
          <cell r="B26">
            <v>26.45685896568186</v>
          </cell>
        </row>
        <row r="27">
          <cell r="B27">
            <v>24.346795566102113</v>
          </cell>
        </row>
        <row r="28">
          <cell r="B28">
            <v>22.037684809344263</v>
          </cell>
        </row>
        <row r="29">
          <cell r="B29">
            <v>19.560856732536891</v>
          </cell>
        </row>
        <row r="30">
          <cell r="B30">
            <v>16.947641372808569</v>
          </cell>
        </row>
        <row r="31">
          <cell r="B31">
            <v>14.22936876728787</v>
          </cell>
        </row>
        <row r="32">
          <cell r="B32">
            <v>11.437368953103377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148.41380578024607</v>
          </cell>
        </row>
        <row r="19">
          <cell r="G19">
            <v>174.82222126345764</v>
          </cell>
        </row>
        <row r="20">
          <cell r="G20">
            <v>202.93064539444904</v>
          </cell>
        </row>
        <row r="21">
          <cell r="G21">
            <v>230.44467678077422</v>
          </cell>
        </row>
        <row r="22">
          <cell r="G22">
            <v>257.30250146702525</v>
          </cell>
        </row>
        <row r="23">
          <cell r="G23">
            <v>283.74847360160413</v>
          </cell>
        </row>
        <row r="24">
          <cell r="G24">
            <v>303.53420064643569</v>
          </cell>
        </row>
        <row r="25">
          <cell r="G25">
            <v>315.53215947363174</v>
          </cell>
        </row>
        <row r="26">
          <cell r="D26">
            <v>8200.0866042764628</v>
          </cell>
        </row>
        <row r="27">
          <cell r="D27">
            <v>6901.7656485078332</v>
          </cell>
        </row>
        <row r="29">
          <cell r="D29">
            <v>2345.7563164234243</v>
          </cell>
        </row>
      </sheetData>
      <sheetData sheetId="8"/>
      <sheetData sheetId="9">
        <row r="4">
          <cell r="G4">
            <v>88.249317879113377</v>
          </cell>
        </row>
        <row r="5">
          <cell r="G5">
            <v>105.2372732760888</v>
          </cell>
        </row>
        <row r="6">
          <cell r="G6">
            <v>124.02487500762776</v>
          </cell>
        </row>
        <row r="7">
          <cell r="G7">
            <v>141.83017189568338</v>
          </cell>
        </row>
        <row r="8">
          <cell r="G8">
            <v>160.46357160181267</v>
          </cell>
        </row>
        <row r="9">
          <cell r="G9">
            <v>178.43365669005931</v>
          </cell>
        </row>
        <row r="10">
          <cell r="G10">
            <v>192.99134568453366</v>
          </cell>
        </row>
        <row r="11">
          <cell r="G11">
            <v>202.61493517153767</v>
          </cell>
        </row>
      </sheetData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241.17233424614901</v>
          </cell>
        </row>
        <row r="26">
          <cell r="F26">
            <v>274.21394193508485</v>
          </cell>
        </row>
        <row r="27">
          <cell r="F27">
            <v>303.1996514083346</v>
          </cell>
        </row>
        <row r="28">
          <cell r="F28">
            <v>328.15894469523596</v>
          </cell>
        </row>
        <row r="29">
          <cell r="F29">
            <v>349.1340875141583</v>
          </cell>
        </row>
        <row r="30">
          <cell r="F30">
            <v>366.17741039257959</v>
          </cell>
        </row>
        <row r="31">
          <cell r="F31">
            <v>379.34861780688612</v>
          </cell>
        </row>
        <row r="32">
          <cell r="F32">
            <v>388.71218741206638</v>
          </cell>
        </row>
      </sheetData>
      <sheetData sheetId="6"/>
      <sheetData sheetId="7">
        <row r="127">
          <cell r="E127">
            <v>0.12359526794102525</v>
          </cell>
          <cell r="F127">
            <v>9.7724851169187377E-3</v>
          </cell>
        </row>
        <row r="128">
          <cell r="E128">
            <v>0.15392395163466632</v>
          </cell>
          <cell r="F128">
            <v>0.57219681477848339</v>
          </cell>
        </row>
        <row r="129">
          <cell r="E129">
            <v>6.4823136489011349E-2</v>
          </cell>
          <cell r="F129">
            <v>1.0738567965515937E-2</v>
          </cell>
        </row>
        <row r="130">
          <cell r="E130">
            <v>8.7549621950636272E-2</v>
          </cell>
          <cell r="F130">
            <v>0.59219921041398216</v>
          </cell>
        </row>
        <row r="131">
          <cell r="E131">
            <v>7.3807315563571355E-2</v>
          </cell>
          <cell r="F131">
            <v>1.1655732777865887E-2</v>
          </cell>
        </row>
        <row r="132">
          <cell r="E132">
            <v>9.560949681804877E-2</v>
          </cell>
          <cell r="F132">
            <v>0.5718647233519123</v>
          </cell>
        </row>
        <row r="133">
          <cell r="E133">
            <v>7.8233751673806889E-2</v>
          </cell>
          <cell r="F133">
            <v>1.0802220513264177E-2</v>
          </cell>
        </row>
        <row r="134">
          <cell r="E134">
            <v>9.4453391807528139E-2</v>
          </cell>
          <cell r="F134">
            <v>0.54915329867279272</v>
          </cell>
        </row>
      </sheetData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134.99114930403169</v>
          </cell>
        </row>
        <row r="6">
          <cell r="V6">
            <v>128.16729777120568</v>
          </cell>
          <cell r="W6">
            <v>43.658503068620462</v>
          </cell>
        </row>
        <row r="7">
          <cell r="V7">
            <v>122.46389969315562</v>
          </cell>
          <cell r="W7">
            <v>39.33178688226554</v>
          </cell>
        </row>
        <row r="8">
          <cell r="V8">
            <v>116.13346084157376</v>
          </cell>
          <cell r="W8">
            <v>38.237961008399516</v>
          </cell>
        </row>
        <row r="9">
          <cell r="V9">
            <v>112.55916516571186</v>
          </cell>
          <cell r="W9">
            <v>34.113577253608788</v>
          </cell>
        </row>
        <row r="10">
          <cell r="V10">
            <v>107.14516642642776</v>
          </cell>
          <cell r="W10">
            <v>34.099981102696916</v>
          </cell>
        </row>
        <row r="11">
          <cell r="V11">
            <v>101.49387116412269</v>
          </cell>
          <cell r="W11">
            <v>33.693804510170246</v>
          </cell>
        </row>
        <row r="12">
          <cell r="V12">
            <v>98.251947419139427</v>
          </cell>
          <cell r="W12">
            <v>29.949942876967828</v>
          </cell>
        </row>
        <row r="13">
          <cell r="V13">
            <v>93.368355876548819</v>
          </cell>
          <cell r="W13">
            <v>26.254294901771857</v>
          </cell>
        </row>
      </sheetData>
      <sheetData sheetId="4"/>
      <sheetData sheetId="5">
        <row r="24">
          <cell r="B24">
            <v>30.943626226455638</v>
          </cell>
        </row>
        <row r="25">
          <cell r="B25">
            <v>28.845345723957294</v>
          </cell>
          <cell r="F25">
            <v>313.78658016660455</v>
          </cell>
        </row>
        <row r="26">
          <cell r="B26">
            <v>26.601745756039673</v>
          </cell>
          <cell r="F26">
            <v>334.22015668432556</v>
          </cell>
        </row>
        <row r="27">
          <cell r="B27">
            <v>24.250254428083469</v>
          </cell>
          <cell r="F27">
            <v>348.87787220548705</v>
          </cell>
        </row>
        <row r="28">
          <cell r="B28">
            <v>21.828299845469381</v>
          </cell>
          <cell r="F28">
            <v>357.84766981441794</v>
          </cell>
        </row>
        <row r="29">
          <cell r="B29">
            <v>19.373310113578107</v>
          </cell>
          <cell r="F29">
            <v>361.22250060056848</v>
          </cell>
        </row>
        <row r="30">
          <cell r="B30">
            <v>16.922713337790341</v>
          </cell>
          <cell r="F30">
            <v>359.09585487282646</v>
          </cell>
        </row>
        <row r="31">
          <cell r="B31">
            <v>14.513937623486783</v>
          </cell>
          <cell r="F31">
            <v>351.55776027633385</v>
          </cell>
        </row>
        <row r="32">
          <cell r="B32">
            <v>12.184411076048129</v>
          </cell>
          <cell r="F32">
            <v>338.69129530514061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173.62557328411955</v>
          </cell>
        </row>
        <row r="19">
          <cell r="G19">
            <v>189.39502286197884</v>
          </cell>
        </row>
        <row r="20">
          <cell r="G20">
            <v>206.05219979171724</v>
          </cell>
        </row>
        <row r="21">
          <cell r="G21">
            <v>220.49167057369397</v>
          </cell>
        </row>
        <row r="22">
          <cell r="G22">
            <v>232.29370006518104</v>
          </cell>
        </row>
        <row r="23">
          <cell r="G23">
            <v>243.95076862483097</v>
          </cell>
        </row>
        <row r="24">
          <cell r="G24">
            <v>245.66990776655018</v>
          </cell>
        </row>
        <row r="25">
          <cell r="G25">
            <v>236.67314809844831</v>
          </cell>
        </row>
        <row r="26">
          <cell r="D26">
            <v>8391.582635237708</v>
          </cell>
        </row>
        <row r="27">
          <cell r="D27">
            <v>6631.7909829381842</v>
          </cell>
        </row>
        <row r="29">
          <cell r="D29">
            <v>2593.1545616410358</v>
          </cell>
        </row>
        <row r="127">
          <cell r="E127">
            <v>0.16386062417530339</v>
          </cell>
          <cell r="F127">
            <v>8.8824636113224286E-3</v>
          </cell>
        </row>
        <row r="128">
          <cell r="E128">
            <v>0.15378916479656626</v>
          </cell>
          <cell r="F128">
            <v>0.53160388078526</v>
          </cell>
        </row>
        <row r="129">
          <cell r="E129">
            <v>0.14836174765653787</v>
          </cell>
          <cell r="F129">
            <v>1.7883699949217968E-2</v>
          </cell>
        </row>
        <row r="130">
          <cell r="E130">
            <v>0.10030639742331425</v>
          </cell>
          <cell r="F130">
            <v>0.54269319844934538</v>
          </cell>
        </row>
        <row r="131">
          <cell r="E131">
            <v>0.12349646773456313</v>
          </cell>
          <cell r="F131">
            <v>7.1725971182678913E-3</v>
          </cell>
        </row>
        <row r="132">
          <cell r="E132">
            <v>0.14366862263378552</v>
          </cell>
          <cell r="F132">
            <v>0.55937859794186806</v>
          </cell>
        </row>
        <row r="133">
          <cell r="E133">
            <v>7.2208324582890351E-2</v>
          </cell>
          <cell r="F133">
            <v>8.1000882745369939E-3</v>
          </cell>
        </row>
        <row r="134">
          <cell r="E134">
            <v>0.12189236293068927</v>
          </cell>
          <cell r="F134">
            <v>0.53488246818290941</v>
          </cell>
        </row>
      </sheetData>
      <sheetData sheetId="8"/>
      <sheetData sheetId="9">
        <row r="4">
          <cell r="I4">
            <v>100.71575529145197</v>
          </cell>
        </row>
        <row r="5">
          <cell r="I5">
            <v>111.41878996891244</v>
          </cell>
        </row>
        <row r="6">
          <cell r="I6">
            <v>123.2670156181475</v>
          </cell>
        </row>
        <row r="7">
          <cell r="I7">
            <v>132.97083407974662</v>
          </cell>
        </row>
        <row r="8">
          <cell r="I8">
            <v>142.10804652203277</v>
          </cell>
        </row>
        <row r="9">
          <cell r="I9">
            <v>151.23622875767384</v>
          </cell>
        </row>
        <row r="10">
          <cell r="I10">
            <v>153.612599827276</v>
          </cell>
        </row>
        <row r="11">
          <cell r="I11">
            <v>149.63596146477946</v>
          </cell>
        </row>
      </sheetData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145.54278565883115</v>
          </cell>
        </row>
        <row r="6">
          <cell r="V6">
            <v>138.04486950967672</v>
          </cell>
          <cell r="W6">
            <v>44.562302913929251</v>
          </cell>
        </row>
        <row r="7">
          <cell r="V7">
            <v>132.06433978952856</v>
          </cell>
          <cell r="W7">
            <v>40.462714326735799</v>
          </cell>
        </row>
        <row r="8">
          <cell r="V8">
            <v>124.70140756277419</v>
          </cell>
          <cell r="W8">
            <v>39.032658613483555</v>
          </cell>
        </row>
        <row r="9">
          <cell r="V9">
            <v>121.0077243924469</v>
          </cell>
          <cell r="W9">
            <v>34.876464131126113</v>
          </cell>
        </row>
        <row r="10">
          <cell r="V10">
            <v>114.67680030153161</v>
          </cell>
          <cell r="W10">
            <v>34.662884699235526</v>
          </cell>
        </row>
        <row r="11">
          <cell r="V11">
            <v>110.15527458507347</v>
          </cell>
          <cell r="W11">
            <v>34.213748163336028</v>
          </cell>
        </row>
        <row r="12">
          <cell r="V12">
            <v>103.8272900322283</v>
          </cell>
          <cell r="W12">
            <v>32.36508752236162</v>
          </cell>
        </row>
        <row r="13">
          <cell r="V13">
            <v>99.550679828896065</v>
          </cell>
          <cell r="W13">
            <v>29.019547602089883</v>
          </cell>
        </row>
      </sheetData>
      <sheetData sheetId="5">
        <row r="24">
          <cell r="B24">
            <v>29.35448633630082</v>
          </cell>
        </row>
        <row r="25">
          <cell r="B25">
            <v>28.362595559576366</v>
          </cell>
          <cell r="F25">
            <v>148.60930437418574</v>
          </cell>
        </row>
        <row r="26">
          <cell r="B26">
            <v>26.836393644153816</v>
          </cell>
          <cell r="F26">
            <v>228.15037040445549</v>
          </cell>
        </row>
        <row r="27">
          <cell r="B27">
            <v>24.834763306436717</v>
          </cell>
          <cell r="F27">
            <v>298.29280006104773</v>
          </cell>
        </row>
        <row r="28">
          <cell r="B28">
            <v>22.416587262828607</v>
          </cell>
          <cell r="F28">
            <v>358.98530841341613</v>
          </cell>
        </row>
        <row r="29">
          <cell r="B29">
            <v>19.64074822973302</v>
          </cell>
          <cell r="F29">
            <v>410.25298572306343</v>
          </cell>
        </row>
        <row r="30">
          <cell r="B30">
            <v>16.566128923553507</v>
          </cell>
          <cell r="F30">
            <v>452.18402187939262</v>
          </cell>
        </row>
        <row r="31">
          <cell r="B31">
            <v>13.251612060693603</v>
          </cell>
          <cell r="F31">
            <v>484.91553237764919</v>
          </cell>
        </row>
        <row r="32">
          <cell r="B32">
            <v>9.7560803575568436</v>
          </cell>
          <cell r="F32">
            <v>508.61918160466513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74.421946607995636</v>
          </cell>
        </row>
        <row r="19">
          <cell r="G19">
            <v>117.29310391591262</v>
          </cell>
        </row>
        <row r="20">
          <cell r="G20">
            <v>160.08488556202107</v>
          </cell>
        </row>
        <row r="21">
          <cell r="G21">
            <v>201.20287362340159</v>
          </cell>
        </row>
        <row r="22">
          <cell r="G22">
            <v>240.56620461831807</v>
          </cell>
        </row>
        <row r="23">
          <cell r="G23">
            <v>279.42016312562589</v>
          </cell>
        </row>
        <row r="24">
          <cell r="G24">
            <v>314.44922785244069</v>
          </cell>
        </row>
        <row r="25">
          <cell r="G25">
            <v>341.38218166239301</v>
          </cell>
        </row>
        <row r="26">
          <cell r="D26">
            <v>8770.746995210995</v>
          </cell>
        </row>
        <row r="27">
          <cell r="D27">
            <v>6553.3278934325181</v>
          </cell>
        </row>
        <row r="29">
          <cell r="D29">
            <v>2918.6487299853384</v>
          </cell>
        </row>
        <row r="127">
          <cell r="E127">
            <v>0.1836952287216902</v>
          </cell>
          <cell r="F127">
            <v>7.9862313863158316E-3</v>
          </cell>
        </row>
        <row r="128">
          <cell r="E128">
            <v>0.16402791545051379</v>
          </cell>
          <cell r="F128">
            <v>0.51060035736462084</v>
          </cell>
        </row>
        <row r="129">
          <cell r="E129">
            <v>0.17564653094090407</v>
          </cell>
          <cell r="F129">
            <v>6.2543093514454869E-3</v>
          </cell>
        </row>
        <row r="130">
          <cell r="E130">
            <v>0.10674559212179385</v>
          </cell>
          <cell r="F130">
            <v>0.55844665409891114</v>
          </cell>
        </row>
        <row r="131">
          <cell r="E131">
            <v>0.14721370715500834</v>
          </cell>
          <cell r="F131">
            <v>7.1678303456317845E-3</v>
          </cell>
        </row>
        <row r="132">
          <cell r="E132">
            <v>0.12166624318992952</v>
          </cell>
          <cell r="F132">
            <v>0.55435873365036448</v>
          </cell>
        </row>
        <row r="133">
          <cell r="E133">
            <v>0.14339002992737518</v>
          </cell>
          <cell r="F133">
            <v>7.1881514238709178E-3</v>
          </cell>
        </row>
        <row r="134">
          <cell r="E134">
            <v>0.11131830941059119</v>
          </cell>
          <cell r="F134">
            <v>0.53244036352301183</v>
          </cell>
        </row>
      </sheetData>
      <sheetData sheetId="8"/>
      <sheetData sheetId="9">
        <row r="4">
          <cell r="G4">
            <v>41.908318928539138</v>
          </cell>
        </row>
        <row r="5">
          <cell r="G5">
            <v>67.04751357876755</v>
          </cell>
        </row>
        <row r="6">
          <cell r="G6">
            <v>93.296713202177642</v>
          </cell>
        </row>
        <row r="7">
          <cell r="G7">
            <v>118.27852718231621</v>
          </cell>
        </row>
        <row r="8">
          <cell r="G8">
            <v>143.79558671010338</v>
          </cell>
        </row>
        <row r="9">
          <cell r="G9">
            <v>168.78379798564589</v>
          </cell>
        </row>
        <row r="10">
          <cell r="G10">
            <v>193.13980048812792</v>
          </cell>
        </row>
        <row r="11">
          <cell r="G11">
            <v>211.71730638517744</v>
          </cell>
        </row>
      </sheetData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6">
          <cell r="W6">
            <v>44.562302913929251</v>
          </cell>
        </row>
        <row r="7">
          <cell r="W7">
            <v>40.462714326735799</v>
          </cell>
        </row>
        <row r="8">
          <cell r="W8">
            <v>39.032658613483555</v>
          </cell>
        </row>
        <row r="9">
          <cell r="W9">
            <v>34.876464131126113</v>
          </cell>
        </row>
        <row r="10">
          <cell r="W10">
            <v>34.662884699235526</v>
          </cell>
        </row>
        <row r="11">
          <cell r="W11">
            <v>34.213748163336028</v>
          </cell>
        </row>
        <row r="12">
          <cell r="W12">
            <v>32.498420855694953</v>
          </cell>
        </row>
        <row r="13">
          <cell r="W13">
            <v>25.279321403134823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152.06398941987877</v>
          </cell>
        </row>
        <row r="6">
          <cell r="V6">
            <v>146.34494698240852</v>
          </cell>
          <cell r="W6">
            <v>44.798946742641029</v>
          </cell>
        </row>
        <row r="7">
          <cell r="V7">
            <v>140.00931677109506</v>
          </cell>
          <cell r="W7">
            <v>40.491391159799036</v>
          </cell>
        </row>
        <row r="8">
          <cell r="V8">
            <v>131.27058269475924</v>
          </cell>
          <cell r="W8">
            <v>39.208686718534722</v>
          </cell>
        </row>
        <row r="9">
          <cell r="V9">
            <v>127.31476805807459</v>
          </cell>
          <cell r="W9">
            <v>34.839913096549488</v>
          </cell>
        </row>
        <row r="10">
          <cell r="V10">
            <v>121.83208489295335</v>
          </cell>
          <cell r="W10">
            <v>34.704001956410714</v>
          </cell>
        </row>
        <row r="11">
          <cell r="V11">
            <v>116.34994770014184</v>
          </cell>
          <cell r="W11">
            <v>34.392226275168071</v>
          </cell>
        </row>
        <row r="12">
          <cell r="V12">
            <v>110.70191343513194</v>
          </cell>
          <cell r="W12">
            <v>32.514109013521313</v>
          </cell>
        </row>
        <row r="13">
          <cell r="V13">
            <v>103.26463330056873</v>
          </cell>
          <cell r="W13">
            <v>28.946163382929218</v>
          </cell>
        </row>
      </sheetData>
      <sheetData sheetId="5">
        <row r="24">
          <cell r="B24">
            <v>29.715674256862517</v>
          </cell>
        </row>
        <row r="25">
          <cell r="B25">
            <v>28.45221701855192</v>
          </cell>
          <cell r="F25">
            <v>190.07682084414606</v>
          </cell>
        </row>
        <row r="26">
          <cell r="B26">
            <v>26.789172538327154</v>
          </cell>
          <cell r="F26">
            <v>249.54039120270673</v>
          </cell>
        </row>
        <row r="27">
          <cell r="B27">
            <v>24.750546804750172</v>
          </cell>
          <cell r="F27">
            <v>304.90031053091849</v>
          </cell>
        </row>
        <row r="28">
          <cell r="B28">
            <v>22.360345806382917</v>
          </cell>
          <cell r="F28">
            <v>356.1082147430684</v>
          </cell>
        </row>
        <row r="29">
          <cell r="B29">
            <v>19.64257553178734</v>
          </cell>
          <cell r="F29">
            <v>403.14534525842521</v>
          </cell>
        </row>
        <row r="30">
          <cell r="B30">
            <v>16.621241969525386</v>
          </cell>
          <cell r="F30">
            <v>446.02024161529283</v>
          </cell>
        </row>
        <row r="31">
          <cell r="B31">
            <v>13.320351108159002</v>
          </cell>
          <cell r="F31">
            <v>484.76598993263229</v>
          </cell>
        </row>
        <row r="32">
          <cell r="B32">
            <v>9.7639089362501323</v>
          </cell>
          <cell r="F32">
            <v>519.4371106132005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88.639198055591223</v>
          </cell>
        </row>
        <row r="19">
          <cell r="G19">
            <v>118.2276192996481</v>
          </cell>
        </row>
        <row r="20">
          <cell r="G20">
            <v>151.53845148976583</v>
          </cell>
        </row>
        <row r="21">
          <cell r="G21">
            <v>185.90712573669367</v>
          </cell>
        </row>
        <row r="22">
          <cell r="G22">
            <v>218.9026985722538</v>
          </cell>
        </row>
        <row r="23">
          <cell r="G23">
            <v>254.46119223836266</v>
          </cell>
        </row>
        <row r="24">
          <cell r="G24">
            <v>289.50728973019483</v>
          </cell>
        </row>
        <row r="25">
          <cell r="G25">
            <v>324.70458162355095</v>
          </cell>
        </row>
        <row r="26">
          <cell r="D26">
            <v>8983.0728051799724</v>
          </cell>
        </row>
        <row r="27">
          <cell r="D27">
            <v>6405.5971337245519</v>
          </cell>
        </row>
        <row r="29">
          <cell r="D29">
            <v>3404.0221325323632</v>
          </cell>
        </row>
        <row r="127">
          <cell r="E127">
            <v>0.14265334972928465</v>
          </cell>
          <cell r="F127">
            <v>4.4357321459301217E-3</v>
          </cell>
        </row>
        <row r="128">
          <cell r="E128">
            <v>0.17624443232433404</v>
          </cell>
          <cell r="F128">
            <v>0.49452343878676541</v>
          </cell>
        </row>
        <row r="129">
          <cell r="E129">
            <v>0.21247204221657603</v>
          </cell>
          <cell r="F129">
            <v>6.2541269448450586E-3</v>
          </cell>
        </row>
        <row r="130">
          <cell r="E130">
            <v>0.11493448771709548</v>
          </cell>
          <cell r="F130">
            <v>0.53425434384517267</v>
          </cell>
        </row>
        <row r="131">
          <cell r="E131">
            <v>0.13001419040425793</v>
          </cell>
          <cell r="F131">
            <v>5.3753169560084605E-3</v>
          </cell>
        </row>
        <row r="132">
          <cell r="E132">
            <v>0.14707181696761903</v>
          </cell>
          <cell r="F132">
            <v>0.54890354391043872</v>
          </cell>
        </row>
        <row r="133">
          <cell r="E133">
            <v>0.13057608697723988</v>
          </cell>
          <cell r="F133">
            <v>7.1874424474459124E-3</v>
          </cell>
        </row>
        <row r="134">
          <cell r="E134">
            <v>0.18570866015890944</v>
          </cell>
          <cell r="F134">
            <v>0.53426509953824419</v>
          </cell>
        </row>
      </sheetData>
      <sheetData sheetId="8"/>
      <sheetData sheetId="9">
        <row r="4">
          <cell r="G4">
            <v>49.009225095799557</v>
          </cell>
        </row>
        <row r="5">
          <cell r="G5">
            <v>66.418845053186246</v>
          </cell>
        </row>
        <row r="6">
          <cell r="G6">
            <v>87.087391642521226</v>
          </cell>
        </row>
        <row r="7">
          <cell r="G7">
            <v>107.84430130998675</v>
          </cell>
        </row>
        <row r="8">
          <cell r="G8">
            <v>128.80792317510239</v>
          </cell>
        </row>
        <row r="9">
          <cell r="G9">
            <v>151.69996489765705</v>
          </cell>
        </row>
        <row r="10">
          <cell r="G10">
            <v>175.15123880437289</v>
          </cell>
        </row>
        <row r="11">
          <cell r="G11">
            <v>200.00439541351014</v>
          </cell>
        </row>
      </sheetData>
      <sheetData sheetId="1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163.87435886596691</v>
          </cell>
        </row>
        <row r="6">
          <cell r="V6">
            <v>154.24162727091422</v>
          </cell>
          <cell r="W6">
            <v>44.920022588284361</v>
          </cell>
        </row>
        <row r="7">
          <cell r="V7">
            <v>148.25105414421364</v>
          </cell>
          <cell r="W7">
            <v>40.425049386350906</v>
          </cell>
        </row>
        <row r="8">
          <cell r="V8">
            <v>139.79873350046176</v>
          </cell>
          <cell r="W8">
            <v>39.437608643156466</v>
          </cell>
        </row>
        <row r="9">
          <cell r="V9">
            <v>135.41638723678594</v>
          </cell>
          <cell r="W9">
            <v>34.680091724558459</v>
          </cell>
        </row>
        <row r="10">
          <cell r="V10">
            <v>128.34388473530223</v>
          </cell>
          <cell r="W10">
            <v>35.045363310724575</v>
          </cell>
        </row>
        <row r="11">
          <cell r="V11">
            <v>123.23760628479494</v>
          </cell>
          <cell r="W11">
            <v>34.672971192277785</v>
          </cell>
        </row>
        <row r="12">
          <cell r="V12">
            <v>117.43438311095247</v>
          </cell>
          <cell r="W12">
            <v>32.586616784875332</v>
          </cell>
        </row>
        <row r="13">
          <cell r="V13">
            <v>109.03769734173493</v>
          </cell>
          <cell r="W13">
            <v>28.505835500389626</v>
          </cell>
        </row>
      </sheetData>
      <sheetData sheetId="5">
        <row r="24">
          <cell r="B24">
            <v>31.688321285853458</v>
          </cell>
        </row>
        <row r="25">
          <cell r="B25">
            <v>29.173387356036347</v>
          </cell>
          <cell r="F25">
            <v>382.07698207500516</v>
          </cell>
        </row>
        <row r="26">
          <cell r="B26">
            <v>26.593377204506798</v>
          </cell>
          <cell r="F26">
            <v>390.18082569288765</v>
          </cell>
        </row>
        <row r="27">
          <cell r="B27">
            <v>23.976489738718463</v>
          </cell>
          <cell r="F27">
            <v>393.9509476393718</v>
          </cell>
        </row>
        <row r="28">
          <cell r="B28">
            <v>21.350923866124994</v>
          </cell>
          <cell r="F28">
            <v>393.46755364641496</v>
          </cell>
        </row>
        <row r="29">
          <cell r="B29">
            <v>18.744878494180046</v>
          </cell>
          <cell r="F29">
            <v>388.80847180706968</v>
          </cell>
        </row>
        <row r="30">
          <cell r="B30">
            <v>16.186552530337266</v>
          </cell>
          <cell r="F30">
            <v>380.04690904053103</v>
          </cell>
        </row>
        <row r="31">
          <cell r="B31">
            <v>13.704144882050311</v>
          </cell>
          <cell r="F31">
            <v>367.249533133608</v>
          </cell>
        </row>
        <row r="32">
          <cell r="B32">
            <v>11.325854456772827</v>
          </cell>
          <cell r="F32">
            <v>350.47488286641277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162.97551350153793</v>
          </cell>
        </row>
        <row r="19">
          <cell r="G19">
            <v>171.33961465657879</v>
          </cell>
        </row>
        <row r="20">
          <cell r="G20">
            <v>180.34370915987216</v>
          </cell>
        </row>
        <row r="21">
          <cell r="G21">
            <v>188.80819341472969</v>
          </cell>
        </row>
        <row r="22">
          <cell r="G22">
            <v>195.68036134491823</v>
          </cell>
        </row>
        <row r="23">
          <cell r="G23">
            <v>201.57804974198649</v>
          </cell>
        </row>
        <row r="24">
          <cell r="G24">
            <v>202.54152121928777</v>
          </cell>
        </row>
        <row r="25">
          <cell r="G25">
            <v>201.75395401498577</v>
          </cell>
        </row>
        <row r="26">
          <cell r="D26">
            <v>9288.7498672158199</v>
          </cell>
        </row>
        <row r="27">
          <cell r="D27">
            <v>6330.6925059362547</v>
          </cell>
        </row>
        <row r="29">
          <cell r="D29">
            <v>3953.8892943116462</v>
          </cell>
        </row>
        <row r="127">
          <cell r="E127">
            <v>0.24856402662621782</v>
          </cell>
          <cell r="F127">
            <v>3.5481147370423484E-3</v>
          </cell>
        </row>
        <row r="128">
          <cell r="E128">
            <v>0.17331845399877213</v>
          </cell>
          <cell r="F128">
            <v>0.47136902340551784</v>
          </cell>
        </row>
        <row r="129">
          <cell r="E129">
            <v>0.21291583424144941</v>
          </cell>
          <cell r="F129">
            <v>4.4672136344432499E-3</v>
          </cell>
        </row>
        <row r="130">
          <cell r="E130">
            <v>0.13050718427046684</v>
          </cell>
          <cell r="F130">
            <v>0.53687195604376958</v>
          </cell>
        </row>
        <row r="131">
          <cell r="E131">
            <v>0.17370272137775222</v>
          </cell>
          <cell r="F131">
            <v>5.3740350088255376E-3</v>
          </cell>
        </row>
        <row r="132">
          <cell r="E132">
            <v>0.14407303217887141</v>
          </cell>
          <cell r="F132">
            <v>0.55594001779626601</v>
          </cell>
        </row>
        <row r="133">
          <cell r="E133">
            <v>0.13892707323665016</v>
          </cell>
          <cell r="F133">
            <v>6.2886126447607299E-3</v>
          </cell>
        </row>
        <row r="134">
          <cell r="E134">
            <v>0.21508466412064864</v>
          </cell>
          <cell r="F134">
            <v>0.5263718620414598</v>
          </cell>
        </row>
      </sheetData>
      <sheetData sheetId="8"/>
      <sheetData sheetId="9">
        <row r="4">
          <cell r="H4">
            <v>88.281677901219552</v>
          </cell>
        </row>
        <row r="5">
          <cell r="H5">
            <v>94.222286619097886</v>
          </cell>
        </row>
        <row r="6">
          <cell r="H6">
            <v>101.34817617079257</v>
          </cell>
        </row>
        <row r="7">
          <cell r="H7">
            <v>107.23810155239501</v>
          </cell>
        </row>
        <row r="8">
          <cell r="H8">
            <v>113.18223362987018</v>
          </cell>
        </row>
        <row r="9">
          <cell r="H9">
            <v>118.02138295015899</v>
          </cell>
        </row>
        <row r="10">
          <cell r="H10">
            <v>120.37351454148704</v>
          </cell>
        </row>
        <row r="11">
          <cell r="H11">
            <v>122.38259679649873</v>
          </cell>
        </row>
      </sheetData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171.8290512206917</v>
          </cell>
        </row>
        <row r="6">
          <cell r="V6">
            <v>163.55594740428973</v>
          </cell>
          <cell r="W6">
            <v>44.18414259892549</v>
          </cell>
        </row>
        <row r="7">
          <cell r="V7">
            <v>156.19683693585353</v>
          </cell>
          <cell r="W7">
            <v>40.060880679600785</v>
          </cell>
        </row>
        <row r="8">
          <cell r="V8">
            <v>147.09593550748954</v>
          </cell>
          <cell r="W8">
            <v>38.867730365858385</v>
          </cell>
        </row>
        <row r="9">
          <cell r="V9">
            <v>142.37786141275765</v>
          </cell>
          <cell r="W9">
            <v>34.399420158716772</v>
          </cell>
        </row>
        <row r="10">
          <cell r="V10">
            <v>134.62382079315248</v>
          </cell>
          <cell r="W10">
            <v>34.761057395787681</v>
          </cell>
        </row>
        <row r="11">
          <cell r="V11">
            <v>129.25919091357312</v>
          </cell>
          <cell r="W11">
            <v>34.400363617313268</v>
          </cell>
        </row>
        <row r="12">
          <cell r="V12">
            <v>122.2478973566438</v>
          </cell>
          <cell r="W12">
            <v>32.075902851873415</v>
          </cell>
        </row>
        <row r="13">
          <cell r="V13">
            <v>115.68594898602555</v>
          </cell>
          <cell r="W13">
            <v>27.438237892273008</v>
          </cell>
        </row>
      </sheetData>
      <sheetData sheetId="5">
        <row r="24">
          <cell r="B24">
            <v>31.719851692395054</v>
          </cell>
        </row>
        <row r="25">
          <cell r="B25">
            <v>29.033061798105756</v>
          </cell>
          <cell r="F25">
            <v>408.14586514406278</v>
          </cell>
        </row>
        <row r="26">
          <cell r="B26">
            <v>26.360815367338724</v>
          </cell>
          <cell r="F26">
            <v>403.99624117543868</v>
          </cell>
        </row>
        <row r="27">
          <cell r="B27">
            <v>23.717396639592046</v>
          </cell>
          <cell r="F27">
            <v>397.77433070429709</v>
          </cell>
        </row>
        <row r="28">
          <cell r="B28">
            <v>21.117089854363812</v>
          </cell>
          <cell r="F28">
            <v>389.51755844708532</v>
          </cell>
        </row>
        <row r="29">
          <cell r="B29">
            <v>18.574179251152113</v>
          </cell>
          <cell r="F29">
            <v>379.25987824330889</v>
          </cell>
        </row>
        <row r="30">
          <cell r="B30">
            <v>16.102949069455036</v>
          </cell>
          <cell r="F30">
            <v>367.03141426643174</v>
          </cell>
        </row>
        <row r="31">
          <cell r="B31">
            <v>13.717683548770665</v>
          </cell>
          <cell r="F31">
            <v>352.85818657678459</v>
          </cell>
        </row>
        <row r="32">
          <cell r="B32">
            <v>11.432666928597097</v>
          </cell>
          <cell r="F32">
            <v>336.76191505602299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160.96234720084496</v>
          </cell>
        </row>
        <row r="19">
          <cell r="G19">
            <v>163.80068381745167</v>
          </cell>
        </row>
        <row r="20">
          <cell r="G20">
            <v>169.26863784017308</v>
          </cell>
        </row>
        <row r="21">
          <cell r="G21">
            <v>174.14545452706588</v>
          </cell>
        </row>
        <row r="22">
          <cell r="G22">
            <v>178.21562919413333</v>
          </cell>
        </row>
        <row r="23">
          <cell r="G23">
            <v>181.85950720964104</v>
          </cell>
        </row>
        <row r="24">
          <cell r="G24">
            <v>182.25499258046023</v>
          </cell>
        </row>
        <row r="25">
          <cell r="G25">
            <v>179.47353882855336</v>
          </cell>
        </row>
        <row r="26">
          <cell r="D26">
            <v>9221.9819070964677</v>
          </cell>
        </row>
        <row r="27">
          <cell r="D27">
            <v>6129.8317118019413</v>
          </cell>
        </row>
        <row r="29">
          <cell r="D29">
            <v>4068.6585964833075</v>
          </cell>
        </row>
        <row r="127">
          <cell r="E127">
            <v>0.21435608718467389</v>
          </cell>
          <cell r="F127">
            <v>3.5504712047423562E-3</v>
          </cell>
        </row>
        <row r="128">
          <cell r="E128">
            <v>0.20927571147314461</v>
          </cell>
          <cell r="F128">
            <v>0.45023481396556736</v>
          </cell>
        </row>
        <row r="129">
          <cell r="E129">
            <v>0.23042141142564784</v>
          </cell>
          <cell r="F129">
            <v>2.6814434180748772E-3</v>
          </cell>
        </row>
        <row r="130">
          <cell r="E130">
            <v>0.13985447299467405</v>
          </cell>
          <cell r="F130">
            <v>0.51823193561016845</v>
          </cell>
        </row>
        <row r="131">
          <cell r="E131">
            <v>0.19148159674983303</v>
          </cell>
          <cell r="F131">
            <v>4.4794092089597603E-3</v>
          </cell>
        </row>
        <row r="132">
          <cell r="E132">
            <v>0.15161387814040053</v>
          </cell>
          <cell r="F132">
            <v>0.54444565170686932</v>
          </cell>
        </row>
        <row r="133">
          <cell r="E133">
            <v>0.16868094047407597</v>
          </cell>
          <cell r="F133">
            <v>6.2919840178666626E-3</v>
          </cell>
        </row>
        <row r="134">
          <cell r="E134">
            <v>0.17333332648812452</v>
          </cell>
          <cell r="F134">
            <v>0.51336152813506486</v>
          </cell>
        </row>
      </sheetData>
      <sheetData sheetId="8"/>
      <sheetData sheetId="9">
        <row r="4">
          <cell r="I4">
            <v>85.143193450486564</v>
          </cell>
        </row>
        <row r="5">
          <cell r="I5">
            <v>88.274699650158482</v>
          </cell>
        </row>
        <row r="6">
          <cell r="I6">
            <v>93.361659967479511</v>
          </cell>
        </row>
        <row r="7">
          <cell r="I7">
            <v>97.17314147197483</v>
          </cell>
        </row>
        <row r="8">
          <cell r="I8">
            <v>101.43621207641162</v>
          </cell>
        </row>
        <row r="9">
          <cell r="I9">
            <v>104.8576886365923</v>
          </cell>
        </row>
        <row r="10">
          <cell r="I10">
            <v>106.99399085425149</v>
          </cell>
        </row>
        <row r="11">
          <cell r="I11">
            <v>107.03884264355693</v>
          </cell>
        </row>
      </sheetData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186.2380172239954</v>
          </cell>
        </row>
        <row r="6">
          <cell r="V6">
            <v>175.65212780561896</v>
          </cell>
          <cell r="W6">
            <v>47.866766249184103</v>
          </cell>
        </row>
        <row r="7">
          <cell r="V7">
            <v>167.71545224247788</v>
          </cell>
          <cell r="W7">
            <v>43.811022429272448</v>
          </cell>
        </row>
        <row r="8">
          <cell r="V8">
            <v>158.0179761923786</v>
          </cell>
          <cell r="W8">
            <v>42.406330262584078</v>
          </cell>
        </row>
        <row r="9">
          <cell r="V9">
            <v>152.93435045030964</v>
          </cell>
          <cell r="W9">
            <v>37.471795605560565</v>
          </cell>
        </row>
        <row r="10">
          <cell r="V10">
            <v>145.54034428448551</v>
          </cell>
          <cell r="W10">
            <v>37.826497140607344</v>
          </cell>
        </row>
        <row r="11">
          <cell r="V11">
            <v>138.53330648767749</v>
          </cell>
          <cell r="W11">
            <v>37.523172996536658</v>
          </cell>
        </row>
        <row r="12">
          <cell r="V12">
            <v>131.81217657349018</v>
          </cell>
          <cell r="W12">
            <v>34.259881559626066</v>
          </cell>
        </row>
        <row r="13">
          <cell r="V13">
            <v>125.21035319077566</v>
          </cell>
          <cell r="W13">
            <v>29.333603898546311</v>
          </cell>
        </row>
      </sheetData>
      <sheetData sheetId="5">
        <row r="24">
          <cell r="B24">
            <v>33.448426219973719</v>
          </cell>
        </row>
        <row r="25">
          <cell r="B25">
            <v>31.441086936501318</v>
          </cell>
          <cell r="F25">
            <v>306.07761861608674</v>
          </cell>
        </row>
        <row r="26">
          <cell r="B26">
            <v>29.052181468233503</v>
          </cell>
          <cell r="F26">
            <v>362.80985413459081</v>
          </cell>
        </row>
        <row r="27">
          <cell r="B27">
            <v>26.366713732447572</v>
          </cell>
          <cell r="F27">
            <v>406.00407503240154</v>
          </cell>
        </row>
        <row r="28">
          <cell r="B28">
            <v>23.469687646420823</v>
          </cell>
          <cell r="F28">
            <v>435.84460114675824</v>
          </cell>
        </row>
        <row r="29">
          <cell r="B29">
            <v>20.446107127430565</v>
          </cell>
          <cell r="F29">
            <v>452.56682360133527</v>
          </cell>
        </row>
        <row r="30">
          <cell r="B30">
            <v>17.380976092754096</v>
          </cell>
          <cell r="F30">
            <v>456.43181159717653</v>
          </cell>
        </row>
        <row r="31">
          <cell r="B31">
            <v>14.359298459668729</v>
          </cell>
          <cell r="F31">
            <v>447.70326215067729</v>
          </cell>
        </row>
        <row r="32">
          <cell r="B32">
            <v>11.466078145451746</v>
          </cell>
          <cell r="F32">
            <v>426.62749322704053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112.06696341875501</v>
          </cell>
        </row>
        <row r="19">
          <cell r="G19">
            <v>137.69183219050535</v>
          </cell>
        </row>
        <row r="20">
          <cell r="G20">
            <v>161.80581632219619</v>
          </cell>
        </row>
        <row r="21">
          <cell r="G21">
            <v>182.40476581175622</v>
          </cell>
        </row>
        <row r="22">
          <cell r="G22">
            <v>198.04167771332462</v>
          </cell>
        </row>
        <row r="23">
          <cell r="G23">
            <v>210.50449565482285</v>
          </cell>
        </row>
        <row r="24">
          <cell r="G24">
            <v>215.18287824064495</v>
          </cell>
        </row>
        <row r="25">
          <cell r="G25">
            <v>209.68903978929541</v>
          </cell>
        </row>
        <row r="26">
          <cell r="D26">
            <v>9949.0681331985015</v>
          </cell>
        </row>
        <row r="27">
          <cell r="D27">
            <v>6724.7344361855066</v>
          </cell>
        </row>
        <row r="29">
          <cell r="D29">
            <v>4453.1426588119502</v>
          </cell>
        </row>
        <row r="127">
          <cell r="E127">
            <v>0.27449810767221061</v>
          </cell>
          <cell r="F127">
            <v>2.6528339164000902E-3</v>
          </cell>
        </row>
        <row r="128">
          <cell r="E128">
            <v>0.22846882376837399</v>
          </cell>
          <cell r="F128">
            <v>0.49481562248825633</v>
          </cell>
        </row>
        <row r="129">
          <cell r="E129">
            <v>0.24737952747632797</v>
          </cell>
          <cell r="F129">
            <v>2.9394823269890388E-2</v>
          </cell>
        </row>
        <row r="130">
          <cell r="E130">
            <v>0.15058795688438173</v>
          </cell>
          <cell r="F130">
            <v>0.50673280897545958</v>
          </cell>
        </row>
        <row r="131">
          <cell r="E131">
            <v>0.18324266317727125</v>
          </cell>
          <cell r="F131">
            <v>6.2521651089691667E-3</v>
          </cell>
        </row>
        <row r="132">
          <cell r="E132">
            <v>0.19613040070048904</v>
          </cell>
          <cell r="F132">
            <v>0.60915246186764949</v>
          </cell>
        </row>
        <row r="133">
          <cell r="E133">
            <v>0.16170807692196459</v>
          </cell>
          <cell r="F133">
            <v>6.2773931704827391E-3</v>
          </cell>
        </row>
        <row r="134">
          <cell r="E134">
            <v>0.17838812768940662</v>
          </cell>
          <cell r="F134">
            <v>0.58630003659806118</v>
          </cell>
        </row>
      </sheetData>
      <sheetData sheetId="8"/>
      <sheetData sheetId="9">
        <row r="4">
          <cell r="G4">
            <v>57.495828879087952</v>
          </cell>
        </row>
        <row r="5">
          <cell r="G5">
            <v>72.080053530098439</v>
          </cell>
        </row>
        <row r="6">
          <cell r="G6">
            <v>86.798479112649446</v>
          </cell>
        </row>
        <row r="7">
          <cell r="G7">
            <v>99.097324042665534</v>
          </cell>
        </row>
        <row r="8">
          <cell r="G8">
            <v>109.62341242927765</v>
          </cell>
        </row>
        <row r="9">
          <cell r="G9">
            <v>118.54618676319669</v>
          </cell>
        </row>
        <row r="10">
          <cell r="G10">
            <v>123.26738697280348</v>
          </cell>
        </row>
        <row r="11">
          <cell r="G11">
            <v>122.05162187314824</v>
          </cell>
        </row>
      </sheetData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382.36807373760485</v>
          </cell>
        </row>
        <row r="26">
          <cell r="F26">
            <v>406.13499054507162</v>
          </cell>
        </row>
        <row r="27">
          <cell r="F27">
            <v>423.72623684412514</v>
          </cell>
        </row>
        <row r="28">
          <cell r="F28">
            <v>435.24861705958375</v>
          </cell>
        </row>
        <row r="29">
          <cell r="F29">
            <v>440.81493095393608</v>
          </cell>
        </row>
        <row r="30">
          <cell r="F30">
            <v>440.53895178611964</v>
          </cell>
        </row>
        <row r="31">
          <cell r="F31">
            <v>434.53093193428225</v>
          </cell>
        </row>
        <row r="32">
          <cell r="F32">
            <v>422.89370656472164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138.54297375017694</v>
          </cell>
        </row>
        <row r="19">
          <cell r="G19">
            <v>151.96335224134469</v>
          </cell>
        </row>
        <row r="20">
          <cell r="G20">
            <v>165.78449999983633</v>
          </cell>
        </row>
        <row r="21">
          <cell r="G21">
            <v>178.88335772319559</v>
          </cell>
        </row>
        <row r="22">
          <cell r="G22">
            <v>190.38298630540081</v>
          </cell>
        </row>
        <row r="23">
          <cell r="G23">
            <v>200.53548898792118</v>
          </cell>
        </row>
        <row r="24">
          <cell r="G24">
            <v>205.15513616357768</v>
          </cell>
        </row>
        <row r="25">
          <cell r="G25">
            <v>204.18238075602653</v>
          </cell>
        </row>
        <row r="26">
          <cell r="D26">
            <v>10288.436746639441</v>
          </cell>
        </row>
        <row r="27">
          <cell r="D27">
            <v>6725.0743585495302</v>
          </cell>
        </row>
        <row r="29">
          <cell r="D29">
            <v>4568.7139092331299</v>
          </cell>
        </row>
        <row r="127">
          <cell r="E127">
            <v>0.30125189882831699</v>
          </cell>
          <cell r="F127">
            <v>2.6555308488789274E-3</v>
          </cell>
        </row>
        <row r="128">
          <cell r="E128">
            <v>0.21142622549888557</v>
          </cell>
          <cell r="F128">
            <v>0.48931488621050917</v>
          </cell>
        </row>
        <row r="129">
          <cell r="E129">
            <v>0.25351026928223086</v>
          </cell>
          <cell r="F129">
            <v>2.6764430019641252E-3</v>
          </cell>
        </row>
        <row r="130">
          <cell r="E130">
            <v>0.15416299382525073</v>
          </cell>
          <cell r="F130">
            <v>0.57179135612843712</v>
          </cell>
        </row>
        <row r="131">
          <cell r="E131">
            <v>0.20994433038521076</v>
          </cell>
          <cell r="F131">
            <v>4.4713266431521482E-3</v>
          </cell>
        </row>
        <row r="132">
          <cell r="E132">
            <v>0.17000664368653154</v>
          </cell>
          <cell r="F132">
            <v>0.59188302951857019</v>
          </cell>
        </row>
        <row r="133">
          <cell r="E133">
            <v>0.17054938419229304</v>
          </cell>
          <cell r="F133">
            <v>8.0792213834497608E-3</v>
          </cell>
        </row>
        <row r="134">
          <cell r="E134">
            <v>0.19019833674209774</v>
          </cell>
          <cell r="F134">
            <v>0.57081965911488175</v>
          </cell>
        </row>
      </sheetData>
      <sheetData sheetId="8"/>
      <sheetData sheetId="9">
        <row r="4">
          <cell r="H4">
            <v>74.024870029322372</v>
          </cell>
        </row>
        <row r="5">
          <cell r="H5">
            <v>82.700632840324573</v>
          </cell>
        </row>
        <row r="6">
          <cell r="H6">
            <v>92.495541560405755</v>
          </cell>
        </row>
        <row r="7">
          <cell r="H7">
            <v>101.072629450446</v>
          </cell>
        </row>
        <row r="8">
          <cell r="H8">
            <v>109.87854036142963</v>
          </cell>
        </row>
        <row r="9">
          <cell r="H9">
            <v>117.41280187441173</v>
          </cell>
        </row>
        <row r="10">
          <cell r="H10">
            <v>122.27115298807156</v>
          </cell>
        </row>
        <row r="11">
          <cell r="H11">
            <v>123.77307850101506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195.46008555598746</v>
          </cell>
        </row>
        <row r="6">
          <cell r="V6">
            <v>184.32272667313327</v>
          </cell>
          <cell r="W6">
            <v>47.431540114444012</v>
          </cell>
        </row>
        <row r="7">
          <cell r="V7">
            <v>176.03583669114821</v>
          </cell>
          <cell r="W7">
            <v>41.712746135814484</v>
          </cell>
        </row>
        <row r="8">
          <cell r="V8">
            <v>165.88239769453375</v>
          </cell>
          <cell r="W8">
            <v>41.264867259670872</v>
          </cell>
        </row>
        <row r="9">
          <cell r="V9">
            <v>159.87412043097217</v>
          </cell>
          <cell r="W9">
            <v>36.43026504210156</v>
          </cell>
        </row>
        <row r="10">
          <cell r="V10">
            <v>152.91831114242777</v>
          </cell>
          <cell r="W10">
            <v>36.64900001143581</v>
          </cell>
        </row>
        <row r="11">
          <cell r="V11">
            <v>145.26255906498116</v>
          </cell>
          <cell r="W11">
            <v>36.377281733775128</v>
          </cell>
        </row>
        <row r="12">
          <cell r="V12">
            <v>136.83320382415124</v>
          </cell>
          <cell r="W12">
            <v>33.639010348521502</v>
          </cell>
        </row>
        <row r="13">
          <cell r="V13">
            <v>129.18700866151494</v>
          </cell>
          <cell r="W13">
            <v>28.681064549722535</v>
          </cell>
        </row>
      </sheetData>
      <sheetData sheetId="5">
        <row r="24">
          <cell r="B24">
            <v>32.223434300639099</v>
          </cell>
        </row>
        <row r="25">
          <cell r="B25">
            <v>29.999527071994585</v>
          </cell>
          <cell r="F25">
            <v>375.5892037498179</v>
          </cell>
        </row>
        <row r="26">
          <cell r="B26">
            <v>27.539342093631763</v>
          </cell>
          <cell r="F26">
            <v>413.74755486495235</v>
          </cell>
        </row>
        <row r="27">
          <cell r="B27">
            <v>24.896761235035349</v>
          </cell>
          <cell r="F27">
            <v>442.4185570990802</v>
          </cell>
        </row>
        <row r="28">
          <cell r="B28">
            <v>22.125666365690062</v>
          </cell>
          <cell r="F28">
            <v>461.75220307731638</v>
          </cell>
        </row>
        <row r="29">
          <cell r="B29">
            <v>19.279939355080629</v>
          </cell>
          <cell r="F29">
            <v>471.9168444843213</v>
          </cell>
        </row>
        <row r="30">
          <cell r="B30">
            <v>16.413462072691765</v>
          </cell>
          <cell r="F30">
            <v>473.08798411945565</v>
          </cell>
        </row>
        <row r="31">
          <cell r="B31">
            <v>13.5801163880082</v>
          </cell>
          <cell r="F31">
            <v>465.4381963412003</v>
          </cell>
        </row>
        <row r="32">
          <cell r="B32">
            <v>10.833784170514644</v>
          </cell>
          <cell r="F32">
            <v>449.1283854269833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128.17071107606117</v>
          </cell>
        </row>
        <row r="19">
          <cell r="G19">
            <v>145.84152186536178</v>
          </cell>
        </row>
        <row r="20">
          <cell r="G20">
            <v>163.45958520196052</v>
          </cell>
        </row>
        <row r="21">
          <cell r="G21">
            <v>179.63874093458514</v>
          </cell>
        </row>
        <row r="22">
          <cell r="G22">
            <v>192.15963938042873</v>
          </cell>
        </row>
        <row r="23">
          <cell r="G23">
            <v>202.96789736934616</v>
          </cell>
        </row>
        <row r="24">
          <cell r="G24">
            <v>210.12185797286594</v>
          </cell>
        </row>
        <row r="25">
          <cell r="G25">
            <v>209.70731106489674</v>
          </cell>
        </row>
        <row r="26">
          <cell r="D26">
            <v>10758.783327504958</v>
          </cell>
        </row>
        <row r="27">
          <cell r="D27">
            <v>7080.5599422766163</v>
          </cell>
        </row>
        <row r="29">
          <cell r="D29">
            <v>5027.9921499676284</v>
          </cell>
        </row>
        <row r="127">
          <cell r="E127">
            <v>0.29925730992607408</v>
          </cell>
          <cell r="F127">
            <v>2.654804364183071E-3</v>
          </cell>
        </row>
        <row r="128">
          <cell r="E128">
            <v>0.24765948634320178</v>
          </cell>
          <cell r="F128">
            <v>0.51059112572868814</v>
          </cell>
        </row>
        <row r="129">
          <cell r="E129">
            <v>0.26842406015908044</v>
          </cell>
          <cell r="F129">
            <v>3.568304935727499E-3</v>
          </cell>
        </row>
        <row r="130">
          <cell r="E130">
            <v>0.18530261786683752</v>
          </cell>
          <cell r="F130">
            <v>0.60212655466215537</v>
          </cell>
        </row>
        <row r="131">
          <cell r="E131">
            <v>0.17930820917782742</v>
          </cell>
          <cell r="F131">
            <v>4.4708157850343695E-3</v>
          </cell>
        </row>
        <row r="132">
          <cell r="E132">
            <v>0.22135646205482587</v>
          </cell>
          <cell r="F132">
            <v>0.62666795146479459</v>
          </cell>
        </row>
        <row r="133">
          <cell r="E133">
            <v>0.21088919318572519</v>
          </cell>
          <cell r="F133">
            <v>5.3840908685315386E-3</v>
          </cell>
        </row>
        <row r="134">
          <cell r="E134">
            <v>0.21145185792101276</v>
          </cell>
          <cell r="F134">
            <v>0.60472299961642395</v>
          </cell>
        </row>
      </sheetData>
      <sheetData sheetId="8"/>
      <sheetData sheetId="9"/>
      <sheetData sheetId="10">
        <row r="4">
          <cell r="I4">
            <v>63.889510515399657</v>
          </cell>
        </row>
        <row r="5">
          <cell r="I5">
            <v>74.258501465160109</v>
          </cell>
        </row>
        <row r="6">
          <cell r="I6">
            <v>85.386370130888608</v>
          </cell>
        </row>
        <row r="7">
          <cell r="I7">
            <v>95.276788991551015</v>
          </cell>
        </row>
        <row r="8">
          <cell r="I8">
            <v>103.72526749594878</v>
          </cell>
        </row>
        <row r="9">
          <cell r="I9">
            <v>111.66027290437756</v>
          </cell>
        </row>
        <row r="10">
          <cell r="I10">
            <v>118.09542685071044</v>
          </cell>
        </row>
        <row r="11">
          <cell r="I11">
            <v>120.07506091626688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206.12267488533556</v>
          </cell>
        </row>
        <row r="6">
          <cell r="V6">
            <v>194.53726073763335</v>
          </cell>
          <cell r="W6">
            <v>47.151707248621982</v>
          </cell>
        </row>
        <row r="7">
          <cell r="V7">
            <v>185.8480412113347</v>
          </cell>
          <cell r="W7">
            <v>41.356578742531532</v>
          </cell>
        </row>
        <row r="8">
          <cell r="V8">
            <v>174.89521987211594</v>
          </cell>
          <cell r="W8">
            <v>40.859763695054056</v>
          </cell>
        </row>
        <row r="9">
          <cell r="V9">
            <v>169.15690016865642</v>
          </cell>
          <cell r="W9">
            <v>36.215723948666799</v>
          </cell>
        </row>
        <row r="10">
          <cell r="V10">
            <v>161.02818783646046</v>
          </cell>
          <cell r="W10">
            <v>36.776844440213999</v>
          </cell>
        </row>
        <row r="11">
          <cell r="V11">
            <v>153.59077165936438</v>
          </cell>
          <cell r="W11">
            <v>36.562128032296904</v>
          </cell>
        </row>
        <row r="12">
          <cell r="V12">
            <v>144.85478833293794</v>
          </cell>
          <cell r="W12">
            <v>32.240562035618673</v>
          </cell>
        </row>
        <row r="13">
          <cell r="V13">
            <v>137.90509479583056</v>
          </cell>
          <cell r="W13">
            <v>27.029999657621989</v>
          </cell>
        </row>
      </sheetData>
      <sheetData sheetId="5">
        <row r="24">
          <cell r="B24">
            <v>32.228973318872072</v>
          </cell>
        </row>
        <row r="25">
          <cell r="B25">
            <v>29.973370332176337</v>
          </cell>
          <cell r="F25">
            <v>393.5488422878318</v>
          </cell>
        </row>
        <row r="26">
          <cell r="B26">
            <v>27.485715571118938</v>
          </cell>
          <cell r="F26">
            <v>432.18979774131782</v>
          </cell>
        </row>
        <row r="27">
          <cell r="B27">
            <v>24.820821209604539</v>
          </cell>
          <cell r="F27">
            <v>460.8751314087009</v>
          </cell>
        </row>
        <row r="28">
          <cell r="B28">
            <v>22.033499421537805</v>
          </cell>
          <cell r="F28">
            <v>479.76586860095011</v>
          </cell>
        </row>
        <row r="29">
          <cell r="B29">
            <v>19.178562380823408</v>
          </cell>
          <cell r="F29">
            <v>489.04102689563899</v>
          </cell>
        </row>
        <row r="30">
          <cell r="B30">
            <v>16.31082226136601</v>
          </cell>
          <cell r="F30">
            <v>488.88578152440186</v>
          </cell>
        </row>
        <row r="31">
          <cell r="B31">
            <v>13.485091237070286</v>
          </cell>
          <cell r="F31">
            <v>479.48087321140173</v>
          </cell>
        </row>
        <row r="32">
          <cell r="B32">
            <v>10.756181481840898</v>
          </cell>
          <cell r="F32">
            <v>460.99346867793588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124.87799948499705</v>
          </cell>
        </row>
        <row r="19">
          <cell r="G19">
            <v>141.65875433505485</v>
          </cell>
        </row>
        <row r="20">
          <cell r="G20">
            <v>158.60308515019568</v>
          </cell>
        </row>
        <row r="21">
          <cell r="G21">
            <v>173.7707698068408</v>
          </cell>
        </row>
        <row r="22">
          <cell r="G22">
            <v>185.54637127369915</v>
          </cell>
        </row>
        <row r="23">
          <cell r="G23">
            <v>195.20593573481662</v>
          </cell>
        </row>
        <row r="24">
          <cell r="G24">
            <v>199.83941139133506</v>
          </cell>
        </row>
        <row r="25">
          <cell r="G25">
            <v>195.96751029759986</v>
          </cell>
        </row>
        <row r="26">
          <cell r="D26">
            <v>11213.385118142874</v>
          </cell>
        </row>
        <row r="27">
          <cell r="D27">
            <v>7037.1810260025441</v>
          </cell>
        </row>
        <row r="29">
          <cell r="D29">
            <v>5351.4165784153502</v>
          </cell>
        </row>
        <row r="127">
          <cell r="E127">
            <v>0.32250442567284926</v>
          </cell>
          <cell r="F127">
            <v>1.7704187652342544E-3</v>
          </cell>
        </row>
        <row r="128">
          <cell r="E128">
            <v>0.26937831419616726</v>
          </cell>
          <cell r="F128">
            <v>0.49654928502991158</v>
          </cell>
        </row>
        <row r="129">
          <cell r="E129">
            <v>0.30300068823021709</v>
          </cell>
          <cell r="F129">
            <v>3.56926331211334E-3</v>
          </cell>
        </row>
        <row r="130">
          <cell r="E130">
            <v>0.18749533229383922</v>
          </cell>
          <cell r="F130">
            <v>0.59772435683920722</v>
          </cell>
        </row>
        <row r="131">
          <cell r="E131">
            <v>0.21998792611948106</v>
          </cell>
          <cell r="F131">
            <v>2.6826058750701117E-3</v>
          </cell>
        </row>
        <row r="132">
          <cell r="E132">
            <v>0.22745981991047179</v>
          </cell>
          <cell r="F132">
            <v>0.62590695400660312</v>
          </cell>
        </row>
        <row r="133">
          <cell r="E133">
            <v>0.22993255289580605</v>
          </cell>
          <cell r="F133">
            <v>3.5921116061091835E-3</v>
          </cell>
        </row>
        <row r="134">
          <cell r="E134">
            <v>0.20566691828654091</v>
          </cell>
          <cell r="F134">
            <v>0.61393201323326607</v>
          </cell>
        </row>
      </sheetData>
      <sheetData sheetId="8"/>
      <sheetData sheetId="9"/>
      <sheetData sheetId="10">
        <row r="4">
          <cell r="H4">
            <v>60.753095478754481</v>
          </cell>
        </row>
        <row r="5">
          <cell r="H5">
            <v>70.451810212936067</v>
          </cell>
        </row>
        <row r="6">
          <cell r="H6">
            <v>81.038052228620785</v>
          </cell>
        </row>
        <row r="7">
          <cell r="H7">
            <v>90.084888918986039</v>
          </cell>
        </row>
        <row r="8">
          <cell r="H8">
            <v>98.14488282865851</v>
          </cell>
        </row>
        <row r="9">
          <cell r="H9">
            <v>105.16519823266725</v>
          </cell>
        </row>
        <row r="10">
          <cell r="H10">
            <v>110.02729867525616</v>
          </cell>
        </row>
        <row r="11">
          <cell r="H11">
            <v>109.71974685605322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214.13847609191831</v>
          </cell>
        </row>
        <row r="6">
          <cell r="V6">
            <v>200.75186509440462</v>
          </cell>
          <cell r="W6">
            <v>48.159264232769225</v>
          </cell>
        </row>
        <row r="7">
          <cell r="V7">
            <v>192.82554000668168</v>
          </cell>
          <cell r="W7">
            <v>42.191040291928665</v>
          </cell>
        </row>
        <row r="8">
          <cell r="V8">
            <v>181.30929066598551</v>
          </cell>
          <cell r="W8">
            <v>42.048125221779692</v>
          </cell>
        </row>
        <row r="9">
          <cell r="V9">
            <v>175.36521234124419</v>
          </cell>
          <cell r="W9">
            <v>36.86334786069073</v>
          </cell>
        </row>
        <row r="10">
          <cell r="V10">
            <v>166.86515457015585</v>
          </cell>
          <cell r="W10">
            <v>37.23103433490413</v>
          </cell>
        </row>
        <row r="11">
          <cell r="V11">
            <v>159.02599846723655</v>
          </cell>
          <cell r="W11">
            <v>37.37500267212846</v>
          </cell>
        </row>
        <row r="12">
          <cell r="V12">
            <v>150.76386645407953</v>
          </cell>
          <cell r="W12">
            <v>32.947490528782858</v>
          </cell>
        </row>
        <row r="13">
          <cell r="V13">
            <v>143.48754711707906</v>
          </cell>
          <cell r="W13">
            <v>27.242166046354708</v>
          </cell>
        </row>
      </sheetData>
      <sheetData sheetId="5">
        <row r="24">
          <cell r="B24">
            <v>33.053972115962594</v>
          </cell>
        </row>
        <row r="25">
          <cell r="B25">
            <v>30.588905835587539</v>
          </cell>
          <cell r="F25">
            <v>430.65753882392221</v>
          </cell>
        </row>
        <row r="26">
          <cell r="B26">
            <v>27.972044631979859</v>
          </cell>
          <cell r="F26">
            <v>455.08535569159659</v>
          </cell>
        </row>
        <row r="27">
          <cell r="B27">
            <v>25.234248807004853</v>
          </cell>
          <cell r="F27">
            <v>473.85773531303806</v>
          </cell>
        </row>
        <row r="28">
          <cell r="B28">
            <v>22.406378662527828</v>
          </cell>
          <cell r="F28">
            <v>487.07591776309266</v>
          </cell>
        </row>
        <row r="29">
          <cell r="B29">
            <v>19.519294500414087</v>
          </cell>
          <cell r="F29">
            <v>494.84675213674359</v>
          </cell>
        </row>
        <row r="30">
          <cell r="B30">
            <v>16.603856622528937</v>
          </cell>
          <cell r="F30">
            <v>497.27858526049062</v>
          </cell>
        </row>
        <row r="31">
          <cell r="B31">
            <v>13.690925330737684</v>
          </cell>
          <cell r="F31">
            <v>494.47754279178577</v>
          </cell>
        </row>
        <row r="32">
          <cell r="B32">
            <v>10.811360926905632</v>
          </cell>
          <cell r="F32">
            <v>486.5442657588182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131.43395843941596</v>
          </cell>
        </row>
        <row r="19">
          <cell r="G19">
            <v>143.66055706866584</v>
          </cell>
        </row>
        <row r="20">
          <cell r="G20">
            <v>156.58708433679723</v>
          </cell>
        </row>
        <row r="21">
          <cell r="G21">
            <v>169.46033147270725</v>
          </cell>
        </row>
        <row r="22">
          <cell r="G22">
            <v>180.32806373490408</v>
          </cell>
        </row>
        <row r="23">
          <cell r="G23">
            <v>190.77429377675386</v>
          </cell>
        </row>
        <row r="24">
          <cell r="G24">
            <v>197.39168730525887</v>
          </cell>
        </row>
        <row r="25">
          <cell r="G25">
            <v>197.44956334191463</v>
          </cell>
        </row>
        <row r="26">
          <cell r="D26">
            <v>11611.539879496386</v>
          </cell>
        </row>
        <row r="27">
          <cell r="D27">
            <v>6987.82075334811</v>
          </cell>
        </row>
        <row r="29">
          <cell r="D29">
            <v>5543.8294495843911</v>
          </cell>
        </row>
        <row r="127">
          <cell r="E127">
            <v>0.36936792017041314</v>
          </cell>
          <cell r="F127">
            <v>0</v>
          </cell>
        </row>
        <row r="128">
          <cell r="E128">
            <v>0.24773999340521125</v>
          </cell>
          <cell r="F128">
            <v>0.47920483639246392</v>
          </cell>
        </row>
        <row r="129">
          <cell r="E129">
            <v>0.31852653507353351</v>
          </cell>
          <cell r="F129">
            <v>0</v>
          </cell>
        </row>
        <row r="130">
          <cell r="E130">
            <v>0.19420184028080109</v>
          </cell>
          <cell r="F130">
            <v>0.58743331325004211</v>
          </cell>
        </row>
        <row r="131">
          <cell r="E131">
            <v>0.23085831727203768</v>
          </cell>
          <cell r="F131">
            <v>1.7870873587297915E-3</v>
          </cell>
        </row>
        <row r="132">
          <cell r="E132">
            <v>0.24036436547360265</v>
          </cell>
          <cell r="F132">
            <v>0.62997150004308888</v>
          </cell>
        </row>
        <row r="133">
          <cell r="E133">
            <v>0.21853679769389336</v>
          </cell>
          <cell r="F133">
            <v>3.5902559143141739E-3</v>
          </cell>
        </row>
        <row r="134">
          <cell r="E134">
            <v>0.21671975166429849</v>
          </cell>
          <cell r="F134">
            <v>0.62728659149073129</v>
          </cell>
        </row>
      </sheetData>
      <sheetData sheetId="8"/>
      <sheetData sheetId="9"/>
      <sheetData sheetId="10">
        <row r="4">
          <cell r="F4">
            <v>63.384450574750709</v>
          </cell>
        </row>
        <row r="5">
          <cell r="F5">
            <v>70.690318274423177</v>
          </cell>
        </row>
        <row r="6">
          <cell r="F6">
            <v>79.255663147694605</v>
          </cell>
        </row>
        <row r="7">
          <cell r="F7">
            <v>87.0761322915275</v>
          </cell>
        </row>
        <row r="8">
          <cell r="F8">
            <v>94.619918671999585</v>
          </cell>
        </row>
        <row r="9">
          <cell r="F9">
            <v>102.06257827787138</v>
          </cell>
        </row>
        <row r="10">
          <cell r="F10">
            <v>107.78411486420211</v>
          </cell>
        </row>
        <row r="11">
          <cell r="F11">
            <v>109.73297624767068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85.481480805378922</v>
          </cell>
        </row>
        <row r="6">
          <cell r="V6">
            <v>82.306727415931476</v>
          </cell>
          <cell r="W6">
            <v>41.272829149791271</v>
          </cell>
        </row>
        <row r="7">
          <cell r="V7">
            <v>79.788070641350316</v>
          </cell>
          <cell r="W7">
            <v>37.939021776979303</v>
          </cell>
        </row>
        <row r="8">
          <cell r="V8">
            <v>76.4886721794213</v>
          </cell>
          <cell r="W8">
            <v>36.296782927172622</v>
          </cell>
        </row>
        <row r="9">
          <cell r="V9">
            <v>74.714485233044911</v>
          </cell>
          <cell r="W9">
            <v>32.366304177383569</v>
          </cell>
        </row>
        <row r="10">
          <cell r="V10">
            <v>71.921206264049843</v>
          </cell>
          <cell r="W10">
            <v>31.521789581525386</v>
          </cell>
        </row>
        <row r="11">
          <cell r="V11">
            <v>69.491851237866186</v>
          </cell>
          <cell r="W11">
            <v>31.047280571380401</v>
          </cell>
        </row>
        <row r="12">
          <cell r="V12">
            <v>66.95950860296152</v>
          </cell>
          <cell r="W12">
            <v>27.833309756519224</v>
          </cell>
        </row>
        <row r="13">
          <cell r="V13">
            <v>64.122392500694204</v>
          </cell>
          <cell r="W13">
            <v>23.216041660251452</v>
          </cell>
        </row>
      </sheetData>
      <sheetData sheetId="4"/>
      <sheetData sheetId="5">
        <row r="24">
          <cell r="B24">
            <v>28.44061025226631</v>
          </cell>
        </row>
        <row r="25">
          <cell r="B25">
            <v>26.434700024205707</v>
          </cell>
          <cell r="F25">
            <v>294.20347689757176</v>
          </cell>
        </row>
        <row r="26">
          <cell r="B26">
            <v>24.301011489099821</v>
          </cell>
          <cell r="F26">
            <v>311.80714837313735</v>
          </cell>
        </row>
        <row r="27">
          <cell r="B27">
            <v>22.070438785626742</v>
          </cell>
          <cell r="F27">
            <v>324.73358578836462</v>
          </cell>
        </row>
        <row r="28">
          <cell r="B28">
            <v>19.773876052464555</v>
          </cell>
          <cell r="F28">
            <v>333.04963121493699</v>
          </cell>
        </row>
        <row r="29">
          <cell r="B29">
            <v>17.442217428291347</v>
          </cell>
          <cell r="F29">
            <v>336.82576122709236</v>
          </cell>
        </row>
        <row r="30">
          <cell r="B30">
            <v>15.10635705178521</v>
          </cell>
          <cell r="F30">
            <v>336.1330867309216</v>
          </cell>
        </row>
        <row r="31">
          <cell r="B31">
            <v>12.797189061624231</v>
          </cell>
          <cell r="F31">
            <v>331.04064913419779</v>
          </cell>
        </row>
        <row r="32">
          <cell r="B32">
            <v>10.545607596486498</v>
          </cell>
          <cell r="F32">
            <v>321.61304504369235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337.65088883955065</v>
          </cell>
        </row>
        <row r="19">
          <cell r="G19">
            <v>349.86250204469229</v>
          </cell>
        </row>
        <row r="20">
          <cell r="G20">
            <v>368.018788084123</v>
          </cell>
        </row>
        <row r="21">
          <cell r="G21">
            <v>384.96770767681733</v>
          </cell>
        </row>
        <row r="22">
          <cell r="G22">
            <v>396.99358215951798</v>
          </cell>
        </row>
        <row r="23">
          <cell r="G23">
            <v>404.12407975286334</v>
          </cell>
        </row>
        <row r="24">
          <cell r="G24">
            <v>396.02286898568514</v>
          </cell>
        </row>
        <row r="25">
          <cell r="G25">
            <v>402.39157582598915</v>
          </cell>
        </row>
        <row r="26">
          <cell r="D26">
            <v>7883.2367133114858</v>
          </cell>
        </row>
        <row r="27">
          <cell r="D27">
            <v>7465.7003157127147</v>
          </cell>
        </row>
        <row r="29">
          <cell r="D29">
            <v>1520.7699574293915</v>
          </cell>
        </row>
        <row r="127">
          <cell r="E127">
            <v>6.8624724819646876E-2</v>
          </cell>
          <cell r="F127">
            <v>1.2462624417623943E-2</v>
          </cell>
        </row>
        <row r="128">
          <cell r="E128">
            <v>6.7761132495948881E-2</v>
          </cell>
          <cell r="F128">
            <v>0.62101493962644827</v>
          </cell>
        </row>
        <row r="129">
          <cell r="E129">
            <v>6.9961283474317598E-2</v>
          </cell>
          <cell r="F129">
            <v>3.5828719040147311E-2</v>
          </cell>
        </row>
        <row r="130">
          <cell r="E130">
            <v>4.9721500061978507E-2</v>
          </cell>
          <cell r="F130">
            <v>0.59753523446228929</v>
          </cell>
        </row>
        <row r="131">
          <cell r="E131">
            <v>5.7352204394019078E-2</v>
          </cell>
          <cell r="F131">
            <v>1.2578734956120122E-2</v>
          </cell>
        </row>
        <row r="132">
          <cell r="E132">
            <v>6.0960879459810359E-2</v>
          </cell>
          <cell r="F132">
            <v>0.5850279535025128</v>
          </cell>
        </row>
        <row r="133">
          <cell r="E133">
            <v>5.0710994102536315E-2</v>
          </cell>
          <cell r="F133">
            <v>1.1730695833228074E-2</v>
          </cell>
        </row>
        <row r="134">
          <cell r="E134">
            <v>6.7385479746739127E-2</v>
          </cell>
          <cell r="F134">
            <v>0.61238787006586837</v>
          </cell>
        </row>
      </sheetData>
      <sheetData sheetId="8"/>
      <sheetData sheetId="9">
        <row r="4">
          <cell r="I4">
            <v>220.23159200113037</v>
          </cell>
        </row>
        <row r="5">
          <cell r="I5">
            <v>229.30051485251383</v>
          </cell>
        </row>
        <row r="6">
          <cell r="I6">
            <v>243.40856415755403</v>
          </cell>
        </row>
        <row r="7">
          <cell r="I7">
            <v>255.25431813754057</v>
          </cell>
        </row>
        <row r="8">
          <cell r="I8">
            <v>265.25902573808361</v>
          </cell>
        </row>
        <row r="9">
          <cell r="I9">
            <v>271.17854075325096</v>
          </cell>
        </row>
        <row r="10">
          <cell r="I10">
            <v>267.59765119521921</v>
          </cell>
        </row>
        <row r="11">
          <cell r="I11">
            <v>273.36710480243181</v>
          </cell>
        </row>
      </sheetData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95.305148415016518</v>
          </cell>
        </row>
        <row r="6">
          <cell r="V6">
            <v>91.356410213611923</v>
          </cell>
          <cell r="W6">
            <v>41.012551693163388</v>
          </cell>
        </row>
        <row r="7">
          <cell r="V7">
            <v>87.354571161940626</v>
          </cell>
          <cell r="W7">
            <v>37.404030857574448</v>
          </cell>
        </row>
        <row r="8">
          <cell r="V8">
            <v>84.301005561373131</v>
          </cell>
          <cell r="W8">
            <v>35.992450753951019</v>
          </cell>
        </row>
        <row r="9">
          <cell r="V9">
            <v>81.275914455481384</v>
          </cell>
          <cell r="W9">
            <v>31.920384520515483</v>
          </cell>
        </row>
        <row r="10">
          <cell r="V10">
            <v>78.409122787028863</v>
          </cell>
          <cell r="W10">
            <v>31.300812862882093</v>
          </cell>
        </row>
        <row r="11">
          <cell r="V11">
            <v>75.56692817271589</v>
          </cell>
          <cell r="W11">
            <v>30.856301179815556</v>
          </cell>
        </row>
        <row r="12">
          <cell r="V12">
            <v>72.923981133972262</v>
          </cell>
          <cell r="W12">
            <v>27.666379327386554</v>
          </cell>
        </row>
        <row r="13">
          <cell r="V13">
            <v>69.962503744414974</v>
          </cell>
          <cell r="W13">
            <v>22.866315107980736</v>
          </cell>
        </row>
      </sheetData>
      <sheetData sheetId="4"/>
      <sheetData sheetId="5">
        <row r="24">
          <cell r="B24">
            <v>28.454228416118255</v>
          </cell>
        </row>
        <row r="25">
          <cell r="B25">
            <v>26.360141551361821</v>
          </cell>
          <cell r="F25">
            <v>310.60962182877569</v>
          </cell>
        </row>
        <row r="26">
          <cell r="B26">
            <v>24.184105762674108</v>
          </cell>
          <cell r="F26">
            <v>321.55538143521164</v>
          </cell>
        </row>
        <row r="27">
          <cell r="B27">
            <v>21.948590714617566</v>
          </cell>
          <cell r="F27">
            <v>329.08379391405498</v>
          </cell>
        </row>
        <row r="28">
          <cell r="B28">
            <v>19.676066071754647</v>
          </cell>
          <cell r="F28">
            <v>333.24659863564483</v>
          </cell>
        </row>
        <row r="29">
          <cell r="B29">
            <v>17.389001498647815</v>
          </cell>
          <cell r="F29">
            <v>334.09610369962002</v>
          </cell>
        </row>
        <row r="30">
          <cell r="B30">
            <v>15.109866659859515</v>
          </cell>
          <cell r="F30">
            <v>331.68363656010138</v>
          </cell>
        </row>
        <row r="31">
          <cell r="B31">
            <v>12.861131219952206</v>
          </cell>
          <cell r="F31">
            <v>326.05816136843123</v>
          </cell>
        </row>
        <row r="32">
          <cell r="B32">
            <v>10.665264843488345</v>
          </cell>
          <cell r="F32">
            <v>317.26507379585632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289.92653596550417</v>
          </cell>
        </row>
        <row r="19">
          <cell r="G19">
            <v>300.19469638843935</v>
          </cell>
        </row>
        <row r="20">
          <cell r="G20">
            <v>313.50667991933432</v>
          </cell>
        </row>
        <row r="21">
          <cell r="G21">
            <v>326.58367825626846</v>
          </cell>
        </row>
        <row r="22">
          <cell r="G22">
            <v>338.21990919617747</v>
          </cell>
        </row>
        <row r="23">
          <cell r="G23">
            <v>343.89356369859235</v>
          </cell>
        </row>
        <row r="24">
          <cell r="G24">
            <v>338.40376567765782</v>
          </cell>
        </row>
        <row r="25">
          <cell r="G25">
            <v>345.6169771072386</v>
          </cell>
        </row>
        <row r="26">
          <cell r="D26">
            <v>7901.2570771146502</v>
          </cell>
        </row>
        <row r="27">
          <cell r="D27">
            <v>7308.8980716615388</v>
          </cell>
        </row>
        <row r="29">
          <cell r="D29">
            <v>1757.6305585296291</v>
          </cell>
        </row>
        <row r="127">
          <cell r="E127">
            <v>8.6361357558779536E-2</v>
          </cell>
          <cell r="F127">
            <v>1.2466154197087105E-2</v>
          </cell>
        </row>
        <row r="128">
          <cell r="E128">
            <v>0.10126042030787663</v>
          </cell>
          <cell r="F128">
            <v>0.60608499540536387</v>
          </cell>
        </row>
        <row r="129">
          <cell r="E129">
            <v>6.549881122084926E-2</v>
          </cell>
          <cell r="F129">
            <v>2.8675349377439721E-2</v>
          </cell>
        </row>
        <row r="130">
          <cell r="E130">
            <v>7.7355668074627473E-2</v>
          </cell>
          <cell r="F130">
            <v>0.59146150056782865</v>
          </cell>
        </row>
        <row r="131">
          <cell r="E131">
            <v>5.9632585662868158E-2</v>
          </cell>
          <cell r="F131">
            <v>1.437916461221616E-2</v>
          </cell>
        </row>
        <row r="132">
          <cell r="E132">
            <v>7.0865805972671544E-2</v>
          </cell>
          <cell r="F132">
            <v>0.57612200335994579</v>
          </cell>
        </row>
        <row r="133">
          <cell r="E133">
            <v>5.3552354560767318E-2</v>
          </cell>
          <cell r="F133">
            <v>9.9277054313872837E-3</v>
          </cell>
        </row>
        <row r="134">
          <cell r="E134">
            <v>7.1349849484769773E-2</v>
          </cell>
          <cell r="F134">
            <v>0.59718248426924436</v>
          </cell>
        </row>
      </sheetData>
      <sheetData sheetId="8"/>
      <sheetData sheetId="9">
        <row r="4">
          <cell r="I4">
            <v>183.64775593713625</v>
          </cell>
        </row>
        <row r="5">
          <cell r="I5">
            <v>191.804747082478</v>
          </cell>
        </row>
        <row r="6">
          <cell r="I6">
            <v>201.9650603857587</v>
          </cell>
        </row>
        <row r="7">
          <cell r="I7">
            <v>211.6151447526735</v>
          </cell>
        </row>
        <row r="8">
          <cell r="I8">
            <v>220.86735788251951</v>
          </cell>
        </row>
        <row r="9">
          <cell r="I9">
            <v>225.72857466024686</v>
          </cell>
        </row>
        <row r="10">
          <cell r="I10">
            <v>223.72072554502904</v>
          </cell>
        </row>
        <row r="11">
          <cell r="I11">
            <v>229.66166901480432</v>
          </cell>
        </row>
      </sheetData>
      <sheetData sheetId="1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105.04815866626802</v>
          </cell>
        </row>
        <row r="6">
          <cell r="V6">
            <v>100.30513274836956</v>
          </cell>
          <cell r="W6">
            <v>40.071345243435921</v>
          </cell>
        </row>
        <row r="7">
          <cell r="V7">
            <v>96.611198173389468</v>
          </cell>
          <cell r="W7">
            <v>36.344794636548947</v>
          </cell>
        </row>
        <row r="8">
          <cell r="V8">
            <v>91.994270892176488</v>
          </cell>
          <cell r="W8">
            <v>34.926633055152998</v>
          </cell>
        </row>
        <row r="9">
          <cell r="V9">
            <v>89.009041071436968</v>
          </cell>
          <cell r="W9">
            <v>31.02396317478447</v>
          </cell>
        </row>
        <row r="10">
          <cell r="V10">
            <v>86.014304100895359</v>
          </cell>
          <cell r="W10">
            <v>30.940069997287839</v>
          </cell>
        </row>
        <row r="11">
          <cell r="V11">
            <v>82.603008314567091</v>
          </cell>
          <cell r="W11">
            <v>30.565515945591006</v>
          </cell>
        </row>
        <row r="12">
          <cell r="V12">
            <v>79.035075641662772</v>
          </cell>
          <cell r="W12">
            <v>27.009931296737523</v>
          </cell>
        </row>
        <row r="13">
          <cell r="V13">
            <v>75.513374180854143</v>
          </cell>
          <cell r="W13">
            <v>21.770978324962169</v>
          </cell>
        </row>
      </sheetData>
      <sheetData sheetId="4"/>
      <sheetData sheetId="5">
        <row r="24">
          <cell r="B24">
            <v>27.517033713842046</v>
          </cell>
        </row>
        <row r="25">
          <cell r="B25">
            <v>25.584969036347939</v>
          </cell>
          <cell r="F25">
            <v>304.36341951882451</v>
          </cell>
        </row>
        <row r="26">
          <cell r="B26">
            <v>23.51020322504057</v>
          </cell>
          <cell r="F26">
            <v>325.69994933179186</v>
          </cell>
        </row>
        <row r="27">
          <cell r="B27">
            <v>21.334180777378556</v>
          </cell>
          <cell r="F27">
            <v>340.34465834057448</v>
          </cell>
        </row>
        <row r="28">
          <cell r="B28">
            <v>19.098346190820521</v>
          </cell>
          <cell r="F28">
            <v>348.39037690005267</v>
          </cell>
        </row>
        <row r="29">
          <cell r="B29">
            <v>16.844143962825093</v>
          </cell>
          <cell r="F29">
            <v>349.9350329451413</v>
          </cell>
        </row>
        <row r="30">
          <cell r="B30">
            <v>14.613018590850885</v>
          </cell>
          <cell r="F30">
            <v>345.07628254055408</v>
          </cell>
        </row>
        <row r="31">
          <cell r="B31">
            <v>12.446414572356527</v>
          </cell>
          <cell r="F31">
            <v>333.90672504058898</v>
          </cell>
        </row>
        <row r="32">
          <cell r="B32">
            <v>10.385776404800637</v>
          </cell>
          <cell r="F32">
            <v>316.50974428329141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237.31486598846672</v>
          </cell>
        </row>
        <row r="19">
          <cell r="G19">
            <v>254.10443646106378</v>
          </cell>
        </row>
        <row r="20">
          <cell r="G20">
            <v>273.30994105931148</v>
          </cell>
        </row>
        <row r="21">
          <cell r="G21">
            <v>291.57613671843575</v>
          </cell>
        </row>
        <row r="22">
          <cell r="G22">
            <v>302.79379290827177</v>
          </cell>
        </row>
        <row r="23">
          <cell r="G23">
            <v>307.41908722136753</v>
          </cell>
        </row>
        <row r="24">
          <cell r="G24">
            <v>300.93944354444568</v>
          </cell>
        </row>
        <row r="25">
          <cell r="G25">
            <v>278.27578911869699</v>
          </cell>
        </row>
        <row r="26">
          <cell r="D26">
            <v>8082.7935362092585</v>
          </cell>
        </row>
        <row r="27">
          <cell r="D27">
            <v>6963.405373370686</v>
          </cell>
        </row>
        <row r="29">
          <cell r="D29">
            <v>2168.7730127903933</v>
          </cell>
        </row>
        <row r="127">
          <cell r="E127">
            <v>0.11122833764469936</v>
          </cell>
          <cell r="F127">
            <v>9.8037611967069262E-3</v>
          </cell>
        </row>
        <row r="128">
          <cell r="E128">
            <v>0.10153641449286059</v>
          </cell>
          <cell r="F128">
            <v>0.57812103532987191</v>
          </cell>
        </row>
        <row r="129">
          <cell r="E129">
            <v>0.10563958791518162</v>
          </cell>
          <cell r="F129">
            <v>8.9700475293894404E-3</v>
          </cell>
        </row>
        <row r="130">
          <cell r="E130">
            <v>8.2790186401290197E-2</v>
          </cell>
          <cell r="F130">
            <v>0.59459541732849219</v>
          </cell>
        </row>
        <row r="131">
          <cell r="E131">
            <v>6.6962653223433269E-2</v>
          </cell>
          <cell r="F131">
            <v>8.9912403997211565E-3</v>
          </cell>
        </row>
        <row r="132">
          <cell r="E132">
            <v>8.8916205339371723E-2</v>
          </cell>
          <cell r="F132">
            <v>0.56641549177115935</v>
          </cell>
        </row>
        <row r="133">
          <cell r="E133">
            <v>7.7891197839925916E-2</v>
          </cell>
          <cell r="F133">
            <v>9.0297038212756083E-3</v>
          </cell>
        </row>
        <row r="134">
          <cell r="E134">
            <v>8.795975474003509E-2</v>
          </cell>
          <cell r="F134">
            <v>0.54520842708027906</v>
          </cell>
        </row>
      </sheetData>
      <sheetData sheetId="8"/>
      <sheetData sheetId="9">
        <row r="4">
          <cell r="H4">
            <v>146.18230584834254</v>
          </cell>
        </row>
        <row r="5">
          <cell r="H5">
            <v>157.80021525897732</v>
          </cell>
        </row>
        <row r="6">
          <cell r="H6">
            <v>171.847405084684</v>
          </cell>
        </row>
        <row r="7">
          <cell r="H7">
            <v>184.43351064441381</v>
          </cell>
        </row>
        <row r="8">
          <cell r="H8">
            <v>193.07707342693195</v>
          </cell>
        </row>
        <row r="9">
          <cell r="H9">
            <v>197.39960274576075</v>
          </cell>
        </row>
        <row r="10">
          <cell r="H10">
            <v>195.10477869269545</v>
          </cell>
        </row>
        <row r="11">
          <cell r="H11">
            <v>181.67524632068987</v>
          </cell>
        </row>
      </sheetData>
      <sheetData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114.53071499996919</v>
          </cell>
        </row>
        <row r="6">
          <cell r="V6">
            <v>109.06051801448602</v>
          </cell>
          <cell r="W6">
            <v>40.574960925697575</v>
          </cell>
        </row>
        <row r="7">
          <cell r="V7">
            <v>103.6641373315634</v>
          </cell>
          <cell r="W7">
            <v>36.639241647333193</v>
          </cell>
        </row>
        <row r="8">
          <cell r="V8">
            <v>99.623994085810935</v>
          </cell>
          <cell r="W8">
            <v>35.419388483432229</v>
          </cell>
        </row>
        <row r="9">
          <cell r="V9">
            <v>96.867139650560048</v>
          </cell>
          <cell r="W9">
            <v>31.378869112746571</v>
          </cell>
        </row>
        <row r="10">
          <cell r="V10">
            <v>92.95903673802745</v>
          </cell>
          <cell r="W10">
            <v>31.285724760977931</v>
          </cell>
        </row>
        <row r="11">
          <cell r="V11">
            <v>89.090824053575389</v>
          </cell>
          <cell r="W11">
            <v>30.879209682392883</v>
          </cell>
        </row>
        <row r="12">
          <cell r="V12">
            <v>85.084916644588972</v>
          </cell>
          <cell r="W12">
            <v>27.965403373059015</v>
          </cell>
        </row>
        <row r="13">
          <cell r="V13">
            <v>81.155844510654006</v>
          </cell>
          <cell r="W13">
            <v>22.016736196516494</v>
          </cell>
        </row>
      </sheetData>
      <sheetData sheetId="4"/>
      <sheetData sheetId="5">
        <row r="24">
          <cell r="B24">
            <v>27.934206581592626</v>
          </cell>
        </row>
        <row r="25">
          <cell r="B25">
            <v>25.922198646124578</v>
          </cell>
          <cell r="F25">
            <v>321.63508811642021</v>
          </cell>
        </row>
        <row r="26">
          <cell r="B26">
            <v>23.804345449201247</v>
          </cell>
          <cell r="F26">
            <v>337.3316975887675</v>
          </cell>
        </row>
        <row r="27">
          <cell r="B27">
            <v>21.610452580380617</v>
          </cell>
          <cell r="F27">
            <v>348.14292869179116</v>
          </cell>
        </row>
        <row r="28">
          <cell r="B28">
            <v>19.370325629220673</v>
          </cell>
          <cell r="F28">
            <v>354.139471777339</v>
          </cell>
        </row>
        <row r="29">
          <cell r="B29">
            <v>17.11377018527941</v>
          </cell>
          <cell r="F29">
            <v>355.394041803665</v>
          </cell>
        </row>
        <row r="30">
          <cell r="B30">
            <v>14.870591838114809</v>
          </cell>
          <cell r="F30">
            <v>351.97850474028888</v>
          </cell>
        </row>
        <row r="31">
          <cell r="B31">
            <v>12.670596177284857</v>
          </cell>
          <cell r="F31">
            <v>343.96131369742864</v>
          </cell>
        </row>
        <row r="32">
          <cell r="B32">
            <v>10.543588792347546</v>
          </cell>
          <cell r="F32">
            <v>331.40527571422933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220.39501636633364</v>
          </cell>
        </row>
        <row r="19">
          <cell r="G19">
            <v>234.68847862885499</v>
          </cell>
        </row>
        <row r="20">
          <cell r="G20">
            <v>250.47372571865867</v>
          </cell>
        </row>
        <row r="21">
          <cell r="G21">
            <v>263.00431593736465</v>
          </cell>
        </row>
        <row r="22">
          <cell r="G22">
            <v>273.74197860648542</v>
          </cell>
        </row>
        <row r="23">
          <cell r="G23">
            <v>281.71238944176019</v>
          </cell>
        </row>
        <row r="24">
          <cell r="G24">
            <v>280.24595379312893</v>
          </cell>
        </row>
        <row r="25">
          <cell r="G25">
            <v>265.24450159489874</v>
          </cell>
        </row>
        <row r="26">
          <cell r="D26">
            <v>8335.4942405081856</v>
          </cell>
        </row>
        <row r="27">
          <cell r="D27">
            <v>6850.0837060017957</v>
          </cell>
        </row>
        <row r="29">
          <cell r="D29">
            <v>2465.3460000383307</v>
          </cell>
        </row>
        <row r="127">
          <cell r="E127">
            <v>0.12978014562354573</v>
          </cell>
          <cell r="F127">
            <v>8.0170988353727834E-3</v>
          </cell>
        </row>
        <row r="128">
          <cell r="E128">
            <v>0.14306134363465187</v>
          </cell>
          <cell r="F128">
            <v>0.56719276062556945</v>
          </cell>
        </row>
        <row r="129">
          <cell r="E129">
            <v>9.3479237749533192E-2</v>
          </cell>
          <cell r="F129">
            <v>6.2771444405944283E-3</v>
          </cell>
        </row>
        <row r="130">
          <cell r="E130">
            <v>7.9461920321425003E-2</v>
          </cell>
          <cell r="F130">
            <v>0.58540262847702318</v>
          </cell>
        </row>
        <row r="131">
          <cell r="E131">
            <v>8.8316200174506476E-2</v>
          </cell>
          <cell r="F131">
            <v>7.1897250866493727E-3</v>
          </cell>
        </row>
        <row r="132">
          <cell r="E132">
            <v>0.10093141266268858</v>
          </cell>
          <cell r="F132">
            <v>0.56431777008207684</v>
          </cell>
        </row>
        <row r="133">
          <cell r="E133">
            <v>8.84132403254861E-2</v>
          </cell>
          <cell r="F133">
            <v>8.1225272466304548E-3</v>
          </cell>
        </row>
        <row r="134">
          <cell r="E134">
            <v>9.833849952093987E-2</v>
          </cell>
          <cell r="F134">
            <v>0.53684158054001496</v>
          </cell>
        </row>
      </sheetData>
      <sheetData sheetId="8"/>
      <sheetData sheetId="9">
        <row r="4">
          <cell r="H4">
            <v>132.69263897784393</v>
          </cell>
        </row>
        <row r="5">
          <cell r="H5">
            <v>143.14399159009054</v>
          </cell>
        </row>
        <row r="6">
          <cell r="H6">
            <v>154.44367281027027</v>
          </cell>
        </row>
        <row r="7">
          <cell r="H7">
            <v>163.07208346407933</v>
          </cell>
        </row>
        <row r="8">
          <cell r="H8">
            <v>171.52134855560328</v>
          </cell>
        </row>
        <row r="9">
          <cell r="H9">
            <v>178.00457437578964</v>
          </cell>
        </row>
        <row r="10">
          <cell r="H10">
            <v>178.994233928444</v>
          </cell>
        </row>
        <row r="11">
          <cell r="H11">
            <v>170.84769759835066</v>
          </cell>
        </row>
      </sheetData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84.735509713067401</v>
          </cell>
        </row>
        <row r="6">
          <cell r="V6">
            <v>82.410399089433497</v>
          </cell>
          <cell r="W6">
            <v>36.587635392517228</v>
          </cell>
        </row>
        <row r="7">
          <cell r="V7">
            <v>80.591180924859358</v>
          </cell>
          <cell r="W7">
            <v>30.156220762038618</v>
          </cell>
        </row>
        <row r="8">
          <cell r="V8">
            <v>78.186240337540312</v>
          </cell>
          <cell r="W8">
            <v>31.839922914810717</v>
          </cell>
        </row>
        <row r="9">
          <cell r="V9">
            <v>76.603271698692723</v>
          </cell>
          <cell r="W9">
            <v>27.079184625735394</v>
          </cell>
        </row>
        <row r="10">
          <cell r="V10">
            <v>74.707105907287215</v>
          </cell>
          <cell r="W10">
            <v>27.995292887080552</v>
          </cell>
        </row>
        <row r="11">
          <cell r="V11">
            <v>64.50328430066152</v>
          </cell>
          <cell r="W11">
            <v>28.033893562125069</v>
          </cell>
        </row>
        <row r="12">
          <cell r="V12">
            <v>70.936598108605196</v>
          </cell>
          <cell r="W12">
            <v>26.690666968403928</v>
          </cell>
        </row>
        <row r="13">
          <cell r="V13">
            <v>69.018677699678094</v>
          </cell>
          <cell r="W13">
            <v>18.347977003722775</v>
          </cell>
        </row>
      </sheetData>
      <sheetData sheetId="4"/>
      <sheetData sheetId="5">
        <row r="24">
          <cell r="B24">
            <v>24.665974927837247</v>
          </cell>
        </row>
        <row r="25">
          <cell r="B25">
            <v>22.966805285101398</v>
          </cell>
          <cell r="F25">
            <v>519.66822415720389</v>
          </cell>
        </row>
        <row r="26">
          <cell r="B26">
            <v>21.210425759599051</v>
          </cell>
          <cell r="F26">
            <v>535.57143500381744</v>
          </cell>
        </row>
        <row r="27">
          <cell r="B27">
            <v>19.412162035364616</v>
          </cell>
          <cell r="F27">
            <v>546.68976922194349</v>
          </cell>
        </row>
        <row r="28">
          <cell r="B28">
            <v>17.587339796432502</v>
          </cell>
          <cell r="F28">
            <v>553.08045859185142</v>
          </cell>
        </row>
        <row r="29">
          <cell r="B29">
            <v>15.75128472683712</v>
          </cell>
          <cell r="F29">
            <v>554.80138646070031</v>
          </cell>
        </row>
        <row r="30">
          <cell r="B30">
            <v>13.919322510612876</v>
          </cell>
          <cell r="F30">
            <v>551.90966368809404</v>
          </cell>
        </row>
        <row r="31">
          <cell r="B31">
            <v>12.106778831794182</v>
          </cell>
          <cell r="F31">
            <v>544.4603354055813</v>
          </cell>
        </row>
        <row r="32">
          <cell r="B32">
            <v>10.328979374415445</v>
          </cell>
          <cell r="F32">
            <v>532.50522571637566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537.13288032874902</v>
          </cell>
        </row>
        <row r="19">
          <cell r="G19">
            <v>518.06135229282609</v>
          </cell>
        </row>
        <row r="20">
          <cell r="G20">
            <v>528.07619419784373</v>
          </cell>
        </row>
        <row r="21">
          <cell r="G21">
            <v>551.95860535615293</v>
          </cell>
        </row>
        <row r="22">
          <cell r="G22">
            <v>575.57614667177097</v>
          </cell>
        </row>
        <row r="23">
          <cell r="G23">
            <v>646.33584114454675</v>
          </cell>
        </row>
        <row r="24">
          <cell r="G24">
            <v>623.42171313524545</v>
          </cell>
        </row>
        <row r="25">
          <cell r="G25">
            <v>507.76814794583305</v>
          </cell>
        </row>
        <row r="26">
          <cell r="D26">
            <v>13126.745272903605</v>
          </cell>
        </row>
        <row r="27">
          <cell r="D27">
            <v>12590.580232276119</v>
          </cell>
        </row>
        <row r="29">
          <cell r="D29">
            <v>2130.8744796615456</v>
          </cell>
        </row>
        <row r="127">
          <cell r="E127">
            <v>0.10517831682617899</v>
          </cell>
          <cell r="F127">
            <v>2.2811848666889359E-2</v>
          </cell>
        </row>
        <row r="128">
          <cell r="E128">
            <v>0.10427515075310217</v>
          </cell>
          <cell r="F128">
            <v>1.014296377356869</v>
          </cell>
        </row>
        <row r="129">
          <cell r="E129">
            <v>0.10646196174493165</v>
          </cell>
          <cell r="F129">
            <v>1.6219600788386798E-2</v>
          </cell>
        </row>
        <row r="130">
          <cell r="E130">
            <v>9.131448408536412E-2</v>
          </cell>
          <cell r="F130">
            <v>1.0100375098193006</v>
          </cell>
        </row>
        <row r="131">
          <cell r="E131">
            <v>8.2333146059493906E-2</v>
          </cell>
          <cell r="F131">
            <v>1.487175746811987E-2</v>
          </cell>
        </row>
        <row r="132">
          <cell r="E132">
            <v>0.45367403070719603</v>
          </cell>
          <cell r="F132">
            <v>0.96731535958326464</v>
          </cell>
        </row>
        <row r="133">
          <cell r="E133">
            <v>-0.27100946449883229</v>
          </cell>
          <cell r="F133">
            <v>6.5114006089090556E-2</v>
          </cell>
        </row>
        <row r="134">
          <cell r="E134">
            <v>0.10212677773770862</v>
          </cell>
          <cell r="F134">
            <v>1.0861936176534521</v>
          </cell>
        </row>
      </sheetData>
      <sheetData sheetId="8"/>
      <sheetData sheetId="9">
        <row r="4">
          <cell r="K4">
            <v>350.92706894575394</v>
          </cell>
        </row>
        <row r="5">
          <cell r="K5">
            <v>339.53121783232854</v>
          </cell>
        </row>
        <row r="6">
          <cell r="K6">
            <v>348.41747931052601</v>
          </cell>
        </row>
        <row r="7">
          <cell r="K7">
            <v>364.9975331424136</v>
          </cell>
        </row>
        <row r="8">
          <cell r="K8">
            <v>382.61685629896886</v>
          </cell>
        </row>
        <row r="9">
          <cell r="K9">
            <v>441.0532211053</v>
          </cell>
        </row>
        <row r="10">
          <cell r="K10">
            <v>417.84196927427013</v>
          </cell>
        </row>
        <row r="11">
          <cell r="K11">
            <v>341.36297259693811</v>
          </cell>
        </row>
      </sheetData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114.52931654887868</v>
          </cell>
        </row>
        <row r="6">
          <cell r="V6">
            <v>110.86601380344844</v>
          </cell>
          <cell r="W6">
            <v>38.233810418302461</v>
          </cell>
        </row>
        <row r="7">
          <cell r="V7">
            <v>107.81198586508951</v>
          </cell>
          <cell r="W7">
            <v>31.357395903826514</v>
          </cell>
        </row>
        <row r="8">
          <cell r="V8">
            <v>103.94042404216778</v>
          </cell>
          <cell r="W8">
            <v>33.191043073186641</v>
          </cell>
        </row>
        <row r="9">
          <cell r="V9">
            <v>101.597566212974</v>
          </cell>
          <cell r="W9">
            <v>28.176217384134819</v>
          </cell>
        </row>
        <row r="10">
          <cell r="V10">
            <v>98.289335217663691</v>
          </cell>
          <cell r="W10">
            <v>29.435367097917194</v>
          </cell>
        </row>
        <row r="11">
          <cell r="V11">
            <v>95.650934256926647</v>
          </cell>
          <cell r="W11">
            <v>29.376587505114202</v>
          </cell>
        </row>
        <row r="12">
          <cell r="V12">
            <v>92.859157319771441</v>
          </cell>
          <cell r="W12">
            <v>27.356235451391679</v>
          </cell>
        </row>
        <row r="13">
          <cell r="V13">
            <v>89.63205555957768</v>
          </cell>
          <cell r="W13">
            <v>18.701528652870785</v>
          </cell>
        </row>
      </sheetData>
      <sheetData sheetId="4"/>
      <sheetData sheetId="5">
        <row r="24">
          <cell r="B24">
            <v>25.604672425613842</v>
          </cell>
        </row>
        <row r="25">
          <cell r="B25">
            <v>23.852038866070874</v>
          </cell>
          <cell r="F25">
            <v>538.80636847936546</v>
          </cell>
        </row>
        <row r="26">
          <cell r="B26">
            <v>22.00580279502018</v>
          </cell>
          <cell r="F26">
            <v>565.81830140325621</v>
          </cell>
        </row>
        <row r="27">
          <cell r="B27">
            <v>20.083865936126365</v>
          </cell>
          <cell r="F27">
            <v>587.12558771139061</v>
          </cell>
        </row>
        <row r="28">
          <cell r="B28">
            <v>18.104130013054046</v>
          </cell>
          <cell r="F28">
            <v>602.7970021845191</v>
          </cell>
        </row>
        <row r="29">
          <cell r="B29">
            <v>16.084496749467839</v>
          </cell>
          <cell r="F29">
            <v>612.90521489840478</v>
          </cell>
        </row>
        <row r="30">
          <cell r="B30">
            <v>14.042867869032342</v>
          </cell>
          <cell r="F30">
            <v>617.52457281859904</v>
          </cell>
        </row>
        <row r="31">
          <cell r="B31">
            <v>11.997145095412179</v>
          </cell>
          <cell r="F31">
            <v>616.7290516106317</v>
          </cell>
        </row>
        <row r="32">
          <cell r="B32">
            <v>9.9652301522719569</v>
          </cell>
          <cell r="F32">
            <v>610.59040014457776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351.3116555312385</v>
          </cell>
        </row>
        <row r="19">
          <cell r="G19">
            <v>358.20305161206204</v>
          </cell>
        </row>
        <row r="20">
          <cell r="G20">
            <v>377.62150390725765</v>
          </cell>
        </row>
        <row r="21">
          <cell r="G21">
            <v>402.40500504911927</v>
          </cell>
        </row>
        <row r="22">
          <cell r="G22">
            <v>426.55300574238083</v>
          </cell>
        </row>
        <row r="23">
          <cell r="G23">
            <v>443.66137188185564</v>
          </cell>
        </row>
        <row r="24">
          <cell r="G24">
            <v>440.33633435164813</v>
          </cell>
        </row>
        <row r="25">
          <cell r="G25">
            <v>412.32150978932594</v>
          </cell>
        </row>
        <row r="26">
          <cell r="D26">
            <v>14373.346835346383</v>
          </cell>
        </row>
        <row r="27">
          <cell r="D27">
            <v>12218.982179947297</v>
          </cell>
        </row>
        <row r="29">
          <cell r="D29">
            <v>3438.0935305240446</v>
          </cell>
        </row>
        <row r="127">
          <cell r="E127">
            <v>0.17253072810624295</v>
          </cell>
          <cell r="F127">
            <v>1.741693732721138E-2</v>
          </cell>
        </row>
        <row r="128">
          <cell r="E128">
            <v>0.17244289389692335</v>
          </cell>
          <cell r="F128">
            <v>0.9833781139898603</v>
          </cell>
        </row>
        <row r="129">
          <cell r="E129">
            <v>0.17820053887270296</v>
          </cell>
          <cell r="F129">
            <v>6.7501603619255128E-3</v>
          </cell>
        </row>
        <row r="130">
          <cell r="E130">
            <v>0.13724534585497242</v>
          </cell>
          <cell r="F130">
            <v>1.0385199724222873</v>
          </cell>
        </row>
        <row r="131">
          <cell r="E131">
            <v>0.14923843577618551</v>
          </cell>
          <cell r="F131">
            <v>1.2152639385544237E-2</v>
          </cell>
        </row>
        <row r="132">
          <cell r="E132">
            <v>0.14584131833762701</v>
          </cell>
          <cell r="F132">
            <v>1.0107826198883307</v>
          </cell>
        </row>
        <row r="133">
          <cell r="E133">
            <v>0.12338349952894062</v>
          </cell>
          <cell r="F133">
            <v>1.2198351517056031E-2</v>
          </cell>
        </row>
        <row r="134">
          <cell r="E134">
            <v>0.16677926938613832</v>
          </cell>
          <cell r="F134">
            <v>0.99179526509021698</v>
          </cell>
        </row>
      </sheetData>
      <sheetData sheetId="8"/>
      <sheetData sheetId="9">
        <row r="4">
          <cell r="K4">
            <v>213.51402866557413</v>
          </cell>
        </row>
        <row r="5">
          <cell r="K5">
            <v>219.21787028016897</v>
          </cell>
        </row>
        <row r="6">
          <cell r="K6">
            <v>233.52248653225462</v>
          </cell>
        </row>
        <row r="7">
          <cell r="K7">
            <v>250.05618751570196</v>
          </cell>
        </row>
        <row r="8">
          <cell r="K8">
            <v>267.42683139177933</v>
          </cell>
        </row>
        <row r="9">
          <cell r="K9">
            <v>279.69637363623355</v>
          </cell>
        </row>
        <row r="10">
          <cell r="K10">
            <v>279.66020545921725</v>
          </cell>
        </row>
        <row r="11">
          <cell r="K11">
            <v>263.64050232020372</v>
          </cell>
        </row>
      </sheetData>
      <sheetData sheetId="1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144.26288077611062</v>
          </cell>
        </row>
        <row r="6">
          <cell r="V6">
            <v>138.98238417685775</v>
          </cell>
          <cell r="W6">
            <v>38.947820142586231</v>
          </cell>
        </row>
        <row r="7">
          <cell r="V7">
            <v>134.76336346606234</v>
          </cell>
          <cell r="W7">
            <v>32.156179989223453</v>
          </cell>
        </row>
        <row r="8">
          <cell r="V8">
            <v>129.22762216373999</v>
          </cell>
          <cell r="W8">
            <v>33.804842744263645</v>
          </cell>
        </row>
        <row r="9">
          <cell r="V9">
            <v>125.76702892892803</v>
          </cell>
          <cell r="W9">
            <v>28.710249504978012</v>
          </cell>
        </row>
        <row r="10">
          <cell r="V10">
            <v>120.29043641968211</v>
          </cell>
          <cell r="W10">
            <v>29.825672611781712</v>
          </cell>
        </row>
        <row r="11">
          <cell r="V11">
            <v>117.56194450990175</v>
          </cell>
          <cell r="W11">
            <v>29.667024166607465</v>
          </cell>
        </row>
        <row r="12">
          <cell r="V12">
            <v>113.56008316487623</v>
          </cell>
          <cell r="W12">
            <v>27.551527921936287</v>
          </cell>
        </row>
        <row r="13">
          <cell r="V13">
            <v>109.42332351596743</v>
          </cell>
          <cell r="W13">
            <v>18.776112610862199</v>
          </cell>
        </row>
      </sheetData>
      <sheetData sheetId="4"/>
      <sheetData sheetId="5">
        <row r="24">
          <cell r="B24">
            <v>25.813425099806192</v>
          </cell>
        </row>
        <row r="25">
          <cell r="B25">
            <v>24.053325390350768</v>
          </cell>
          <cell r="F25">
            <v>555.89815509722689</v>
          </cell>
        </row>
        <row r="26">
          <cell r="B26">
            <v>22.17855513913544</v>
          </cell>
          <cell r="F26">
            <v>590.25390788701225</v>
          </cell>
        </row>
        <row r="27">
          <cell r="B27">
            <v>20.214000952772206</v>
          </cell>
          <cell r="F27">
            <v>616.49407875132499</v>
          </cell>
        </row>
        <row r="28">
          <cell r="B28">
            <v>18.184549437873063</v>
          </cell>
          <cell r="F28">
            <v>634.71735843695205</v>
          </cell>
        </row>
        <row r="29">
          <cell r="B29">
            <v>16.115087201050009</v>
          </cell>
          <cell r="F29">
            <v>645.02922314322973</v>
          </cell>
        </row>
        <row r="30">
          <cell r="B30">
            <v>14.03050084891505</v>
          </cell>
          <cell r="F30">
            <v>647.53772898909119</v>
          </cell>
        </row>
        <row r="31">
          <cell r="B31">
            <v>11.955676988080176</v>
          </cell>
          <cell r="F31">
            <v>642.34966316754765</v>
          </cell>
        </row>
        <row r="32">
          <cell r="B32">
            <v>9.9155022251573897</v>
          </cell>
          <cell r="F32">
            <v>629.56709695418499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263.02344932343885</v>
          </cell>
        </row>
        <row r="19">
          <cell r="G19">
            <v>276.9681119014827</v>
          </cell>
        </row>
        <row r="20">
          <cell r="G20">
            <v>296.57191225498218</v>
          </cell>
        </row>
        <row r="21">
          <cell r="G21">
            <v>318.05895259622844</v>
          </cell>
        </row>
        <row r="22">
          <cell r="G22">
            <v>338.88739450512639</v>
          </cell>
        </row>
        <row r="23">
          <cell r="G23">
            <v>352.33647751132128</v>
          </cell>
        </row>
        <row r="24">
          <cell r="G24">
            <v>349.96173463438902</v>
          </cell>
        </row>
        <row r="25">
          <cell r="G25">
            <v>332.13622569835184</v>
          </cell>
        </row>
        <row r="26">
          <cell r="D26">
            <v>15009.800471546016</v>
          </cell>
        </row>
        <row r="27">
          <cell r="D27">
            <v>11420.355276834851</v>
          </cell>
        </row>
        <row r="29">
          <cell r="D29">
            <v>4992.4440321006059</v>
          </cell>
        </row>
        <row r="127">
          <cell r="E127">
            <v>0.26207235521251981</v>
          </cell>
          <cell r="F127">
            <v>9.3714925560428822E-3</v>
          </cell>
        </row>
        <row r="128">
          <cell r="E128">
            <v>0.2417367330239274</v>
          </cell>
          <cell r="F128">
            <v>0.88710983660951459</v>
          </cell>
        </row>
        <row r="129">
          <cell r="E129">
            <v>0.26863704659451104</v>
          </cell>
          <cell r="F129">
            <v>0</v>
          </cell>
        </row>
        <row r="130">
          <cell r="E130">
            <v>0.20171684648035468</v>
          </cell>
          <cell r="F130">
            <v>0.96644115357151739</v>
          </cell>
        </row>
        <row r="131">
          <cell r="E131">
            <v>0.26032239818186403</v>
          </cell>
          <cell r="F131">
            <v>9.4483189323528987E-3</v>
          </cell>
        </row>
        <row r="132">
          <cell r="E132">
            <v>0.16161256479088154</v>
          </cell>
          <cell r="F132">
            <v>0.9632280363776885</v>
          </cell>
        </row>
        <row r="133">
          <cell r="E133">
            <v>0.18633459126581184</v>
          </cell>
          <cell r="F133">
            <v>9.4860993784788E-3</v>
          </cell>
        </row>
        <row r="134">
          <cell r="E134">
            <v>0.22117549913464851</v>
          </cell>
          <cell r="F134">
            <v>0.96170015485268789</v>
          </cell>
        </row>
      </sheetData>
      <sheetData sheetId="8"/>
      <sheetData sheetId="9">
        <row r="4">
          <cell r="I4">
            <v>148.27350773311909</v>
          </cell>
        </row>
        <row r="5">
          <cell r="I5">
            <v>157.78125650198888</v>
          </cell>
        </row>
        <row r="6">
          <cell r="I6">
            <v>171.41809781834911</v>
          </cell>
        </row>
        <row r="7">
          <cell r="I7">
            <v>185.35786895265261</v>
          </cell>
        </row>
        <row r="8">
          <cell r="I8">
            <v>200.3512301030371</v>
          </cell>
        </row>
        <row r="9">
          <cell r="I9">
            <v>209.57824988420535</v>
          </cell>
        </row>
        <row r="10">
          <cell r="I10">
            <v>210.35821036835895</v>
          </cell>
        </row>
        <row r="11">
          <cell r="I11">
            <v>201.57291940642875</v>
          </cell>
        </row>
      </sheetData>
      <sheetData sheetId="1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173.58971632859024</v>
          </cell>
        </row>
        <row r="6">
          <cell r="V6">
            <v>167.12710620354923</v>
          </cell>
          <cell r="W6">
            <v>39.723044650081384</v>
          </cell>
        </row>
        <row r="7">
          <cell r="V7">
            <v>161.74017114360254</v>
          </cell>
          <cell r="W7">
            <v>32.66962222875501</v>
          </cell>
        </row>
        <row r="8">
          <cell r="V8">
            <v>154.83630362285984</v>
          </cell>
          <cell r="W8">
            <v>34.784193800199922</v>
          </cell>
        </row>
        <row r="9">
          <cell r="V9">
            <v>150.5938329001078</v>
          </cell>
          <cell r="W9">
            <v>29.559974590043666</v>
          </cell>
        </row>
        <row r="10">
          <cell r="V10">
            <v>144.65545129118331</v>
          </cell>
          <cell r="W10">
            <v>30.249931836776891</v>
          </cell>
        </row>
        <row r="11">
          <cell r="V11">
            <v>140.33770731498302</v>
          </cell>
          <cell r="W11">
            <v>30.104500218246866</v>
          </cell>
        </row>
        <row r="12">
          <cell r="V12">
            <v>135.69258689722719</v>
          </cell>
          <cell r="W12">
            <v>28.127139098522676</v>
          </cell>
        </row>
        <row r="13">
          <cell r="V13">
            <v>128.67415829970389</v>
          </cell>
          <cell r="W13">
            <v>18.99064400888809</v>
          </cell>
        </row>
      </sheetData>
      <sheetData sheetId="4"/>
      <sheetData sheetId="5">
        <row r="24">
          <cell r="B24">
            <v>26.351803238936142</v>
          </cell>
        </row>
        <row r="25">
          <cell r="B25">
            <v>24.499184491665698</v>
          </cell>
          <cell r="F25">
            <v>636.90187069126682</v>
          </cell>
        </row>
        <row r="26">
          <cell r="B26">
            <v>22.559836599263722</v>
          </cell>
          <cell r="F26">
            <v>664.52554585025814</v>
          </cell>
        </row>
        <row r="27">
          <cell r="B27">
            <v>20.547430916923307</v>
          </cell>
          <cell r="F27">
            <v>687.22656684044989</v>
          </cell>
        </row>
        <row r="28">
          <cell r="B28">
            <v>18.475638799837547</v>
          </cell>
          <cell r="F28">
            <v>705.06764119715638</v>
          </cell>
        </row>
        <row r="29">
          <cell r="B29">
            <v>16.358131603199539</v>
          </cell>
          <cell r="F29">
            <v>718.1147381415625</v>
          </cell>
        </row>
        <row r="30">
          <cell r="B30">
            <v>14.208580682202371</v>
          </cell>
          <cell r="F30">
            <v>726.43548937382752</v>
          </cell>
        </row>
        <row r="31">
          <cell r="B31">
            <v>12.040657392039137</v>
          </cell>
          <cell r="F31">
            <v>730.09769662030192</v>
          </cell>
        </row>
        <row r="32">
          <cell r="B32">
            <v>9.8680330879029334</v>
          </cell>
          <cell r="F32">
            <v>729.16796257462659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236.74483114544648</v>
          </cell>
        </row>
        <row r="19">
          <cell r="G19">
            <v>247.73539516418731</v>
          </cell>
        </row>
        <row r="20">
          <cell r="G20">
            <v>263.92166115925181</v>
          </cell>
        </row>
        <row r="21">
          <cell r="G21">
            <v>282.06543070204884</v>
          </cell>
        </row>
        <row r="22">
          <cell r="G22">
            <v>299.66136473305892</v>
          </cell>
        </row>
        <row r="23">
          <cell r="G23">
            <v>314.19225629178874</v>
          </cell>
        </row>
        <row r="24">
          <cell r="G24">
            <v>318.91922934349753</v>
          </cell>
        </row>
        <row r="25">
          <cell r="G25">
            <v>314.89767653677723</v>
          </cell>
        </row>
        <row r="26">
          <cell r="D26">
            <v>16946.695177311845</v>
          </cell>
        </row>
        <row r="27">
          <cell r="D27">
            <v>11703.471278111456</v>
          </cell>
        </row>
        <row r="29">
          <cell r="D29">
            <v>6909.7681198349746</v>
          </cell>
        </row>
        <row r="127">
          <cell r="E127">
            <v>0.34544870991061566</v>
          </cell>
          <cell r="F127">
            <v>4.0135749281792763E-3</v>
          </cell>
        </row>
        <row r="128">
          <cell r="E128">
            <v>0.32625727894268486</v>
          </cell>
          <cell r="F128">
            <v>0.8676187218949325</v>
          </cell>
        </row>
        <row r="129">
          <cell r="E129">
            <v>0.36191615977050323</v>
          </cell>
          <cell r="F129">
            <v>0</v>
          </cell>
        </row>
        <row r="130">
          <cell r="E130">
            <v>0.2647486396309004</v>
          </cell>
          <cell r="F130">
            <v>1.0116343341349636</v>
          </cell>
        </row>
        <row r="131">
          <cell r="E131">
            <v>0.30468155138185443</v>
          </cell>
          <cell r="F131">
            <v>5.3957595370070213E-3</v>
          </cell>
        </row>
        <row r="132">
          <cell r="E132">
            <v>0.26008491509844861</v>
          </cell>
          <cell r="F132">
            <v>0.9924533170194022</v>
          </cell>
        </row>
        <row r="133">
          <cell r="E133">
            <v>0.23325012282869939</v>
          </cell>
          <cell r="F133">
            <v>8.1278735790173764E-3</v>
          </cell>
        </row>
        <row r="134">
          <cell r="E134">
            <v>0.38585422683649684</v>
          </cell>
          <cell r="F134">
            <v>1.0119135116103173</v>
          </cell>
        </row>
      </sheetData>
      <sheetData sheetId="8"/>
      <sheetData sheetId="9">
        <row r="4">
          <cell r="H4">
            <v>123.88262480176873</v>
          </cell>
        </row>
        <row r="5">
          <cell r="H5">
            <v>131.4371413208973</v>
          </cell>
        </row>
        <row r="6">
          <cell r="H6">
            <v>142.52024742889435</v>
          </cell>
        </row>
        <row r="7">
          <cell r="H7">
            <v>153.94989039668698</v>
          </cell>
        </row>
        <row r="8">
          <cell r="H8">
            <v>166.06158259247479</v>
          </cell>
        </row>
        <row r="9">
          <cell r="H9">
            <v>175.97357448756875</v>
          </cell>
        </row>
        <row r="10">
          <cell r="H10">
            <v>180.76178749563465</v>
          </cell>
        </row>
        <row r="11">
          <cell r="H11">
            <v>181.60593014380467</v>
          </cell>
        </row>
      </sheetData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205.04684869774783</v>
          </cell>
        </row>
        <row r="6">
          <cell r="V6">
            <v>197.19338827966976</v>
          </cell>
          <cell r="W6">
            <v>42.208121738616342</v>
          </cell>
        </row>
        <row r="7">
          <cell r="V7">
            <v>190.63262540608241</v>
          </cell>
          <cell r="W7">
            <v>35.039694748950446</v>
          </cell>
        </row>
        <row r="8">
          <cell r="V8">
            <v>182.10825705015816</v>
          </cell>
          <cell r="W8">
            <v>37.226822260855862</v>
          </cell>
        </row>
        <row r="9">
          <cell r="V9">
            <v>173.84409981530371</v>
          </cell>
          <cell r="W9">
            <v>31.324070069737214</v>
          </cell>
        </row>
        <row r="10">
          <cell r="V10">
            <v>170.709747015749</v>
          </cell>
          <cell r="W10">
            <v>32.032488937354287</v>
          </cell>
        </row>
        <row r="11">
          <cell r="V11">
            <v>164.91734967933292</v>
          </cell>
          <cell r="W11">
            <v>31.874465225522567</v>
          </cell>
        </row>
        <row r="12">
          <cell r="V12">
            <v>158.81002624353812</v>
          </cell>
          <cell r="W12">
            <v>29.155655312098997</v>
          </cell>
        </row>
        <row r="13">
          <cell r="V13">
            <v>153.07961706238299</v>
          </cell>
          <cell r="W13">
            <v>19.815408688493001</v>
          </cell>
        </row>
      </sheetData>
      <sheetData sheetId="4"/>
      <sheetData sheetId="5">
        <row r="24">
          <cell r="B24">
            <v>27.723567938627557</v>
          </cell>
        </row>
        <row r="25">
          <cell r="B25">
            <v>25.726799375510826</v>
          </cell>
          <cell r="F25">
            <v>686.91839129395908</v>
          </cell>
        </row>
        <row r="26">
          <cell r="B26">
            <v>23.641628736682392</v>
          </cell>
          <cell r="F26">
            <v>714.77069535110388</v>
          </cell>
        </row>
        <row r="27">
          <cell r="B27">
            <v>21.477694683173056</v>
          </cell>
          <cell r="F27">
            <v>739.05249254562716</v>
          </cell>
        </row>
        <row r="28">
          <cell r="B28">
            <v>19.244635876013632</v>
          </cell>
          <cell r="F28">
            <v>759.81214208296478</v>
          </cell>
        </row>
        <row r="29">
          <cell r="B29">
            <v>16.952090976234921</v>
          </cell>
          <cell r="F29">
            <v>777.10095225011389</v>
          </cell>
        </row>
        <row r="30">
          <cell r="B30">
            <v>14.609698644867729</v>
          </cell>
          <cell r="F30">
            <v>790.97219751806369</v>
          </cell>
        </row>
        <row r="31">
          <cell r="B31">
            <v>12.227097542942865</v>
          </cell>
          <cell r="F31">
            <v>801.48017723722569</v>
          </cell>
        </row>
        <row r="32">
          <cell r="B32">
            <v>9.8139263314911354</v>
          </cell>
          <cell r="F32">
            <v>808.6793262784746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209.96401288928874</v>
          </cell>
        </row>
        <row r="19">
          <cell r="G19">
            <v>220.62174694819797</v>
          </cell>
        </row>
        <row r="20">
          <cell r="G20">
            <v>235.6885057586382</v>
          </cell>
        </row>
        <row r="21">
          <cell r="G21">
            <v>255.19313403022326</v>
          </cell>
        </row>
        <row r="22">
          <cell r="G22">
            <v>271.09817434942778</v>
          </cell>
        </row>
        <row r="23">
          <cell r="G23">
            <v>282.32378481152523</v>
          </cell>
        </row>
        <row r="24">
          <cell r="G24">
            <v>290.86183717594969</v>
          </cell>
        </row>
        <row r="25">
          <cell r="G25">
            <v>290.05237114478325</v>
          </cell>
        </row>
        <row r="26">
          <cell r="D26">
            <v>18416.074066361933</v>
          </cell>
        </row>
        <row r="27">
          <cell r="D27">
            <v>11580.628113501409</v>
          </cell>
        </row>
        <row r="29">
          <cell r="D29">
            <v>8179.6654538765888</v>
          </cell>
        </row>
        <row r="127">
          <cell r="E127">
            <v>0.42277919969292826</v>
          </cell>
          <cell r="F127">
            <v>2.6690865255721637E-3</v>
          </cell>
        </row>
        <row r="128">
          <cell r="E128">
            <v>0.40006007970307661</v>
          </cell>
          <cell r="F128">
            <v>0.84681318914377501</v>
          </cell>
        </row>
        <row r="129">
          <cell r="E129">
            <v>0.45637344180614597</v>
          </cell>
          <cell r="F129">
            <v>0</v>
          </cell>
        </row>
        <row r="130">
          <cell r="E130">
            <v>0.48834478145187138</v>
          </cell>
          <cell r="F130">
            <v>0.96790799554135376</v>
          </cell>
        </row>
        <row r="131">
          <cell r="E131">
            <v>0.16540701241433994</v>
          </cell>
          <cell r="F131">
            <v>5.3863563232571564E-3</v>
          </cell>
        </row>
        <row r="132">
          <cell r="E132">
            <v>0.35095671579497023</v>
          </cell>
          <cell r="F132">
            <v>1.0004380585477974</v>
          </cell>
        </row>
        <row r="133">
          <cell r="E133">
            <v>0.31576582787304491</v>
          </cell>
          <cell r="F133">
            <v>8.1186791071324298E-3</v>
          </cell>
        </row>
        <row r="134">
          <cell r="E134">
            <v>0.33882800089451143</v>
          </cell>
          <cell r="F134">
            <v>1.0288760059782485</v>
          </cell>
        </row>
      </sheetData>
      <sheetData sheetId="8"/>
      <sheetData sheetId="9">
        <row r="4">
          <cell r="G4">
            <v>101.93631719009387</v>
          </cell>
        </row>
        <row r="5">
          <cell r="G5">
            <v>108.95815320687021</v>
          </cell>
        </row>
        <row r="6">
          <cell r="G6">
            <v>118.91672127520587</v>
          </cell>
        </row>
        <row r="7">
          <cell r="G7">
            <v>131.51942716369985</v>
          </cell>
        </row>
        <row r="8">
          <cell r="G8">
            <v>140.82468915231274</v>
          </cell>
        </row>
        <row r="9">
          <cell r="G9">
            <v>148.83497255426943</v>
          </cell>
        </row>
        <row r="10">
          <cell r="G10">
            <v>155.71629343810508</v>
          </cell>
        </row>
        <row r="11">
          <cell r="G11">
            <v>157.52462077510339</v>
          </cell>
        </row>
      </sheetData>
      <sheetData sheetId="1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84.028525760878992</v>
          </cell>
        </row>
        <row r="6">
          <cell r="V6">
            <v>80.559682810403203</v>
          </cell>
          <cell r="W6">
            <v>47.532524291466302</v>
          </cell>
        </row>
        <row r="7">
          <cell r="V7">
            <v>78.064250353752143</v>
          </cell>
          <cell r="W7">
            <v>45.003145775045596</v>
          </cell>
        </row>
        <row r="8">
          <cell r="V8">
            <v>74.795197345333904</v>
          </cell>
          <cell r="W8">
            <v>41.314117656901566</v>
          </cell>
        </row>
        <row r="9">
          <cell r="V9">
            <v>72.210175619359006</v>
          </cell>
          <cell r="W9">
            <v>36.715683570538012</v>
          </cell>
        </row>
        <row r="10">
          <cell r="V10">
            <v>69.604304691139831</v>
          </cell>
          <cell r="W10">
            <v>35.826958935392064</v>
          </cell>
        </row>
        <row r="11">
          <cell r="V11">
            <v>67.200703275216526</v>
          </cell>
          <cell r="W11">
            <v>34.237895058666531</v>
          </cell>
        </row>
        <row r="12">
          <cell r="V12">
            <v>64.405115163146618</v>
          </cell>
          <cell r="W12">
            <v>30.440073337680616</v>
          </cell>
        </row>
        <row r="13">
          <cell r="V13">
            <v>61.888009230063005</v>
          </cell>
          <cell r="W13">
            <v>28.03738465876549</v>
          </cell>
        </row>
      </sheetData>
      <sheetData sheetId="4"/>
      <sheetData sheetId="5">
        <row r="24">
          <cell r="B24">
            <v>34.856563715956149</v>
          </cell>
        </row>
        <row r="25">
          <cell r="B25">
            <v>31.922793416651281</v>
          </cell>
          <cell r="F25">
            <v>265.24337900797673</v>
          </cell>
        </row>
        <row r="26">
          <cell r="B26">
            <v>29.030692993472073</v>
          </cell>
          <cell r="F26">
            <v>260.09413724502718</v>
          </cell>
        </row>
        <row r="27">
          <cell r="B27">
            <v>26.148746039351721</v>
          </cell>
          <cell r="F27">
            <v>257.84648347241233</v>
          </cell>
        </row>
        <row r="28">
          <cell r="B28">
            <v>23.245436147223423</v>
          </cell>
          <cell r="F28">
            <v>258.44161192170282</v>
          </cell>
        </row>
        <row r="29">
          <cell r="B29">
            <v>20.289246910020378</v>
          </cell>
          <cell r="F29">
            <v>261.82379846997748</v>
          </cell>
        </row>
        <row r="30">
          <cell r="B30">
            <v>17.248661920675779</v>
          </cell>
          <cell r="F30">
            <v>267.93908377537457</v>
          </cell>
        </row>
        <row r="31">
          <cell r="B31">
            <v>14.092164772122825</v>
          </cell>
          <cell r="F31">
            <v>276.73422868742682</v>
          </cell>
        </row>
        <row r="32">
          <cell r="B32">
            <v>10.78823905729471</v>
          </cell>
          <cell r="F32">
            <v>288.15597313405556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375.51936455632699</v>
          </cell>
        </row>
        <row r="19">
          <cell r="G19">
            <v>359.52638746564077</v>
          </cell>
        </row>
        <row r="20">
          <cell r="G20">
            <v>353.22607742449935</v>
          </cell>
        </row>
        <row r="21">
          <cell r="G21">
            <v>355.71017151026979</v>
          </cell>
        </row>
        <row r="22">
          <cell r="G22">
            <v>361.39833520461144</v>
          </cell>
        </row>
        <row r="23">
          <cell r="G23">
            <v>370.92228970820224</v>
          </cell>
        </row>
        <row r="24">
          <cell r="G24">
            <v>384.3759669669779</v>
          </cell>
        </row>
        <row r="25">
          <cell r="G25">
            <v>432.38224195357731</v>
          </cell>
        </row>
        <row r="26">
          <cell r="D26">
            <v>6584.8177612567024</v>
          </cell>
        </row>
        <row r="27">
          <cell r="D27">
            <v>6208.4545756184743</v>
          </cell>
        </row>
        <row r="29">
          <cell r="D29">
            <v>921.29629033139702</v>
          </cell>
        </row>
        <row r="127">
          <cell r="E127">
            <v>5.5816252526408199E-2</v>
          </cell>
          <cell r="F127">
            <v>0.45197058008777757</v>
          </cell>
        </row>
        <row r="128">
          <cell r="E128">
            <v>3.4111744865371788E-2</v>
          </cell>
          <cell r="F128">
            <v>9.3227298515555015E-2</v>
          </cell>
        </row>
        <row r="129">
          <cell r="E129">
            <v>4.3307822803730335E-2</v>
          </cell>
          <cell r="F129">
            <v>7.7491943575903E-2</v>
          </cell>
        </row>
        <row r="130">
          <cell r="E130">
            <v>4.062967058581704E-2</v>
          </cell>
          <cell r="F130">
            <v>0.3867309286616834</v>
          </cell>
        </row>
        <row r="131">
          <cell r="E131">
            <v>3.4556574922709936E-2</v>
          </cell>
          <cell r="F131">
            <v>0.11818349957766699</v>
          </cell>
        </row>
        <row r="132">
          <cell r="E132">
            <v>3.513395375470818E-2</v>
          </cell>
          <cell r="F132">
            <v>0.29525307780774435</v>
          </cell>
        </row>
        <row r="133">
          <cell r="E133">
            <v>3.4093554384880785E-2</v>
          </cell>
          <cell r="F133">
            <v>2.698749553425599E-2</v>
          </cell>
        </row>
        <row r="134">
          <cell r="E134">
            <v>4.1115856266839383E-2</v>
          </cell>
          <cell r="F134">
            <v>0.61964003477890484</v>
          </cell>
        </row>
      </sheetData>
      <sheetData sheetId="8"/>
      <sheetData sheetId="9">
        <row r="4">
          <cell r="R4">
            <v>245.7203252525872</v>
          </cell>
        </row>
        <row r="5">
          <cell r="R5">
            <v>236.72293307664415</v>
          </cell>
        </row>
        <row r="6">
          <cell r="R6">
            <v>234.55791687033633</v>
          </cell>
        </row>
        <row r="7">
          <cell r="R7">
            <v>237.18168195600558</v>
          </cell>
        </row>
        <row r="8">
          <cell r="R8">
            <v>242.37561131991535</v>
          </cell>
        </row>
        <row r="9">
          <cell r="R9">
            <v>249.99953903744139</v>
          </cell>
        </row>
        <row r="10">
          <cell r="R10">
            <v>261.00066615627003</v>
          </cell>
        </row>
        <row r="11">
          <cell r="R11">
            <v>293.92549364745031</v>
          </cell>
        </row>
      </sheetData>
      <sheetData sheetId="1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115.18600689907623</v>
          </cell>
        </row>
        <row r="6">
          <cell r="V6">
            <v>109.19384217115852</v>
          </cell>
          <cell r="W6">
            <v>49.650528254808684</v>
          </cell>
        </row>
        <row r="7">
          <cell r="V7">
            <v>103.69471987061293</v>
          </cell>
          <cell r="W7">
            <v>46.829955453901341</v>
          </cell>
        </row>
        <row r="8">
          <cell r="V8">
            <v>97.44985055162347</v>
          </cell>
          <cell r="W8">
            <v>43.903338225759008</v>
          </cell>
        </row>
        <row r="9">
          <cell r="V9">
            <v>95.425836908225747</v>
          </cell>
          <cell r="W9">
            <v>39.604274203975983</v>
          </cell>
        </row>
        <row r="10">
          <cell r="V10">
            <v>91.102419260850354</v>
          </cell>
          <cell r="W10">
            <v>37.81120569301661</v>
          </cell>
        </row>
        <row r="11">
          <cell r="V11">
            <v>85.995937093538487</v>
          </cell>
          <cell r="W11">
            <v>36.063761426424769</v>
          </cell>
        </row>
        <row r="12">
          <cell r="V12">
            <v>81.630628208557951</v>
          </cell>
          <cell r="W12">
            <v>33.635493083753921</v>
          </cell>
        </row>
        <row r="13">
          <cell r="V13">
            <v>77.056588519749198</v>
          </cell>
          <cell r="W13">
            <v>28.975025610487297</v>
          </cell>
        </row>
      </sheetData>
      <sheetData sheetId="4"/>
      <sheetData sheetId="5">
        <row r="24">
          <cell r="B24">
            <v>36.08885432302349</v>
          </cell>
        </row>
        <row r="25">
          <cell r="B25">
            <v>33.398515208756834</v>
          </cell>
          <cell r="F25">
            <v>263.53089387198747</v>
          </cell>
        </row>
        <row r="26">
          <cell r="B26">
            <v>30.466038786346747</v>
          </cell>
          <cell r="F26">
            <v>285.77231447931348</v>
          </cell>
        </row>
        <row r="27">
          <cell r="B27">
            <v>27.340177969343777</v>
          </cell>
          <cell r="F27">
            <v>302.95859923999058</v>
          </cell>
        </row>
        <row r="28">
          <cell r="B28">
            <v>24.069685671298451</v>
          </cell>
          <cell r="F28">
            <v>315.18792474523678</v>
          </cell>
        </row>
        <row r="29">
          <cell r="B29">
            <v>20.703314805761309</v>
          </cell>
          <cell r="F29">
            <v>322.56844600226657</v>
          </cell>
        </row>
        <row r="30">
          <cell r="B30">
            <v>17.28981828628288</v>
          </cell>
          <cell r="F30">
            <v>325.21230430448759</v>
          </cell>
        </row>
        <row r="31">
          <cell r="B31">
            <v>13.877949026413706</v>
          </cell>
          <cell r="F31">
            <v>323.23021408627744</v>
          </cell>
        </row>
        <row r="32">
          <cell r="B32">
            <v>10.516459939704319</v>
          </cell>
          <cell r="F32">
            <v>316.72676103374499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206.1198977470701</v>
          </cell>
        </row>
        <row r="19">
          <cell r="G19">
            <v>230.78351389112927</v>
          </cell>
        </row>
        <row r="20">
          <cell r="G20">
            <v>256.73479275513125</v>
          </cell>
        </row>
        <row r="21">
          <cell r="G21">
            <v>274.56107262918971</v>
          </cell>
        </row>
        <row r="22">
          <cell r="G22">
            <v>284.99712072583708</v>
          </cell>
        </row>
        <row r="23">
          <cell r="G23">
            <v>299.48110872573216</v>
          </cell>
        </row>
        <row r="24">
          <cell r="G24">
            <v>308.63769974358325</v>
          </cell>
        </row>
        <row r="25">
          <cell r="G25">
            <v>333.74547666197742</v>
          </cell>
        </row>
        <row r="26">
          <cell r="D26">
            <v>7510.7682478832367</v>
          </cell>
        </row>
        <row r="27">
          <cell r="D27">
            <v>6533.1337155362662</v>
          </cell>
        </row>
        <row r="29">
          <cell r="D29">
            <v>1691.4414281356162</v>
          </cell>
        </row>
        <row r="127">
          <cell r="E127">
            <v>8.6614152427054628E-2</v>
          </cell>
          <cell r="F127">
            <v>1.2356643004262683E-2</v>
          </cell>
        </row>
        <row r="128">
          <cell r="E128">
            <v>9.4885480474860673E-2</v>
          </cell>
          <cell r="F128">
            <v>0.57590279830875291</v>
          </cell>
        </row>
        <row r="129">
          <cell r="E129">
            <v>8.6746464909177076E-2</v>
          </cell>
          <cell r="F129">
            <v>1.4219319905599867E-2</v>
          </cell>
        </row>
        <row r="130">
          <cell r="E130">
            <v>3.8324365427809516E-2</v>
          </cell>
          <cell r="F130">
            <v>0.37777759522114263</v>
          </cell>
        </row>
        <row r="131">
          <cell r="E131">
            <v>5.8487679787689324E-2</v>
          </cell>
          <cell r="F131">
            <v>9.8239728362624415E-3</v>
          </cell>
        </row>
        <row r="132">
          <cell r="E132">
            <v>8.4164330562907397E-2</v>
          </cell>
          <cell r="F132">
            <v>0.66428696408542398</v>
          </cell>
        </row>
        <row r="133">
          <cell r="E133">
            <v>5.64022003748062E-2</v>
          </cell>
          <cell r="F133">
            <v>7.182070670312222E-3</v>
          </cell>
        </row>
        <row r="134">
          <cell r="E134">
            <v>6.9855802080900448E-2</v>
          </cell>
          <cell r="F134">
            <v>0.51616187448033191</v>
          </cell>
        </row>
      </sheetData>
      <sheetData sheetId="8"/>
      <sheetData sheetId="9">
        <row r="4">
          <cell r="H4">
            <v>124.36535284306495</v>
          </cell>
        </row>
        <row r="5">
          <cell r="H5">
            <v>140.9477797926107</v>
          </cell>
        </row>
        <row r="6">
          <cell r="H6">
            <v>159.43879627072727</v>
          </cell>
        </row>
        <row r="7">
          <cell r="H7">
            <v>171.08196031406834</v>
          </cell>
        </row>
        <row r="8">
          <cell r="H8">
            <v>179.64569076409475</v>
          </cell>
        </row>
        <row r="9">
          <cell r="H9">
            <v>190.57103449073239</v>
          </cell>
        </row>
        <row r="10">
          <cell r="H10">
            <v>198.68751867431203</v>
          </cell>
        </row>
        <row r="11">
          <cell r="H11">
            <v>216.67692426940837</v>
          </cell>
        </row>
      </sheetData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145.05215013387746</v>
          </cell>
        </row>
        <row r="6">
          <cell r="V6">
            <v>136.34134619631524</v>
          </cell>
          <cell r="W6">
            <v>50.452827236812453</v>
          </cell>
        </row>
        <row r="7">
          <cell r="V7">
            <v>129.57710308983994</v>
          </cell>
          <cell r="W7">
            <v>47.445495026517641</v>
          </cell>
        </row>
        <row r="8">
          <cell r="V8">
            <v>121.39448133239375</v>
          </cell>
          <cell r="W8">
            <v>44.89468236463091</v>
          </cell>
        </row>
        <row r="9">
          <cell r="V9">
            <v>117.29979411033757</v>
          </cell>
          <cell r="W9">
            <v>40.440292699082711</v>
          </cell>
        </row>
        <row r="10">
          <cell r="V10">
            <v>110.14411682451292</v>
          </cell>
          <cell r="W10">
            <v>38.897852467572797</v>
          </cell>
        </row>
        <row r="11">
          <cell r="V11">
            <v>105.33267797411588</v>
          </cell>
          <cell r="W11">
            <v>37.297442450429607</v>
          </cell>
        </row>
        <row r="12">
          <cell r="V12">
            <v>100.55318455007109</v>
          </cell>
          <cell r="W12">
            <v>34.220600844349633</v>
          </cell>
        </row>
        <row r="13">
          <cell r="V13">
            <v>94.777151568774698</v>
          </cell>
          <cell r="W13">
            <v>29.678526926819803</v>
          </cell>
        </row>
      </sheetData>
      <sheetData sheetId="4"/>
      <sheetData sheetId="5">
        <row r="24">
          <cell r="B24">
            <v>36.924312909100841</v>
          </cell>
        </row>
        <row r="25">
          <cell r="B25">
            <v>33.936687454190164</v>
          </cell>
          <cell r="F25">
            <v>309.86425922413036</v>
          </cell>
        </row>
        <row r="26">
          <cell r="B26">
            <v>30.82948867863028</v>
          </cell>
          <cell r="F26">
            <v>320.4644363160379</v>
          </cell>
        </row>
        <row r="27">
          <cell r="B27">
            <v>27.61620168348626</v>
          </cell>
          <cell r="F27">
            <v>329.51871299422515</v>
          </cell>
        </row>
        <row r="28">
          <cell r="B28">
            <v>24.310311569823167</v>
          </cell>
          <cell r="F28">
            <v>337.06220965276094</v>
          </cell>
        </row>
        <row r="29">
          <cell r="B29">
            <v>20.925303438706067</v>
          </cell>
          <cell r="F29">
            <v>343.13137919798783</v>
          </cell>
        </row>
        <row r="30">
          <cell r="B30">
            <v>17.474662391200017</v>
          </cell>
          <cell r="F30">
            <v>347.76329009584452</v>
          </cell>
        </row>
        <row r="31">
          <cell r="B31">
            <v>13.971873528370089</v>
          </cell>
          <cell r="F31">
            <v>350.99494280564602</v>
          </cell>
        </row>
        <row r="32">
          <cell r="B32">
            <v>10.430421951281346</v>
          </cell>
          <cell r="F32">
            <v>352.8626297780163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167.51526494865169</v>
          </cell>
        </row>
        <row r="19">
          <cell r="G19">
            <v>181.26371583565904</v>
          </cell>
        </row>
        <row r="20">
          <cell r="G20">
            <v>196.73000369964535</v>
          </cell>
        </row>
        <row r="21">
          <cell r="G21">
            <v>210.71739743047766</v>
          </cell>
        </row>
        <row r="22">
          <cell r="G22">
            <v>224.03612013108625</v>
          </cell>
        </row>
        <row r="23">
          <cell r="G23">
            <v>238.23834970452177</v>
          </cell>
        </row>
        <row r="24">
          <cell r="G24">
            <v>246.74092314773682</v>
          </cell>
        </row>
        <row r="25">
          <cell r="G25">
            <v>274.42253330827339</v>
          </cell>
        </row>
        <row r="26">
          <cell r="D26">
            <v>8268.8000703751095</v>
          </cell>
        </row>
        <row r="27">
          <cell r="D27">
            <v>6548.0104947681511</v>
          </cell>
        </row>
        <row r="29">
          <cell r="D29">
            <v>2417.1507566260593</v>
          </cell>
        </row>
        <row r="127">
          <cell r="E127">
            <v>0.13705448731497358</v>
          </cell>
          <cell r="F127">
            <v>8.8195236375621568E-3</v>
          </cell>
        </row>
        <row r="128">
          <cell r="E128">
            <v>0.12536959578735704</v>
          </cell>
          <cell r="F128">
            <v>0.56483322060837915</v>
          </cell>
        </row>
        <row r="129">
          <cell r="E129">
            <v>0.12381574334287752</v>
          </cell>
          <cell r="F129">
            <v>1.4207167006570343E-2</v>
          </cell>
        </row>
        <row r="130">
          <cell r="E130">
            <v>7.2837195617309294E-2</v>
          </cell>
          <cell r="F130">
            <v>0.34359385473634102</v>
          </cell>
        </row>
        <row r="131">
          <cell r="E131">
            <v>0.10533670217838824</v>
          </cell>
          <cell r="F131">
            <v>9.8140400511147075E-3</v>
          </cell>
        </row>
        <row r="132">
          <cell r="E132">
            <v>9.0656576695927971E-2</v>
          </cell>
          <cell r="F132">
            <v>0.69135018069209664</v>
          </cell>
        </row>
        <row r="133">
          <cell r="E133">
            <v>6.7278340261884728E-2</v>
          </cell>
          <cell r="F133">
            <v>7.175867569252036E-3</v>
          </cell>
        </row>
        <row r="134">
          <cell r="E134">
            <v>9.5034944343301397E-2</v>
          </cell>
          <cell r="F134">
            <v>0.54287631062140074</v>
          </cell>
        </row>
      </sheetData>
      <sheetData sheetId="8"/>
      <sheetData sheetId="9">
        <row r="4">
          <cell r="H4">
            <v>95.112246451876985</v>
          </cell>
        </row>
        <row r="5">
          <cell r="H5">
            <v>104.62252045057851</v>
          </cell>
        </row>
        <row r="6">
          <cell r="H6">
            <v>116.00867551534391</v>
          </cell>
        </row>
        <row r="7">
          <cell r="H7">
            <v>125.43655902017525</v>
          </cell>
        </row>
        <row r="8">
          <cell r="H8">
            <v>135.89143748341451</v>
          </cell>
        </row>
        <row r="9">
          <cell r="H9">
            <v>145.90773013601523</v>
          </cell>
        </row>
        <row r="10">
          <cell r="H10">
            <v>153.00779345383185</v>
          </cell>
        </row>
        <row r="11">
          <cell r="H11">
            <v>172.28025720681322</v>
          </cell>
        </row>
      </sheetData>
      <sheetData sheetId="1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174.75870483962413</v>
          </cell>
        </row>
        <row r="6">
          <cell r="V6">
            <v>162.76109167826493</v>
          </cell>
          <cell r="W6">
            <v>52.293734855676917</v>
          </cell>
        </row>
        <row r="7">
          <cell r="V7">
            <v>155.30288431176012</v>
          </cell>
          <cell r="W7">
            <v>49.115790452520777</v>
          </cell>
        </row>
        <row r="8">
          <cell r="V8">
            <v>145.6938573913344</v>
          </cell>
          <cell r="W8">
            <v>46.329946829634082</v>
          </cell>
        </row>
        <row r="9">
          <cell r="V9">
            <v>140.14167080444327</v>
          </cell>
          <cell r="W9">
            <v>41.980565165691587</v>
          </cell>
        </row>
        <row r="10">
          <cell r="V10">
            <v>132.44592728706431</v>
          </cell>
          <cell r="W10">
            <v>40.478409042098754</v>
          </cell>
        </row>
        <row r="11">
          <cell r="V11">
            <v>125.3269575776108</v>
          </cell>
          <cell r="W11">
            <v>38.986209584826042</v>
          </cell>
        </row>
        <row r="12">
          <cell r="V12">
            <v>118.4934790575753</v>
          </cell>
          <cell r="W12">
            <v>36.244783313892462</v>
          </cell>
        </row>
        <row r="13">
          <cell r="V13">
            <v>111.5956575989574</v>
          </cell>
          <cell r="W13">
            <v>30.852092057543846</v>
          </cell>
        </row>
      </sheetData>
      <sheetData sheetId="4"/>
      <sheetData sheetId="5">
        <row r="24">
          <cell r="B24">
            <v>37.994846648700126</v>
          </cell>
        </row>
        <row r="25">
          <cell r="B25">
            <v>34.968839820676294</v>
          </cell>
          <cell r="F25">
            <v>321.29548162406127</v>
          </cell>
        </row>
        <row r="26">
          <cell r="B26">
            <v>31.777189607579803</v>
          </cell>
          <cell r="F26">
            <v>336.93988007688466</v>
          </cell>
        </row>
        <row r="27">
          <cell r="B27">
            <v>28.440060433899141</v>
          </cell>
          <cell r="F27">
            <v>350.21449691380366</v>
          </cell>
        </row>
        <row r="28">
          <cell r="B28">
            <v>24.977616724122779</v>
          </cell>
          <cell r="F28">
            <v>361.17173476217079</v>
          </cell>
        </row>
        <row r="29">
          <cell r="B29">
            <v>21.410022902739186</v>
          </cell>
          <cell r="F29">
            <v>369.86752768219668</v>
          </cell>
        </row>
        <row r="30">
          <cell r="B30">
            <v>17.757443394236844</v>
          </cell>
          <cell r="F30">
            <v>376.35978976188483</v>
          </cell>
        </row>
        <row r="31">
          <cell r="B31">
            <v>14.040042623104224</v>
          </cell>
          <cell r="F31">
            <v>380.70693745258251</v>
          </cell>
        </row>
        <row r="32">
          <cell r="B32">
            <v>10.277985013829799</v>
          </cell>
          <cell r="F32">
            <v>382.9665134058007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134.56773136668099</v>
          </cell>
        </row>
        <row r="19">
          <cell r="G19">
            <v>148.23451724159403</v>
          </cell>
        </row>
        <row r="20">
          <cell r="G20">
            <v>162.13884528672602</v>
          </cell>
        </row>
        <row r="21">
          <cell r="G21">
            <v>175.94213513345389</v>
          </cell>
        </row>
        <row r="22">
          <cell r="G22">
            <v>188.6259735425385</v>
          </cell>
        </row>
        <row r="23">
          <cell r="G23">
            <v>202.59902135497794</v>
          </cell>
        </row>
        <row r="24">
          <cell r="G24">
            <v>214.18217554617013</v>
          </cell>
        </row>
        <row r="25">
          <cell r="G25">
            <v>240.6647606662508</v>
          </cell>
        </row>
        <row r="26">
          <cell r="D26">
            <v>8805.124470296174</v>
          </cell>
        </row>
        <row r="27">
          <cell r="D27">
            <v>6377.599438207968</v>
          </cell>
        </row>
        <row r="29">
          <cell r="D29">
            <v>3189.4732410721767</v>
          </cell>
        </row>
        <row r="127">
          <cell r="E127">
            <v>0.19940244146265809</v>
          </cell>
          <cell r="F127">
            <v>8.8022493157828442E-3</v>
          </cell>
        </row>
        <row r="128">
          <cell r="E128">
            <v>0.14263430380623141</v>
          </cell>
          <cell r="F128">
            <v>0.45700630711131712</v>
          </cell>
        </row>
        <row r="129">
          <cell r="E129">
            <v>0.15453437076395032</v>
          </cell>
          <cell r="F129">
            <v>7.9800218021526103E-3</v>
          </cell>
        </row>
        <row r="130">
          <cell r="E130">
            <v>0.10994664694144102</v>
          </cell>
          <cell r="F130">
            <v>0.5403749272815026</v>
          </cell>
        </row>
        <row r="131">
          <cell r="E131">
            <v>0.11930004857456113</v>
          </cell>
          <cell r="F131">
            <v>9.7974899081195981E-3</v>
          </cell>
        </row>
        <row r="132">
          <cell r="E132">
            <v>0.12898499583605619</v>
          </cell>
          <cell r="F132">
            <v>0.56513462174137752</v>
          </cell>
        </row>
        <row r="133">
          <cell r="E133">
            <v>0.10170741564422692</v>
          </cell>
          <cell r="F133">
            <v>7.1639007243063301E-3</v>
          </cell>
        </row>
        <row r="134">
          <cell r="E134">
            <v>0.11831419066160066</v>
          </cell>
          <cell r="F134">
            <v>0.5296069615180975</v>
          </cell>
        </row>
      </sheetData>
      <sheetData sheetId="8"/>
      <sheetData sheetId="9">
        <row r="4">
          <cell r="G4">
            <v>71.323168821892224</v>
          </cell>
        </row>
        <row r="5">
          <cell r="G5">
            <v>80.069601498205159</v>
          </cell>
        </row>
        <row r="6">
          <cell r="G6">
            <v>89.756252518724239</v>
          </cell>
        </row>
        <row r="7">
          <cell r="G7">
            <v>98.741802210685051</v>
          </cell>
        </row>
        <row r="8">
          <cell r="G8">
            <v>107.96963856425754</v>
          </cell>
        </row>
        <row r="9">
          <cell r="G9">
            <v>117.88380816506297</v>
          </cell>
        </row>
        <row r="10">
          <cell r="G10">
            <v>126.8148665108482</v>
          </cell>
        </row>
        <row r="11">
          <cell r="G11">
            <v>144.72578753758759</v>
          </cell>
        </row>
      </sheetData>
      <sheetData sheetId="1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204.03931947679385</v>
          </cell>
        </row>
        <row r="6">
          <cell r="V6">
            <v>190.39351651049478</v>
          </cell>
          <cell r="W6">
            <v>55.412313098788083</v>
          </cell>
        </row>
        <row r="7">
          <cell r="V7">
            <v>180.38893379063839</v>
          </cell>
          <cell r="W7">
            <v>50.386997290466155</v>
          </cell>
        </row>
        <row r="8">
          <cell r="V8">
            <v>168.87890780616303</v>
          </cell>
          <cell r="W8">
            <v>48.756940220774339</v>
          </cell>
        </row>
        <row r="9">
          <cell r="V9">
            <v>162.52874671897624</v>
          </cell>
          <cell r="W9">
            <v>43.589427368356191</v>
          </cell>
        </row>
        <row r="10">
          <cell r="V10">
            <v>153.48727009802161</v>
          </cell>
          <cell r="W10">
            <v>42.495160804909801</v>
          </cell>
        </row>
        <row r="11">
          <cell r="V11">
            <v>145.9936477851447</v>
          </cell>
          <cell r="W11">
            <v>41.16532814329441</v>
          </cell>
        </row>
        <row r="12">
          <cell r="V12">
            <v>137.01411599192218</v>
          </cell>
          <cell r="W12">
            <v>38.103255333685532</v>
          </cell>
        </row>
        <row r="13">
          <cell r="V13">
            <v>129.44273162186713</v>
          </cell>
          <cell r="W13">
            <v>32.008148553133346</v>
          </cell>
        </row>
      </sheetData>
      <sheetData sheetId="4"/>
      <sheetData sheetId="5">
        <row r="24">
          <cell r="B24">
            <v>39.494601574564733</v>
          </cell>
        </row>
        <row r="25">
          <cell r="B25">
            <v>36.381504376961075</v>
          </cell>
          <cell r="F25">
            <v>349.07518845654226</v>
          </cell>
        </row>
        <row r="26">
          <cell r="B26">
            <v>33.059656233820945</v>
          </cell>
          <cell r="F26">
            <v>370.2556041231511</v>
          </cell>
        </row>
        <row r="27">
          <cell r="B27">
            <v>29.554630587603683</v>
          </cell>
          <cell r="F27">
            <v>388.23953251005207</v>
          </cell>
        </row>
        <row r="28">
          <cell r="B28">
            <v>25.892000880768631</v>
          </cell>
          <cell r="F28">
            <v>403.09778239642964</v>
          </cell>
        </row>
        <row r="29">
          <cell r="B29">
            <v>22.097340555775137</v>
          </cell>
          <cell r="F29">
            <v>414.90794197349214</v>
          </cell>
        </row>
        <row r="30">
          <cell r="B30">
            <v>18.196223055082537</v>
          </cell>
          <cell r="F30">
            <v>423.75173032618414</v>
          </cell>
        </row>
        <row r="31">
          <cell r="B31">
            <v>14.214221821150176</v>
          </cell>
          <cell r="F31">
            <v>429.71246159332617</v>
          </cell>
        </row>
        <row r="32">
          <cell r="B32">
            <v>10.176910296437384</v>
          </cell>
          <cell r="F32">
            <v>432.87267747305373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119.40661965825733</v>
          </cell>
        </row>
        <row r="19">
          <cell r="G19">
            <v>133.45201530529283</v>
          </cell>
        </row>
        <row r="20">
          <cell r="G20">
            <v>148.10191703223097</v>
          </cell>
        </row>
        <row r="21">
          <cell r="G21">
            <v>162.24814730819548</v>
          </cell>
        </row>
        <row r="22">
          <cell r="G22">
            <v>175.38961525652812</v>
          </cell>
        </row>
        <row r="23">
          <cell r="G23">
            <v>188.99226090184612</v>
          </cell>
        </row>
        <row r="24">
          <cell r="G24">
            <v>200.7277345214325</v>
          </cell>
        </row>
        <row r="25">
          <cell r="G25">
            <v>225.95729465925729</v>
          </cell>
        </row>
        <row r="26">
          <cell r="D26">
            <v>9836.3630960008322</v>
          </cell>
        </row>
        <row r="27">
          <cell r="D27">
            <v>6482.7246852249564</v>
          </cell>
        </row>
        <row r="29">
          <cell r="D29">
            <v>4055.6508729875713</v>
          </cell>
        </row>
        <row r="127">
          <cell r="E127">
            <v>0.25492406711905091</v>
          </cell>
          <cell r="F127">
            <v>7.0208919709135792E-3</v>
          </cell>
        </row>
        <row r="128">
          <cell r="E128">
            <v>0.19672238247093565</v>
          </cell>
          <cell r="F128">
            <v>0.43667806926839331</v>
          </cell>
        </row>
        <row r="129">
          <cell r="E129">
            <v>0.19754880170011127</v>
          </cell>
          <cell r="F129">
            <v>5.3108971822470319E-3</v>
          </cell>
        </row>
        <row r="130">
          <cell r="E130">
            <v>0.13358278085818401</v>
          </cell>
          <cell r="F130">
            <v>0.54738583697771281</v>
          </cell>
        </row>
        <row r="131">
          <cell r="E131">
            <v>0.15019754001372704</v>
          </cell>
          <cell r="F131">
            <v>8.8887761228335898E-3</v>
          </cell>
        </row>
        <row r="132">
          <cell r="E132">
            <v>0.14735478548561304</v>
          </cell>
          <cell r="F132">
            <v>0.58619989588822763</v>
          </cell>
        </row>
        <row r="133">
          <cell r="E133">
            <v>0.14320222059329352</v>
          </cell>
          <cell r="F133">
            <v>7.1503378697746903E-3</v>
          </cell>
        </row>
        <row r="134">
          <cell r="E134">
            <v>0.14001771275494188</v>
          </cell>
          <cell r="F134">
            <v>0.56227352312821599</v>
          </cell>
        </row>
      </sheetData>
      <sheetData sheetId="8"/>
      <sheetData sheetId="9">
        <row r="4">
          <cell r="F4">
            <v>58.986965974228944</v>
          </cell>
        </row>
        <row r="5">
          <cell r="F5">
            <v>67.65609577349278</v>
          </cell>
        </row>
        <row r="6">
          <cell r="F6">
            <v>77.289293614527224</v>
          </cell>
        </row>
        <row r="7">
          <cell r="F7">
            <v>86.0512210534188</v>
          </cell>
        </row>
        <row r="8">
          <cell r="F8">
            <v>95.160648641181751</v>
          </cell>
        </row>
        <row r="9">
          <cell r="F9">
            <v>104.43798844318599</v>
          </cell>
        </row>
        <row r="10">
          <cell r="F10">
            <v>113.45655420698805</v>
          </cell>
        </row>
        <row r="11">
          <cell r="F11">
            <v>130.02237528738152</v>
          </cell>
        </row>
      </sheetData>
      <sheetData sheetId="1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85.635772759613303</v>
          </cell>
        </row>
        <row r="6">
          <cell r="V6">
            <v>81.648836250334554</v>
          </cell>
          <cell r="W6">
            <v>31.708318479737795</v>
          </cell>
        </row>
        <row r="7">
          <cell r="V7">
            <v>78.553412715089038</v>
          </cell>
          <cell r="W7">
            <v>29.365015516128409</v>
          </cell>
        </row>
        <row r="8">
          <cell r="V8">
            <v>74.787824038320124</v>
          </cell>
          <cell r="W8">
            <v>27.669233642147791</v>
          </cell>
        </row>
        <row r="9">
          <cell r="V9">
            <v>72.306449620223717</v>
          </cell>
          <cell r="W9">
            <v>24.875339446032921</v>
          </cell>
        </row>
        <row r="10">
          <cell r="V10">
            <v>69.423776574621456</v>
          </cell>
          <cell r="W10">
            <v>24.509401854948152</v>
          </cell>
        </row>
        <row r="11">
          <cell r="V11">
            <v>67.051176332322811</v>
          </cell>
          <cell r="W11">
            <v>23.996997966753629</v>
          </cell>
        </row>
        <row r="12">
          <cell r="V12">
            <v>64.073006783121244</v>
          </cell>
          <cell r="W12">
            <v>23.062359647546547</v>
          </cell>
        </row>
        <row r="13">
          <cell r="V13">
            <v>61.219415022098246</v>
          </cell>
          <cell r="W13">
            <v>17.894811377910781</v>
          </cell>
        </row>
      </sheetData>
      <sheetData sheetId="4"/>
      <sheetData sheetId="5">
        <row r="24">
          <cell r="B24">
            <v>21.209244605858888</v>
          </cell>
        </row>
        <row r="25">
          <cell r="B25">
            <v>19.846463025643693</v>
          </cell>
          <cell r="F25">
            <v>204.98096730313449</v>
          </cell>
        </row>
        <row r="26">
          <cell r="B26">
            <v>18.385099920879036</v>
          </cell>
          <cell r="F26">
            <v>219.28734021926175</v>
          </cell>
        </row>
        <row r="27">
          <cell r="B27">
            <v>16.847206687523165</v>
          </cell>
          <cell r="F27">
            <v>230.19573214321377</v>
          </cell>
        </row>
        <row r="28">
          <cell r="B28">
            <v>15.254834721534344</v>
          </cell>
          <cell r="F28">
            <v>237.73697137174963</v>
          </cell>
        </row>
        <row r="29">
          <cell r="B29">
            <v>13.630035418870824</v>
          </cell>
          <cell r="F29">
            <v>241.94454945273122</v>
          </cell>
        </row>
        <row r="30">
          <cell r="B30">
            <v>11.99486017549086</v>
          </cell>
          <cell r="F30">
            <v>242.85316691036036</v>
          </cell>
        </row>
        <row r="31">
          <cell r="B31">
            <v>10.371360387352713</v>
          </cell>
          <cell r="F31">
            <v>240.4973868463062</v>
          </cell>
        </row>
        <row r="32">
          <cell r="B32">
            <v>8.7815874504146301</v>
          </cell>
          <cell r="F32">
            <v>234.91040914323636</v>
          </cell>
        </row>
      </sheetData>
      <sheetData sheetId="6"/>
      <sheetData sheetId="7">
        <row r="15">
          <cell r="F15">
            <v>912</v>
          </cell>
        </row>
        <row r="18">
          <cell r="G18">
            <v>193.3976803598047</v>
          </cell>
        </row>
        <row r="19">
          <cell r="G19">
            <v>207.76722792209569</v>
          </cell>
        </row>
        <row r="20">
          <cell r="G20">
            <v>224.81655237422228</v>
          </cell>
        </row>
        <row r="21">
          <cell r="G21">
            <v>242.25860970245628</v>
          </cell>
        </row>
        <row r="22">
          <cell r="G22">
            <v>256.73192934373725</v>
          </cell>
        </row>
        <row r="23">
          <cell r="G23">
            <v>266.54220895793378</v>
          </cell>
        </row>
        <row r="24">
          <cell r="G24">
            <v>268.00348857814174</v>
          </cell>
        </row>
        <row r="25">
          <cell r="G25">
            <v>258.39174178206241</v>
          </cell>
        </row>
        <row r="26">
          <cell r="D26">
            <v>5634.7715274430357</v>
          </cell>
        </row>
        <row r="27">
          <cell r="D27">
            <v>4793.2552882899517</v>
          </cell>
        </row>
        <row r="29">
          <cell r="D29">
            <v>1388.3091898108348</v>
          </cell>
        </row>
        <row r="127">
          <cell r="E127">
            <v>8.6470420179689089E-2</v>
          </cell>
          <cell r="F127">
            <v>5.3197146729677168E-3</v>
          </cell>
        </row>
        <row r="128">
          <cell r="E128">
            <v>7.6800376587721514E-2</v>
          </cell>
          <cell r="F128">
            <v>0.41537886030433402</v>
          </cell>
        </row>
        <row r="129">
          <cell r="E129">
            <v>8.0194441334647842E-2</v>
          </cell>
          <cell r="F129">
            <v>4.4553893407558399E-3</v>
          </cell>
        </row>
        <row r="130">
          <cell r="E130">
            <v>6.1824537765680816E-2</v>
          </cell>
          <cell r="F130">
            <v>0.41119902200380221</v>
          </cell>
        </row>
        <row r="131">
          <cell r="E131">
            <v>6.039060599195465E-2</v>
          </cell>
          <cell r="F131">
            <v>6.2484863285991775E-3</v>
          </cell>
        </row>
        <row r="132">
          <cell r="E132">
            <v>5.7569826047108065E-2</v>
          </cell>
          <cell r="F132">
            <v>0.3887062747918113</v>
          </cell>
        </row>
        <row r="133">
          <cell r="E133">
            <v>6.1355234586394893E-2</v>
          </cell>
          <cell r="F133">
            <v>6.2668921147699596E-3</v>
          </cell>
        </row>
        <row r="134">
          <cell r="E134">
            <v>6.530571597074232E-2</v>
          </cell>
          <cell r="F134">
            <v>0.36017712320627721</v>
          </cell>
        </row>
      </sheetData>
      <sheetData sheetId="8"/>
      <sheetData sheetId="9">
        <row r="4">
          <cell r="J4">
            <v>123.92119191546193</v>
          </cell>
        </row>
        <row r="5">
          <cell r="J5">
            <v>133.97712215284218</v>
          </cell>
        </row>
        <row r="6">
          <cell r="J6">
            <v>146.38813033791473</v>
          </cell>
        </row>
        <row r="7">
          <cell r="J7">
            <v>158.47669367027081</v>
          </cell>
        </row>
        <row r="8">
          <cell r="J8">
            <v>169.20433136657797</v>
          </cell>
        </row>
        <row r="9">
          <cell r="J9">
            <v>176.43502316664575</v>
          </cell>
        </row>
        <row r="10">
          <cell r="J10">
            <v>178.78415590549872</v>
          </cell>
        </row>
        <row r="11">
          <cell r="J11">
            <v>173.34776953362845</v>
          </cell>
        </row>
      </sheetData>
      <sheetData sheetId="1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114.72687657403833</v>
          </cell>
        </row>
        <row r="6">
          <cell r="V6">
            <v>107.97985160761358</v>
          </cell>
          <cell r="W6">
            <v>32.746126180341086</v>
          </cell>
        </row>
        <row r="7">
          <cell r="V7">
            <v>103.36557458589022</v>
          </cell>
          <cell r="W7">
            <v>29.893177395214632</v>
          </cell>
        </row>
        <row r="8">
          <cell r="V8">
            <v>98.438687012592382</v>
          </cell>
          <cell r="W8">
            <v>28.507949798808017</v>
          </cell>
        </row>
        <row r="9">
          <cell r="V9">
            <v>95.439674146812195</v>
          </cell>
          <cell r="W9">
            <v>25.143277757097508</v>
          </cell>
        </row>
        <row r="10">
          <cell r="V10">
            <v>91.286665041649499</v>
          </cell>
          <cell r="W10">
            <v>25.207430842997358</v>
          </cell>
        </row>
        <row r="11">
          <cell r="V11">
            <v>86.758269369366516</v>
          </cell>
          <cell r="W11">
            <v>24.908715351465407</v>
          </cell>
        </row>
        <row r="12">
          <cell r="V12">
            <v>83.036158883840372</v>
          </cell>
          <cell r="W12">
            <v>23.53951866341119</v>
          </cell>
        </row>
        <row r="13">
          <cell r="V13">
            <v>79.247554292069751</v>
          </cell>
          <cell r="W13">
            <v>18.101658771062347</v>
          </cell>
        </row>
      </sheetData>
      <sheetData sheetId="4"/>
      <sheetData sheetId="5">
        <row r="24">
          <cell r="B24">
            <v>22.059875910616313</v>
          </cell>
        </row>
        <row r="25">
          <cell r="B25">
            <v>20.452719225529535</v>
          </cell>
          <cell r="F25">
            <v>262.35403766872554</v>
          </cell>
        </row>
        <row r="26">
          <cell r="B26">
            <v>18.845872374036507</v>
          </cell>
          <cell r="F26">
            <v>261.59198375559174</v>
          </cell>
        </row>
        <row r="27">
          <cell r="B27">
            <v>17.236370589552841</v>
          </cell>
          <cell r="F27">
            <v>261.32111431484219</v>
          </cell>
        </row>
        <row r="28">
          <cell r="B28">
            <v>15.621249105494153</v>
          </cell>
          <cell r="F28">
            <v>261.53640333958373</v>
          </cell>
        </row>
        <row r="29">
          <cell r="B29">
            <v>13.997543155276048</v>
          </cell>
          <cell r="F29">
            <v>262.23298012537276</v>
          </cell>
        </row>
        <row r="30">
          <cell r="B30">
            <v>12.362287972314135</v>
          </cell>
          <cell r="F30">
            <v>263.4061118698292</v>
          </cell>
        </row>
        <row r="31">
          <cell r="B31">
            <v>10.712518790024028</v>
          </cell>
          <cell r="F31">
            <v>265.05118872602702</v>
          </cell>
        </row>
        <row r="32">
          <cell r="B32">
            <v>9.0452708418213348</v>
          </cell>
          <cell r="F32">
            <v>267.16371140943926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163.06670093270165</v>
          </cell>
        </row>
        <row r="19">
          <cell r="G19">
            <v>166.79333019784448</v>
          </cell>
        </row>
        <row r="20">
          <cell r="G20">
            <v>172.88084744606832</v>
          </cell>
        </row>
        <row r="21">
          <cell r="G21">
            <v>180.28915968906963</v>
          </cell>
        </row>
        <row r="22">
          <cell r="G22">
            <v>188.49290761645022</v>
          </cell>
        </row>
        <row r="23">
          <cell r="G23">
            <v>198.97570756635818</v>
          </cell>
        </row>
        <row r="24">
          <cell r="G24">
            <v>206.60678013871828</v>
          </cell>
        </row>
        <row r="25">
          <cell r="G25">
            <v>207.77277190870561</v>
          </cell>
        </row>
        <row r="26">
          <cell r="D26">
            <v>6379.6867918675089</v>
          </cell>
        </row>
        <row r="27">
          <cell r="D27">
            <v>4707.7358201301622</v>
          </cell>
        </row>
        <row r="29">
          <cell r="D29">
            <v>2315.7638524911863</v>
          </cell>
        </row>
        <row r="127">
          <cell r="E127">
            <v>0.157398864975141</v>
          </cell>
          <cell r="F127">
            <v>4.438421766075216E-3</v>
          </cell>
        </row>
        <row r="128">
          <cell r="E128">
            <v>0.11961314112882027</v>
          </cell>
          <cell r="F128">
            <v>0.39643691934796882</v>
          </cell>
        </row>
        <row r="129">
          <cell r="E129">
            <v>0.11274814470498747</v>
          </cell>
          <cell r="F129">
            <v>3.57034296577558E-3</v>
          </cell>
        </row>
        <row r="130">
          <cell r="E130">
            <v>8.0353491775175548E-2</v>
          </cell>
          <cell r="F130">
            <v>0.40294093388133428</v>
          </cell>
        </row>
        <row r="131">
          <cell r="E131">
            <v>9.3462699329515689E-2</v>
          </cell>
          <cell r="F131">
            <v>6.2581594804861189E-3</v>
          </cell>
        </row>
        <row r="132">
          <cell r="E132">
            <v>0.11162529875526002</v>
          </cell>
          <cell r="F132">
            <v>0.38571334336977853</v>
          </cell>
        </row>
        <row r="133">
          <cell r="E133">
            <v>8.2311511470713195E-2</v>
          </cell>
          <cell r="F133">
            <v>5.380404852768036E-3</v>
          </cell>
        </row>
        <row r="134">
          <cell r="E134">
            <v>9.2307534500239138E-2</v>
          </cell>
          <cell r="F134">
            <v>0.36450674771253438</v>
          </cell>
        </row>
      </sheetData>
      <sheetData sheetId="8"/>
      <sheetData sheetId="9">
        <row r="4">
          <cell r="J4">
            <v>97.457309649396592</v>
          </cell>
        </row>
        <row r="5">
          <cell r="J5">
            <v>100.67496240642464</v>
          </cell>
        </row>
        <row r="6">
          <cell r="J6">
            <v>105.62471283400068</v>
          </cell>
        </row>
        <row r="7">
          <cell r="J7">
            <v>110.7754304140414</v>
          </cell>
        </row>
        <row r="8">
          <cell r="J8">
            <v>117.01121860928401</v>
          </cell>
        </row>
        <row r="9">
          <cell r="J9">
            <v>124.68023580572422</v>
          </cell>
        </row>
        <row r="10">
          <cell r="J10">
            <v>130.66621798603703</v>
          </cell>
        </row>
        <row r="11">
          <cell r="J11">
            <v>132.39089800828339</v>
          </cell>
        </row>
      </sheetData>
      <sheetData sheetId="1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145.25055754554668</v>
          </cell>
        </row>
        <row r="6">
          <cell r="V6">
            <v>137.04708006919554</v>
          </cell>
          <cell r="W6">
            <v>34.53396115946201</v>
          </cell>
        </row>
        <row r="7">
          <cell r="V7">
            <v>130.86618450492278</v>
          </cell>
          <cell r="W7">
            <v>31.098368615207036</v>
          </cell>
        </row>
        <row r="8">
          <cell r="V8">
            <v>123.19694588496122</v>
          </cell>
          <cell r="W8">
            <v>29.88077085716613</v>
          </cell>
        </row>
        <row r="9">
          <cell r="V9">
            <v>118.56814702125911</v>
          </cell>
          <cell r="W9">
            <v>26.103226082884358</v>
          </cell>
        </row>
        <row r="10">
          <cell r="V10">
            <v>113.21482188801724</v>
          </cell>
          <cell r="W10">
            <v>26.387472103766658</v>
          </cell>
        </row>
        <row r="11">
          <cell r="V11">
            <v>107.74922052671373</v>
          </cell>
          <cell r="W11">
            <v>26.313564380765701</v>
          </cell>
        </row>
        <row r="12">
          <cell r="V12">
            <v>102.7189168840835</v>
          </cell>
          <cell r="W12">
            <v>24.192765412138083</v>
          </cell>
        </row>
        <row r="13">
          <cell r="V13">
            <v>97.184271899871575</v>
          </cell>
          <cell r="W13">
            <v>18.24313274208312</v>
          </cell>
        </row>
      </sheetData>
      <sheetData sheetId="4"/>
      <sheetData sheetId="5">
        <row r="24">
          <cell r="B24">
            <v>22.758769438908484</v>
          </cell>
        </row>
        <row r="25">
          <cell r="B25">
            <v>21.141232122657744</v>
          </cell>
          <cell r="F25">
            <v>278.60252853072211</v>
          </cell>
        </row>
        <row r="26">
          <cell r="B26">
            <v>19.45882687102263</v>
          </cell>
          <cell r="F26">
            <v>288.96449899407088</v>
          </cell>
        </row>
        <row r="27">
          <cell r="B27">
            <v>17.725931068505339</v>
          </cell>
          <cell r="F27">
            <v>296.78492416775589</v>
          </cell>
        </row>
        <row r="28">
          <cell r="B28">
            <v>15.956922099608061</v>
          </cell>
          <cell r="F28">
            <v>302.09212908912156</v>
          </cell>
        </row>
        <row r="29">
          <cell r="B29">
            <v>14.166177348832992</v>
          </cell>
          <cell r="F29">
            <v>304.91526387712014</v>
          </cell>
        </row>
        <row r="30">
          <cell r="B30">
            <v>12.368074200682326</v>
          </cell>
          <cell r="F30">
            <v>305.28356686435603</v>
          </cell>
        </row>
        <row r="31">
          <cell r="B31">
            <v>10.576990039658252</v>
          </cell>
          <cell r="F31">
            <v>303.22568828978791</v>
          </cell>
        </row>
        <row r="32">
          <cell r="B32">
            <v>8.8073022502629694</v>
          </cell>
          <cell r="F32">
            <v>298.76907954188397</v>
          </cell>
        </row>
      </sheetData>
      <sheetData sheetId="6"/>
      <sheetData sheetId="7">
        <row r="15">
          <cell r="F15">
            <v>912</v>
          </cell>
        </row>
        <row r="18">
          <cell r="G18">
            <v>127.48432681808849</v>
          </cell>
        </row>
        <row r="19">
          <cell r="G19">
            <v>136.0779322887781</v>
          </cell>
        </row>
        <row r="20">
          <cell r="G20">
            <v>146.52191524097037</v>
          </cell>
        </row>
        <row r="21">
          <cell r="G21">
            <v>157.40897132747295</v>
          </cell>
        </row>
        <row r="22">
          <cell r="G22">
            <v>166.66493194125897</v>
          </cell>
        </row>
        <row r="23">
          <cell r="G23">
            <v>175.30561840592125</v>
          </cell>
        </row>
        <row r="24">
          <cell r="G24">
            <v>180.04905814658775</v>
          </cell>
        </row>
        <row r="25">
          <cell r="G25">
            <v>178.8159280797054</v>
          </cell>
        </row>
        <row r="26">
          <cell r="D26">
            <v>7219.833384971028</v>
          </cell>
        </row>
        <row r="27">
          <cell r="D27">
            <v>4546.4410446971515</v>
          </cell>
        </row>
        <row r="29">
          <cell r="D29">
            <v>3190.2064963653515</v>
          </cell>
        </row>
        <row r="127">
          <cell r="E127">
            <v>0.20774730135444064</v>
          </cell>
          <cell r="F127">
            <v>8.8421180454274946E-4</v>
          </cell>
        </row>
        <row r="128">
          <cell r="E128">
            <v>0.17057977621925766</v>
          </cell>
          <cell r="F128">
            <v>0.37021492951950097</v>
          </cell>
        </row>
        <row r="129">
          <cell r="E129">
            <v>0.19010964796373717</v>
          </cell>
          <cell r="F129">
            <v>0</v>
          </cell>
        </row>
        <row r="130">
          <cell r="E130">
            <v>0.12871141487232329</v>
          </cell>
          <cell r="F130">
            <v>0.39181323003616186</v>
          </cell>
        </row>
        <row r="131">
          <cell r="E131">
            <v>0.1302764728064745</v>
          </cell>
          <cell r="F131">
            <v>4.4551171421031511E-3</v>
          </cell>
        </row>
        <row r="132">
          <cell r="E132">
            <v>0.14501238123677601</v>
          </cell>
          <cell r="F132">
            <v>0.38176799232950237</v>
          </cell>
        </row>
        <row r="133">
          <cell r="E133">
            <v>0.12018478599649095</v>
          </cell>
          <cell r="F133">
            <v>5.3643878443281673E-3</v>
          </cell>
        </row>
        <row r="134">
          <cell r="E134">
            <v>0.14230483717916692</v>
          </cell>
          <cell r="F134">
            <v>0.36098047955624463</v>
          </cell>
        </row>
      </sheetData>
      <sheetData sheetId="8"/>
      <sheetData sheetId="9">
        <row r="4">
          <cell r="J4">
            <v>71.73445857647954</v>
          </cell>
        </row>
        <row r="5">
          <cell r="J5">
            <v>77.649970018051036</v>
          </cell>
        </row>
        <row r="6">
          <cell r="J6">
            <v>85.138606553708257</v>
          </cell>
        </row>
        <row r="7">
          <cell r="J7">
            <v>92.403095622055133</v>
          </cell>
        </row>
        <row r="8">
          <cell r="J8">
            <v>99.093636157055471</v>
          </cell>
        </row>
        <row r="9">
          <cell r="J9">
            <v>105.50410713052915</v>
          </cell>
        </row>
        <row r="10">
          <cell r="J10">
            <v>109.68049931750244</v>
          </cell>
        </row>
        <row r="11">
          <cell r="J11">
            <v>110.28080211303011</v>
          </cell>
        </row>
      </sheetData>
      <sheetData sheetId="1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171.18229532179717</v>
          </cell>
        </row>
        <row r="6">
          <cell r="V6">
            <v>163.06722734392488</v>
          </cell>
          <cell r="W6">
            <v>35.796664875640417</v>
          </cell>
        </row>
        <row r="7">
          <cell r="V7">
            <v>156.4474709729773</v>
          </cell>
          <cell r="W7">
            <v>31.728175266390334</v>
          </cell>
        </row>
        <row r="8">
          <cell r="V8">
            <v>146.98175129069821</v>
          </cell>
          <cell r="W8">
            <v>31.005843267814701</v>
          </cell>
        </row>
        <row r="9">
          <cell r="V9">
            <v>142.24266417687102</v>
          </cell>
          <cell r="W9">
            <v>26.910438167140452</v>
          </cell>
        </row>
        <row r="10">
          <cell r="V10">
            <v>135.23819176193828</v>
          </cell>
          <cell r="W10">
            <v>27.473849137541162</v>
          </cell>
        </row>
        <row r="11">
          <cell r="V11">
            <v>128.09214198858612</v>
          </cell>
          <cell r="W11">
            <v>27.499393901256013</v>
          </cell>
        </row>
        <row r="12">
          <cell r="V12">
            <v>121.25879323393275</v>
          </cell>
          <cell r="W12">
            <v>25.174572659931908</v>
          </cell>
        </row>
        <row r="13">
          <cell r="V13">
            <v>112.34334614315196</v>
          </cell>
          <cell r="W13">
            <v>18.540605977279</v>
          </cell>
        </row>
      </sheetData>
      <sheetData sheetId="4"/>
      <sheetData sheetId="5">
        <row r="24">
          <cell r="B24">
            <v>23.693737040330554</v>
          </cell>
        </row>
        <row r="25">
          <cell r="B25">
            <v>21.996780770975388</v>
          </cell>
          <cell r="F25">
            <v>311.43498394377065</v>
          </cell>
        </row>
        <row r="26">
          <cell r="B26">
            <v>20.24298205230421</v>
          </cell>
          <cell r="F26">
            <v>320.91972642064337</v>
          </cell>
        </row>
        <row r="27">
          <cell r="B27">
            <v>18.441253240784548</v>
          </cell>
          <cell r="F27">
            <v>328.70265355641055</v>
          </cell>
        </row>
        <row r="28">
          <cell r="B28">
            <v>16.600506692883926</v>
          </cell>
          <cell r="F28">
            <v>334.80371362185633</v>
          </cell>
        </row>
        <row r="29">
          <cell r="B29">
            <v>14.729654765069869</v>
          </cell>
          <cell r="F29">
            <v>339.24341876886859</v>
          </cell>
        </row>
        <row r="30">
          <cell r="B30">
            <v>12.837609813809911</v>
          </cell>
          <cell r="F30">
            <v>342.04249329410692</v>
          </cell>
        </row>
        <row r="31">
          <cell r="B31">
            <v>10.933284195571572</v>
          </cell>
          <cell r="F31">
            <v>343.22154516513348</v>
          </cell>
        </row>
        <row r="32">
          <cell r="B32">
            <v>9.0255902668223804</v>
          </cell>
          <cell r="F32">
            <v>342.80076345331253</v>
          </cell>
        </row>
      </sheetData>
      <sheetData sheetId="6"/>
      <sheetData sheetId="7">
        <row r="15">
          <cell r="F15">
            <v>905</v>
          </cell>
        </row>
        <row r="18">
          <cell r="G18">
            <v>115.56368825889881</v>
          </cell>
        </row>
        <row r="19">
          <cell r="G19">
            <v>121.70500555533107</v>
          </cell>
        </row>
        <row r="20">
          <cell r="G20">
            <v>130.6126335680143</v>
          </cell>
        </row>
        <row r="21">
          <cell r="G21">
            <v>140.21754450548659</v>
          </cell>
        </row>
        <row r="22">
          <cell r="G22">
            <v>149.01843073582</v>
          </cell>
        </row>
        <row r="23">
          <cell r="G23">
            <v>158.85425970015118</v>
          </cell>
        </row>
        <row r="24">
          <cell r="G24">
            <v>166.24341725567433</v>
          </cell>
        </row>
        <row r="25">
          <cell r="G25">
            <v>170.45972113513417</v>
          </cell>
        </row>
        <row r="26">
          <cell r="D26">
            <v>8088.0808335726033</v>
          </cell>
        </row>
        <row r="27">
          <cell r="D27">
            <v>4538.0485817205545</v>
          </cell>
        </row>
        <row r="29">
          <cell r="D29">
            <v>4121.854910115153</v>
          </cell>
        </row>
        <row r="127">
          <cell r="E127">
            <v>0.21670797971596789</v>
          </cell>
          <cell r="F127">
            <v>0</v>
          </cell>
        </row>
        <row r="128">
          <cell r="E128">
            <v>0.19332502042309799</v>
          </cell>
          <cell r="F128">
            <v>0.35310642106304591</v>
          </cell>
        </row>
        <row r="129">
          <cell r="E129">
            <v>0.24813557515847837</v>
          </cell>
          <cell r="F129">
            <v>0</v>
          </cell>
        </row>
        <row r="130">
          <cell r="E130">
            <v>0.14106283163296568</v>
          </cell>
          <cell r="F130">
            <v>0.38910472818277575</v>
          </cell>
        </row>
        <row r="131">
          <cell r="E131">
            <v>0.1800915952098521</v>
          </cell>
          <cell r="F131">
            <v>4.4847711867375762E-3</v>
          </cell>
        </row>
        <row r="132">
          <cell r="E132">
            <v>0.1978908551779239</v>
          </cell>
          <cell r="F132">
            <v>0.3905779070530056</v>
          </cell>
        </row>
        <row r="133">
          <cell r="E133">
            <v>0.17188020155826578</v>
          </cell>
          <cell r="F133">
            <v>3.60068729529526E-3</v>
          </cell>
        </row>
        <row r="134">
          <cell r="E134">
            <v>0.2352032344667033</v>
          </cell>
          <cell r="F134">
            <v>0.37180834579265798</v>
          </cell>
        </row>
      </sheetData>
      <sheetData sheetId="8"/>
      <sheetData sheetId="9">
        <row r="4">
          <cell r="J4">
            <v>61.244562641918392</v>
          </cell>
        </row>
        <row r="5">
          <cell r="J5">
            <v>65.475544531117038</v>
          </cell>
        </row>
        <row r="6">
          <cell r="J6">
            <v>71.804821040570303</v>
          </cell>
        </row>
        <row r="7">
          <cell r="J7">
            <v>77.906481273036277</v>
          </cell>
        </row>
        <row r="8">
          <cell r="J8">
            <v>84.146704044618076</v>
          </cell>
        </row>
        <row r="9">
          <cell r="J9">
            <v>91.153237160009482</v>
          </cell>
        </row>
        <row r="10">
          <cell r="J10">
            <v>96.93215299006539</v>
          </cell>
        </row>
        <row r="11">
          <cell r="J11">
            <v>101.4272248525815</v>
          </cell>
        </row>
      </sheetData>
      <sheetData sheetId="10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346.40499036937405</v>
          </cell>
        </row>
        <row r="26">
          <cell r="F26">
            <v>360.68713340304384</v>
          </cell>
        </row>
        <row r="27">
          <cell r="F27">
            <v>370.33890563895812</v>
          </cell>
        </row>
        <row r="28">
          <cell r="F28">
            <v>375.4190678934184</v>
          </cell>
        </row>
        <row r="29">
          <cell r="F29">
            <v>375.98747969748223</v>
          </cell>
        </row>
        <row r="30">
          <cell r="F30">
            <v>372.10303121698706</v>
          </cell>
        </row>
        <row r="31">
          <cell r="F31">
            <v>363.8217884810781</v>
          </cell>
        </row>
        <row r="32">
          <cell r="F32">
            <v>351.19536245661379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104.72019429655239</v>
          </cell>
        </row>
        <row r="19">
          <cell r="G19">
            <v>113.19686506860729</v>
          </cell>
        </row>
        <row r="20">
          <cell r="G20">
            <v>122.60383584606791</v>
          </cell>
        </row>
        <row r="21">
          <cell r="G21">
            <v>130.78430443335625</v>
          </cell>
        </row>
        <row r="22">
          <cell r="G22">
            <v>137.50765805227277</v>
          </cell>
        </row>
        <row r="23">
          <cell r="G23">
            <v>144.04090158510209</v>
          </cell>
        </row>
        <row r="24">
          <cell r="G24">
            <v>146.66203723759503</v>
          </cell>
        </row>
        <row r="25">
          <cell r="G25">
            <v>143.61237196260856</v>
          </cell>
        </row>
        <row r="26">
          <cell r="D26">
            <v>8852.9268518950066</v>
          </cell>
        </row>
        <row r="27">
          <cell r="D27">
            <v>4089.5432411596958</v>
          </cell>
        </row>
        <row r="29">
          <cell r="D29">
            <v>5260.6733929361517</v>
          </cell>
        </row>
        <row r="127">
          <cell r="E127">
            <v>0.34978465132006487</v>
          </cell>
          <cell r="F127">
            <v>0</v>
          </cell>
        </row>
        <row r="128">
          <cell r="E128">
            <v>0.28251192015472831</v>
          </cell>
          <cell r="F128">
            <v>0.29447086292436725</v>
          </cell>
        </row>
        <row r="129">
          <cell r="E129">
            <v>0.32788858726354958</v>
          </cell>
          <cell r="F129">
            <v>0</v>
          </cell>
        </row>
        <row r="130">
          <cell r="E130">
            <v>0.15629644967147219</v>
          </cell>
          <cell r="F130">
            <v>0.35943491579812958</v>
          </cell>
        </row>
        <row r="131">
          <cell r="E131">
            <v>0.26117100760350392</v>
          </cell>
          <cell r="F131">
            <v>0</v>
          </cell>
        </row>
        <row r="132">
          <cell r="E132">
            <v>0.22409013121368351</v>
          </cell>
          <cell r="F132">
            <v>0.36093666643897215</v>
          </cell>
        </row>
        <row r="133">
          <cell r="E133">
            <v>0.21849984109150611</v>
          </cell>
          <cell r="F133">
            <v>0</v>
          </cell>
        </row>
        <row r="134">
          <cell r="E134">
            <v>0.18729011032090706</v>
          </cell>
          <cell r="F134">
            <v>0.34833863522509639</v>
          </cell>
        </row>
      </sheetData>
      <sheetData sheetId="8"/>
      <sheetData sheetId="9">
        <row r="4">
          <cell r="I4">
            <v>51.990737156321558</v>
          </cell>
        </row>
        <row r="5">
          <cell r="I5">
            <v>57.392592877084198</v>
          </cell>
        </row>
        <row r="6">
          <cell r="I6">
            <v>63.789230143140131</v>
          </cell>
        </row>
        <row r="7">
          <cell r="I7">
            <v>68.803175180684718</v>
          </cell>
        </row>
        <row r="8">
          <cell r="I8">
            <v>73.887202527349572</v>
          </cell>
        </row>
        <row r="9">
          <cell r="I9">
            <v>78.71751171627271</v>
          </cell>
        </row>
        <row r="10">
          <cell r="I10">
            <v>81.634344420448045</v>
          </cell>
        </row>
        <row r="11">
          <cell r="I11">
            <v>81.090196127368699</v>
          </cell>
        </row>
      </sheetData>
      <sheetData sheetId="10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202.90732160009756</v>
          </cell>
        </row>
        <row r="6">
          <cell r="V6">
            <v>195.54470766783189</v>
          </cell>
          <cell r="W6">
            <v>40.862208796470405</v>
          </cell>
        </row>
        <row r="7">
          <cell r="V7">
            <v>188.72566484237839</v>
          </cell>
          <cell r="W7">
            <v>33.593282799225072</v>
          </cell>
        </row>
        <row r="8">
          <cell r="V8">
            <v>180.34717014827757</v>
          </cell>
          <cell r="W8">
            <v>35.485491296426694</v>
          </cell>
        </row>
        <row r="9">
          <cell r="V9">
            <v>175.67004124633033</v>
          </cell>
          <cell r="W9">
            <v>29.610261608872317</v>
          </cell>
        </row>
        <row r="10">
          <cell r="V10">
            <v>169.10727747631401</v>
          </cell>
          <cell r="W10">
            <v>30.258025006507363</v>
          </cell>
        </row>
        <row r="11">
          <cell r="V11">
            <v>164.10331917074822</v>
          </cell>
          <cell r="W11">
            <v>29.673685195359951</v>
          </cell>
        </row>
        <row r="12">
          <cell r="V12">
            <v>157.53020149662632</v>
          </cell>
          <cell r="W12">
            <v>27.331336401571793</v>
          </cell>
        </row>
        <row r="13">
          <cell r="V13">
            <v>152.36779630026584</v>
          </cell>
          <cell r="W13">
            <v>18.523856627106497</v>
          </cell>
        </row>
      </sheetData>
      <sheetData sheetId="4"/>
      <sheetData sheetId="5">
        <row r="24">
          <cell r="B24">
            <v>26.269969028221986</v>
          </cell>
        </row>
        <row r="25">
          <cell r="B25">
            <v>24.132517257031036</v>
          </cell>
          <cell r="F25">
            <v>792.49379064016762</v>
          </cell>
        </row>
        <row r="26">
          <cell r="B26">
            <v>22.023894627785346</v>
          </cell>
          <cell r="F26">
            <v>778.93311113267032</v>
          </cell>
        </row>
        <row r="27">
          <cell r="B27">
            <v>19.924563681375748</v>
          </cell>
          <cell r="F27">
            <v>772.71756064110104</v>
          </cell>
        </row>
        <row r="28">
          <cell r="B28">
            <v>17.814986958693062</v>
          </cell>
          <cell r="F28">
            <v>773.74222369143411</v>
          </cell>
        </row>
        <row r="29">
          <cell r="B29">
            <v>15.675627000628118</v>
          </cell>
          <cell r="F29">
            <v>781.90685006086392</v>
          </cell>
        </row>
        <row r="30">
          <cell r="B30">
            <v>13.486946348071747</v>
          </cell>
          <cell r="F30">
            <v>797.11371152176241</v>
          </cell>
        </row>
        <row r="31">
          <cell r="B31">
            <v>11.229407541914767</v>
          </cell>
          <cell r="F31">
            <v>819.26577725704351</v>
          </cell>
        </row>
        <row r="32">
          <cell r="B32">
            <v>8.8834731230480095</v>
          </cell>
          <cell r="F32">
            <v>848.26523493449133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243.01865464929853</v>
          </cell>
        </row>
        <row r="19">
          <cell r="G19">
            <v>240.96239709245646</v>
          </cell>
        </row>
        <row r="20">
          <cell r="G20">
            <v>246.80518158867278</v>
          </cell>
        </row>
        <row r="21">
          <cell r="G21">
            <v>256.60562713029071</v>
          </cell>
        </row>
        <row r="22">
          <cell r="G22">
            <v>268.75252699240599</v>
          </cell>
        </row>
        <row r="23">
          <cell r="G23">
            <v>282.8613418330832</v>
          </cell>
        </row>
        <row r="24">
          <cell r="G24">
            <v>295.61545548559928</v>
          </cell>
        </row>
        <row r="25">
          <cell r="G25">
            <v>303.51151875549266</v>
          </cell>
        </row>
        <row r="127">
          <cell r="E127">
            <v>0.42894611917173325</v>
          </cell>
          <cell r="F127">
            <v>0</v>
          </cell>
        </row>
        <row r="128">
          <cell r="E128">
            <v>0.44677155890378278</v>
          </cell>
          <cell r="F128">
            <v>0.90443824511451776</v>
          </cell>
        </row>
        <row r="129">
          <cell r="E129">
            <v>0.48506204107908113</v>
          </cell>
          <cell r="F129">
            <v>0</v>
          </cell>
        </row>
        <row r="130">
          <cell r="E130">
            <v>0.32086179882474997</v>
          </cell>
          <cell r="F130">
            <v>1.0033184218521489</v>
          </cell>
        </row>
        <row r="131">
          <cell r="E131">
            <v>0.3740631286480755</v>
          </cell>
          <cell r="F131">
            <v>0</v>
          </cell>
        </row>
        <row r="132">
          <cell r="E132">
            <v>0.33271607267153952</v>
          </cell>
          <cell r="F132">
            <v>1.0334428535725457</v>
          </cell>
        </row>
        <row r="133">
          <cell r="E133">
            <v>0.36735803097835817</v>
          </cell>
          <cell r="F133">
            <v>0</v>
          </cell>
        </row>
        <row r="134">
          <cell r="E134">
            <v>0.33122465782672789</v>
          </cell>
          <cell r="F134">
            <v>1.0192365754559132</v>
          </cell>
        </row>
      </sheetData>
      <sheetData sheetId="8"/>
      <sheetData sheetId="9">
        <row r="4">
          <cell r="G4">
            <v>118.5203966024052</v>
          </cell>
        </row>
        <row r="5">
          <cell r="G5">
            <v>119.60481614191255</v>
          </cell>
        </row>
        <row r="6">
          <cell r="G6">
            <v>125.10305952231306</v>
          </cell>
        </row>
        <row r="7">
          <cell r="G7">
            <v>131.6546292016902</v>
          </cell>
        </row>
        <row r="8">
          <cell r="G8">
            <v>140.17983092166924</v>
          </cell>
        </row>
        <row r="9">
          <cell r="G9">
            <v>149.42608218119727</v>
          </cell>
        </row>
        <row r="10">
          <cell r="G10">
            <v>158.77166851797668</v>
          </cell>
        </row>
        <row r="11">
          <cell r="G11">
            <v>165.1250320082203</v>
          </cell>
        </row>
      </sheetData>
      <sheetData sheetId="1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84.182108766353863</v>
          </cell>
        </row>
        <row r="6">
          <cell r="V6">
            <v>81.070189789720757</v>
          </cell>
          <cell r="W6">
            <v>24.802493986853747</v>
          </cell>
        </row>
        <row r="7">
          <cell r="V7">
            <v>78.456579136459951</v>
          </cell>
          <cell r="W7">
            <v>20.678399362214279</v>
          </cell>
        </row>
        <row r="8">
          <cell r="V8">
            <v>75.164616799811583</v>
          </cell>
          <cell r="W8">
            <v>21.46936117051402</v>
          </cell>
        </row>
        <row r="9">
          <cell r="V9">
            <v>73.419277020143667</v>
          </cell>
          <cell r="W9">
            <v>18.480238146611001</v>
          </cell>
        </row>
        <row r="10">
          <cell r="V10">
            <v>70.784537815675776</v>
          </cell>
          <cell r="W10">
            <v>18.839630207407922</v>
          </cell>
        </row>
        <row r="11">
          <cell r="V11">
            <v>68.637794021742693</v>
          </cell>
          <cell r="W11">
            <v>18.794544234591289</v>
          </cell>
        </row>
        <row r="12">
          <cell r="V12">
            <v>65.942675742501208</v>
          </cell>
          <cell r="W12">
            <v>17.790363381184886</v>
          </cell>
        </row>
        <row r="13">
          <cell r="V13">
            <v>63.701275961376105</v>
          </cell>
          <cell r="W13">
            <v>12.950368165236341</v>
          </cell>
        </row>
      </sheetData>
      <sheetData sheetId="4"/>
      <sheetData sheetId="5">
        <row r="24">
          <cell r="B24">
            <v>16.444672837052945</v>
          </cell>
        </row>
        <row r="25">
          <cell r="B25">
            <v>15.476099321184618</v>
          </cell>
          <cell r="F25">
            <v>292.33418038310953</v>
          </cell>
        </row>
        <row r="26">
          <cell r="B26">
            <v>14.503777097938993</v>
          </cell>
          <cell r="F26">
            <v>293.00201816189798</v>
          </cell>
        </row>
        <row r="27">
          <cell r="B27">
            <v>13.528238733576696</v>
          </cell>
          <cell r="F27">
            <v>293.50862892924027</v>
          </cell>
        </row>
        <row r="28">
          <cell r="B28">
            <v>12.550016794358347</v>
          </cell>
          <cell r="F28">
            <v>293.85510601586338</v>
          </cell>
        </row>
        <row r="29">
          <cell r="B29">
            <v>11.569643846544571</v>
          </cell>
          <cell r="F29">
            <v>294.04252772232849</v>
          </cell>
        </row>
        <row r="30">
          <cell r="B30">
            <v>10.587652456395986</v>
          </cell>
          <cell r="F30">
            <v>294.07195540382469</v>
          </cell>
        </row>
        <row r="31">
          <cell r="B31">
            <v>9.6045751901732217</v>
          </cell>
          <cell r="F31">
            <v>293.94443164510744</v>
          </cell>
        </row>
        <row r="32">
          <cell r="B32">
            <v>8.6209446141368975</v>
          </cell>
          <cell r="F32">
            <v>293.66097852732241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245.55152059757884</v>
          </cell>
        </row>
        <row r="19">
          <cell r="G19">
            <v>243.8595886363639</v>
          </cell>
        </row>
        <row r="20">
          <cell r="G20">
            <v>250.40071683570142</v>
          </cell>
        </row>
        <row r="21">
          <cell r="G21">
            <v>260.26221180395686</v>
          </cell>
        </row>
        <row r="22">
          <cell r="G22">
            <v>270.76712901609176</v>
          </cell>
        </row>
        <row r="23">
          <cell r="G23">
            <v>280.65954684796179</v>
          </cell>
        </row>
        <row r="24">
          <cell r="G24">
            <v>284.29957728427445</v>
          </cell>
        </row>
        <row r="25">
          <cell r="G25">
            <v>277.07095290416129</v>
          </cell>
        </row>
        <row r="26">
          <cell r="D26">
            <v>7102.3762351979085</v>
          </cell>
        </row>
        <row r="27">
          <cell r="D27">
            <v>5231.248842862371</v>
          </cell>
        </row>
        <row r="29">
          <cell r="D29">
            <v>2571.7433669975039</v>
          </cell>
        </row>
        <row r="127">
          <cell r="E127">
            <v>0.13378293512249848</v>
          </cell>
          <cell r="F127">
            <v>3.5794264750827424E-3</v>
          </cell>
        </row>
        <row r="128">
          <cell r="E128">
            <v>0.12258813861674421</v>
          </cell>
          <cell r="F128">
            <v>0.43629642409170827</v>
          </cell>
        </row>
        <row r="129">
          <cell r="E129">
            <v>0.14006178269853281</v>
          </cell>
          <cell r="F129">
            <v>2.6970401713847778E-3</v>
          </cell>
        </row>
        <row r="130">
          <cell r="E130">
            <v>8.4766372708160412E-2</v>
          </cell>
          <cell r="F130">
            <v>0.46677309643133064</v>
          </cell>
        </row>
        <row r="131">
          <cell r="E131">
            <v>0.11092784544642349</v>
          </cell>
          <cell r="F131">
            <v>8.9944948697535075E-4</v>
          </cell>
        </row>
        <row r="132">
          <cell r="E132">
            <v>9.949962762808702E-2</v>
          </cell>
          <cell r="F132">
            <v>0.43645093052254835</v>
          </cell>
        </row>
        <row r="133">
          <cell r="E133">
            <v>0.11241171725966469</v>
          </cell>
          <cell r="F133">
            <v>2.7040865935523141E-3</v>
          </cell>
        </row>
        <row r="134">
          <cell r="E134">
            <v>0.10103196620467231</v>
          </cell>
          <cell r="F134">
            <v>0.39434916051487434</v>
          </cell>
        </row>
      </sheetData>
      <sheetData sheetId="8"/>
      <sheetData sheetId="9">
        <row r="4">
          <cell r="J4">
            <v>151.51513057203314</v>
          </cell>
        </row>
        <row r="5">
          <cell r="J5">
            <v>154.81638764307115</v>
          </cell>
        </row>
        <row r="6">
          <cell r="J6">
            <v>162.58071251650438</v>
          </cell>
        </row>
        <row r="7">
          <cell r="J7">
            <v>170.53289601018662</v>
          </cell>
        </row>
        <row r="8">
          <cell r="J8">
            <v>178.3050465125223</v>
          </cell>
        </row>
        <row r="9">
          <cell r="J9">
            <v>183.88974438317729</v>
          </cell>
        </row>
        <row r="10">
          <cell r="J10">
            <v>184.12480636536648</v>
          </cell>
        </row>
        <row r="11">
          <cell r="J11">
            <v>175.64877804609227</v>
          </cell>
        </row>
      </sheetData>
      <sheetData sheetId="1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114.0172865383591</v>
          </cell>
        </row>
        <row r="6">
          <cell r="V6">
            <v>109.4617471881392</v>
          </cell>
          <cell r="W6">
            <v>26.403997236908975</v>
          </cell>
        </row>
        <row r="7">
          <cell r="V7">
            <v>104.40437231040251</v>
          </cell>
          <cell r="W7">
            <v>21.522965805454451</v>
          </cell>
        </row>
        <row r="8">
          <cell r="V8">
            <v>100.70693900613661</v>
          </cell>
          <cell r="W8">
            <v>22.490286525289459</v>
          </cell>
        </row>
        <row r="9">
          <cell r="V9">
            <v>98.266289145724087</v>
          </cell>
          <cell r="W9">
            <v>19.071208368395244</v>
          </cell>
        </row>
        <row r="10">
          <cell r="V10">
            <v>94.465935214470889</v>
          </cell>
          <cell r="W10">
            <v>19.870125183754052</v>
          </cell>
        </row>
        <row r="11">
          <cell r="V11">
            <v>91.249896456769193</v>
          </cell>
          <cell r="W11">
            <v>19.704624299888682</v>
          </cell>
        </row>
        <row r="12">
          <cell r="V12">
            <v>87.534000276772304</v>
          </cell>
          <cell r="W12">
            <v>18.379545016321142</v>
          </cell>
        </row>
        <row r="13">
          <cell r="V13">
            <v>84.368657936362993</v>
          </cell>
          <cell r="W13">
            <v>13.157218025756016</v>
          </cell>
        </row>
      </sheetData>
      <sheetData sheetId="4"/>
      <sheetData sheetId="5">
        <row r="24">
          <cell r="B24">
            <v>17.026194617360911</v>
          </cell>
        </row>
        <row r="25">
          <cell r="B25">
            <v>15.873368300556148</v>
          </cell>
          <cell r="F25">
            <v>369.59548050419636</v>
          </cell>
        </row>
        <row r="26">
          <cell r="B26">
            <v>14.740334178062231</v>
          </cell>
          <cell r="F26">
            <v>362.57228881937993</v>
          </cell>
        </row>
        <row r="27">
          <cell r="B27">
            <v>13.624992305254525</v>
          </cell>
          <cell r="F27">
            <v>356.2613776754888</v>
          </cell>
        </row>
        <row r="28">
          <cell r="B28">
            <v>12.525242737508393</v>
          </cell>
          <cell r="F28">
            <v>350.65673847832073</v>
          </cell>
        </row>
        <row r="29">
          <cell r="B29">
            <v>11.438985530199197</v>
          </cell>
          <cell r="F29">
            <v>345.75268906847708</v>
          </cell>
        </row>
        <row r="30">
          <cell r="B30">
            <v>10.364120738702303</v>
          </cell>
          <cell r="F30">
            <v>341.54384145381687</v>
          </cell>
        </row>
        <row r="31">
          <cell r="B31">
            <v>9.2985484183930716</v>
          </cell>
          <cell r="F31">
            <v>338.02507126032151</v>
          </cell>
        </row>
        <row r="32">
          <cell r="B32">
            <v>8.2401686246468699</v>
          </cell>
          <cell r="F32">
            <v>335.19148885697467</v>
          </cell>
        </row>
      </sheetData>
      <sheetData sheetId="6"/>
      <sheetData sheetId="7">
        <row r="18">
          <cell r="G18">
            <v>210.29089982208967</v>
          </cell>
        </row>
        <row r="19">
          <cell r="G19">
            <v>208.39694712847134</v>
          </cell>
        </row>
        <row r="20">
          <cell r="G20">
            <v>211.39072112804132</v>
          </cell>
        </row>
        <row r="21">
          <cell r="G21">
            <v>215.017836997269</v>
          </cell>
        </row>
        <row r="22">
          <cell r="G22">
            <v>220.64239113993307</v>
          </cell>
        </row>
        <row r="23">
          <cell r="G23">
            <v>226.83663219896891</v>
          </cell>
        </row>
        <row r="24">
          <cell r="G24">
            <v>229.27694720849129</v>
          </cell>
        </row>
        <row r="25">
          <cell r="G25">
            <v>224.77438188670132</v>
          </cell>
        </row>
        <row r="26">
          <cell r="D26">
            <v>8491.6543984010059</v>
          </cell>
        </row>
        <row r="27">
          <cell r="D27">
            <v>5384.4906474265408</v>
          </cell>
        </row>
        <row r="29">
          <cell r="D29">
            <v>3850.1092616755859</v>
          </cell>
        </row>
        <row r="127">
          <cell r="E127">
            <v>0.20874650215140758</v>
          </cell>
          <cell r="F127">
            <v>0</v>
          </cell>
        </row>
        <row r="128">
          <cell r="E128">
            <v>0.24502811983108641</v>
          </cell>
          <cell r="F128">
            <v>0.44305944604288455</v>
          </cell>
        </row>
        <row r="129">
          <cell r="E129">
            <v>0.16731448051759404</v>
          </cell>
          <cell r="F129">
            <v>0</v>
          </cell>
        </row>
        <row r="130">
          <cell r="E130">
            <v>0.12496376764408769</v>
          </cell>
          <cell r="F130">
            <v>0.47990182846153773</v>
          </cell>
        </row>
        <row r="131">
          <cell r="E131">
            <v>0.17005984179695555</v>
          </cell>
          <cell r="F131">
            <v>8.987089235723356E-4</v>
          </cell>
        </row>
        <row r="132">
          <cell r="E132">
            <v>0.1564081914473277</v>
          </cell>
          <cell r="F132">
            <v>0.45407150029388244</v>
          </cell>
        </row>
        <row r="133">
          <cell r="E133">
            <v>0.16443090912665742</v>
          </cell>
          <cell r="F133">
            <v>0</v>
          </cell>
        </row>
        <row r="134">
          <cell r="E134">
            <v>0.15063004467164018</v>
          </cell>
          <cell r="F134">
            <v>0.41689873208696993</v>
          </cell>
        </row>
      </sheetData>
      <sheetData sheetId="8"/>
      <sheetData sheetId="9">
        <row r="4">
          <cell r="H4">
            <v>126.01560705870912</v>
          </cell>
        </row>
        <row r="5">
          <cell r="H5">
            <v>126.36409410797417</v>
          </cell>
        </row>
        <row r="6">
          <cell r="H6">
            <v>129.35526480898406</v>
          </cell>
        </row>
        <row r="7">
          <cell r="H7">
            <v>132.2731351123893</v>
          </cell>
        </row>
        <row r="8">
          <cell r="H8">
            <v>137.0216579705569</v>
          </cell>
        </row>
        <row r="9">
          <cell r="H9">
            <v>141.89347243920292</v>
          </cell>
        </row>
        <row r="10">
          <cell r="H10">
            <v>144.7620895745996</v>
          </cell>
        </row>
        <row r="11">
          <cell r="H11">
            <v>142.94587275629351</v>
          </cell>
        </row>
      </sheetData>
      <sheetData sheetId="1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5">
          <cell r="F15">
            <v>900</v>
          </cell>
        </row>
      </sheetData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143.90616764639671</v>
          </cell>
        </row>
        <row r="6">
          <cell r="V6">
            <v>138.11186014563302</v>
          </cell>
          <cell r="W6">
            <v>28.230187221073905</v>
          </cell>
        </row>
        <row r="7">
          <cell r="V7">
            <v>133.04586499731596</v>
          </cell>
          <cell r="W7">
            <v>22.937915328040976</v>
          </cell>
        </row>
        <row r="8">
          <cell r="V8">
            <v>126.60043079925617</v>
          </cell>
          <cell r="W8">
            <v>24.14918304268436</v>
          </cell>
        </row>
        <row r="9">
          <cell r="V9">
            <v>123.31258465571183</v>
          </cell>
          <cell r="W9">
            <v>20.288161427331026</v>
          </cell>
        </row>
        <row r="10">
          <cell r="V10">
            <v>117.82373837364928</v>
          </cell>
          <cell r="W10">
            <v>21.178230729783582</v>
          </cell>
        </row>
        <row r="11">
          <cell r="V11">
            <v>114.3147447805643</v>
          </cell>
          <cell r="W11">
            <v>20.941408444065107</v>
          </cell>
        </row>
        <row r="12">
          <cell r="V12">
            <v>109.47328966044374</v>
          </cell>
          <cell r="W12">
            <v>19.695641550496084</v>
          </cell>
        </row>
        <row r="13">
          <cell r="V13">
            <v>104.48728873458434</v>
          </cell>
          <cell r="W13">
            <v>13.669092672267073</v>
          </cell>
        </row>
      </sheetData>
      <sheetData sheetId="4"/>
      <sheetData sheetId="5">
        <row r="24">
          <cell r="B24">
            <v>18.046232173691251</v>
          </cell>
        </row>
        <row r="25">
          <cell r="B25">
            <v>16.753178394689709</v>
          </cell>
          <cell r="F25">
            <v>442.74037120438243</v>
          </cell>
        </row>
        <row r="26">
          <cell r="B26">
            <v>15.490303915095327</v>
          </cell>
          <cell r="F26">
            <v>431.49884057859191</v>
          </cell>
        </row>
        <row r="27">
          <cell r="B27">
            <v>14.25339285203348</v>
          </cell>
          <cell r="F27">
            <v>421.76783359363964</v>
          </cell>
        </row>
        <row r="28">
          <cell r="B28">
            <v>13.03822932262954</v>
          </cell>
          <cell r="F28">
            <v>413.53326932481752</v>
          </cell>
        </row>
        <row r="29">
          <cell r="B29">
            <v>11.840597444008875</v>
          </cell>
          <cell r="F29">
            <v>406.78200606781945</v>
          </cell>
        </row>
        <row r="30">
          <cell r="B30">
            <v>10.65628133329686</v>
          </cell>
          <cell r="F30">
            <v>401.50171119390541</v>
          </cell>
        </row>
        <row r="31">
          <cell r="B31">
            <v>9.4810651076188659</v>
          </cell>
          <cell r="F31">
            <v>397.68073920576836</v>
          </cell>
        </row>
        <row r="32">
          <cell r="B32">
            <v>8.3107328841002648</v>
          </cell>
          <cell r="F32">
            <v>395.30801771704921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189.74993241167562</v>
          </cell>
        </row>
        <row r="19">
          <cell r="G19">
            <v>187.7599721419426</v>
          </cell>
        </row>
        <row r="20">
          <cell r="G20">
            <v>190.17340270799525</v>
          </cell>
        </row>
        <row r="21">
          <cell r="G21">
            <v>194.4601796204775</v>
          </cell>
        </row>
        <row r="22">
          <cell r="G22">
            <v>199.74239255270606</v>
          </cell>
        </row>
        <row r="23">
          <cell r="G23">
            <v>205.25287542363429</v>
          </cell>
        </row>
        <row r="24">
          <cell r="G24">
            <v>207.68209070953807</v>
          </cell>
        </row>
        <row r="25">
          <cell r="G25">
            <v>206.81634771999424</v>
          </cell>
        </row>
        <row r="26">
          <cell r="D26">
            <v>10054.217868433196</v>
          </cell>
        </row>
        <row r="27">
          <cell r="D27">
            <v>5225.5974066020699</v>
          </cell>
        </row>
        <row r="29">
          <cell r="D29">
            <v>5748.0760614396595</v>
          </cell>
        </row>
        <row r="127">
          <cell r="E127">
            <v>0.3489365298052412</v>
          </cell>
          <cell r="F127">
            <v>0</v>
          </cell>
        </row>
        <row r="128">
          <cell r="E128">
            <v>0.27238282607907827</v>
          </cell>
          <cell r="F128">
            <v>0.40839665910336193</v>
          </cell>
        </row>
        <row r="129">
          <cell r="E129">
            <v>0.32190108855614913</v>
          </cell>
          <cell r="F129">
            <v>0</v>
          </cell>
        </row>
        <row r="130">
          <cell r="E130">
            <v>0.17961778482981097</v>
          </cell>
          <cell r="F130">
            <v>0.41196895487932733</v>
          </cell>
        </row>
        <row r="131">
          <cell r="E131">
            <v>0.27073016700792274</v>
          </cell>
          <cell r="F131">
            <v>0</v>
          </cell>
        </row>
        <row r="132">
          <cell r="E132">
            <v>0.18987494974084726</v>
          </cell>
          <cell r="F132">
            <v>0.48404566864162107</v>
          </cell>
        </row>
        <row r="133">
          <cell r="E133">
            <v>0.2357329801031417</v>
          </cell>
          <cell r="F133">
            <v>0</v>
          </cell>
        </row>
        <row r="134">
          <cell r="E134">
            <v>0.25597551496742682</v>
          </cell>
          <cell r="F134">
            <v>0.43745451957637965</v>
          </cell>
        </row>
      </sheetData>
      <sheetData sheetId="8"/>
      <sheetData sheetId="9">
        <row r="4">
          <cell r="J4">
            <v>105.99517371346144</v>
          </cell>
        </row>
        <row r="5">
          <cell r="J5">
            <v>106.11006356461235</v>
          </cell>
        </row>
        <row r="6">
          <cell r="J6">
            <v>109.12206383594481</v>
          </cell>
        </row>
        <row r="7">
          <cell r="J7">
            <v>112.40762550608315</v>
          </cell>
        </row>
        <row r="8">
          <cell r="J8">
            <v>116.98185921393994</v>
          </cell>
        </row>
        <row r="9">
          <cell r="J9">
            <v>121.16277766954363</v>
          </cell>
        </row>
        <row r="10">
          <cell r="J10">
            <v>124.0342990803542</v>
          </cell>
        </row>
        <row r="11">
          <cell r="J11">
            <v>124.94634626752405</v>
          </cell>
        </row>
      </sheetData>
      <sheetData sheetId="1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478.62691090858124</v>
          </cell>
        </row>
        <row r="26">
          <cell r="F26">
            <v>477.95832703599154</v>
          </cell>
        </row>
        <row r="27">
          <cell r="F27">
            <v>477.27051830259012</v>
          </cell>
        </row>
        <row r="28">
          <cell r="F28">
            <v>476.56384960809595</v>
          </cell>
        </row>
        <row r="29">
          <cell r="F29">
            <v>475.83867749774942</v>
          </cell>
        </row>
        <row r="30">
          <cell r="F30">
            <v>475.09535000809052</v>
          </cell>
        </row>
        <row r="31">
          <cell r="F31">
            <v>474.33420651901747</v>
          </cell>
        </row>
        <row r="32">
          <cell r="F32">
            <v>473.55557761175788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166.38374774077326</v>
          </cell>
        </row>
        <row r="19">
          <cell r="G19">
            <v>168.75409608646038</v>
          </cell>
        </row>
        <row r="20">
          <cell r="G20">
            <v>174.2768531678187</v>
          </cell>
        </row>
        <row r="21">
          <cell r="G21">
            <v>181.61928856170201</v>
          </cell>
        </row>
        <row r="22">
          <cell r="G22">
            <v>189.13064466300574</v>
          </cell>
        </row>
        <row r="23">
          <cell r="G23">
            <v>196.56838559494048</v>
          </cell>
        </row>
        <row r="24">
          <cell r="G24">
            <v>202.00292280397147</v>
          </cell>
        </row>
        <row r="25">
          <cell r="G25">
            <v>201.94890094140374</v>
          </cell>
        </row>
        <row r="26">
          <cell r="D26">
            <v>11525.963747596372</v>
          </cell>
        </row>
        <row r="27">
          <cell r="D27">
            <v>5245.5943759195707</v>
          </cell>
        </row>
        <row r="29">
          <cell r="D29">
            <v>7259.426779264265</v>
          </cell>
        </row>
        <row r="127">
          <cell r="E127">
            <v>0.44216621363440384</v>
          </cell>
          <cell r="F127">
            <v>0</v>
          </cell>
        </row>
        <row r="128">
          <cell r="E128">
            <v>0.31169613344327024</v>
          </cell>
          <cell r="F128">
            <v>0.41849838711605103</v>
          </cell>
        </row>
        <row r="129">
          <cell r="E129">
            <v>0.40780327700838725</v>
          </cell>
          <cell r="F129">
            <v>0</v>
          </cell>
        </row>
        <row r="130">
          <cell r="E130">
            <v>0.25092960236481077</v>
          </cell>
          <cell r="F130">
            <v>0.45259743759222343</v>
          </cell>
        </row>
        <row r="131">
          <cell r="E131">
            <v>0.32279840334700621</v>
          </cell>
          <cell r="F131">
            <v>0</v>
          </cell>
        </row>
        <row r="132">
          <cell r="E132">
            <v>0.27131750170348573</v>
          </cell>
          <cell r="F132">
            <v>0.45106997823269296</v>
          </cell>
        </row>
        <row r="133">
          <cell r="E133">
            <v>0.35265542550393336</v>
          </cell>
          <cell r="F133">
            <v>0</v>
          </cell>
        </row>
        <row r="134">
          <cell r="E134">
            <v>0.2371138574755641</v>
          </cell>
          <cell r="F134">
            <v>0.42636565569888957</v>
          </cell>
        </row>
      </sheetData>
      <sheetData sheetId="8"/>
      <sheetData sheetId="9">
        <row r="4">
          <cell r="K4">
            <v>87.622899086898073</v>
          </cell>
        </row>
        <row r="5">
          <cell r="K5">
            <v>89.963406574492225</v>
          </cell>
        </row>
        <row r="6">
          <cell r="K6">
            <v>94.534890001793215</v>
          </cell>
        </row>
        <row r="7">
          <cell r="K7">
            <v>99.485250112130203</v>
          </cell>
        </row>
        <row r="8">
          <cell r="K8">
            <v>105.06954299795171</v>
          </cell>
        </row>
        <row r="9">
          <cell r="K9">
            <v>110.39541210398974</v>
          </cell>
        </row>
        <row r="10">
          <cell r="K10">
            <v>115.25475015515364</v>
          </cell>
        </row>
        <row r="11">
          <cell r="K11">
            <v>116.34069305333205</v>
          </cell>
        </row>
      </sheetData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204.57604028284436</v>
          </cell>
        </row>
        <row r="6">
          <cell r="V6">
            <v>196.03137860704001</v>
          </cell>
          <cell r="W6">
            <v>31.329698635690303</v>
          </cell>
        </row>
        <row r="7">
          <cell r="V7">
            <v>187.10730521500383</v>
          </cell>
          <cell r="W7">
            <v>25.036860516557216</v>
          </cell>
        </row>
        <row r="8">
          <cell r="V8">
            <v>178.84495068584624</v>
          </cell>
          <cell r="W8">
            <v>26.942676803317184</v>
          </cell>
        </row>
        <row r="9">
          <cell r="V9">
            <v>171.7374934489047</v>
          </cell>
          <cell r="W9">
            <v>22.534552870724379</v>
          </cell>
        </row>
        <row r="10">
          <cell r="V10">
            <v>164.39324828764049</v>
          </cell>
          <cell r="W10">
            <v>23.238788623341538</v>
          </cell>
        </row>
        <row r="11">
          <cell r="V11">
            <v>160.89350321424308</v>
          </cell>
          <cell r="W11">
            <v>22.799781982747419</v>
          </cell>
        </row>
        <row r="12">
          <cell r="V12">
            <v>153.43477853680827</v>
          </cell>
          <cell r="W12">
            <v>21.411978223698686</v>
          </cell>
        </row>
        <row r="13">
          <cell r="V13">
            <v>147.47371730777635</v>
          </cell>
          <cell r="W13">
            <v>14.653927734391527</v>
          </cell>
        </row>
      </sheetData>
      <sheetData sheetId="4"/>
      <sheetData sheetId="5">
        <row r="24">
          <cell r="B24">
            <v>19.403016986021484</v>
          </cell>
        </row>
        <row r="25">
          <cell r="B25">
            <v>17.996627661403991</v>
          </cell>
          <cell r="F25">
            <v>539.54351073181101</v>
          </cell>
        </row>
        <row r="26">
          <cell r="B26">
            <v>16.619564037073246</v>
          </cell>
          <cell r="F26">
            <v>527.07361389283926</v>
          </cell>
        </row>
        <row r="27">
          <cell r="B27">
            <v>15.261607950240853</v>
          </cell>
          <cell r="F27">
            <v>518.59333639211786</v>
          </cell>
        </row>
        <row r="28">
          <cell r="B28">
            <v>13.91254123811842</v>
          </cell>
          <cell r="F28">
            <v>514.06562891050373</v>
          </cell>
        </row>
        <row r="29">
          <cell r="B29">
            <v>12.562145737917556</v>
          </cell>
          <cell r="F29">
            <v>513.45545260474069</v>
          </cell>
        </row>
        <row r="30">
          <cell r="B30">
            <v>11.200203286849863</v>
          </cell>
          <cell r="F30">
            <v>516.7290989527869</v>
          </cell>
        </row>
        <row r="31">
          <cell r="B31">
            <v>9.8164957221269553</v>
          </cell>
          <cell r="F31">
            <v>523.85356678390292</v>
          </cell>
        </row>
        <row r="32">
          <cell r="B32">
            <v>8.4008048809604343</v>
          </cell>
          <cell r="F32">
            <v>534.79599779302191</v>
          </cell>
        </row>
      </sheetData>
      <sheetData sheetId="6"/>
      <sheetData sheetId="7">
        <row r="18">
          <cell r="G18">
            <v>154.98965222806478</v>
          </cell>
        </row>
        <row r="19">
          <cell r="G19">
            <v>155.146674369153</v>
          </cell>
        </row>
        <row r="20">
          <cell r="G20">
            <v>158.94281022205604</v>
          </cell>
        </row>
        <row r="21">
          <cell r="G21">
            <v>164.98581381283711</v>
          </cell>
        </row>
        <row r="22">
          <cell r="G22">
            <v>172.90832552616811</v>
          </cell>
        </row>
        <row r="23">
          <cell r="G23">
            <v>179.79998315243756</v>
          </cell>
        </row>
        <row r="24">
          <cell r="G24">
            <v>186.22304273601824</v>
          </cell>
        </row>
        <row r="25">
          <cell r="G25">
            <v>192.01777252797683</v>
          </cell>
        </row>
        <row r="26">
          <cell r="D26">
            <v>12708.061717773828</v>
          </cell>
        </row>
        <row r="27">
          <cell r="D27">
            <v>4503.3013642878004</v>
          </cell>
        </row>
        <row r="29">
          <cell r="D29">
            <v>9225.5574334681296</v>
          </cell>
        </row>
        <row r="127">
          <cell r="E127">
            <v>0.47919592198806044</v>
          </cell>
          <cell r="F127">
            <v>0</v>
          </cell>
        </row>
        <row r="128">
          <cell r="E128">
            <v>0.52461772202439028</v>
          </cell>
          <cell r="F128">
            <v>0.34575696829588404</v>
          </cell>
        </row>
        <row r="129">
          <cell r="E129">
            <v>0.4665234004913606</v>
          </cell>
          <cell r="F129">
            <v>0</v>
          </cell>
        </row>
        <row r="130">
          <cell r="E130">
            <v>0.42194309600909929</v>
          </cell>
          <cell r="F130">
            <v>0.38512261743100473</v>
          </cell>
        </row>
        <row r="131">
          <cell r="E131">
            <v>0.41185743669738145</v>
          </cell>
          <cell r="F131">
            <v>8.9573138313781876E-4</v>
          </cell>
        </row>
        <row r="132">
          <cell r="E132">
            <v>0.21489700392161251</v>
          </cell>
          <cell r="F132">
            <v>0.37110406310367933</v>
          </cell>
        </row>
        <row r="133">
          <cell r="E133">
            <v>0.41397920594364485</v>
          </cell>
          <cell r="F133">
            <v>0</v>
          </cell>
        </row>
        <row r="134">
          <cell r="E134">
            <v>0.3476874252003439</v>
          </cell>
          <cell r="F134">
            <v>0.39822107454889411</v>
          </cell>
        </row>
      </sheetData>
      <sheetData sheetId="8"/>
      <sheetData sheetId="9">
        <row r="4">
          <cell r="H4">
            <v>76.234033607225911</v>
          </cell>
        </row>
        <row r="5">
          <cell r="H5">
            <v>77.832804789391275</v>
          </cell>
        </row>
        <row r="6">
          <cell r="H6">
            <v>81.200581006979576</v>
          </cell>
        </row>
        <row r="7">
          <cell r="H7">
            <v>85.639921712676042</v>
          </cell>
        </row>
        <row r="8">
          <cell r="H8">
            <v>91.237579705909056</v>
          </cell>
        </row>
        <row r="9">
          <cell r="H9">
            <v>95.625680112687292</v>
          </cell>
        </row>
        <row r="10">
          <cell r="H10">
            <v>100.72496608794873</v>
          </cell>
        </row>
        <row r="11">
          <cell r="H11">
            <v>105.26891758847336</v>
          </cell>
        </row>
      </sheetData>
      <sheetData sheetId="1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5">
          <cell r="F15">
            <v>900</v>
          </cell>
        </row>
      </sheetData>
      <sheetData sheetId="8"/>
      <sheetData sheetId="9"/>
      <sheetData sheetId="1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84.740254586227152</v>
          </cell>
        </row>
        <row r="6">
          <cell r="V6">
            <v>80.23995883477852</v>
          </cell>
          <cell r="W6">
            <v>35.190037675261117</v>
          </cell>
        </row>
        <row r="7">
          <cell r="V7">
            <v>76.613533933980591</v>
          </cell>
          <cell r="W7">
            <v>33.366730388611892</v>
          </cell>
        </row>
        <row r="8">
          <cell r="V8">
            <v>72.278271177099739</v>
          </cell>
          <cell r="W8">
            <v>30.26773466895359</v>
          </cell>
        </row>
        <row r="9">
          <cell r="V9">
            <v>69.815056882131458</v>
          </cell>
          <cell r="W9">
            <v>27.895323544378158</v>
          </cell>
        </row>
        <row r="10">
          <cell r="V10">
            <v>66.725689406728279</v>
          </cell>
          <cell r="W10">
            <v>26.167558332450142</v>
          </cell>
        </row>
        <row r="11">
          <cell r="V11">
            <v>63.317138799785631</v>
          </cell>
          <cell r="W11">
            <v>24.673013007756737</v>
          </cell>
        </row>
        <row r="12">
          <cell r="V12">
            <v>60.137650573198876</v>
          </cell>
          <cell r="W12">
            <v>22.850148971866215</v>
          </cell>
        </row>
        <row r="13">
          <cell r="V13">
            <v>57.199089872702672</v>
          </cell>
          <cell r="W13">
            <v>19.669915558520845</v>
          </cell>
        </row>
      </sheetData>
      <sheetData sheetId="4"/>
      <sheetData sheetId="5">
        <row r="24">
          <cell r="B24">
            <v>24.203407573690509</v>
          </cell>
        </row>
        <row r="25">
          <cell r="B25">
            <v>22.341584322780641</v>
          </cell>
          <cell r="F25">
            <v>181.7538171036735</v>
          </cell>
        </row>
        <row r="26">
          <cell r="B26">
            <v>20.457005388907568</v>
          </cell>
          <cell r="F26">
            <v>183.38605001297572</v>
          </cell>
        </row>
        <row r="27">
          <cell r="B27">
            <v>18.552575774796789</v>
          </cell>
          <cell r="F27">
            <v>184.72525726262975</v>
          </cell>
        </row>
        <row r="28">
          <cell r="B28">
            <v>16.631200483173814</v>
          </cell>
          <cell r="F28">
            <v>185.7755457147922</v>
          </cell>
        </row>
        <row r="29">
          <cell r="B29">
            <v>14.695784516764144</v>
          </cell>
          <cell r="F29">
            <v>186.54097570776122</v>
          </cell>
        </row>
        <row r="30">
          <cell r="B30">
            <v>12.749232878293281</v>
          </cell>
          <cell r="F30">
            <v>187.02553703338279</v>
          </cell>
        </row>
        <row r="31">
          <cell r="B31">
            <v>10.794450570486733</v>
          </cell>
          <cell r="F31">
            <v>187.23312640020239</v>
          </cell>
        </row>
        <row r="32">
          <cell r="B32">
            <v>8.8343425960700017</v>
          </cell>
          <cell r="F32">
            <v>187.16752648866503</v>
          </cell>
        </row>
      </sheetData>
      <sheetData sheetId="6"/>
      <sheetData sheetId="7">
        <row r="15">
          <cell r="F15">
            <v>1210</v>
          </cell>
        </row>
        <row r="18">
          <cell r="G18">
            <v>188.09517220202673</v>
          </cell>
        </row>
        <row r="19">
          <cell r="G19">
            <v>194.79935069411206</v>
          </cell>
        </row>
        <row r="20">
          <cell r="G20">
            <v>203.47433919961557</v>
          </cell>
        </row>
        <row r="21">
          <cell r="G21">
            <v>211.21873252871154</v>
          </cell>
        </row>
        <row r="22">
          <cell r="G22">
            <v>216.66412245559681</v>
          </cell>
        </row>
        <row r="23">
          <cell r="G23">
            <v>224.45367803379253</v>
          </cell>
        </row>
        <row r="24">
          <cell r="G24">
            <v>231.48720367351626</v>
          </cell>
        </row>
        <row r="25">
          <cell r="G25">
            <v>234.80508764541881</v>
          </cell>
        </row>
        <row r="26">
          <cell r="D26">
            <v>4535.6731206444128</v>
          </cell>
        </row>
        <row r="27">
          <cell r="D27">
            <v>3866.0784406314356</v>
          </cell>
        </row>
        <row r="29">
          <cell r="D29">
            <v>1037.8050587250864</v>
          </cell>
        </row>
        <row r="127">
          <cell r="E127">
            <v>6.1567281566615832E-2</v>
          </cell>
          <cell r="F127">
            <v>1.0656939337861797E-2</v>
          </cell>
        </row>
        <row r="128">
          <cell r="E128">
            <v>5.6687417456910444E-2</v>
          </cell>
          <cell r="F128">
            <v>0.32193269741066877</v>
          </cell>
        </row>
        <row r="129">
          <cell r="E129">
            <v>5.7945601356678415E-2</v>
          </cell>
          <cell r="F129">
            <v>8.7025560414510702E-3</v>
          </cell>
        </row>
        <row r="130">
          <cell r="E130">
            <v>3.8928858474489604E-2</v>
          </cell>
          <cell r="F130">
            <v>0.28774249993864015</v>
          </cell>
        </row>
        <row r="131">
          <cell r="E131">
            <v>4.0536799872951022E-2</v>
          </cell>
          <cell r="F131">
            <v>8.7350790330435867E-3</v>
          </cell>
        </row>
        <row r="132">
          <cell r="E132">
            <v>5.0837534175947052E-2</v>
          </cell>
          <cell r="F132">
            <v>0.33522554950319877</v>
          </cell>
        </row>
        <row r="133">
          <cell r="E133">
            <v>4.0786113175401165E-2</v>
          </cell>
          <cell r="F133">
            <v>1.011726797572894E-2</v>
          </cell>
        </row>
        <row r="134">
          <cell r="E134">
            <v>4.2779694505637261E-2</v>
          </cell>
          <cell r="F134">
            <v>0.30558022430321896</v>
          </cell>
        </row>
      </sheetData>
      <sheetData sheetId="8"/>
      <sheetData sheetId="9">
        <row r="4">
          <cell r="O4">
            <v>121.19338572507472</v>
          </cell>
        </row>
        <row r="5">
          <cell r="O5">
            <v>126.37448496881446</v>
          </cell>
        </row>
        <row r="6">
          <cell r="O6">
            <v>133.48826620481398</v>
          </cell>
        </row>
        <row r="7">
          <cell r="O7">
            <v>139.14952095330705</v>
          </cell>
        </row>
        <row r="8">
          <cell r="O8">
            <v>143.8817628974908</v>
          </cell>
        </row>
        <row r="9">
          <cell r="O9">
            <v>149.96616784212307</v>
          </cell>
        </row>
        <row r="10">
          <cell r="O10">
            <v>155.94657288779126</v>
          </cell>
        </row>
        <row r="11">
          <cell r="O11">
            <v>158.9964305103949</v>
          </cell>
        </row>
      </sheetData>
      <sheetData sheetId="1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115.90640125784218</v>
          </cell>
        </row>
        <row r="6">
          <cell r="V6">
            <v>108.48063797979006</v>
          </cell>
          <cell r="W6">
            <v>36.699890016327238</v>
          </cell>
        </row>
        <row r="7">
          <cell r="V7">
            <v>102.42970510457583</v>
          </cell>
          <cell r="W7">
            <v>34.155965366725347</v>
          </cell>
        </row>
        <row r="8">
          <cell r="V8">
            <v>95.937194498695092</v>
          </cell>
          <cell r="W8">
            <v>31.509454201572364</v>
          </cell>
        </row>
        <row r="9">
          <cell r="V9">
            <v>92.617177866725129</v>
          </cell>
          <cell r="W9">
            <v>28.75215975912792</v>
          </cell>
        </row>
        <row r="10">
          <cell r="V10">
            <v>87.243847903462608</v>
          </cell>
          <cell r="W10">
            <v>26.86113510305832</v>
          </cell>
        </row>
        <row r="11">
          <cell r="V11">
            <v>82.675383196794499</v>
          </cell>
          <cell r="W11">
            <v>25.2793659291662</v>
          </cell>
        </row>
        <row r="12">
          <cell r="V12">
            <v>77.422179268449369</v>
          </cell>
          <cell r="W12">
            <v>23.148076655977921</v>
          </cell>
        </row>
        <row r="13">
          <cell r="V13">
            <v>73.041487071958443</v>
          </cell>
          <cell r="W13">
            <v>20.060267027752417</v>
          </cell>
        </row>
      </sheetData>
      <sheetData sheetId="4"/>
      <sheetData sheetId="5">
        <row r="24">
          <cell r="B24">
            <v>25.276333423925582</v>
          </cell>
        </row>
        <row r="25">
          <cell r="B25">
            <v>23.081983863290137</v>
          </cell>
          <cell r="F25">
            <v>218.18797633528229</v>
          </cell>
        </row>
        <row r="26">
          <cell r="B26">
            <v>20.958850673753794</v>
          </cell>
          <cell r="F26">
            <v>210.32378956469495</v>
          </cell>
        </row>
        <row r="27">
          <cell r="B27">
            <v>18.888317051544071</v>
          </cell>
          <cell r="F27">
            <v>204.3848390365651</v>
          </cell>
        </row>
        <row r="28">
          <cell r="B28">
            <v>16.851766192888476</v>
          </cell>
          <cell r="F28">
            <v>200.34155081155964</v>
          </cell>
        </row>
        <row r="29">
          <cell r="B29">
            <v>14.830581294014532</v>
          </cell>
          <cell r="F29">
            <v>198.16693438598568</v>
          </cell>
        </row>
        <row r="30">
          <cell r="B30">
            <v>12.806145551149744</v>
          </cell>
          <cell r="F30">
            <v>197.83591617078577</v>
          </cell>
        </row>
        <row r="31">
          <cell r="B31">
            <v>10.759842160521636</v>
          </cell>
          <cell r="F31">
            <v>199.3247448784289</v>
          </cell>
        </row>
        <row r="32">
          <cell r="B32">
            <v>8.673054318357714</v>
          </cell>
          <cell r="F32">
            <v>202.61046901680882</v>
          </cell>
        </row>
      </sheetData>
      <sheetData sheetId="6"/>
      <sheetData sheetId="7">
        <row r="15">
          <cell r="F15">
            <v>1210</v>
          </cell>
        </row>
        <row r="18">
          <cell r="G18">
            <v>141.69320838282943</v>
          </cell>
        </row>
        <row r="19">
          <cell r="G19">
            <v>142.73559122364668</v>
          </cell>
        </row>
        <row r="20">
          <cell r="G20">
            <v>146.35855964787305</v>
          </cell>
        </row>
        <row r="21">
          <cell r="G21">
            <v>149.47457031529322</v>
          </cell>
        </row>
        <row r="22">
          <cell r="G22">
            <v>153.35083183901853</v>
          </cell>
        </row>
        <row r="23">
          <cell r="G23">
            <v>160.61743336230469</v>
          </cell>
        </row>
        <row r="24">
          <cell r="G24">
            <v>169.40751994939103</v>
          </cell>
        </row>
        <row r="25">
          <cell r="G25">
            <v>179.08518913099448</v>
          </cell>
        </row>
        <row r="26">
          <cell r="D26">
            <v>4988.2564566207602</v>
          </cell>
        </row>
        <row r="27">
          <cell r="D27">
            <v>3698.9232001300884</v>
          </cell>
        </row>
        <row r="29">
          <cell r="D29">
            <v>1608.7273342188598</v>
          </cell>
        </row>
        <row r="127">
          <cell r="E127">
            <v>9.3321520443377881E-2</v>
          </cell>
          <cell r="F127">
            <v>4.9887472060652437E-2</v>
          </cell>
        </row>
        <row r="128">
          <cell r="E128">
            <v>9.2926675834694147E-2</v>
          </cell>
          <cell r="F128">
            <v>0.27353398355775554</v>
          </cell>
        </row>
        <row r="129">
          <cell r="E129">
            <v>8.9239090942996438E-2</v>
          </cell>
          <cell r="F129">
            <v>6.019113697075351E-3</v>
          </cell>
        </row>
        <row r="130">
          <cell r="E130">
            <v>5.4583719605688578E-2</v>
          </cell>
          <cell r="F130">
            <v>0.31968180177999378</v>
          </cell>
        </row>
        <row r="131">
          <cell r="E131">
            <v>7.2188658762515859E-2</v>
          </cell>
          <cell r="F131">
            <v>6.0433454593333937E-3</v>
          </cell>
        </row>
        <row r="132">
          <cell r="E132">
            <v>6.8661842365241713E-2</v>
          </cell>
          <cell r="F132">
            <v>0.30275110917967535</v>
          </cell>
        </row>
        <row r="133">
          <cell r="E133">
            <v>6.905253624091949E-2</v>
          </cell>
          <cell r="F133">
            <v>7.4162181629185047E-3</v>
          </cell>
        </row>
        <row r="134">
          <cell r="E134">
            <v>6.321497222429627E-2</v>
          </cell>
          <cell r="F134">
            <v>0.26764135614595846</v>
          </cell>
        </row>
      </sheetData>
      <sheetData sheetId="8"/>
      <sheetData sheetId="9">
        <row r="4">
          <cell r="L4">
            <v>85.437709018401037</v>
          </cell>
        </row>
        <row r="5">
          <cell r="L5">
            <v>87.213784804736662</v>
          </cell>
        </row>
        <row r="6">
          <cell r="L6">
            <v>90.873316225881425</v>
          </cell>
        </row>
        <row r="7">
          <cell r="L7">
            <v>93.411749319540192</v>
          </cell>
        </row>
        <row r="8">
          <cell r="L8">
            <v>97.126890186992881</v>
          </cell>
        </row>
        <row r="9">
          <cell r="L9">
            <v>102.72562437460736</v>
          </cell>
        </row>
        <row r="10">
          <cell r="L10">
            <v>109.79022417371198</v>
          </cell>
        </row>
        <row r="11">
          <cell r="L11">
            <v>117.12777784995458</v>
          </cell>
        </row>
      </sheetData>
      <sheetData sheetId="1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143.97706957204619</v>
          </cell>
        </row>
        <row r="6">
          <cell r="V6">
            <v>135.12723158060939</v>
          </cell>
          <cell r="W6">
            <v>37.553507769970146</v>
          </cell>
        </row>
        <row r="7">
          <cell r="V7">
            <v>127.13742427795209</v>
          </cell>
          <cell r="W7">
            <v>35.45959547777106</v>
          </cell>
        </row>
        <row r="8">
          <cell r="V8">
            <v>118.60376977636098</v>
          </cell>
          <cell r="W8">
            <v>32.255905415785001</v>
          </cell>
        </row>
        <row r="9">
          <cell r="V9">
            <v>113.74656969906162</v>
          </cell>
          <cell r="W9">
            <v>29.560137919176245</v>
          </cell>
        </row>
        <row r="10">
          <cell r="V10">
            <v>106.44300780056749</v>
          </cell>
          <cell r="W10">
            <v>27.91704756361008</v>
          </cell>
        </row>
        <row r="11">
          <cell r="V11">
            <v>101.14196568265375</v>
          </cell>
          <cell r="W11">
            <v>26.367437398350337</v>
          </cell>
        </row>
        <row r="12">
          <cell r="V12">
            <v>94.29627564993875</v>
          </cell>
          <cell r="W12">
            <v>24.45397932951353</v>
          </cell>
        </row>
        <row r="13">
          <cell r="V13">
            <v>89.053637984663666</v>
          </cell>
          <cell r="W13">
            <v>20.897271985229672</v>
          </cell>
        </row>
      </sheetData>
      <sheetData sheetId="4"/>
      <sheetData sheetId="5">
        <row r="24">
          <cell r="B24">
            <v>25.599467473144244</v>
          </cell>
        </row>
        <row r="25">
          <cell r="B25">
            <v>23.389589313799135</v>
          </cell>
          <cell r="F25">
            <v>232.06634067922988</v>
          </cell>
        </row>
        <row r="26">
          <cell r="B26">
            <v>21.279126781495503</v>
          </cell>
          <cell r="F26">
            <v>220.80206554889546</v>
          </cell>
        </row>
        <row r="27">
          <cell r="B27">
            <v>19.229040121738009</v>
          </cell>
          <cell r="F27">
            <v>213.72812580616952</v>
          </cell>
        </row>
        <row r="28">
          <cell r="B28">
            <v>17.200289580031306</v>
          </cell>
          <cell r="F28">
            <v>210.78228669579573</v>
          </cell>
        </row>
        <row r="29">
          <cell r="B29">
            <v>15.153835401880057</v>
          </cell>
          <cell r="F29">
            <v>211.90777450109439</v>
          </cell>
        </row>
        <row r="30">
          <cell r="B30">
            <v>13.050637832788926</v>
          </cell>
          <cell r="F30">
            <v>217.05050073456331</v>
          </cell>
        </row>
        <row r="31">
          <cell r="B31">
            <v>10.851657118262569</v>
          </cell>
          <cell r="F31">
            <v>226.15662736424082</v>
          </cell>
        </row>
        <row r="32">
          <cell r="B32">
            <v>8.5178535038056431</v>
          </cell>
          <cell r="F32">
            <v>239.17049536495031</v>
          </cell>
        </row>
      </sheetData>
      <sheetData sheetId="6"/>
      <sheetData sheetId="7">
        <row r="15">
          <cell r="F15">
            <v>1205</v>
          </cell>
        </row>
        <row r="18">
          <cell r="G18">
            <v>110.42671287976931</v>
          </cell>
        </row>
        <row r="19">
          <cell r="G19">
            <v>111.33362640819446</v>
          </cell>
        </row>
        <row r="20">
          <cell r="G20">
            <v>114.58177940368999</v>
          </cell>
        </row>
        <row r="21">
          <cell r="G21">
            <v>119.02399250299705</v>
          </cell>
        </row>
        <row r="22">
          <cell r="G22">
            <v>125.7326880868371</v>
          </cell>
        </row>
        <row r="23">
          <cell r="G23">
            <v>135.97462087873834</v>
          </cell>
        </row>
        <row r="24">
          <cell r="G24">
            <v>149.01996077590474</v>
          </cell>
        </row>
        <row r="25">
          <cell r="G25">
            <v>164.92392715621645</v>
          </cell>
        </row>
        <row r="26">
          <cell r="D26">
            <v>5431.4941741129969</v>
          </cell>
        </row>
        <row r="27">
          <cell r="D27">
            <v>3437.2407887229278</v>
          </cell>
        </row>
        <row r="29">
          <cell r="D29">
            <v>2300.8334040036962</v>
          </cell>
        </row>
        <row r="127">
          <cell r="E127">
            <v>0.14987346543707333</v>
          </cell>
          <cell r="F127">
            <v>4.6707974146006108E-3</v>
          </cell>
        </row>
        <row r="128">
          <cell r="E128">
            <v>0.13047871992489055</v>
          </cell>
          <cell r="F128">
            <v>0.26572688934477651</v>
          </cell>
        </row>
        <row r="129">
          <cell r="E129">
            <v>0.12623279217654329</v>
          </cell>
          <cell r="F129">
            <v>4.0258931584818344E-3</v>
          </cell>
        </row>
        <row r="130">
          <cell r="E130">
            <v>8.2283144790877741E-2</v>
          </cell>
          <cell r="F130">
            <v>0.30860793895144895</v>
          </cell>
        </row>
        <row r="131">
          <cell r="E131">
            <v>0.10541633315398702</v>
          </cell>
          <cell r="F131">
            <v>4.0415381323819161E-3</v>
          </cell>
        </row>
        <row r="132">
          <cell r="E132">
            <v>8.5206448883709096E-2</v>
          </cell>
          <cell r="F132">
            <v>0.29356288078022419</v>
          </cell>
        </row>
        <row r="133">
          <cell r="E133">
            <v>9.6595720649604075E-2</v>
          </cell>
          <cell r="F133">
            <v>4.7341005781377059E-3</v>
          </cell>
        </row>
        <row r="134">
          <cell r="E134">
            <v>8.0683403637577075E-2</v>
          </cell>
          <cell r="F134">
            <v>0.26037689121425767</v>
          </cell>
        </row>
      </sheetData>
      <sheetData sheetId="8"/>
      <sheetData sheetId="9">
        <row r="4">
          <cell r="I4">
            <v>62.431790614016421</v>
          </cell>
        </row>
        <row r="5">
          <cell r="I5">
            <v>64.102165105356875</v>
          </cell>
        </row>
        <row r="6">
          <cell r="I6">
            <v>67.327204338234111</v>
          </cell>
        </row>
        <row r="7">
          <cell r="I7">
            <v>70.673670463175085</v>
          </cell>
        </row>
        <row r="8">
          <cell r="I8">
            <v>75.981041448622889</v>
          </cell>
        </row>
        <row r="9">
          <cell r="I9">
            <v>83.114947194743564</v>
          </cell>
        </row>
        <row r="10">
          <cell r="I10">
            <v>92.62106115859504</v>
          </cell>
        </row>
        <row r="11">
          <cell r="I11">
            <v>103.67841942434325</v>
          </cell>
        </row>
      </sheetData>
      <sheetData sheetId="1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205.81634662037132</v>
          </cell>
        </row>
        <row r="6">
          <cell r="V6">
            <v>190.18377201965257</v>
          </cell>
          <cell r="W6">
            <v>40.997903014388832</v>
          </cell>
        </row>
        <row r="7">
          <cell r="V7">
            <v>176.43186475598307</v>
          </cell>
          <cell r="W7">
            <v>37.785887702885638</v>
          </cell>
        </row>
        <row r="8">
          <cell r="V8">
            <v>165.41860794855106</v>
          </cell>
          <cell r="W8">
            <v>35.434152012663837</v>
          </cell>
        </row>
        <row r="9">
          <cell r="V9">
            <v>157.80993226866391</v>
          </cell>
          <cell r="W9">
            <v>31.830813805581844</v>
          </cell>
        </row>
        <row r="10">
          <cell r="V10">
            <v>147.16176702054437</v>
          </cell>
          <cell r="W10">
            <v>30.371112897966963</v>
          </cell>
        </row>
        <row r="11">
          <cell r="V11">
            <v>140.23059843857433</v>
          </cell>
          <cell r="W11">
            <v>28.847425536258509</v>
          </cell>
        </row>
        <row r="12">
          <cell r="V12">
            <v>128.38729905026989</v>
          </cell>
          <cell r="W12">
            <v>26.537648490333464</v>
          </cell>
        </row>
        <row r="13">
          <cell r="V13">
            <v>122.08037788109277</v>
          </cell>
          <cell r="W13">
            <v>21.821082546992841</v>
          </cell>
        </row>
      </sheetData>
      <sheetData sheetId="4"/>
      <sheetData sheetId="5">
        <row r="24">
          <cell r="B24">
            <v>27.51229416281268</v>
          </cell>
        </row>
        <row r="25">
          <cell r="B25">
            <v>24.889281766592521</v>
          </cell>
          <cell r="F25">
            <v>293.72211528852534</v>
          </cell>
        </row>
        <row r="26">
          <cell r="B26">
            <v>22.490945161232958</v>
          </cell>
          <cell r="F26">
            <v>267.39072651466836</v>
          </cell>
        </row>
        <row r="27">
          <cell r="B27">
            <v>20.239103588931705</v>
          </cell>
          <cell r="F27">
            <v>250.05905269363603</v>
          </cell>
        </row>
        <row r="28">
          <cell r="B28">
            <v>18.055576291886481</v>
          </cell>
          <cell r="F28">
            <v>241.56711340739025</v>
          </cell>
        </row>
        <row r="29">
          <cell r="B29">
            <v>15.862182512295002</v>
          </cell>
          <cell r="F29">
            <v>241.77813919739432</v>
          </cell>
        </row>
        <row r="30">
          <cell r="B30">
            <v>13.580741492354978</v>
          </cell>
          <cell r="F30">
            <v>250.56605754791741</v>
          </cell>
        </row>
        <row r="31">
          <cell r="B31">
            <v>11.133072474264129</v>
          </cell>
          <cell r="F31">
            <v>267.80456662549483</v>
          </cell>
        </row>
        <row r="32">
          <cell r="B32">
            <v>8.4409947002201662</v>
          </cell>
          <cell r="F32">
            <v>293.35788062558299</v>
          </cell>
        </row>
      </sheetData>
      <sheetData sheetId="6"/>
      <sheetData sheetId="7">
        <row r="15">
          <cell r="F15">
            <v>1205</v>
          </cell>
        </row>
        <row r="18">
          <cell r="G18">
            <v>91.087412083859292</v>
          </cell>
        </row>
        <row r="19">
          <cell r="G19">
            <v>89.128028184181744</v>
          </cell>
        </row>
        <row r="20">
          <cell r="G20">
            <v>89.257070328798605</v>
          </cell>
        </row>
        <row r="21">
          <cell r="G21">
            <v>91.043120315935184</v>
          </cell>
        </row>
        <row r="22">
          <cell r="G22">
            <v>96.537065465469709</v>
          </cell>
        </row>
        <row r="23">
          <cell r="G23">
            <v>105.86240877731237</v>
          </cell>
        </row>
        <row r="24">
          <cell r="G24">
            <v>120.10170512756486</v>
          </cell>
        </row>
        <row r="25">
          <cell r="G25">
            <v>138.34130598373329</v>
          </cell>
        </row>
        <row r="26">
          <cell r="D26">
            <v>6472.392475102557</v>
          </cell>
        </row>
        <row r="27">
          <cell r="D27">
            <v>2733.2970719084747</v>
          </cell>
        </row>
        <row r="29">
          <cell r="D29">
            <v>4065.5881236565187</v>
          </cell>
        </row>
        <row r="127">
          <cell r="E127">
            <v>0.26158005981175331</v>
          </cell>
          <cell r="F127">
            <v>1.3301100796778605E-3</v>
          </cell>
        </row>
        <row r="128">
          <cell r="E128">
            <v>0.23834063938103209</v>
          </cell>
          <cell r="F128">
            <v>0.11815440667971668</v>
          </cell>
        </row>
        <row r="129">
          <cell r="E129">
            <v>0.18479651791146701</v>
          </cell>
          <cell r="F129">
            <v>0</v>
          </cell>
        </row>
        <row r="130">
          <cell r="E130">
            <v>0.1402437211406759</v>
          </cell>
          <cell r="F130">
            <v>0.26760794754137202</v>
          </cell>
        </row>
        <row r="131">
          <cell r="E131">
            <v>0.17487751123730336</v>
          </cell>
          <cell r="F131">
            <v>0</v>
          </cell>
        </row>
        <row r="132">
          <cell r="E132">
            <v>0.12496642253437501</v>
          </cell>
          <cell r="F132">
            <v>0.27267980177942513</v>
          </cell>
        </row>
        <row r="133">
          <cell r="E133">
            <v>0.18970825230827434</v>
          </cell>
          <cell r="F133">
            <v>1.350072262043362E-3</v>
          </cell>
        </row>
        <row r="134">
          <cell r="E134">
            <v>0.10972995637347031</v>
          </cell>
          <cell r="F134">
            <v>0.24997668562725639</v>
          </cell>
        </row>
      </sheetData>
      <sheetData sheetId="8"/>
      <sheetData sheetId="9">
        <row r="4">
          <cell r="G4">
            <v>47.235518050161964</v>
          </cell>
        </row>
        <row r="5">
          <cell r="G5">
            <v>47.655283277738022</v>
          </cell>
        </row>
        <row r="6">
          <cell r="G6">
            <v>48.916414533858315</v>
          </cell>
        </row>
        <row r="7">
          <cell r="G7">
            <v>50.761781158766695</v>
          </cell>
        </row>
        <row r="8">
          <cell r="G8">
            <v>55.144929883596568</v>
          </cell>
        </row>
        <row r="9">
          <cell r="G9">
            <v>61.418774743695899</v>
          </cell>
        </row>
        <row r="10">
          <cell r="G10">
            <v>71.617345317593575</v>
          </cell>
        </row>
        <row r="11">
          <cell r="G11">
            <v>83.661425856533043</v>
          </cell>
        </row>
      </sheetData>
      <sheetData sheetId="1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204.79370086152926</v>
          </cell>
        </row>
        <row r="6">
          <cell r="V6">
            <v>193.07730494790931</v>
          </cell>
          <cell r="W6">
            <v>48.243462851237332</v>
          </cell>
        </row>
        <row r="7">
          <cell r="V7">
            <v>184.51314418624926</v>
          </cell>
          <cell r="W7">
            <v>42.822386442565936</v>
          </cell>
        </row>
        <row r="8">
          <cell r="V8">
            <v>173.61535907992058</v>
          </cell>
          <cell r="W8">
            <v>43.202346303301418</v>
          </cell>
        </row>
        <row r="9">
          <cell r="V9">
            <v>167.91108591991659</v>
          </cell>
          <cell r="W9">
            <v>38.357268890381754</v>
          </cell>
        </row>
        <row r="10">
          <cell r="V10">
            <v>160.24170814900302</v>
          </cell>
          <cell r="W10">
            <v>38.558740397065073</v>
          </cell>
        </row>
        <row r="11">
          <cell r="V11">
            <v>153.8701561992774</v>
          </cell>
          <cell r="W11">
            <v>38.124704737517241</v>
          </cell>
        </row>
        <row r="12">
          <cell r="V12">
            <v>145.27942164562671</v>
          </cell>
          <cell r="W12">
            <v>34.449901382866265</v>
          </cell>
        </row>
        <row r="13">
          <cell r="V13">
            <v>138.48922284912149</v>
          </cell>
          <cell r="W13">
            <v>29.447915554289835</v>
          </cell>
        </row>
      </sheetData>
      <sheetData sheetId="5">
        <row r="24">
          <cell r="B24">
            <v>35.859926669597108</v>
          </cell>
        </row>
        <row r="25">
          <cell r="B25">
            <v>33.445971746316964</v>
          </cell>
          <cell r="F25">
            <v>448.37931225909921</v>
          </cell>
        </row>
        <row r="26">
          <cell r="B26">
            <v>31.147270525172171</v>
          </cell>
          <cell r="F26">
            <v>425.12927733585957</v>
          </cell>
        </row>
        <row r="27">
          <cell r="B27">
            <v>28.909757107772752</v>
          </cell>
          <cell r="F27">
            <v>412.11676254181873</v>
          </cell>
        </row>
        <row r="28">
          <cell r="B28">
            <v>26.679365595728726</v>
          </cell>
          <cell r="F28">
            <v>409.1684912799056</v>
          </cell>
        </row>
        <row r="29">
          <cell r="B29">
            <v>24.402030090650122</v>
          </cell>
          <cell r="F29">
            <v>416.12453006911579</v>
          </cell>
        </row>
        <row r="30">
          <cell r="B30">
            <v>22.023684694146965</v>
          </cell>
          <cell r="F30">
            <v>432.82871061334043</v>
          </cell>
        </row>
        <row r="31">
          <cell r="B31">
            <v>19.490263507829269</v>
          </cell>
          <cell r="F31">
            <v>459.12027939786344</v>
          </cell>
        </row>
        <row r="32">
          <cell r="B32">
            <v>16.747700633307062</v>
          </cell>
          <cell r="F32">
            <v>494.82692706810514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144.53356258025582</v>
          </cell>
        </row>
        <row r="19">
          <cell r="G19">
            <v>142.39648191121915</v>
          </cell>
        </row>
        <row r="20">
          <cell r="G20">
            <v>145.29676834217361</v>
          </cell>
        </row>
        <row r="21">
          <cell r="G21">
            <v>151.94558717683066</v>
          </cell>
        </row>
        <row r="22">
          <cell r="G22">
            <v>161.54890281185601</v>
          </cell>
        </row>
        <row r="23">
          <cell r="G23">
            <v>175.78089605691699</v>
          </cell>
        </row>
        <row r="24">
          <cell r="G24">
            <v>193.98757863195107</v>
          </cell>
        </row>
        <row r="25">
          <cell r="G25">
            <v>214.08288641134149</v>
          </cell>
        </row>
        <row r="26">
          <cell r="D26">
            <v>10618.727869339746</v>
          </cell>
        </row>
        <row r="27">
          <cell r="D27">
            <v>5917.7260115999852</v>
          </cell>
        </row>
        <row r="29">
          <cell r="D29">
            <v>5532.8212708826459</v>
          </cell>
        </row>
        <row r="127">
          <cell r="E127">
            <v>0.33990105145466382</v>
          </cell>
          <cell r="F127">
            <v>0</v>
          </cell>
        </row>
        <row r="128">
          <cell r="E128">
            <v>0.26965979813613761</v>
          </cell>
          <cell r="F128">
            <v>0.38919078498393955</v>
          </cell>
        </row>
        <row r="129">
          <cell r="E129">
            <v>0.31467844443822657</v>
          </cell>
          <cell r="F129">
            <v>0</v>
          </cell>
        </row>
        <row r="130">
          <cell r="E130">
            <v>0.18864297756899562</v>
          </cell>
          <cell r="F130">
            <v>0.51236209935656851</v>
          </cell>
        </row>
        <row r="131">
          <cell r="E131">
            <v>0.21725684378474508</v>
          </cell>
          <cell r="F131">
            <v>0</v>
          </cell>
        </row>
        <row r="132">
          <cell r="E132">
            <v>0.20319633103653786</v>
          </cell>
          <cell r="F132">
            <v>0.54456703492897807</v>
          </cell>
        </row>
        <row r="133">
          <cell r="E133">
            <v>0.23760119695731152</v>
          </cell>
          <cell r="F133">
            <v>0</v>
          </cell>
        </row>
        <row r="134">
          <cell r="E134">
            <v>0.20691459369938214</v>
          </cell>
          <cell r="F134">
            <v>0.52645541793050887</v>
          </cell>
        </row>
      </sheetData>
      <sheetData sheetId="8"/>
      <sheetData sheetId="9">
        <row r="4">
          <cell r="H4">
            <v>70.918310829176463</v>
          </cell>
        </row>
        <row r="5">
          <cell r="H5">
            <v>71.421359226013621</v>
          </cell>
        </row>
        <row r="6">
          <cell r="H6">
            <v>74.907522489022739</v>
          </cell>
        </row>
        <row r="7">
          <cell r="H7">
            <v>79.492055035527443</v>
          </cell>
        </row>
        <row r="8">
          <cell r="H8">
            <v>86.176886720489534</v>
          </cell>
        </row>
        <row r="9">
          <cell r="H9">
            <v>95.28973617710389</v>
          </cell>
        </row>
        <row r="10">
          <cell r="H10">
            <v>107.48889895600524</v>
          </cell>
        </row>
        <row r="11">
          <cell r="H11">
            <v>120.64561496970575</v>
          </cell>
        </row>
      </sheetData>
      <sheetData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204.66079589973015</v>
          </cell>
        </row>
        <row r="6">
          <cell r="V6">
            <v>193.52730554360315</v>
          </cell>
          <cell r="W6">
            <v>60.430485200364444</v>
          </cell>
        </row>
        <row r="7">
          <cell r="V7">
            <v>184.90181180878426</v>
          </cell>
          <cell r="W7">
            <v>57.513540226567365</v>
          </cell>
        </row>
        <row r="8">
          <cell r="V8">
            <v>174.76435465024724</v>
          </cell>
          <cell r="W8">
            <v>57.997024906874607</v>
          </cell>
        </row>
        <row r="9">
          <cell r="V9">
            <v>170.50982915681675</v>
          </cell>
          <cell r="W9">
            <v>55.47910522802551</v>
          </cell>
        </row>
        <row r="10">
          <cell r="V10">
            <v>162.46009961187787</v>
          </cell>
          <cell r="W10">
            <v>55.372119932918984</v>
          </cell>
        </row>
        <row r="11">
          <cell r="V11">
            <v>156.51814216683258</v>
          </cell>
          <cell r="W11">
            <v>54.684165898649987</v>
          </cell>
        </row>
        <row r="12">
          <cell r="V12">
            <v>149.02846943716347</v>
          </cell>
          <cell r="W12">
            <v>52.85560670006334</v>
          </cell>
        </row>
        <row r="13">
          <cell r="V13">
            <v>142.94452387222034</v>
          </cell>
          <cell r="W13">
            <v>50.019465361649445</v>
          </cell>
        </row>
      </sheetData>
      <sheetData sheetId="5">
        <row r="24">
          <cell r="B24">
            <v>54.893016423941887</v>
          </cell>
        </row>
        <row r="25">
          <cell r="B25">
            <v>53.524642180024365</v>
          </cell>
          <cell r="F25">
            <v>263.98275400401701</v>
          </cell>
        </row>
        <row r="26">
          <cell r="B26">
            <v>52.198836681084408</v>
          </cell>
          <cell r="F26">
            <v>255.07764276268054</v>
          </cell>
        </row>
        <row r="27">
          <cell r="B27">
            <v>50.896642754730657</v>
          </cell>
          <cell r="F27">
            <v>249.87618120302554</v>
          </cell>
        </row>
        <row r="28">
          <cell r="B28">
            <v>49.599103228571728</v>
          </cell>
          <cell r="F28">
            <v>248.33872235294473</v>
          </cell>
        </row>
        <row r="29">
          <cell r="B29">
            <v>48.287260930216277</v>
          </cell>
          <cell r="F29">
            <v>250.42738930315849</v>
          </cell>
        </row>
        <row r="30">
          <cell r="B30">
            <v>46.942158687272936</v>
          </cell>
          <cell r="F30">
            <v>256.10470096695326</v>
          </cell>
        </row>
        <row r="31">
          <cell r="B31">
            <v>45.544839327350331</v>
          </cell>
          <cell r="F31">
            <v>265.33227370357542</v>
          </cell>
        </row>
        <row r="32">
          <cell r="B32">
            <v>44.076345678057109</v>
          </cell>
          <cell r="F32">
            <v>278.06960502155908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92.445450278099031</v>
          </cell>
        </row>
        <row r="19">
          <cell r="G19">
            <v>94.604766523727434</v>
          </cell>
        </row>
        <row r="20">
          <cell r="G20">
            <v>98.803796634975058</v>
          </cell>
        </row>
        <row r="21">
          <cell r="G21">
            <v>103.61679994733838</v>
          </cell>
        </row>
        <row r="22">
          <cell r="G22">
            <v>109.6463933628808</v>
          </cell>
        </row>
        <row r="23">
          <cell r="G23">
            <v>118.56353994215391</v>
          </cell>
        </row>
        <row r="24">
          <cell r="G24">
            <v>129.03536960768236</v>
          </cell>
        </row>
        <row r="25">
          <cell r="G25">
            <v>140.90179259849833</v>
          </cell>
        </row>
        <row r="26">
          <cell r="D26">
            <v>6287.2413847860889</v>
          </cell>
        </row>
        <row r="27">
          <cell r="D27">
            <v>1710.1862189236999</v>
          </cell>
        </row>
        <row r="29">
          <cell r="D29">
            <v>5081.5201169850225</v>
          </cell>
        </row>
        <row r="127">
          <cell r="E127">
            <v>0.32295798185784075</v>
          </cell>
          <cell r="F127">
            <v>0</v>
          </cell>
        </row>
        <row r="128">
          <cell r="E128">
            <v>0.25183488150286243</v>
          </cell>
          <cell r="F128">
            <v>3.4626790883160161E-3</v>
          </cell>
        </row>
        <row r="129">
          <cell r="E129">
            <v>0.29604519091058112</v>
          </cell>
          <cell r="F129">
            <v>0</v>
          </cell>
        </row>
        <row r="130">
          <cell r="E130">
            <v>0.13012470852310559</v>
          </cell>
          <cell r="F130">
            <v>0.12231491564015066</v>
          </cell>
        </row>
        <row r="131">
          <cell r="E131">
            <v>0.23346714639167987</v>
          </cell>
          <cell r="F131">
            <v>0</v>
          </cell>
        </row>
        <row r="132">
          <cell r="E132">
            <v>0.18044928632271129</v>
          </cell>
          <cell r="F132">
            <v>0.19725274532646997</v>
          </cell>
        </row>
        <row r="133">
          <cell r="E133">
            <v>0.21447224959219713</v>
          </cell>
          <cell r="F133">
            <v>0</v>
          </cell>
        </row>
        <row r="134">
          <cell r="E134">
            <v>0.18329302945359935</v>
          </cell>
          <cell r="F134">
            <v>0.2470317329196299</v>
          </cell>
        </row>
      </sheetData>
      <sheetData sheetId="8"/>
      <sheetData sheetId="9">
        <row r="4">
          <cell r="M4">
            <v>45.30910415017361</v>
          </cell>
        </row>
        <row r="5">
          <cell r="M5">
            <v>47.385095837407924</v>
          </cell>
        </row>
        <row r="6">
          <cell r="M6">
            <v>50.778463581199148</v>
          </cell>
        </row>
        <row r="7">
          <cell r="M7">
            <v>53.837796080867548</v>
          </cell>
        </row>
        <row r="8">
          <cell r="M8">
            <v>58.159194259679708</v>
          </cell>
        </row>
        <row r="9">
          <cell r="M9">
            <v>63.858079306483511</v>
          </cell>
        </row>
        <row r="10">
          <cell r="M10">
            <v>70.85916172644994</v>
          </cell>
        </row>
        <row r="11">
          <cell r="M11">
            <v>78.593984938119391</v>
          </cell>
        </row>
      </sheetData>
      <sheetData sheetId="1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84.562371183543533</v>
          </cell>
        </row>
        <row r="6">
          <cell r="V6">
            <v>81.41981808527413</v>
          </cell>
          <cell r="W6">
            <v>41.660406126811736</v>
          </cell>
        </row>
        <row r="7">
          <cell r="V7">
            <v>77.866701729189586</v>
          </cell>
          <cell r="W7">
            <v>38.556175127311057</v>
          </cell>
        </row>
        <row r="8">
          <cell r="V8">
            <v>75.766106383772993</v>
          </cell>
          <cell r="W8">
            <v>37.097033461170703</v>
          </cell>
        </row>
        <row r="9">
          <cell r="V9">
            <v>74.078754015661886</v>
          </cell>
          <cell r="W9">
            <v>33.363787871851407</v>
          </cell>
        </row>
        <row r="10">
          <cell r="V10">
            <v>71.498877231951496</v>
          </cell>
          <cell r="W10">
            <v>32.834506029203546</v>
          </cell>
        </row>
        <row r="11">
          <cell r="V11">
            <v>68.48996403443158</v>
          </cell>
          <cell r="W11">
            <v>32.241870245411882</v>
          </cell>
        </row>
        <row r="12">
          <cell r="V12">
            <v>66.388914331344594</v>
          </cell>
          <cell r="W12">
            <v>30.061453596223799</v>
          </cell>
        </row>
        <row r="13">
          <cell r="V13">
            <v>64.136618637175062</v>
          </cell>
          <cell r="W13">
            <v>24.223963368624098</v>
          </cell>
        </row>
      </sheetData>
      <sheetData sheetId="4"/>
      <sheetData sheetId="5">
        <row r="24">
          <cell r="B24">
            <v>30.285370683540997</v>
          </cell>
        </row>
        <row r="25">
          <cell r="B25">
            <v>28.015842371526059</v>
          </cell>
          <cell r="F25">
            <v>335.14913319989239</v>
          </cell>
        </row>
        <row r="26">
          <cell r="B26">
            <v>25.926882365702255</v>
          </cell>
          <cell r="F26">
            <v>307.29134609104534</v>
          </cell>
        </row>
        <row r="27">
          <cell r="B27">
            <v>23.954965458235385</v>
          </cell>
          <cell r="F27">
            <v>289.04272914084305</v>
          </cell>
        </row>
        <row r="28">
          <cell r="B28">
            <v>22.036566441291257</v>
          </cell>
          <cell r="F28">
            <v>280.2526392218283</v>
          </cell>
        </row>
        <row r="29">
          <cell r="B29">
            <v>20.108160107035669</v>
          </cell>
          <cell r="F29">
            <v>280.79011677214521</v>
          </cell>
        </row>
        <row r="30">
          <cell r="B30">
            <v>18.106221247634426</v>
          </cell>
          <cell r="F30">
            <v>290.53288934101124</v>
          </cell>
        </row>
        <row r="31">
          <cell r="B31">
            <v>15.967224655253332</v>
          </cell>
          <cell r="F31">
            <v>309.35756238107086</v>
          </cell>
        </row>
        <row r="32">
          <cell r="B32">
            <v>13.627645122058183</v>
          </cell>
          <cell r="F32">
            <v>337.13106146754683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397.63636266807777</v>
          </cell>
        </row>
        <row r="19">
          <cell r="G19">
            <v>360.51632369301825</v>
          </cell>
        </row>
        <row r="20">
          <cell r="G20">
            <v>343.87223251298354</v>
          </cell>
        </row>
        <row r="21">
          <cell r="G21">
            <v>337.81263525621904</v>
          </cell>
        </row>
        <row r="22">
          <cell r="G22">
            <v>347.0268358943859</v>
          </cell>
        </row>
        <row r="23">
          <cell r="G23">
            <v>370.49744436372674</v>
          </cell>
        </row>
        <row r="24">
          <cell r="G24">
            <v>393.10244584373311</v>
          </cell>
        </row>
        <row r="25">
          <cell r="G25">
            <v>437.6591056607574</v>
          </cell>
        </row>
        <row r="26">
          <cell r="D26">
            <v>7369.6844425133095</v>
          </cell>
        </row>
        <row r="27">
          <cell r="D27">
            <v>6446.7465743776456</v>
          </cell>
        </row>
        <row r="29">
          <cell r="D29">
            <v>1456.1150179953665</v>
          </cell>
        </row>
        <row r="127">
          <cell r="E127">
            <v>6.8931645809457126E-2</v>
          </cell>
          <cell r="F127">
            <v>2.0239648568199691E-2</v>
          </cell>
        </row>
        <row r="128">
          <cell r="E128">
            <v>8.6728063286635515E-2</v>
          </cell>
          <cell r="F128">
            <v>0.45313617176404986</v>
          </cell>
        </row>
        <row r="129">
          <cell r="E129">
            <v>4.5272791954463758E-2</v>
          </cell>
          <cell r="F129">
            <v>1.8590455274069165E-2</v>
          </cell>
        </row>
        <row r="130">
          <cell r="E130">
            <v>4.6698113656765343E-2</v>
          </cell>
          <cell r="F130">
            <v>0.51324706865081715</v>
          </cell>
        </row>
        <row r="131">
          <cell r="E131">
            <v>5.4292847462004794E-2</v>
          </cell>
          <cell r="F131">
            <v>1.686095520010129E-2</v>
          </cell>
        </row>
        <row r="132">
          <cell r="E132">
            <v>7.1892129903380189E-2</v>
          </cell>
          <cell r="F132">
            <v>0.48349576679218731</v>
          </cell>
        </row>
        <row r="133">
          <cell r="E133">
            <v>4.3387769943173581E-2</v>
          </cell>
          <cell r="F133">
            <v>1.8712787852029629E-2</v>
          </cell>
        </row>
        <row r="134">
          <cell r="E134">
            <v>5.726099311489783E-2</v>
          </cell>
          <cell r="F134">
            <v>0.6246326706910944</v>
          </cell>
        </row>
      </sheetData>
      <sheetData sheetId="8"/>
      <sheetData sheetId="9">
        <row r="4">
          <cell r="K4">
            <v>229.81557416372087</v>
          </cell>
        </row>
        <row r="5">
          <cell r="K5">
            <v>225.02170909399274</v>
          </cell>
        </row>
        <row r="6">
          <cell r="K6">
            <v>229.25892457915165</v>
          </cell>
        </row>
        <row r="7">
          <cell r="K7">
            <v>232.85740299892402</v>
          </cell>
        </row>
        <row r="8">
          <cell r="K8">
            <v>245.9977156911082</v>
          </cell>
        </row>
        <row r="9">
          <cell r="K9">
            <v>264.82051479685367</v>
          </cell>
        </row>
        <row r="10">
          <cell r="K10">
            <v>279.56926585531511</v>
          </cell>
        </row>
        <row r="11">
          <cell r="K11">
            <v>309.92355126821695</v>
          </cell>
        </row>
      </sheetData>
      <sheetData sheetId="1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115.21708843625483</v>
          </cell>
        </row>
        <row r="6">
          <cell r="V6">
            <v>110.00743991527109</v>
          </cell>
          <cell r="W6">
            <v>42.497061133665341</v>
          </cell>
        </row>
        <row r="7">
          <cell r="V7">
            <v>106.0591936737729</v>
          </cell>
          <cell r="W7">
            <v>38.835640716911506</v>
          </cell>
        </row>
        <row r="8">
          <cell r="V8">
            <v>100.77823915492047</v>
          </cell>
          <cell r="W8">
            <v>37.716487102476997</v>
          </cell>
        </row>
        <row r="9">
          <cell r="V9">
            <v>98.212720129432228</v>
          </cell>
          <cell r="W9">
            <v>33.5665839140445</v>
          </cell>
        </row>
        <row r="10">
          <cell r="V10">
            <v>93.62174305347169</v>
          </cell>
          <cell r="W10">
            <v>33.072552805704184</v>
          </cell>
        </row>
        <row r="11">
          <cell r="V11">
            <v>77.415158541895792</v>
          </cell>
          <cell r="W11">
            <v>32.504625568456625</v>
          </cell>
        </row>
        <row r="12">
          <cell r="V12">
            <v>86.107998280851163</v>
          </cell>
          <cell r="W12">
            <v>30.438048784538708</v>
          </cell>
        </row>
        <row r="13">
          <cell r="V13">
            <v>82.320777721160553</v>
          </cell>
          <cell r="W13">
            <v>23.735790231243421</v>
          </cell>
        </row>
      </sheetData>
      <sheetData sheetId="4"/>
      <sheetData sheetId="5">
        <row r="24">
          <cell r="B24">
            <v>30.007821925154179</v>
          </cell>
        </row>
        <row r="25">
          <cell r="B25">
            <v>27.840806100830168</v>
          </cell>
          <cell r="F25">
            <v>347.64457291040571</v>
          </cell>
        </row>
        <row r="26">
          <cell r="B26">
            <v>25.711511849675016</v>
          </cell>
          <cell r="F26">
            <v>340.29292650995922</v>
          </cell>
        </row>
        <row r="27">
          <cell r="B27">
            <v>23.591940997806155</v>
          </cell>
          <cell r="F27">
            <v>337.48100322047571</v>
          </cell>
        </row>
        <row r="28">
          <cell r="B28">
            <v>21.454095371341026</v>
          </cell>
          <cell r="F28">
            <v>339.14163818748057</v>
          </cell>
        </row>
        <row r="29">
          <cell r="B29">
            <v>19.269976796397057</v>
          </cell>
          <cell r="F29">
            <v>345.21027840542121</v>
          </cell>
        </row>
        <row r="30">
          <cell r="B30">
            <v>17.011587099091685</v>
          </cell>
          <cell r="F30">
            <v>355.62303886153637</v>
          </cell>
        </row>
        <row r="31">
          <cell r="B31">
            <v>14.650928105542345</v>
          </cell>
          <cell r="F31">
            <v>370.3150468893744</v>
          </cell>
        </row>
        <row r="32">
          <cell r="B32">
            <v>12.160001641866472</v>
          </cell>
          <cell r="F32">
            <v>389.21910813187071</v>
          </cell>
        </row>
      </sheetData>
      <sheetData sheetId="6"/>
      <sheetData sheetId="7">
        <row r="15">
          <cell r="F15">
            <v>920</v>
          </cell>
        </row>
        <row r="18">
          <cell r="G18">
            <v>242.20414137476737</v>
          </cell>
        </row>
        <row r="19">
          <cell r="G19">
            <v>238.37936641324021</v>
          </cell>
        </row>
        <row r="20">
          <cell r="G20">
            <v>244.26302772834504</v>
          </cell>
        </row>
        <row r="21">
          <cell r="G21">
            <v>255.25914344242517</v>
          </cell>
        </row>
        <row r="22">
          <cell r="G22">
            <v>270.24913710966541</v>
          </cell>
        </row>
        <row r="23">
          <cell r="G23">
            <v>324.32306691383695</v>
          </cell>
        </row>
        <row r="24">
          <cell r="G24">
            <v>343.20514108807669</v>
          </cell>
        </row>
        <row r="25">
          <cell r="G25">
            <v>315.93855999528819</v>
          </cell>
        </row>
        <row r="26">
          <cell r="D26">
            <v>8704.6907660965953</v>
          </cell>
        </row>
        <row r="27">
          <cell r="D27">
            <v>7082.9726882430041</v>
          </cell>
        </row>
        <row r="29">
          <cell r="D29">
            <v>2448.5728490094161</v>
          </cell>
        </row>
        <row r="127">
          <cell r="E127">
            <v>0.12418074251907329</v>
          </cell>
          <cell r="F127">
            <v>7.8273678587163203E-3</v>
          </cell>
        </row>
        <row r="128">
          <cell r="E128">
            <v>0.11014015376462542</v>
          </cell>
          <cell r="F128">
            <v>0.56853958298707297</v>
          </cell>
        </row>
        <row r="129">
          <cell r="E129">
            <v>0.12303468889364742</v>
          </cell>
          <cell r="F129">
            <v>1.6632191903425086E-2</v>
          </cell>
        </row>
        <row r="130">
          <cell r="E130">
            <v>7.6612539181705644E-2</v>
          </cell>
          <cell r="F130">
            <v>0.62408959348914417</v>
          </cell>
        </row>
        <row r="131">
          <cell r="E131">
            <v>0.10412930428832311</v>
          </cell>
          <cell r="F131">
            <v>1.14069636850629E-2</v>
          </cell>
        </row>
        <row r="132">
          <cell r="E132">
            <v>0.37349407521637051</v>
          </cell>
          <cell r="F132">
            <v>0.58266257281788325</v>
          </cell>
        </row>
        <row r="133">
          <cell r="E133">
            <v>-0.19101716451814496</v>
          </cell>
          <cell r="F133">
            <v>1.1456788471561596E-2</v>
          </cell>
        </row>
        <row r="134">
          <cell r="E134">
            <v>9.5616610324204834E-2</v>
          </cell>
          <cell r="F134">
            <v>0.53837583486813501</v>
          </cell>
        </row>
      </sheetData>
      <sheetData sheetId="8"/>
      <sheetData sheetId="9">
        <row r="4">
          <cell r="G4">
            <v>147.51652305509293</v>
          </cell>
        </row>
        <row r="5">
          <cell r="G5">
            <v>147.45197724781005</v>
          </cell>
        </row>
        <row r="6">
          <cell r="G6">
            <v>154.21385285644183</v>
          </cell>
        </row>
        <row r="7">
          <cell r="G7">
            <v>162.84007780337743</v>
          </cell>
        </row>
        <row r="8">
          <cell r="G8">
            <v>174.24637910280288</v>
          </cell>
        </row>
        <row r="9">
          <cell r="G9">
            <v>222.99371209794782</v>
          </cell>
        </row>
        <row r="10">
          <cell r="G10">
            <v>231.23610283189981</v>
          </cell>
        </row>
        <row r="11">
          <cell r="G11">
            <v>210.68307079424883</v>
          </cell>
        </row>
      </sheetData>
      <sheetData sheetId="1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114.13076571437632</v>
          </cell>
        </row>
        <row r="6">
          <cell r="V6">
            <v>109.63578307327835</v>
          </cell>
          <cell r="W6">
            <v>54.317179428306332</v>
          </cell>
        </row>
        <row r="7">
          <cell r="V7">
            <v>106.22169424563356</v>
          </cell>
          <cell r="W7">
            <v>51.054581972680445</v>
          </cell>
        </row>
        <row r="8">
          <cell r="V8">
            <v>101.77789615475173</v>
          </cell>
          <cell r="W8">
            <v>50.929067591096633</v>
          </cell>
        </row>
        <row r="9">
          <cell r="V9">
            <v>99.692371763798292</v>
          </cell>
          <cell r="W9">
            <v>48.113770583713993</v>
          </cell>
        </row>
        <row r="10">
          <cell r="V10">
            <v>96.400390735896508</v>
          </cell>
          <cell r="W10">
            <v>48.013105033341276</v>
          </cell>
        </row>
        <row r="11">
          <cell r="V11">
            <v>93.015132397921505</v>
          </cell>
          <cell r="W11">
            <v>47.544111992209061</v>
          </cell>
        </row>
        <row r="12">
          <cell r="V12">
            <v>89.976550038405591</v>
          </cell>
          <cell r="W12">
            <v>45.589954000938484</v>
          </cell>
        </row>
        <row r="13">
          <cell r="V13">
            <v>87.142846242409163</v>
          </cell>
          <cell r="W13">
            <v>41.157001508802601</v>
          </cell>
        </row>
      </sheetData>
      <sheetData sheetId="4"/>
      <sheetData sheetId="5">
        <row r="24">
          <cell r="B24">
            <v>47.729366645951536</v>
          </cell>
        </row>
        <row r="25">
          <cell r="B25">
            <v>46.392342580223556</v>
          </cell>
          <cell r="F25">
            <v>221.92564187321506</v>
          </cell>
        </row>
        <row r="26">
          <cell r="B26">
            <v>45.025109305244953</v>
          </cell>
          <cell r="F26">
            <v>226.34035311470194</v>
          </cell>
        </row>
        <row r="27">
          <cell r="B27">
            <v>43.622054147030561</v>
          </cell>
          <cell r="F27">
            <v>231.64570603356117</v>
          </cell>
        </row>
        <row r="28">
          <cell r="B28">
            <v>42.177564431595215</v>
          </cell>
          <cell r="F28">
            <v>237.83135958725902</v>
          </cell>
        </row>
        <row r="29">
          <cell r="B29">
            <v>40.68602748495374</v>
          </cell>
          <cell r="F29">
            <v>244.88658791420119</v>
          </cell>
        </row>
        <row r="30">
          <cell r="B30">
            <v>39.141830633120982</v>
          </cell>
          <cell r="F30">
            <v>252.80022968912527</v>
          </cell>
        </row>
        <row r="31">
          <cell r="B31">
            <v>37.539361202111763</v>
          </cell>
          <cell r="F31">
            <v>261.56064793916102</v>
          </cell>
        </row>
        <row r="32">
          <cell r="B32">
            <v>35.873006517940915</v>
          </cell>
          <cell r="F32">
            <v>271.15570154999324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187.53782242284274</v>
          </cell>
        </row>
        <row r="19">
          <cell r="G19">
            <v>194.48725289704336</v>
          </cell>
        </row>
        <row r="20">
          <cell r="G20">
            <v>207.63452000031035</v>
          </cell>
        </row>
        <row r="21">
          <cell r="G21">
            <v>223.3560466334504</v>
          </cell>
        </row>
        <row r="22">
          <cell r="G22">
            <v>239.57281983005586</v>
          </cell>
        </row>
        <row r="23">
          <cell r="G23">
            <v>259.2137889869955</v>
          </cell>
        </row>
        <row r="24">
          <cell r="G24">
            <v>274.53643982005036</v>
          </cell>
        </row>
        <row r="25">
          <cell r="G25">
            <v>279.42684137400869</v>
          </cell>
        </row>
        <row r="26">
          <cell r="D26">
            <v>5921.256986108594</v>
          </cell>
        </row>
        <row r="27">
          <cell r="D27">
            <v>4436.5040426773685</v>
          </cell>
        </row>
        <row r="29">
          <cell r="D29">
            <v>1896.6229150778815</v>
          </cell>
        </row>
        <row r="127">
          <cell r="E127">
            <v>0.10719053879297648</v>
          </cell>
          <cell r="F127">
            <v>9.559798299698186E-3</v>
          </cell>
        </row>
        <row r="128">
          <cell r="E128">
            <v>8.9704588444519937E-2</v>
          </cell>
          <cell r="F128">
            <v>0.29377943793662648</v>
          </cell>
        </row>
        <row r="129">
          <cell r="E129">
            <v>0.10448462706498518</v>
          </cell>
          <cell r="F129">
            <v>1.2224239767436293E-2</v>
          </cell>
        </row>
        <row r="130">
          <cell r="E130">
            <v>5.9277580982571874E-2</v>
          </cell>
          <cell r="F130">
            <v>0.3687703269962837</v>
          </cell>
        </row>
        <row r="131">
          <cell r="E131">
            <v>7.616899161173081E-2</v>
          </cell>
          <cell r="F131">
            <v>9.6185003162585023E-3</v>
          </cell>
        </row>
        <row r="132">
          <cell r="E132">
            <v>8.7831153497775719E-2</v>
          </cell>
          <cell r="F132">
            <v>0.38164994812226333</v>
          </cell>
        </row>
        <row r="133">
          <cell r="E133">
            <v>6.9255699586701289E-2</v>
          </cell>
          <cell r="F133">
            <v>1.4035354151844689E-2</v>
          </cell>
        </row>
        <row r="134">
          <cell r="E134">
            <v>7.3702504775299285E-2</v>
          </cell>
          <cell r="F134">
            <v>0.38919707530204506</v>
          </cell>
        </row>
      </sheetData>
      <sheetData sheetId="8"/>
      <sheetData sheetId="9">
        <row r="4">
          <cell r="H4">
            <v>114.4024158343649</v>
          </cell>
        </row>
        <row r="5">
          <cell r="H5">
            <v>119.56183424622657</v>
          </cell>
        </row>
        <row r="6">
          <cell r="H6">
            <v>129.18203044876205</v>
          </cell>
        </row>
        <row r="7">
          <cell r="H7">
            <v>139.48194954976839</v>
          </cell>
        </row>
        <row r="8">
          <cell r="H8">
            <v>150.93673483843929</v>
          </cell>
        </row>
        <row r="9">
          <cell r="H9">
            <v>164.48000764798275</v>
          </cell>
        </row>
        <row r="10">
          <cell r="H10">
            <v>175.62514292354885</v>
          </cell>
        </row>
        <row r="11">
          <cell r="H11">
            <v>179.75867191395119</v>
          </cell>
        </row>
      </sheetData>
      <sheetData sheetId="10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143.95272035675225</v>
          </cell>
        </row>
        <row r="6">
          <cell r="V6">
            <v>136.64094240584848</v>
          </cell>
          <cell r="W6">
            <v>43.710126383786452</v>
          </cell>
        </row>
        <row r="7">
          <cell r="V7">
            <v>131.00978531886653</v>
          </cell>
          <cell r="W7">
            <v>39.456681370518652</v>
          </cell>
        </row>
        <row r="8">
          <cell r="V8">
            <v>123.02127883652024</v>
          </cell>
          <cell r="W8">
            <v>38.595443798092838</v>
          </cell>
        </row>
        <row r="9">
          <cell r="V9">
            <v>120.27564055295197</v>
          </cell>
          <cell r="W9">
            <v>34.989237902205474</v>
          </cell>
        </row>
        <row r="10">
          <cell r="V10">
            <v>114.09938311640916</v>
          </cell>
          <cell r="W10">
            <v>34.454580841777094</v>
          </cell>
        </row>
        <row r="11">
          <cell r="V11">
            <v>109.36053208969776</v>
          </cell>
          <cell r="W11">
            <v>33.861497620341098</v>
          </cell>
        </row>
        <row r="12">
          <cell r="V12">
            <v>103.36884199045609</v>
          </cell>
          <cell r="W12">
            <v>32.22099017137068</v>
          </cell>
        </row>
        <row r="13">
          <cell r="V13">
            <v>98.779110638894977</v>
          </cell>
          <cell r="W13">
            <v>28.795659707083654</v>
          </cell>
        </row>
      </sheetData>
      <sheetData sheetId="5">
        <row r="24">
          <cell r="B24">
            <v>31.404700354814132</v>
          </cell>
        </row>
        <row r="25">
          <cell r="B25">
            <v>29.449121671053099</v>
          </cell>
          <cell r="F25">
            <v>318.94108424036426</v>
          </cell>
        </row>
        <row r="26">
          <cell r="B26">
            <v>27.468793153968402</v>
          </cell>
          <cell r="F26">
            <v>321.84023856933646</v>
          </cell>
        </row>
        <row r="27">
          <cell r="B27">
            <v>25.44500278172336</v>
          </cell>
          <cell r="F27">
            <v>327.73957816773458</v>
          </cell>
        </row>
        <row r="28">
          <cell r="B28">
            <v>23.3590385324813</v>
          </cell>
          <cell r="F28">
            <v>336.59693159687629</v>
          </cell>
        </row>
        <row r="29">
          <cell r="B29">
            <v>21.192188384405533</v>
          </cell>
          <cell r="F29">
            <v>348.36934640424784</v>
          </cell>
        </row>
        <row r="30">
          <cell r="B30">
            <v>18.925740315659397</v>
          </cell>
          <cell r="F30">
            <v>363.0124833260154</v>
          </cell>
        </row>
        <row r="31">
          <cell r="B31">
            <v>16.540982304406203</v>
          </cell>
          <cell r="F31">
            <v>380.48016491195796</v>
          </cell>
        </row>
        <row r="32">
          <cell r="B32">
            <v>14.019202328809275</v>
          </cell>
          <cell r="F32">
            <v>400.72410224802894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0.15717391304347827</v>
          </cell>
        </row>
        <row r="18">
          <cell r="G18">
            <v>160.53725374545357</v>
          </cell>
        </row>
        <row r="19">
          <cell r="G19">
            <v>166.44013556416311</v>
          </cell>
        </row>
        <row r="20">
          <cell r="G20">
            <v>177.73363966925345</v>
          </cell>
        </row>
        <row r="21">
          <cell r="G21">
            <v>190.73232318838194</v>
          </cell>
        </row>
        <row r="22">
          <cell r="G22">
            <v>205.48283460878744</v>
          </cell>
        </row>
        <row r="23">
          <cell r="G23">
            <v>225.87899042097834</v>
          </cell>
        </row>
        <row r="24">
          <cell r="G24">
            <v>248.22200013361672</v>
          </cell>
        </row>
        <row r="25">
          <cell r="G25">
            <v>270.28898171956826</v>
          </cell>
        </row>
        <row r="26">
          <cell r="D26">
            <v>8588.9849184738414</v>
          </cell>
        </row>
        <row r="27">
          <cell r="D27">
            <v>6339.5123449446992</v>
          </cell>
        </row>
        <row r="29">
          <cell r="D29">
            <v>2998.8828642004396</v>
          </cell>
        </row>
        <row r="127">
          <cell r="E127">
            <v>0.18649188709691575</v>
          </cell>
          <cell r="F127">
            <v>2.6068227270747771E-3</v>
          </cell>
        </row>
        <row r="128">
          <cell r="E128">
            <v>0.15979528242954497</v>
          </cell>
          <cell r="F128">
            <v>0.47715249954703332</v>
          </cell>
        </row>
        <row r="129">
          <cell r="E129">
            <v>0.19905695351679378</v>
          </cell>
          <cell r="F129">
            <v>7.8697431760263777E-3</v>
          </cell>
        </row>
        <row r="130">
          <cell r="E130">
            <v>8.7027802885519312E-2</v>
          </cell>
          <cell r="F130">
            <v>0.56045760373894826</v>
          </cell>
        </row>
        <row r="131">
          <cell r="E131">
            <v>0.15006381530495996</v>
          </cell>
          <cell r="F131">
            <v>3.506581312200531E-3</v>
          </cell>
        </row>
        <row r="132">
          <cell r="E132">
            <v>0.13097180659612823</v>
          </cell>
          <cell r="F132">
            <v>0.54589308797873881</v>
          </cell>
        </row>
        <row r="133">
          <cell r="E133">
            <v>0.14218746895133991</v>
          </cell>
          <cell r="F133">
            <v>7.9122125321869248E-3</v>
          </cell>
        </row>
        <row r="134">
          <cell r="E134">
            <v>0.12211330253916204</v>
          </cell>
          <cell r="F134">
            <v>0.50777223063602406</v>
          </cell>
        </row>
      </sheetData>
      <sheetData sheetId="8"/>
      <sheetData sheetId="9">
        <row r="4">
          <cell r="F4">
            <v>91.099420457795389</v>
          </cell>
        </row>
        <row r="5">
          <cell r="F5">
            <v>95.797475508908704</v>
          </cell>
        </row>
        <row r="6">
          <cell r="F6">
            <v>104.48410890117881</v>
          </cell>
        </row>
        <row r="7">
          <cell r="F7">
            <v>112.81927469797391</v>
          </cell>
        </row>
        <row r="8">
          <cell r="F8">
            <v>123.54762342265259</v>
          </cell>
        </row>
        <row r="9">
          <cell r="F9">
            <v>137.33909579317978</v>
          </cell>
        </row>
        <row r="10">
          <cell r="F10">
            <v>153.34176259414647</v>
          </cell>
        </row>
        <row r="11">
          <cell r="F11">
            <v>168.75348218359858</v>
          </cell>
        </row>
      </sheetData>
      <sheetData sheetId="10">
        <row r="4">
          <cell r="B4">
            <v>3</v>
          </cell>
          <cell r="C4">
            <v>547</v>
          </cell>
          <cell r="D4">
            <v>9</v>
          </cell>
          <cell r="E4">
            <v>640</v>
          </cell>
          <cell r="F4">
            <v>4</v>
          </cell>
          <cell r="G4">
            <v>622</v>
          </cell>
          <cell r="H4">
            <v>9</v>
          </cell>
          <cell r="I4">
            <v>576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143.15180585352542</v>
          </cell>
        </row>
        <row r="6">
          <cell r="V6">
            <v>136.56879980687532</v>
          </cell>
          <cell r="W6">
            <v>56.868520343280203</v>
          </cell>
        </row>
        <row r="7">
          <cell r="V7">
            <v>131.58737531252552</v>
          </cell>
          <cell r="W7">
            <v>54.022863344218329</v>
          </cell>
        </row>
        <row r="8">
          <cell r="V8">
            <v>125.1463887196212</v>
          </cell>
          <cell r="W8">
            <v>53.864857100615495</v>
          </cell>
        </row>
        <row r="9">
          <cell r="V9">
            <v>122.31088953011381</v>
          </cell>
          <cell r="W9">
            <v>51.529899104578213</v>
          </cell>
        </row>
        <row r="10">
          <cell r="V10">
            <v>116.72731192004504</v>
          </cell>
          <cell r="W10">
            <v>51.272773853795094</v>
          </cell>
        </row>
        <row r="11">
          <cell r="V11">
            <v>113.34397912104687</v>
          </cell>
          <cell r="W11">
            <v>50.682044221208905</v>
          </cell>
        </row>
        <row r="12">
          <cell r="V12">
            <v>108.74111648478083</v>
          </cell>
          <cell r="W12">
            <v>49.402840665147757</v>
          </cell>
        </row>
        <row r="13">
          <cell r="V13">
            <v>103.60476287038246</v>
          </cell>
          <cell r="W13">
            <v>46.453173789611952</v>
          </cell>
        </row>
      </sheetData>
      <sheetData sheetId="5">
        <row r="24">
          <cell r="B24">
            <v>51.083476202433111</v>
          </cell>
        </row>
        <row r="25">
          <cell r="B25">
            <v>49.715866228789906</v>
          </cell>
          <cell r="F25">
            <v>231.67871246199434</v>
          </cell>
        </row>
        <row r="26">
          <cell r="B26">
            <v>48.391825610789702</v>
          </cell>
          <cell r="F26">
            <v>223.69974604333254</v>
          </cell>
        </row>
        <row r="27">
          <cell r="B27">
            <v>47.079966626274086</v>
          </cell>
          <cell r="F27">
            <v>221.06595469778924</v>
          </cell>
        </row>
        <row r="28">
          <cell r="B28">
            <v>45.748901553084679</v>
          </cell>
          <cell r="F28">
            <v>223.72154670815161</v>
          </cell>
        </row>
        <row r="29">
          <cell r="B29">
            <v>44.367242669063089</v>
          </cell>
          <cell r="F29">
            <v>231.61150994724386</v>
          </cell>
        </row>
        <row r="30">
          <cell r="B30">
            <v>42.903602252050916</v>
          </cell>
          <cell r="F30">
            <v>244.67848123480678</v>
          </cell>
        </row>
        <row r="31">
          <cell r="B31">
            <v>41.326592579889763</v>
          </cell>
          <cell r="F31">
            <v>262.85982450834643</v>
          </cell>
        </row>
        <row r="32">
          <cell r="B32">
            <v>39.604825930421242</v>
          </cell>
          <cell r="F32">
            <v>286.08495521795703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8.9800000000000005E-2</v>
          </cell>
        </row>
        <row r="18">
          <cell r="G18">
            <v>135.64288568083825</v>
          </cell>
        </row>
        <row r="19">
          <cell r="G19">
            <v>136.46343586597843</v>
          </cell>
        </row>
        <row r="20">
          <cell r="G20">
            <v>142.49683869363287</v>
          </cell>
        </row>
        <row r="21">
          <cell r="G21">
            <v>151.85199975699109</v>
          </cell>
        </row>
        <row r="22">
          <cell r="G22">
            <v>165.42639545718845</v>
          </cell>
        </row>
        <row r="23">
          <cell r="G23">
            <v>184.57062682734315</v>
          </cell>
        </row>
        <row r="24">
          <cell r="G24">
            <v>206.31403606626631</v>
          </cell>
        </row>
        <row r="25">
          <cell r="G25">
            <v>233.43453859301513</v>
          </cell>
        </row>
        <row r="26">
          <cell r="D26">
            <v>5848.1942409057056</v>
          </cell>
        </row>
        <row r="27">
          <cell r="D27">
            <v>3565.1668619134985</v>
          </cell>
        </row>
        <row r="29">
          <cell r="D29">
            <v>2665.6366613338982</v>
          </cell>
        </row>
        <row r="127">
          <cell r="E127">
            <v>0.16796710174405771</v>
          </cell>
          <cell r="F127">
            <v>5.2589206236564731E-3</v>
          </cell>
        </row>
        <row r="128">
          <cell r="E128">
            <v>0.133233150146184</v>
          </cell>
          <cell r="F128">
            <v>0.18628383200491469</v>
          </cell>
        </row>
        <row r="129">
          <cell r="E129">
            <v>0.16222367923136136</v>
          </cell>
          <cell r="F129">
            <v>8.7999624225088436E-3</v>
          </cell>
        </row>
        <row r="130">
          <cell r="E130">
            <v>8.1392177593394566E-2</v>
          </cell>
          <cell r="F130">
            <v>0.29769529410404422</v>
          </cell>
        </row>
        <row r="131">
          <cell r="E131">
            <v>0.13837192878652779</v>
          </cell>
          <cell r="F131">
            <v>5.2880489830502758E-3</v>
          </cell>
        </row>
        <row r="132">
          <cell r="E132">
            <v>9.4023589983423639E-2</v>
          </cell>
          <cell r="F132">
            <v>0.32991268488644471</v>
          </cell>
        </row>
        <row r="133">
          <cell r="E133">
            <v>0.11227489213421991</v>
          </cell>
          <cell r="F133">
            <v>5.3007092159669091E-3</v>
          </cell>
        </row>
        <row r="134">
          <cell r="E134">
            <v>0.13460107304219179</v>
          </cell>
          <cell r="F134">
            <v>0.34984950173058005</v>
          </cell>
        </row>
      </sheetData>
      <sheetData sheetId="8"/>
      <sheetData sheetId="9">
        <row r="4">
          <cell r="F4">
            <v>77.022080221615354</v>
          </cell>
        </row>
        <row r="5">
          <cell r="F5">
            <v>78.470853542588074</v>
          </cell>
        </row>
        <row r="6">
          <cell r="F6">
            <v>83.357122961286379</v>
          </cell>
        </row>
        <row r="7">
          <cell r="F7">
            <v>89.409415375978199</v>
          </cell>
        </row>
        <row r="8">
          <cell r="F8">
            <v>98.859315049461117</v>
          </cell>
        </row>
        <row r="9">
          <cell r="F9">
            <v>111.15761260645449</v>
          </cell>
        </row>
        <row r="10">
          <cell r="F10">
            <v>125.78074230160334</v>
          </cell>
        </row>
        <row r="11">
          <cell r="F11">
            <v>144.07362844020568</v>
          </cell>
        </row>
      </sheetData>
      <sheetData sheetId="10">
        <row r="4">
          <cell r="B4">
            <v>6</v>
          </cell>
          <cell r="C4">
            <v>212</v>
          </cell>
          <cell r="D4">
            <v>10</v>
          </cell>
          <cell r="E4">
            <v>338</v>
          </cell>
          <cell r="F4">
            <v>6</v>
          </cell>
          <cell r="G4">
            <v>374</v>
          </cell>
          <cell r="H4">
            <v>6</v>
          </cell>
          <cell r="I4">
            <v>395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83.615254125400384</v>
          </cell>
        </row>
        <row r="6">
          <cell r="V6">
            <v>80.378036126690205</v>
          </cell>
          <cell r="W6">
            <v>49.303390804574406</v>
          </cell>
        </row>
        <row r="7">
          <cell r="V7">
            <v>77.637726977782009</v>
          </cell>
          <cell r="W7">
            <v>47.676391487586407</v>
          </cell>
        </row>
        <row r="8">
          <cell r="V8">
            <v>75.642636172761812</v>
          </cell>
          <cell r="W8">
            <v>44.608193005104603</v>
          </cell>
        </row>
        <row r="9">
          <cell r="V9">
            <v>73.051055762673016</v>
          </cell>
          <cell r="W9">
            <v>42.206271884470681</v>
          </cell>
        </row>
        <row r="10">
          <cell r="V10">
            <v>71.857444972252495</v>
          </cell>
          <cell r="W10">
            <v>39.374018138098201</v>
          </cell>
        </row>
        <row r="11">
          <cell r="V11">
            <v>69.114883362382514</v>
          </cell>
          <cell r="W11">
            <v>36.56452181857415</v>
          </cell>
        </row>
        <row r="12">
          <cell r="V12">
            <v>67.251068065239352</v>
          </cell>
          <cell r="W12">
            <v>32.49016318730169</v>
          </cell>
        </row>
        <row r="13">
          <cell r="V13">
            <v>65.152878780243711</v>
          </cell>
          <cell r="W13">
            <v>31.040889990838231</v>
          </cell>
        </row>
      </sheetData>
      <sheetData sheetId="4"/>
      <sheetData sheetId="5">
        <row r="24">
          <cell r="B24">
            <v>38.509385850679287</v>
          </cell>
        </row>
        <row r="25">
          <cell r="B25">
            <v>35.21944943618373</v>
          </cell>
          <cell r="F25">
            <v>241.72298689744241</v>
          </cell>
        </row>
        <row r="26">
          <cell r="B26">
            <v>32.104737307542777</v>
          </cell>
          <cell r="F26">
            <v>227.49454913319096</v>
          </cell>
        </row>
        <row r="27">
          <cell r="B27">
            <v>29.021807116242819</v>
          </cell>
          <cell r="F27">
            <v>223.90621665556449</v>
          </cell>
        </row>
        <row r="28">
          <cell r="B28">
            <v>25.827216513770267</v>
          </cell>
          <cell r="F28">
            <v>230.71764555054247</v>
          </cell>
        </row>
        <row r="29">
          <cell r="B29">
            <v>22.37752315161152</v>
          </cell>
          <cell r="F29">
            <v>247.69573400825786</v>
          </cell>
        </row>
        <row r="30">
          <cell r="B30">
            <v>18.529284681252971</v>
          </cell>
          <cell r="F30">
            <v>274.59170643804208</v>
          </cell>
        </row>
        <row r="31">
          <cell r="B31">
            <v>14.139058754181029</v>
          </cell>
          <cell r="F31">
            <v>311.12391843400331</v>
          </cell>
        </row>
        <row r="32">
          <cell r="B32">
            <v>9.0634030218821025</v>
          </cell>
          <cell r="F32">
            <v>356.96828132630026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0.1503956043956044</v>
          </cell>
        </row>
        <row r="18">
          <cell r="G18">
            <v>359.47008527104379</v>
          </cell>
        </row>
        <row r="19">
          <cell r="G19">
            <v>350.58088740100141</v>
          </cell>
        </row>
        <row r="20">
          <cell r="G20">
            <v>344.27761804880794</v>
          </cell>
        </row>
        <row r="21">
          <cell r="G21">
            <v>348.75377924982553</v>
          </cell>
        </row>
        <row r="22">
          <cell r="G22">
            <v>361.51904772354771</v>
          </cell>
        </row>
        <row r="23">
          <cell r="G23">
            <v>388.19268958690918</v>
          </cell>
        </row>
        <row r="24">
          <cell r="G24">
            <v>432.83328798931456</v>
          </cell>
        </row>
        <row r="25">
          <cell r="G25">
            <v>530.21455651321298</v>
          </cell>
        </row>
        <row r="26">
          <cell r="D26">
            <v>6504.8343262776243</v>
          </cell>
        </row>
        <row r="27">
          <cell r="D27">
            <v>6046.3094001459804</v>
          </cell>
        </row>
        <row r="29">
          <cell r="D29">
            <v>1326.4261078399229</v>
          </cell>
        </row>
        <row r="127">
          <cell r="E127">
            <v>7.112777122863928E-2</v>
          </cell>
          <cell r="F127">
            <v>1.5724229232032327E-2</v>
          </cell>
        </row>
        <row r="128">
          <cell r="E128">
            <v>6.9021402975084356E-2</v>
          </cell>
          <cell r="F128">
            <v>0.43322402362920509</v>
          </cell>
        </row>
        <row r="129">
          <cell r="E129">
            <v>4.3172048774787114E-2</v>
          </cell>
          <cell r="F129">
            <v>1.6669630318607447E-2</v>
          </cell>
        </row>
        <row r="130">
          <cell r="E130">
            <v>6.2097343345969801E-2</v>
          </cell>
          <cell r="F130">
            <v>0.32641968242010461</v>
          </cell>
        </row>
        <row r="131">
          <cell r="E131">
            <v>2.5669724426027E-2</v>
          </cell>
          <cell r="F131">
            <v>2.0297273948350385E-2</v>
          </cell>
        </row>
        <row r="132">
          <cell r="E132">
            <v>6.6824990821106059E-2</v>
          </cell>
          <cell r="F132">
            <v>0.47000682641433628</v>
          </cell>
        </row>
        <row r="133">
          <cell r="E133">
            <v>3.9007095472387524E-2</v>
          </cell>
          <cell r="F133">
            <v>1.8639691300570312E-2</v>
          </cell>
        </row>
        <row r="134">
          <cell r="E134">
            <v>5.6440572274803417E-2</v>
          </cell>
          <cell r="F134">
            <v>0.71445510945212032</v>
          </cell>
        </row>
      </sheetData>
      <sheetData sheetId="8"/>
      <sheetData sheetId="9">
        <row r="4">
          <cell r="I4">
            <v>241.55776735032316</v>
          </cell>
        </row>
        <row r="5">
          <cell r="I5">
            <v>232.66639605438007</v>
          </cell>
        </row>
        <row r="6">
          <cell r="I6">
            <v>230.43069071396491</v>
          </cell>
        </row>
        <row r="7">
          <cell r="I7">
            <v>233.0011651053708</v>
          </cell>
        </row>
        <row r="8">
          <cell r="I8">
            <v>239.9576236128959</v>
          </cell>
        </row>
        <row r="9">
          <cell r="I9">
            <v>255.28013528162793</v>
          </cell>
        </row>
        <row r="10">
          <cell r="I10">
            <v>282.42720866826693</v>
          </cell>
        </row>
        <row r="11">
          <cell r="I11">
            <v>347.89683513182001</v>
          </cell>
        </row>
      </sheetData>
      <sheetData sheetId="10">
        <row r="4">
          <cell r="B4">
            <v>18</v>
          </cell>
          <cell r="C4">
            <v>495</v>
          </cell>
          <cell r="D4">
            <v>19</v>
          </cell>
          <cell r="E4">
            <v>371</v>
          </cell>
          <cell r="F4">
            <v>23</v>
          </cell>
          <cell r="G4">
            <v>531</v>
          </cell>
          <cell r="H4">
            <v>21</v>
          </cell>
          <cell r="I4">
            <v>803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143.81508569631009</v>
          </cell>
        </row>
        <row r="6">
          <cell r="V6">
            <v>137.90238162996116</v>
          </cell>
          <cell r="W6">
            <v>54.012846498755096</v>
          </cell>
        </row>
        <row r="7">
          <cell r="V7">
            <v>131.99298998253923</v>
          </cell>
          <cell r="W7">
            <v>50.984820479465753</v>
          </cell>
        </row>
        <row r="8">
          <cell r="V8">
            <v>125.56258807257113</v>
          </cell>
          <cell r="W8">
            <v>49.008978395595527</v>
          </cell>
        </row>
        <row r="9">
          <cell r="V9">
            <v>120.8659625034929</v>
          </cell>
          <cell r="W9">
            <v>44.640874494226004</v>
          </cell>
        </row>
        <row r="10">
          <cell r="V10">
            <v>114.97851943513471</v>
          </cell>
          <cell r="W10">
            <v>43.166991136886026</v>
          </cell>
        </row>
        <row r="11">
          <cell r="V11">
            <v>112.49941712369946</v>
          </cell>
          <cell r="W11">
            <v>41.088692351932607</v>
          </cell>
        </row>
        <row r="12">
          <cell r="V12">
            <v>106.95424638573066</v>
          </cell>
          <cell r="W12">
            <v>36.763419706050414</v>
          </cell>
        </row>
        <row r="13">
          <cell r="V13">
            <v>101.66208186193315</v>
          </cell>
          <cell r="W13">
            <v>34.703384988687482</v>
          </cell>
        </row>
      </sheetData>
      <sheetData sheetId="5">
        <row r="24">
          <cell r="B24">
            <v>40.858528735032671</v>
          </cell>
        </row>
        <row r="25">
          <cell r="B25">
            <v>37.63153022433157</v>
          </cell>
          <cell r="F25">
            <v>274.80308595829291</v>
          </cell>
        </row>
        <row r="26">
          <cell r="B26">
            <v>34.382767326148247</v>
          </cell>
          <cell r="F26">
            <v>274.98058877942191</v>
          </cell>
        </row>
        <row r="27">
          <cell r="B27">
            <v>31.011640320588175</v>
          </cell>
          <cell r="F27">
            <v>283.60139581259108</v>
          </cell>
        </row>
        <row r="28">
          <cell r="B28">
            <v>27.417549487756808</v>
          </cell>
          <cell r="F28">
            <v>300.45997151624846</v>
          </cell>
        </row>
        <row r="29">
          <cell r="B29">
            <v>23.499895107759617</v>
          </cell>
          <cell r="F29">
            <v>325.33999137859843</v>
          </cell>
        </row>
        <row r="30">
          <cell r="B30">
            <v>19.158077460702057</v>
          </cell>
          <cell r="F30">
            <v>358.00543448903608</v>
          </cell>
        </row>
        <row r="31">
          <cell r="B31">
            <v>14.291496826689588</v>
          </cell>
          <cell r="F31">
            <v>398.196081924265</v>
          </cell>
        </row>
        <row r="32">
          <cell r="B32">
            <v>8.7995534858276727</v>
          </cell>
          <cell r="F32">
            <v>445.62881502725446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0.14591208791208793</v>
          </cell>
        </row>
        <row r="26">
          <cell r="D26">
            <v>8154.2665588364807</v>
          </cell>
        </row>
        <row r="27">
          <cell r="D27">
            <v>5847.9960578405507</v>
          </cell>
        </row>
        <row r="29">
          <cell r="D29">
            <v>2807.5378937268833</v>
          </cell>
        </row>
        <row r="127">
          <cell r="E127">
            <v>0.15019523994458089</v>
          </cell>
          <cell r="F127">
            <v>4.346854414105027E-3</v>
          </cell>
        </row>
        <row r="128">
          <cell r="E128">
            <v>0.16309218725887442</v>
          </cell>
          <cell r="F128">
            <v>0.379310485524815</v>
          </cell>
        </row>
        <row r="129">
          <cell r="E129">
            <v>0.16016934525008344</v>
          </cell>
          <cell r="F129">
            <v>8.7443766598314238E-3</v>
          </cell>
        </row>
        <row r="130">
          <cell r="E130">
            <v>0.12533025751302793</v>
          </cell>
          <cell r="F130">
            <v>0.26830306702227097</v>
          </cell>
        </row>
        <row r="131">
          <cell r="E131">
            <v>0.14429010349390087</v>
          </cell>
          <cell r="F131">
            <v>7.0331532460995065E-3</v>
          </cell>
        </row>
        <row r="132">
          <cell r="E132">
            <v>7.694097295187366E-2</v>
          </cell>
          <cell r="F132">
            <v>0.5112721187872068</v>
          </cell>
        </row>
        <row r="133">
          <cell r="E133">
            <v>0.13328728682076443</v>
          </cell>
          <cell r="F133">
            <v>1.8562752275829299E-2</v>
          </cell>
        </row>
        <row r="134">
          <cell r="E134">
            <v>0.14702116912052729</v>
          </cell>
          <cell r="F134">
            <v>0.75175921135002544</v>
          </cell>
        </row>
      </sheetData>
      <sheetData sheetId="8"/>
      <sheetData sheetId="9">
        <row r="4">
          <cell r="F4">
            <v>86.999407597187314</v>
          </cell>
        </row>
        <row r="5">
          <cell r="F5">
            <v>91.526729924105652</v>
          </cell>
        </row>
        <row r="6">
          <cell r="F6">
            <v>100.06828714495835</v>
          </cell>
        </row>
        <row r="7">
          <cell r="F7">
            <v>111.27259040803622</v>
          </cell>
        </row>
        <row r="8">
          <cell r="F8">
            <v>126.68702219171482</v>
          </cell>
        </row>
        <row r="9">
          <cell r="F9">
            <v>142.99308495983422</v>
          </cell>
        </row>
        <row r="10">
          <cell r="F10">
            <v>164.11290649026557</v>
          </cell>
        </row>
        <row r="11">
          <cell r="F11">
            <v>192.40276245227707</v>
          </cell>
        </row>
      </sheetData>
      <sheetData sheetId="10">
        <row r="4">
          <cell r="B4">
            <v>5</v>
          </cell>
          <cell r="C4">
            <v>435</v>
          </cell>
          <cell r="D4">
            <v>10</v>
          </cell>
          <cell r="E4">
            <v>306</v>
          </cell>
          <cell r="F4">
            <v>8</v>
          </cell>
          <cell r="G4">
            <v>580</v>
          </cell>
          <cell r="H4">
            <v>21</v>
          </cell>
          <cell r="I4">
            <v>848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204.52302540323319</v>
          </cell>
        </row>
        <row r="6">
          <cell r="V6">
            <v>193.29887468356415</v>
          </cell>
          <cell r="W6">
            <v>54.772153146486893</v>
          </cell>
        </row>
        <row r="7">
          <cell r="V7">
            <v>184.93209542961094</v>
          </cell>
          <cell r="W7">
            <v>51.369747383314497</v>
          </cell>
        </row>
        <row r="8">
          <cell r="V8">
            <v>174.08876125842019</v>
          </cell>
          <cell r="W8">
            <v>51.205349413978375</v>
          </cell>
        </row>
        <row r="9">
          <cell r="V9">
            <v>169.34583493698628</v>
          </cell>
          <cell r="W9">
            <v>46.407279576463019</v>
          </cell>
        </row>
        <row r="10">
          <cell r="V10">
            <v>160.96224145185749</v>
          </cell>
          <cell r="W10">
            <v>45.475754354013624</v>
          </cell>
        </row>
        <row r="11">
          <cell r="V11">
            <v>154.63341723812067</v>
          </cell>
          <cell r="W11">
            <v>43.645050014290895</v>
          </cell>
        </row>
        <row r="12">
          <cell r="V12">
            <v>146.14383599656955</v>
          </cell>
          <cell r="W12">
            <v>41.430649813994016</v>
          </cell>
        </row>
        <row r="13">
          <cell r="V13">
            <v>139.58884709672836</v>
          </cell>
          <cell r="W13">
            <v>38.921194050440704</v>
          </cell>
        </row>
      </sheetData>
      <sheetData sheetId="5">
        <row r="24">
          <cell r="B24">
            <v>42.928053270550116</v>
          </cell>
        </row>
        <row r="25">
          <cell r="B25">
            <v>39.284183109581804</v>
          </cell>
          <cell r="F25">
            <v>344.61880058573837</v>
          </cell>
        </row>
        <row r="26">
          <cell r="B26">
            <v>35.718611032137929</v>
          </cell>
          <cell r="F26">
            <v>334.92095772692551</v>
          </cell>
        </row>
        <row r="27">
          <cell r="B27">
            <v>32.099674410384054</v>
          </cell>
          <cell r="F27">
            <v>337.67273420455757</v>
          </cell>
        </row>
        <row r="28">
          <cell r="B28">
            <v>28.295710616485717</v>
          </cell>
          <cell r="F28">
            <v>352.54724758607694</v>
          </cell>
        </row>
        <row r="29">
          <cell r="B29">
            <v>24.175057022608481</v>
          </cell>
          <cell r="F29">
            <v>379.21499192547611</v>
          </cell>
        </row>
        <row r="30">
          <cell r="B30">
            <v>19.606051000917894</v>
          </cell>
          <cell r="F30">
            <v>417.32284437935749</v>
          </cell>
        </row>
        <row r="31">
          <cell r="B31">
            <v>14.457029923579498</v>
          </cell>
          <cell r="F31">
            <v>466.48097210389983</v>
          </cell>
        </row>
        <row r="32">
          <cell r="B32">
            <v>8.5963311627588581</v>
          </cell>
          <cell r="F32">
            <v>526.26024874546613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0.12180000000000001</v>
          </cell>
        </row>
        <row r="18">
          <cell r="G18">
            <v>116.13339954121285</v>
          </cell>
        </row>
        <row r="19">
          <cell r="G19">
            <v>118.78004620579441</v>
          </cell>
        </row>
        <row r="20">
          <cell r="G20">
            <v>126.45230878929259</v>
          </cell>
        </row>
        <row r="21">
          <cell r="G21">
            <v>138.00617010590557</v>
          </cell>
        </row>
        <row r="22">
          <cell r="G22">
            <v>154.02184286115525</v>
          </cell>
        </row>
        <row r="23">
          <cell r="G23">
            <v>177.35791324295687</v>
          </cell>
        </row>
        <row r="24">
          <cell r="G24">
            <v>207.85470150461595</v>
          </cell>
        </row>
        <row r="25">
          <cell r="G25">
            <v>246.3329795782011</v>
          </cell>
        </row>
        <row r="26">
          <cell r="D26">
            <v>9637.6829527845202</v>
          </cell>
        </row>
        <row r="27">
          <cell r="D27">
            <v>4866.2506410881324</v>
          </cell>
        </row>
        <row r="29">
          <cell r="D29">
            <v>5371.3711562581711</v>
          </cell>
        </row>
        <row r="127">
          <cell r="E127">
            <v>0.32578517329046897</v>
          </cell>
          <cell r="F127">
            <v>0</v>
          </cell>
        </row>
        <row r="128">
          <cell r="E128">
            <v>0.25542340992461543</v>
          </cell>
          <cell r="F128">
            <v>0.21755914942095655</v>
          </cell>
        </row>
        <row r="129">
          <cell r="E129">
            <v>0.31481544605858741</v>
          </cell>
          <cell r="F129">
            <v>0</v>
          </cell>
        </row>
        <row r="130">
          <cell r="E130">
            <v>0.15652560121119016</v>
          </cell>
          <cell r="F130">
            <v>0.39287432485456386</v>
          </cell>
        </row>
        <row r="131">
          <cell r="E131">
            <v>0.23971495014166275</v>
          </cell>
          <cell r="F131">
            <v>0</v>
          </cell>
        </row>
        <row r="132">
          <cell r="E132">
            <v>0.20123738601850091</v>
          </cell>
          <cell r="F132">
            <v>0.48513162552678507</v>
          </cell>
        </row>
        <row r="133">
          <cell r="E133">
            <v>0.23747416709382194</v>
          </cell>
          <cell r="F133">
            <v>8.9039916719108481E-4</v>
          </cell>
        </row>
        <row r="134">
          <cell r="E134">
            <v>0.20273956495860135</v>
          </cell>
          <cell r="F134">
            <v>0.52562804805988084</v>
          </cell>
        </row>
      </sheetData>
      <sheetData sheetId="8"/>
      <sheetData sheetId="9">
        <row r="4">
          <cell r="B4">
            <v>0</v>
          </cell>
          <cell r="C4">
            <v>247</v>
          </cell>
          <cell r="D4">
            <v>0</v>
          </cell>
          <cell r="E4">
            <v>444</v>
          </cell>
          <cell r="F4">
            <v>0</v>
          </cell>
          <cell r="G4">
            <v>546</v>
          </cell>
          <cell r="H4">
            <v>1</v>
          </cell>
          <cell r="I4">
            <v>589</v>
          </cell>
        </row>
      </sheetData>
      <sheetData sheetId="10">
        <row r="4">
          <cell r="G4">
            <v>56.952177130034556</v>
          </cell>
        </row>
        <row r="5">
          <cell r="G5">
            <v>59.503033617831377</v>
          </cell>
        </row>
        <row r="6">
          <cell r="G6">
            <v>65.107990051938359</v>
          </cell>
        </row>
        <row r="7">
          <cell r="G7">
            <v>71.931050869146546</v>
          </cell>
        </row>
        <row r="8">
          <cell r="G8">
            <v>82.011730289079679</v>
          </cell>
        </row>
        <row r="9">
          <cell r="G9">
            <v>95.969116307153911</v>
          </cell>
        </row>
        <row r="10">
          <cell r="G10">
            <v>114.94601622687729</v>
          </cell>
        </row>
        <row r="11">
          <cell r="G11">
            <v>138.4791220782289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84.368139768286923</v>
          </cell>
        </row>
        <row r="6">
          <cell r="V6">
            <v>81.70392755206943</v>
          </cell>
          <cell r="W6">
            <v>54.893947593158657</v>
          </cell>
        </row>
        <row r="7">
          <cell r="V7">
            <v>78.916515466825174</v>
          </cell>
          <cell r="W7">
            <v>54.891415860198641</v>
          </cell>
        </row>
        <row r="8">
          <cell r="V8">
            <v>75.699203027457713</v>
          </cell>
          <cell r="W8">
            <v>51.083534263391414</v>
          </cell>
        </row>
        <row r="9">
          <cell r="V9">
            <v>73.563241266921295</v>
          </cell>
          <cell r="W9">
            <v>48.63031061479294</v>
          </cell>
        </row>
        <row r="10">
          <cell r="V10">
            <v>71.789928847992925</v>
          </cell>
          <cell r="W10">
            <v>44.869411245693016</v>
          </cell>
        </row>
        <row r="11">
          <cell r="V11">
            <v>69.697033871787724</v>
          </cell>
          <cell r="W11">
            <v>41.502325637507745</v>
          </cell>
        </row>
        <row r="12">
          <cell r="V12">
            <v>66.610655056881171</v>
          </cell>
          <cell r="W12">
            <v>38.915972901010853</v>
          </cell>
        </row>
        <row r="13">
          <cell r="V13">
            <v>63.121819428536661</v>
          </cell>
          <cell r="W13">
            <v>35.780663769652563</v>
          </cell>
        </row>
      </sheetData>
      <sheetData sheetId="4"/>
      <sheetData sheetId="5">
        <row r="24">
          <cell r="B24">
            <v>46.352358225233615</v>
          </cell>
        </row>
        <row r="25">
          <cell r="B25">
            <v>43.67457744489279</v>
          </cell>
          <cell r="F25">
            <v>126.04555425440083</v>
          </cell>
        </row>
        <row r="26">
          <cell r="B26">
            <v>40.069018785557098</v>
          </cell>
          <cell r="F26">
            <v>168.69048407758547</v>
          </cell>
        </row>
        <row r="27">
          <cell r="B27">
            <v>35.730580830936319</v>
          </cell>
          <cell r="F27">
            <v>201.45451064312061</v>
          </cell>
        </row>
        <row r="28">
          <cell r="B28">
            <v>30.854162164740238</v>
          </cell>
          <cell r="F28">
            <v>224.50693526447367</v>
          </cell>
        </row>
        <row r="29">
          <cell r="B29">
            <v>25.634661370678625</v>
          </cell>
          <cell r="F29">
            <v>238.12063560917738</v>
          </cell>
        </row>
        <row r="30">
          <cell r="B30">
            <v>20.266977032461266</v>
          </cell>
          <cell r="F30">
            <v>242.6230971644099</v>
          </cell>
        </row>
        <row r="31">
          <cell r="B31">
            <v>14.946007733797927</v>
          </cell>
          <cell r="F31">
            <v>238.35172625776599</v>
          </cell>
        </row>
        <row r="32">
          <cell r="B32">
            <v>9.8666520583983939</v>
          </cell>
          <cell r="F32">
            <v>225.61641637528629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0.12909890109890113</v>
          </cell>
        </row>
        <row r="26">
          <cell r="D26">
            <v>5112.3819952986942</v>
          </cell>
        </row>
        <row r="27">
          <cell r="D27">
            <v>5161.5916646505075</v>
          </cell>
        </row>
        <row r="29">
          <cell r="D29">
            <v>826.92324293383729</v>
          </cell>
        </row>
        <row r="127">
          <cell r="E127">
            <v>3.5541228369162708E-2</v>
          </cell>
          <cell r="F127">
            <v>1.9102485977659438E-2</v>
          </cell>
        </row>
        <row r="128">
          <cell r="E128">
            <v>4.4102520051433343E-2</v>
          </cell>
          <cell r="F128">
            <v>0.33906129331387652</v>
          </cell>
        </row>
        <row r="129">
          <cell r="E129">
            <v>4.1884237463595729E-2</v>
          </cell>
          <cell r="F129">
            <v>2.4401445876294687E-2</v>
          </cell>
        </row>
        <row r="130">
          <cell r="E130">
            <v>3.295371159378363E-2</v>
          </cell>
          <cell r="F130">
            <v>0.26576652696741515</v>
          </cell>
        </row>
        <row r="131">
          <cell r="E131">
            <v>2.2734288658160046E-2</v>
          </cell>
          <cell r="F131">
            <v>1.8423447118969837E-2</v>
          </cell>
        </row>
        <row r="132">
          <cell r="E132">
            <v>3.412949529514641E-2</v>
          </cell>
          <cell r="F132">
            <v>0.39264750121872399</v>
          </cell>
        </row>
        <row r="133">
          <cell r="E133">
            <v>3.8829723419764213E-2</v>
          </cell>
          <cell r="F133">
            <v>5.2986944529993522E-2</v>
          </cell>
        </row>
        <row r="134">
          <cell r="E134">
            <v>5.3184663479462012E-2</v>
          </cell>
          <cell r="F134">
            <v>0.60814090988056935</v>
          </cell>
        </row>
      </sheetData>
      <sheetData sheetId="8"/>
      <sheetData sheetId="9">
        <row r="4">
          <cell r="O4">
            <v>144.97533341184572</v>
          </cell>
        </row>
        <row r="5">
          <cell r="O5">
            <v>206.2209998113504</v>
          </cell>
        </row>
        <row r="6">
          <cell r="O6">
            <v>254.78038343094411</v>
          </cell>
        </row>
        <row r="7">
          <cell r="O7">
            <v>280.40485780553826</v>
          </cell>
        </row>
        <row r="8">
          <cell r="O8">
            <v>282.24818821476634</v>
          </cell>
        </row>
        <row r="9">
          <cell r="O9">
            <v>272.86673846784032</v>
          </cell>
        </row>
        <row r="10">
          <cell r="O10">
            <v>265.19575577735134</v>
          </cell>
        </row>
        <row r="11">
          <cell r="O11">
            <v>281.23370341284192</v>
          </cell>
        </row>
      </sheetData>
      <sheetData sheetId="10">
        <row r="4">
          <cell r="B4">
            <v>22</v>
          </cell>
          <cell r="C4">
            <v>390</v>
          </cell>
          <cell r="D4">
            <v>28</v>
          </cell>
          <cell r="E4">
            <v>304</v>
          </cell>
          <cell r="F4">
            <v>21</v>
          </cell>
          <cell r="G4">
            <v>446</v>
          </cell>
          <cell r="H4">
            <v>60</v>
          </cell>
          <cell r="I4">
            <v>687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125.61634796190144</v>
          </cell>
        </row>
        <row r="19">
          <cell r="G19">
            <v>143.45365330153061</v>
          </cell>
        </row>
        <row r="20">
          <cell r="G20">
            <v>160.14436308911073</v>
          </cell>
        </row>
        <row r="21">
          <cell r="G21">
            <v>173.90929751295349</v>
          </cell>
        </row>
        <row r="22">
          <cell r="G22">
            <v>186.3596169944735</v>
          </cell>
        </row>
        <row r="23">
          <cell r="G23">
            <v>200.83176417362748</v>
          </cell>
        </row>
        <row r="24">
          <cell r="G24">
            <v>218.0557116878729</v>
          </cell>
        </row>
        <row r="25">
          <cell r="G25">
            <v>242.50203406198702</v>
          </cell>
        </row>
      </sheetData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143.88198316581187</v>
          </cell>
        </row>
        <row r="6">
          <cell r="V6">
            <v>135.97474415154161</v>
          </cell>
          <cell r="W6">
            <v>60.1100276513776</v>
          </cell>
        </row>
        <row r="7">
          <cell r="V7">
            <v>129.84161350296094</v>
          </cell>
          <cell r="W7">
            <v>58.71384681738914</v>
          </cell>
        </row>
        <row r="8">
          <cell r="V8">
            <v>122.32280720492251</v>
          </cell>
          <cell r="W8">
            <v>55.610541860947841</v>
          </cell>
        </row>
        <row r="9">
          <cell r="V9">
            <v>118.64834337847465</v>
          </cell>
          <cell r="W9">
            <v>52.017276318122072</v>
          </cell>
        </row>
        <row r="10">
          <cell r="V10">
            <v>112.27080420368816</v>
          </cell>
          <cell r="W10">
            <v>48.995412932645309</v>
          </cell>
        </row>
        <row r="11">
          <cell r="V11">
            <v>108.11201842168616</v>
          </cell>
          <cell r="W11">
            <v>45.648959623247663</v>
          </cell>
        </row>
        <row r="12">
          <cell r="V12">
            <v>102.0416840416071</v>
          </cell>
          <cell r="W12">
            <v>42.954343718158668</v>
          </cell>
        </row>
        <row r="13">
          <cell r="V13">
            <v>97.229747548132863</v>
          </cell>
          <cell r="W13">
            <v>39.221331954473278</v>
          </cell>
        </row>
      </sheetData>
      <sheetData sheetId="4"/>
      <sheetData sheetId="5">
        <row r="24">
          <cell r="B24">
            <v>49.715241746581285</v>
          </cell>
        </row>
        <row r="25">
          <cell r="B25">
            <v>45.70704335787137</v>
          </cell>
          <cell r="F25">
            <v>208.17187756139333</v>
          </cell>
        </row>
        <row r="26">
          <cell r="B26">
            <v>41.459226947301822</v>
          </cell>
          <cell r="F26">
            <v>218.84799333590169</v>
          </cell>
        </row>
        <row r="27">
          <cell r="B27">
            <v>36.943872093548421</v>
          </cell>
          <cell r="F27">
            <v>230.69070213908182</v>
          </cell>
        </row>
        <row r="28">
          <cell r="B28">
            <v>32.133058375286964</v>
          </cell>
          <cell r="F28">
            <v>243.6528616141976</v>
          </cell>
        </row>
        <row r="29">
          <cell r="B29">
            <v>26.998865371193233</v>
          </cell>
          <cell r="F29">
            <v>257.68811353905511</v>
          </cell>
        </row>
        <row r="30">
          <cell r="B30">
            <v>21.513372659943009</v>
          </cell>
          <cell r="F30">
            <v>272.75240393601973</v>
          </cell>
        </row>
        <row r="31">
          <cell r="B31">
            <v>15.648659820212082</v>
          </cell>
          <cell r="F31">
            <v>288.80599560792797</v>
          </cell>
        </row>
        <row r="32">
          <cell r="B32">
            <v>9.3768064306762327</v>
          </cell>
          <cell r="F32">
            <v>305.81603452043407</v>
          </cell>
        </row>
      </sheetData>
      <sheetData sheetId="6"/>
      <sheetData sheetId="7">
        <row r="4">
          <cell r="AM4">
            <v>72.400492607826436</v>
          </cell>
        </row>
        <row r="5">
          <cell r="AM5">
            <v>82.408085165273874</v>
          </cell>
        </row>
        <row r="6">
          <cell r="AM6">
            <v>93.833713349121638</v>
          </cell>
        </row>
        <row r="7">
          <cell r="AM7">
            <v>103.71518089097876</v>
          </cell>
        </row>
        <row r="8">
          <cell r="AM8">
            <v>114.45995067110096</v>
          </cell>
        </row>
        <row r="9">
          <cell r="AM9">
            <v>125.84093311081379</v>
          </cell>
        </row>
        <row r="10">
          <cell r="AM10">
            <v>139.41202479120903</v>
          </cell>
        </row>
        <row r="11">
          <cell r="AM11">
            <v>168.03175130326127</v>
          </cell>
        </row>
        <row r="15">
          <cell r="F15">
            <v>900</v>
          </cell>
        </row>
        <row r="18">
          <cell r="G18">
            <v>127.16863480435443</v>
          </cell>
        </row>
        <row r="19">
          <cell r="G19">
            <v>142.44466318425239</v>
          </cell>
        </row>
        <row r="20">
          <cell r="G20">
            <v>158.92921414607159</v>
          </cell>
        </row>
        <row r="21">
          <cell r="G21">
            <v>174.01254040589933</v>
          </cell>
        </row>
        <row r="22">
          <cell r="G22">
            <v>188.74234460297623</v>
          </cell>
        </row>
        <row r="23">
          <cell r="G23">
            <v>205.6139711358104</v>
          </cell>
        </row>
        <row r="24">
          <cell r="G24">
            <v>224.13978816483484</v>
          </cell>
        </row>
        <row r="25">
          <cell r="G25">
            <v>267.51960999166897</v>
          </cell>
        </row>
        <row r="127">
          <cell r="E127">
            <v>0.11362667587625558</v>
          </cell>
          <cell r="F127">
            <v>9.606104459577958E-3</v>
          </cell>
        </row>
        <row r="128">
          <cell r="E128">
            <v>9.4918955154644283E-2</v>
          </cell>
          <cell r="F128">
            <v>0.21618020440242014</v>
          </cell>
        </row>
        <row r="129">
          <cell r="E129">
            <v>0.10584110905898636</v>
          </cell>
          <cell r="F129">
            <v>1.4920489027484975E-2</v>
          </cell>
        </row>
        <row r="130">
          <cell r="E130">
            <v>5.6111417807041493E-2</v>
          </cell>
          <cell r="F130">
            <v>0.14792010455506002</v>
          </cell>
        </row>
        <row r="131">
          <cell r="E131">
            <v>8.8342252358845408E-2</v>
          </cell>
          <cell r="F131">
            <v>1.3251995931146376E-2</v>
          </cell>
        </row>
        <row r="132">
          <cell r="E132">
            <v>7.106803588942999E-2</v>
          </cell>
          <cell r="F132">
            <v>0.47515738898668974</v>
          </cell>
        </row>
        <row r="133">
          <cell r="E133">
            <v>8.2546074024700419E-2</v>
          </cell>
          <cell r="F133">
            <v>6.3146495207382677E-2</v>
          </cell>
        </row>
        <row r="134">
          <cell r="E134">
            <v>7.891653686146613E-2</v>
          </cell>
          <cell r="F134">
            <v>0.582485960521825</v>
          </cell>
        </row>
      </sheetData>
      <sheetData sheetId="8"/>
      <sheetData sheetId="9"/>
      <sheetData sheetId="10">
        <row r="4">
          <cell r="B4">
            <v>11</v>
          </cell>
          <cell r="C4">
            <v>247</v>
          </cell>
          <cell r="D4">
            <v>17</v>
          </cell>
          <cell r="E4">
            <v>168</v>
          </cell>
          <cell r="F4">
            <v>15</v>
          </cell>
          <cell r="G4">
            <v>536</v>
          </cell>
          <cell r="H4">
            <v>71</v>
          </cell>
          <cell r="I4">
            <v>653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copy Alfa (2)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6">
          <cell r="F16">
            <v>0.11453333333333333</v>
          </cell>
        </row>
        <row r="26">
          <cell r="D26">
            <v>6250.9335556203359</v>
          </cell>
        </row>
        <row r="27">
          <cell r="D27">
            <v>4568.0062292747607</v>
          </cell>
        </row>
        <row r="29">
          <cell r="D29">
            <v>1885.429278136103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204.66824927575183</v>
          </cell>
        </row>
        <row r="6">
          <cell r="V6">
            <v>190.95785065936082</v>
          </cell>
          <cell r="W6">
            <v>63.137219511385126</v>
          </cell>
        </row>
        <row r="7">
          <cell r="V7">
            <v>180.50401335292068</v>
          </cell>
          <cell r="W7">
            <v>58.758192354424146</v>
          </cell>
        </row>
        <row r="8">
          <cell r="V8">
            <v>168.54878900516584</v>
          </cell>
          <cell r="W8">
            <v>58.084557433213689</v>
          </cell>
        </row>
        <row r="9">
          <cell r="V9">
            <v>162.98666829348633</v>
          </cell>
          <cell r="W9">
            <v>54.310059602803285</v>
          </cell>
        </row>
        <row r="10">
          <cell r="V10">
            <v>154.02308989325729</v>
          </cell>
          <cell r="W10">
            <v>51.773465302984739</v>
          </cell>
        </row>
        <row r="11">
          <cell r="V11">
            <v>146.38623622709517</v>
          </cell>
          <cell r="W11">
            <v>48.408198484539447</v>
          </cell>
        </row>
        <row r="12">
          <cell r="V12">
            <v>137.17746492627558</v>
          </cell>
          <cell r="W12">
            <v>45.06000754546158</v>
          </cell>
        </row>
        <row r="13">
          <cell r="V13">
            <v>129.74859095684047</v>
          </cell>
          <cell r="W13">
            <v>41.260629410823363</v>
          </cell>
        </row>
      </sheetData>
      <sheetData sheetId="4"/>
      <sheetData sheetId="5">
        <row r="24">
          <cell r="B24">
            <v>52.014034378271518</v>
          </cell>
        </row>
        <row r="25">
          <cell r="B25">
            <v>47.584111170812974</v>
          </cell>
          <cell r="F25">
            <v>256.69559218743933</v>
          </cell>
        </row>
        <row r="26">
          <cell r="B26">
            <v>43.054980921851637</v>
          </cell>
          <cell r="F26">
            <v>260.14282168679836</v>
          </cell>
        </row>
        <row r="27">
          <cell r="B27">
            <v>38.353291414995979</v>
          </cell>
          <cell r="F27">
            <v>267.66323467461564</v>
          </cell>
        </row>
        <row r="28">
          <cell r="B28">
            <v>33.405690433854446</v>
          </cell>
          <cell r="F28">
            <v>279.11561199776463</v>
          </cell>
        </row>
        <row r="29">
          <cell r="B29">
            <v>28.138825762035523</v>
          </cell>
          <cell r="F29">
            <v>294.3574451240533</v>
          </cell>
        </row>
        <row r="30">
          <cell r="B30">
            <v>22.479345183147664</v>
          </cell>
          <cell r="F30">
            <v>313.24420067024164</v>
          </cell>
        </row>
        <row r="31">
          <cell r="B31">
            <v>16.353896480799335</v>
          </cell>
          <cell r="F31">
            <v>335.63082519402138</v>
          </cell>
        </row>
        <row r="32">
          <cell r="B32">
            <v>9.6891274385989945</v>
          </cell>
          <cell r="F32">
            <v>361.37602027332775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9.6666666666666651E-2</v>
          </cell>
        </row>
        <row r="18">
          <cell r="G18">
            <v>92.385655769994528</v>
          </cell>
        </row>
        <row r="19">
          <cell r="G19">
            <v>100.46348673552535</v>
          </cell>
        </row>
        <row r="20">
          <cell r="G20">
            <v>110.83899806358686</v>
          </cell>
        </row>
        <row r="21">
          <cell r="G21">
            <v>121.88157703611402</v>
          </cell>
        </row>
        <row r="22">
          <cell r="G22">
            <v>133.90241511493974</v>
          </cell>
        </row>
        <row r="23">
          <cell r="G23">
            <v>149.84937317659606</v>
          </cell>
        </row>
        <row r="24">
          <cell r="G24">
            <v>168.82315966406873</v>
          </cell>
        </row>
        <row r="25">
          <cell r="G25">
            <v>206.07049199928872</v>
          </cell>
        </row>
        <row r="26">
          <cell r="D26">
            <v>7260.9758790436726</v>
          </cell>
        </row>
        <row r="27">
          <cell r="D27">
            <v>3851.109926426785</v>
          </cell>
        </row>
        <row r="29">
          <cell r="D29">
            <v>3717.137359299958</v>
          </cell>
        </row>
        <row r="127">
          <cell r="E127">
            <v>0.23939917962006316</v>
          </cell>
          <cell r="F127">
            <v>9.5819749622039121E-3</v>
          </cell>
        </row>
        <row r="128">
          <cell r="E128">
            <v>0.18698542658953132</v>
          </cell>
          <cell r="F128">
            <v>7.8635890960629493E-2</v>
          </cell>
        </row>
        <row r="129">
          <cell r="E129">
            <v>0.20915596898495023</v>
          </cell>
          <cell r="F129">
            <v>1.4895536875211704E-2</v>
          </cell>
        </row>
        <row r="130">
          <cell r="E130">
            <v>0.10389380389254893</v>
          </cell>
          <cell r="F130">
            <v>0.156398981349439</v>
          </cell>
        </row>
        <row r="131">
          <cell r="E131">
            <v>0.15452718263810725</v>
          </cell>
          <cell r="F131">
            <v>1.1455248847804375E-2</v>
          </cell>
        </row>
        <row r="132">
          <cell r="E132">
            <v>0.14722531523382373</v>
          </cell>
          <cell r="F132">
            <v>0.41720729649186522</v>
          </cell>
        </row>
        <row r="133">
          <cell r="E133">
            <v>0.15553168541366832</v>
          </cell>
          <cell r="F133">
            <v>5.7654351787079207E-2</v>
          </cell>
        </row>
        <row r="134">
          <cell r="E134">
            <v>0.14171965943622686</v>
          </cell>
          <cell r="F134">
            <v>0.53787402753469549</v>
          </cell>
        </row>
      </sheetData>
      <sheetData sheetId="8"/>
      <sheetData sheetId="9">
        <row r="4">
          <cell r="G4">
            <v>45.573879155836735</v>
          </cell>
        </row>
        <row r="5">
          <cell r="G5">
            <v>50.889246211783011</v>
          </cell>
        </row>
        <row r="6">
          <cell r="G6">
            <v>57.880087621756424</v>
          </cell>
        </row>
        <row r="7">
          <cell r="G7">
            <v>64.562458547611016</v>
          </cell>
        </row>
        <row r="8">
          <cell r="G8">
            <v>72.584381844143678</v>
          </cell>
        </row>
        <row r="9">
          <cell r="G9">
            <v>82.813574291374266</v>
          </cell>
        </row>
        <row r="10">
          <cell r="G10">
            <v>95.536450738678042</v>
          </cell>
        </row>
        <row r="11">
          <cell r="G11">
            <v>118.73677359697955</v>
          </cell>
        </row>
      </sheetData>
      <sheetData sheetId="10">
        <row r="4">
          <cell r="B4">
            <v>2</v>
          </cell>
          <cell r="C4">
            <v>156</v>
          </cell>
          <cell r="D4">
            <v>8</v>
          </cell>
          <cell r="E4">
            <v>163</v>
          </cell>
          <cell r="F4">
            <v>2</v>
          </cell>
          <cell r="G4">
            <v>470</v>
          </cell>
          <cell r="H4">
            <v>59</v>
          </cell>
          <cell r="I4">
            <v>594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83.774629045195908</v>
          </cell>
        </row>
        <row r="6">
          <cell r="V6">
            <v>82.147661269670607</v>
          </cell>
          <cell r="W6">
            <v>48.051605032980945</v>
          </cell>
        </row>
        <row r="7">
          <cell r="V7">
            <v>80.68454560180443</v>
          </cell>
          <cell r="W7">
            <v>43.830582597877644</v>
          </cell>
        </row>
        <row r="8">
          <cell r="V8">
            <v>78.731851940142064</v>
          </cell>
          <cell r="W8">
            <v>43.516380045614028</v>
          </cell>
        </row>
        <row r="9">
          <cell r="V9">
            <v>75.986132084511041</v>
          </cell>
          <cell r="W9">
            <v>38.322701819847076</v>
          </cell>
        </row>
        <row r="10">
          <cell r="V10">
            <v>75.796382057067305</v>
          </cell>
          <cell r="W10">
            <v>37.835661581857664</v>
          </cell>
        </row>
        <row r="11">
          <cell r="V11">
            <v>74.219623912377415</v>
          </cell>
          <cell r="W11">
            <v>37.370794823567174</v>
          </cell>
        </row>
        <row r="12">
          <cell r="V12">
            <v>72.292482281221751</v>
          </cell>
          <cell r="W12">
            <v>36.190146522918134</v>
          </cell>
        </row>
        <row r="13">
          <cell r="V13">
            <v>70.565311909051829</v>
          </cell>
          <cell r="W13">
            <v>27.594263161171249</v>
          </cell>
        </row>
      </sheetData>
      <sheetData sheetId="4"/>
      <sheetData sheetId="5">
        <row r="24">
          <cell r="B24">
            <v>33.50429860207236</v>
          </cell>
        </row>
        <row r="25">
          <cell r="B25">
            <v>30.750546141038853</v>
          </cell>
          <cell r="F25">
            <v>416.56166743399911</v>
          </cell>
        </row>
        <row r="26">
          <cell r="B26">
            <v>28.070402837970995</v>
          </cell>
          <cell r="F26">
            <v>403.441437541884</v>
          </cell>
        </row>
        <row r="27">
          <cell r="B27">
            <v>25.365716238608641</v>
          </cell>
          <cell r="F27">
            <v>405.19210275377884</v>
          </cell>
        </row>
        <row r="28">
          <cell r="B28">
            <v>22.538333888691646</v>
          </cell>
          <cell r="F28">
            <v>421.53136496898549</v>
          </cell>
        </row>
        <row r="29">
          <cell r="B29">
            <v>19.490103333959869</v>
          </cell>
          <cell r="F29">
            <v>452.17455764953456</v>
          </cell>
        </row>
        <row r="30">
          <cell r="B30">
            <v>16.122872120153176</v>
          </cell>
          <cell r="F30">
            <v>496.81445822301242</v>
          </cell>
        </row>
        <row r="31">
          <cell r="B31">
            <v>12.338487793011424</v>
          </cell>
          <cell r="F31">
            <v>555.10628867352966</v>
          </cell>
        </row>
        <row r="32">
          <cell r="B32">
            <v>8.0387978982744706</v>
          </cell>
          <cell r="F32">
            <v>626.65948012609863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0.2603669724770642</v>
          </cell>
        </row>
        <row r="18">
          <cell r="G18">
            <v>586.88771193237312</v>
          </cell>
        </row>
        <row r="19">
          <cell r="G19">
            <v>521.62556100395386</v>
          </cell>
        </row>
        <row r="20">
          <cell r="G20">
            <v>512.9169493761849</v>
          </cell>
        </row>
        <row r="21">
          <cell r="G21">
            <v>548.55657264565878</v>
          </cell>
        </row>
        <row r="22">
          <cell r="G22">
            <v>595.743909087465</v>
          </cell>
        </row>
        <row r="23">
          <cell r="G23">
            <v>641.51158194755567</v>
          </cell>
        </row>
        <row r="24">
          <cell r="G24">
            <v>690.67888366950547</v>
          </cell>
        </row>
        <row r="25">
          <cell r="G25">
            <v>710.49778116900814</v>
          </cell>
        </row>
        <row r="26">
          <cell r="D26">
            <v>11397.416391150171</v>
          </cell>
        </row>
        <row r="27">
          <cell r="D27">
            <v>10483.1654266894</v>
          </cell>
        </row>
        <row r="29">
          <cell r="D29">
            <v>1786.3335998863915</v>
          </cell>
        </row>
        <row r="127">
          <cell r="E127">
            <v>7.284421173504034E-2</v>
          </cell>
          <cell r="F127">
            <v>1.8978383400285948E-2</v>
          </cell>
        </row>
        <row r="128">
          <cell r="E128">
            <v>8.0695062754104138E-2</v>
          </cell>
          <cell r="F128">
            <v>0.68788231051276572</v>
          </cell>
        </row>
        <row r="129">
          <cell r="E129">
            <v>8.6239130272845035E-2</v>
          </cell>
          <cell r="F129">
            <v>2.4996333696755538E-2</v>
          </cell>
        </row>
        <row r="130">
          <cell r="E130">
            <v>0.13454618401330651</v>
          </cell>
          <cell r="F130">
            <v>0.68313330431692931</v>
          </cell>
        </row>
        <row r="131">
          <cell r="E131">
            <v>8.6002809784264545E-3</v>
          </cell>
          <cell r="F131">
            <v>1.7684853862632566E-2</v>
          </cell>
        </row>
        <row r="132">
          <cell r="E132">
            <v>8.6725097357524636E-2</v>
          </cell>
          <cell r="F132">
            <v>0.88418840514687069</v>
          </cell>
        </row>
        <row r="133">
          <cell r="E133">
            <v>8.2242624242797338E-2</v>
          </cell>
          <cell r="F133">
            <v>1.6287624982353945E-2</v>
          </cell>
        </row>
        <row r="134">
          <cell r="E134">
            <v>9.6427119142689713E-2</v>
          </cell>
          <cell r="F134">
            <v>1.1612372596445397</v>
          </cell>
        </row>
      </sheetData>
      <sheetData sheetId="8"/>
      <sheetData sheetId="9">
        <row r="4">
          <cell r="K4">
            <v>386.2354798729861</v>
          </cell>
        </row>
        <row r="5">
          <cell r="K5">
            <v>344.21456301362252</v>
          </cell>
        </row>
        <row r="6">
          <cell r="K6">
            <v>340.29689969071967</v>
          </cell>
        </row>
        <row r="7">
          <cell r="K7">
            <v>366.20875297534724</v>
          </cell>
        </row>
        <row r="8">
          <cell r="K8">
            <v>397.90535028000011</v>
          </cell>
        </row>
        <row r="9">
          <cell r="K9">
            <v>429.52163181390932</v>
          </cell>
        </row>
        <row r="10">
          <cell r="K10">
            <v>464.90415255781886</v>
          </cell>
        </row>
        <row r="11">
          <cell r="K11">
            <v>479.25643977637202</v>
          </cell>
        </row>
      </sheetData>
      <sheetData sheetId="10">
        <row r="4">
          <cell r="B4">
            <v>13</v>
          </cell>
          <cell r="C4">
            <v>469</v>
          </cell>
          <cell r="D4">
            <v>17</v>
          </cell>
          <cell r="E4">
            <v>464</v>
          </cell>
          <cell r="F4">
            <v>12</v>
          </cell>
          <cell r="G4">
            <v>599</v>
          </cell>
          <cell r="H4">
            <v>11</v>
          </cell>
          <cell r="I4">
            <v>780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144.07083286702004</v>
          </cell>
        </row>
        <row r="6">
          <cell r="V6">
            <v>139.58000444880793</v>
          </cell>
          <cell r="W6">
            <v>49.59029515133026</v>
          </cell>
        </row>
        <row r="7">
          <cell r="V7">
            <v>135.23580635441786</v>
          </cell>
          <cell r="W7">
            <v>43.872521439150923</v>
          </cell>
        </row>
        <row r="8">
          <cell r="V8">
            <v>130.10439166787361</v>
          </cell>
          <cell r="W8">
            <v>44.264886674654498</v>
          </cell>
        </row>
        <row r="9">
          <cell r="V9">
            <v>127.00934319814685</v>
          </cell>
          <cell r="W9">
            <v>39.230193153007711</v>
          </cell>
        </row>
        <row r="10">
          <cell r="V10">
            <v>123.21751704015905</v>
          </cell>
          <cell r="W10">
            <v>40.154694447035119</v>
          </cell>
        </row>
        <row r="11">
          <cell r="V11">
            <v>119.52782894516581</v>
          </cell>
          <cell r="W11">
            <v>39.99782843165773</v>
          </cell>
        </row>
        <row r="12">
          <cell r="V12">
            <v>115.88063654192301</v>
          </cell>
          <cell r="W12">
            <v>37.793264437244964</v>
          </cell>
        </row>
        <row r="13">
          <cell r="V13">
            <v>111.56246242981007</v>
          </cell>
          <cell r="W13">
            <v>27.528685959631588</v>
          </cell>
        </row>
      </sheetData>
      <sheetData sheetId="4"/>
      <sheetData sheetId="5">
        <row r="24">
          <cell r="B24">
            <v>34.332329282736893</v>
          </cell>
        </row>
        <row r="25">
          <cell r="B25">
            <v>31.528929274073583</v>
          </cell>
          <cell r="F25">
            <v>471.88230540171935</v>
          </cell>
        </row>
        <row r="26">
          <cell r="B26">
            <v>28.755150344254446</v>
          </cell>
          <cell r="F26">
            <v>464.53933709549602</v>
          </cell>
        </row>
        <row r="27">
          <cell r="B27">
            <v>25.922553191004148</v>
          </cell>
          <cell r="F27">
            <v>472.02225907040571</v>
          </cell>
        </row>
        <row r="28">
          <cell r="B28">
            <v>22.942698512047365</v>
          </cell>
          <cell r="F28">
            <v>494.0374331920014</v>
          </cell>
        </row>
        <row r="29">
          <cell r="B29">
            <v>19.727147005108755</v>
          </cell>
          <cell r="F29">
            <v>530.28321122809905</v>
          </cell>
        </row>
        <row r="30">
          <cell r="B30">
            <v>16.187459367912993</v>
          </cell>
          <cell r="F30">
            <v>580.43338541375863</v>
          </cell>
        </row>
        <row r="31">
          <cell r="B31">
            <v>12.235196298184743</v>
          </cell>
          <cell r="F31">
            <v>644.12580536118571</v>
          </cell>
        </row>
        <row r="32">
          <cell r="B32">
            <v>7.7819184936486749</v>
          </cell>
          <cell r="F32">
            <v>720.9576926619709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0.236697247706422</v>
          </cell>
        </row>
        <row r="18">
          <cell r="G18">
            <v>249.49974819910148</v>
          </cell>
        </row>
        <row r="19">
          <cell r="G19">
            <v>242.13297507567373</v>
          </cell>
        </row>
        <row r="20">
          <cell r="G20">
            <v>252.34776364204569</v>
          </cell>
        </row>
        <row r="21">
          <cell r="G21">
            <v>274.931197782499</v>
          </cell>
        </row>
        <row r="22">
          <cell r="G22">
            <v>306.70698214548872</v>
          </cell>
        </row>
        <row r="23">
          <cell r="G23">
            <v>346.14159546237585</v>
          </cell>
        </row>
        <row r="24">
          <cell r="G24">
            <v>383.7506434597268</v>
          </cell>
        </row>
        <row r="25">
          <cell r="G25">
            <v>410.53921661436561</v>
          </cell>
        </row>
        <row r="26">
          <cell r="D26">
            <v>13253.797744491803</v>
          </cell>
        </row>
        <row r="27">
          <cell r="D27">
            <v>9514.9273551901788</v>
          </cell>
        </row>
        <row r="29">
          <cell r="D29">
            <v>4847.8087610393104</v>
          </cell>
        </row>
        <row r="127">
          <cell r="E127">
            <v>0.2318480173726937</v>
          </cell>
          <cell r="F127">
            <v>0</v>
          </cell>
        </row>
        <row r="128">
          <cell r="E128">
            <v>0.24828593888420372</v>
          </cell>
          <cell r="F128">
            <v>0.65393100660058445</v>
          </cell>
        </row>
        <row r="129">
          <cell r="E129">
            <v>0.26060798843733207</v>
          </cell>
          <cell r="F129">
            <v>0</v>
          </cell>
        </row>
        <row r="130">
          <cell r="E130">
            <v>0.18502488169740275</v>
          </cell>
          <cell r="F130">
            <v>0.78525451782118649</v>
          </cell>
        </row>
        <row r="131">
          <cell r="E131">
            <v>0.18922962260786916</v>
          </cell>
          <cell r="F131">
            <v>0</v>
          </cell>
        </row>
        <row r="132">
          <cell r="E132">
            <v>0.21278557011836774</v>
          </cell>
          <cell r="F132">
            <v>0.86434391434792124</v>
          </cell>
        </row>
        <row r="133">
          <cell r="E133">
            <v>0.17864222813957276</v>
          </cell>
          <cell r="F133">
            <v>0</v>
          </cell>
        </row>
        <row r="134">
          <cell r="E134">
            <v>0.23780090508909177</v>
          </cell>
          <cell r="F134">
            <v>0.86811301296036758</v>
          </cell>
        </row>
      </sheetData>
      <sheetData sheetId="8"/>
      <sheetData sheetId="9">
        <row r="4">
          <cell r="G4">
            <v>140.49049405706023</v>
          </cell>
        </row>
        <row r="5">
          <cell r="G5">
            <v>137.85792118247466</v>
          </cell>
        </row>
        <row r="6">
          <cell r="G6">
            <v>145.63279579867927</v>
          </cell>
        </row>
        <row r="7">
          <cell r="G7">
            <v>159.88222544102521</v>
          </cell>
        </row>
        <row r="8">
          <cell r="G8">
            <v>180.157140726769</v>
          </cell>
        </row>
        <row r="9">
          <cell r="G9">
            <v>205.13729732659192</v>
          </cell>
        </row>
        <row r="10">
          <cell r="G10">
            <v>229.62784085980812</v>
          </cell>
        </row>
        <row r="11">
          <cell r="G11">
            <v>248.14161904556548</v>
          </cell>
        </row>
      </sheetData>
      <sheetData sheetId="10">
        <row r="4">
          <cell r="B4">
            <v>0</v>
          </cell>
          <cell r="C4">
            <v>446</v>
          </cell>
          <cell r="D4">
            <v>0</v>
          </cell>
          <cell r="E4">
            <v>534</v>
          </cell>
          <cell r="F4">
            <v>0</v>
          </cell>
          <cell r="G4">
            <v>587</v>
          </cell>
          <cell r="H4">
            <v>0</v>
          </cell>
          <cell r="I4">
            <v>583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204.97835695158508</v>
          </cell>
        </row>
        <row r="6">
          <cell r="V6">
            <v>197.77011043391906</v>
          </cell>
          <cell r="W6">
            <v>53.581416004367135</v>
          </cell>
        </row>
        <row r="7">
          <cell r="V7">
            <v>191.09375009619816</v>
          </cell>
          <cell r="W7">
            <v>46.279876907121654</v>
          </cell>
        </row>
        <row r="8">
          <cell r="V8">
            <v>182.78905400170265</v>
          </cell>
          <cell r="W8">
            <v>47.867907035992495</v>
          </cell>
        </row>
        <row r="9">
          <cell r="V9">
            <v>177.83721833388518</v>
          </cell>
          <cell r="W9">
            <v>42.218433967651883</v>
          </cell>
        </row>
        <row r="10">
          <cell r="V10">
            <v>171.90983643727361</v>
          </cell>
          <cell r="W10">
            <v>43.221440910696423</v>
          </cell>
        </row>
        <row r="11">
          <cell r="V11">
            <v>167.08387273077781</v>
          </cell>
          <cell r="W11">
            <v>43.367666055632952</v>
          </cell>
        </row>
        <row r="12">
          <cell r="V12">
            <v>161.27564945421491</v>
          </cell>
          <cell r="W12">
            <v>40.972658235898479</v>
          </cell>
        </row>
        <row r="13">
          <cell r="V13">
            <v>153.21088426554272</v>
          </cell>
          <cell r="W13">
            <v>31.423584293510089</v>
          </cell>
        </row>
      </sheetData>
      <sheetData sheetId="4"/>
      <sheetData sheetId="5">
        <row r="24">
          <cell r="B24">
            <v>36.849025506425917</v>
          </cell>
        </row>
        <row r="25">
          <cell r="B25">
            <v>33.732811668953808</v>
          </cell>
          <cell r="F25">
            <v>586.52809050210362</v>
          </cell>
        </row>
        <row r="26">
          <cell r="B26">
            <v>30.713153035550107</v>
          </cell>
          <cell r="F26">
            <v>565.15886481086648</v>
          </cell>
        </row>
        <row r="27">
          <cell r="B27">
            <v>27.67252017121568</v>
          </cell>
          <cell r="F27">
            <v>565.97842049297037</v>
          </cell>
        </row>
        <row r="28">
          <cell r="B28">
            <v>24.493383640951379</v>
          </cell>
          <cell r="F28">
            <v>588.50573253357493</v>
          </cell>
        </row>
        <row r="29">
          <cell r="B29">
            <v>21.058214009758057</v>
          </cell>
          <cell r="F29">
            <v>632.25946808757749</v>
          </cell>
        </row>
        <row r="30">
          <cell r="B30">
            <v>17.249481842636573</v>
          </cell>
          <cell r="F30">
            <v>696.72193189869779</v>
          </cell>
        </row>
        <row r="31">
          <cell r="B31">
            <v>12.949657704587779</v>
          </cell>
          <cell r="F31">
            <v>781.31331361049877</v>
          </cell>
        </row>
        <row r="32">
          <cell r="B32">
            <v>8.041212160612524</v>
          </cell>
          <cell r="F32">
            <v>885.37952301216148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0.20355963302752292</v>
          </cell>
        </row>
        <row r="18">
          <cell r="G18">
            <v>192.90258573969678</v>
          </cell>
        </row>
        <row r="19">
          <cell r="G19">
            <v>186.8189598015025</v>
          </cell>
        </row>
        <row r="20">
          <cell r="G20">
            <v>193.49094680990007</v>
          </cell>
        </row>
        <row r="21">
          <cell r="G21">
            <v>210.14175808894777</v>
          </cell>
        </row>
        <row r="22">
          <cell r="G22">
            <v>235.09639986478354</v>
          </cell>
        </row>
        <row r="23">
          <cell r="G23">
            <v>268.00502459510261</v>
          </cell>
        </row>
        <row r="24">
          <cell r="G24">
            <v>304.89845777085412</v>
          </cell>
        </row>
        <row r="25">
          <cell r="G25">
            <v>343.88420623302335</v>
          </cell>
        </row>
        <row r="26">
          <cell r="D26">
            <v>16077.331501044662</v>
          </cell>
        </row>
        <row r="27">
          <cell r="D27">
            <v>8160.5013633551771</v>
          </cell>
        </row>
        <row r="29">
          <cell r="D29">
            <v>8692.5685179852298</v>
          </cell>
        </row>
        <row r="127">
          <cell r="E127">
            <v>0.4168268592030539</v>
          </cell>
          <cell r="F127">
            <v>0</v>
          </cell>
        </row>
        <row r="128">
          <cell r="E128">
            <v>0.41355399859661746</v>
          </cell>
          <cell r="F128">
            <v>0.46912820414633294</v>
          </cell>
        </row>
        <row r="129">
          <cell r="E129">
            <v>0.48091974935210463</v>
          </cell>
          <cell r="F129">
            <v>0</v>
          </cell>
        </row>
        <row r="130">
          <cell r="E130">
            <v>0.31916879958019967</v>
          </cell>
          <cell r="F130">
            <v>0.63484822566773502</v>
          </cell>
        </row>
        <row r="131">
          <cell r="E131">
            <v>0.34003715448110022</v>
          </cell>
          <cell r="F131">
            <v>0</v>
          </cell>
        </row>
        <row r="132">
          <cell r="E132">
            <v>0.31347854950382004</v>
          </cell>
          <cell r="F132">
            <v>0.7764159051326146</v>
          </cell>
        </row>
        <row r="133">
          <cell r="E133">
            <v>0.32823256797578104</v>
          </cell>
          <cell r="F133">
            <v>0</v>
          </cell>
        </row>
        <row r="134">
          <cell r="E134">
            <v>0.48909092226956569</v>
          </cell>
          <cell r="F134">
            <v>0.8397747861717102</v>
          </cell>
        </row>
      </sheetData>
      <sheetData sheetId="8"/>
      <sheetData sheetId="9">
        <row r="4">
          <cell r="F4">
            <v>93.543860142999591</v>
          </cell>
        </row>
        <row r="5">
          <cell r="F5">
            <v>92.161750600214035</v>
          </cell>
        </row>
        <row r="6">
          <cell r="F6">
            <v>97.461600566025453</v>
          </cell>
        </row>
        <row r="7">
          <cell r="F7">
            <v>107.21116876448322</v>
          </cell>
        </row>
        <row r="8">
          <cell r="F8">
            <v>121.74709216673908</v>
          </cell>
        </row>
        <row r="9">
          <cell r="F9">
            <v>140.51166760671572</v>
          </cell>
        </row>
        <row r="10">
          <cell r="F10">
            <v>162.2174667949395</v>
          </cell>
        </row>
        <row r="11">
          <cell r="F11">
            <v>186.72208274134007</v>
          </cell>
        </row>
      </sheetData>
      <sheetData sheetId="10">
        <row r="4">
          <cell r="B4">
            <v>0</v>
          </cell>
          <cell r="C4">
            <v>321</v>
          </cell>
          <cell r="D4">
            <v>0</v>
          </cell>
          <cell r="E4">
            <v>433</v>
          </cell>
          <cell r="F4">
            <v>0</v>
          </cell>
          <cell r="G4">
            <v>529</v>
          </cell>
          <cell r="H4">
            <v>0</v>
          </cell>
          <cell r="I4">
            <v>566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84.360302906227631</v>
          </cell>
        </row>
        <row r="6">
          <cell r="V6">
            <v>80.352415903235155</v>
          </cell>
          <cell r="W6">
            <v>28.428583260861259</v>
          </cell>
        </row>
        <row r="7">
          <cell r="V7">
            <v>74.394691468402996</v>
          </cell>
          <cell r="W7">
            <v>23.473411142249574</v>
          </cell>
        </row>
        <row r="8">
          <cell r="V8">
            <v>73.106197146982026</v>
          </cell>
          <cell r="W8">
            <v>24.185577893902888</v>
          </cell>
        </row>
        <row r="9">
          <cell r="V9">
            <v>71.447946969300048</v>
          </cell>
          <cell r="W9">
            <v>20.583297799776947</v>
          </cell>
        </row>
        <row r="10">
          <cell r="V10">
            <v>68.209958052111716</v>
          </cell>
          <cell r="W10">
            <v>20.883423690078644</v>
          </cell>
        </row>
        <row r="11">
          <cell r="V11">
            <v>65.079354278805496</v>
          </cell>
          <cell r="W11">
            <v>20.772568704019573</v>
          </cell>
        </row>
        <row r="12">
          <cell r="V12">
            <v>62.856878595884154</v>
          </cell>
          <cell r="W12">
            <v>19.467021845824409</v>
          </cell>
        </row>
        <row r="13">
          <cell r="V13">
            <v>60.234456262756559</v>
          </cell>
          <cell r="W13">
            <v>15.302415561705565</v>
          </cell>
        </row>
      </sheetData>
      <sheetData sheetId="4"/>
      <sheetData sheetId="5">
        <row r="24">
          <cell r="B24">
            <v>17.425909758186322</v>
          </cell>
        </row>
        <row r="25">
          <cell r="B25">
            <v>16.108424779982439</v>
          </cell>
          <cell r="F25">
            <v>378.04488925299603</v>
          </cell>
        </row>
        <row r="26">
          <cell r="B26">
            <v>14.839187771142857</v>
          </cell>
          <cell r="F26">
            <v>363.43003203426645</v>
          </cell>
        </row>
        <row r="27">
          <cell r="B27">
            <v>13.602472784500769</v>
          </cell>
          <cell r="F27">
            <v>353.39916321499828</v>
          </cell>
        </row>
        <row r="28">
          <cell r="B28">
            <v>12.382553872889364</v>
          </cell>
          <cell r="F28">
            <v>347.91282879169825</v>
          </cell>
        </row>
        <row r="29">
          <cell r="B29">
            <v>11.163705089141839</v>
          </cell>
          <cell r="F29">
            <v>346.93447475888178</v>
          </cell>
        </row>
        <row r="30">
          <cell r="B30">
            <v>9.9302004860913851</v>
          </cell>
          <cell r="F30">
            <v>350.42923643256637</v>
          </cell>
        </row>
        <row r="31">
          <cell r="B31">
            <v>8.666314116571197</v>
          </cell>
          <cell r="F31">
            <v>358.36282138523848</v>
          </cell>
        </row>
        <row r="32">
          <cell r="B32">
            <v>7.3563200334144643</v>
          </cell>
          <cell r="F32">
            <v>370.70048720926906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0.19089130434782609</v>
          </cell>
        </row>
        <row r="18">
          <cell r="G18">
            <v>339.90274354157077</v>
          </cell>
        </row>
        <row r="19">
          <cell r="G19">
            <v>333.3390955044527</v>
          </cell>
        </row>
        <row r="20">
          <cell r="G20">
            <v>334.48506734919619</v>
          </cell>
        </row>
        <row r="21">
          <cell r="G21">
            <v>333.7209408751977</v>
          </cell>
        </row>
        <row r="22">
          <cell r="G22">
            <v>347.22652479027511</v>
          </cell>
        </row>
        <row r="23">
          <cell r="G23">
            <v>370.20413707578109</v>
          </cell>
        </row>
        <row r="24">
          <cell r="G24">
            <v>387.15838637401458</v>
          </cell>
        </row>
        <row r="25">
          <cell r="G25">
            <v>424.1789983573957</v>
          </cell>
        </row>
        <row r="26">
          <cell r="D26">
            <v>8669.1400864663137</v>
          </cell>
        </row>
        <row r="27">
          <cell r="D27">
            <v>7801.0456817347058</v>
          </cell>
        </row>
        <row r="29">
          <cell r="D29">
            <v>1669.7723952512551</v>
          </cell>
        </row>
        <row r="127">
          <cell r="E127">
            <v>8.7981778754857173E-2</v>
          </cell>
          <cell r="F127">
            <v>1.5878763986554276E-2</v>
          </cell>
        </row>
        <row r="128">
          <cell r="E128">
            <v>0.14355980451616052</v>
          </cell>
          <cell r="F128">
            <v>0.74466213232870337</v>
          </cell>
        </row>
        <row r="129">
          <cell r="E129">
            <v>2.7739470738162839E-2</v>
          </cell>
          <cell r="F129">
            <v>2.0403499103657744E-2</v>
          </cell>
        </row>
        <row r="130">
          <cell r="E130">
            <v>4.5326921566736095E-2</v>
          </cell>
          <cell r="F130">
            <v>0.51490640749821059</v>
          </cell>
        </row>
        <row r="131">
          <cell r="E131">
            <v>6.7509595650953408E-2</v>
          </cell>
          <cell r="F131">
            <v>1.5984960040890974E-2</v>
          </cell>
        </row>
        <row r="132">
          <cell r="E132">
            <v>7.7069806633782711E-2</v>
          </cell>
          <cell r="F132">
            <v>0.697533110829201</v>
          </cell>
        </row>
        <row r="133">
          <cell r="E133">
            <v>4.5081083971102269E-2</v>
          </cell>
          <cell r="F133">
            <v>1.5129242643113779E-2</v>
          </cell>
        </row>
        <row r="134">
          <cell r="E134">
            <v>6.2322336585330033E-2</v>
          </cell>
          <cell r="F134">
            <v>0.57585044414790376</v>
          </cell>
        </row>
      </sheetData>
      <sheetData sheetId="8"/>
      <sheetData sheetId="9">
        <row r="4">
          <cell r="J4">
            <v>222.701028009493</v>
          </cell>
        </row>
        <row r="5">
          <cell r="J5">
            <v>223.34247217696691</v>
          </cell>
        </row>
        <row r="6">
          <cell r="J6">
            <v>222.5304961029648</v>
          </cell>
        </row>
        <row r="7">
          <cell r="J7">
            <v>221.48431037318866</v>
          </cell>
        </row>
        <row r="8">
          <cell r="J8">
            <v>230.31942169752699</v>
          </cell>
        </row>
        <row r="9">
          <cell r="J9">
            <v>247.63340293715549</v>
          </cell>
        </row>
        <row r="10">
          <cell r="J10">
            <v>263.28693952231674</v>
          </cell>
        </row>
        <row r="11">
          <cell r="J11">
            <v>294.64681463852202</v>
          </cell>
        </row>
      </sheetData>
      <sheetData sheetId="10">
        <row r="4">
          <cell r="B4">
            <v>18</v>
          </cell>
          <cell r="C4">
            <v>841</v>
          </cell>
          <cell r="D4">
            <v>23</v>
          </cell>
          <cell r="E4">
            <v>580</v>
          </cell>
          <cell r="F4">
            <v>18</v>
          </cell>
          <cell r="G4">
            <v>785</v>
          </cell>
          <cell r="H4">
            <v>17</v>
          </cell>
          <cell r="I4">
            <v>645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143.76605911557212</v>
          </cell>
        </row>
        <row r="6">
          <cell r="V6">
            <v>136.01825999043288</v>
          </cell>
          <cell r="W6">
            <v>31.37164610841948</v>
          </cell>
        </row>
        <row r="7">
          <cell r="V7">
            <v>130.07949082510513</v>
          </cell>
          <cell r="W7">
            <v>25.064603328976887</v>
          </cell>
        </row>
        <row r="8">
          <cell r="V8">
            <v>122.16306058248317</v>
          </cell>
          <cell r="W8">
            <v>26.042928671230438</v>
          </cell>
        </row>
        <row r="9">
          <cell r="V9">
            <v>118.81351745454278</v>
          </cell>
          <cell r="W9">
            <v>21.768338303886505</v>
          </cell>
        </row>
        <row r="10">
          <cell r="V10">
            <v>112.05864383176008</v>
          </cell>
          <cell r="W10">
            <v>21.932746211231144</v>
          </cell>
        </row>
        <row r="11">
          <cell r="V11">
            <v>107.98953039563298</v>
          </cell>
          <cell r="W11">
            <v>21.757830485031324</v>
          </cell>
        </row>
        <row r="12">
          <cell r="V12">
            <v>101.80492778069492</v>
          </cell>
          <cell r="W12">
            <v>22.233135867744767</v>
          </cell>
        </row>
        <row r="13">
          <cell r="V13">
            <v>97.248088135613671</v>
          </cell>
          <cell r="W13">
            <v>19.002621961523996</v>
          </cell>
        </row>
      </sheetData>
      <sheetData sheetId="5">
        <row r="24">
          <cell r="B24">
            <v>18.722418090761057</v>
          </cell>
        </row>
        <row r="25">
          <cell r="B25">
            <v>17.191714142250262</v>
          </cell>
          <cell r="F25">
            <v>493.63868639307492</v>
          </cell>
        </row>
        <row r="26">
          <cell r="B26">
            <v>15.786066872314123</v>
          </cell>
          <cell r="F26">
            <v>452.21159549359231</v>
          </cell>
        </row>
        <row r="27">
          <cell r="B27">
            <v>14.453129745017463</v>
          </cell>
          <cell r="F27">
            <v>427.86203848707072</v>
          </cell>
        </row>
        <row r="28">
          <cell r="B28">
            <v>13.140556224425103</v>
          </cell>
          <cell r="F28">
            <v>420.42568422819062</v>
          </cell>
        </row>
        <row r="29">
          <cell r="B29">
            <v>11.795999774601867</v>
          </cell>
          <cell r="F29">
            <v>429.7558925255222</v>
          </cell>
        </row>
        <row r="30">
          <cell r="B30">
            <v>10.367113859612576</v>
          </cell>
          <cell r="F30">
            <v>455.70912955840799</v>
          </cell>
        </row>
        <row r="31">
          <cell r="B31">
            <v>8.8015519435220568</v>
          </cell>
          <cell r="F31">
            <v>498.13167489043275</v>
          </cell>
        </row>
        <row r="32">
          <cell r="B32">
            <v>7.0469674903951329</v>
          </cell>
          <cell r="F32">
            <v>556.84776598514475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0.22193406593406595</v>
          </cell>
        </row>
        <row r="26">
          <cell r="D26">
            <v>11291.79335488445</v>
          </cell>
        </row>
        <row r="27">
          <cell r="D27">
            <v>9052.4348706818764</v>
          </cell>
        </row>
        <row r="29">
          <cell r="D29">
            <v>3094.9580542886911</v>
          </cell>
        </row>
        <row r="127">
          <cell r="E127">
            <v>0.19659816522013149</v>
          </cell>
          <cell r="F127">
            <v>3.5578067998070961E-3</v>
          </cell>
        </row>
        <row r="128">
          <cell r="E128">
            <v>0.1780555794298114</v>
          </cell>
          <cell r="F128">
            <v>0.80944935192084533</v>
          </cell>
        </row>
        <row r="129">
          <cell r="E129">
            <v>0.19404553513708722</v>
          </cell>
          <cell r="F129">
            <v>7.1649777568651117E-3</v>
          </cell>
        </row>
        <row r="130">
          <cell r="E130">
            <v>0.10856300293806188</v>
          </cell>
          <cell r="F130">
            <v>0.80962719987760545</v>
          </cell>
        </row>
        <row r="131">
          <cell r="E131">
            <v>0.16008722578890067</v>
          </cell>
          <cell r="F131">
            <v>5.3814825289031131E-3</v>
          </cell>
        </row>
        <row r="132">
          <cell r="E132">
            <v>0.11822161261291525</v>
          </cell>
          <cell r="F132">
            <v>0.73743487593236845</v>
          </cell>
        </row>
        <row r="133">
          <cell r="E133">
            <v>0.14214856428934997</v>
          </cell>
          <cell r="F133">
            <v>7.1821811463893019E-3</v>
          </cell>
        </row>
        <row r="134">
          <cell r="E134">
            <v>0.12149767064540275</v>
          </cell>
          <cell r="F134">
            <v>0.63768041426450839</v>
          </cell>
        </row>
      </sheetData>
      <sheetData sheetId="8"/>
      <sheetData sheetId="9"/>
      <sheetData sheetId="10">
        <row r="4">
          <cell r="B4">
            <v>4</v>
          </cell>
          <cell r="C4">
            <v>906</v>
          </cell>
          <cell r="D4">
            <v>8</v>
          </cell>
          <cell r="E4">
            <v>903</v>
          </cell>
          <cell r="F4">
            <v>6</v>
          </cell>
          <cell r="G4">
            <v>822</v>
          </cell>
          <cell r="H4">
            <v>8</v>
          </cell>
          <cell r="I4">
            <v>709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348.95640939441807</v>
          </cell>
        </row>
        <row r="19">
          <cell r="G19">
            <v>317.31433254107981</v>
          </cell>
        </row>
        <row r="20">
          <cell r="G20">
            <v>308.40988559229959</v>
          </cell>
        </row>
        <row r="21">
          <cell r="G21">
            <v>312.89691001776595</v>
          </cell>
        </row>
        <row r="22">
          <cell r="G22">
            <v>325.66321843470581</v>
          </cell>
        </row>
        <row r="23">
          <cell r="G23">
            <v>353.43690591370557</v>
          </cell>
        </row>
        <row r="24">
          <cell r="G24">
            <v>371.10304325707415</v>
          </cell>
        </row>
        <row r="25">
          <cell r="G25">
            <v>368.14277344912244</v>
          </cell>
        </row>
      </sheetData>
      <sheetData sheetId="8"/>
      <sheetData sheetId="9">
        <row r="4">
          <cell r="K4">
            <v>231.15507822176394</v>
          </cell>
        </row>
        <row r="5">
          <cell r="K5">
            <v>211.15506025378602</v>
          </cell>
        </row>
        <row r="6">
          <cell r="K6">
            <v>207.68573706040266</v>
          </cell>
        </row>
        <row r="7">
          <cell r="K7">
            <v>211.07424732246946</v>
          </cell>
        </row>
        <row r="8">
          <cell r="K8">
            <v>221.79143739647125</v>
          </cell>
        </row>
        <row r="9">
          <cell r="K9">
            <v>242.5544282681949</v>
          </cell>
        </row>
        <row r="10">
          <cell r="K10">
            <v>255.84571616503229</v>
          </cell>
        </row>
        <row r="11">
          <cell r="K11">
            <v>254.66477928588347</v>
          </cell>
        </row>
      </sheetData>
      <sheetData sheetId="10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204.75645177716919</v>
          </cell>
        </row>
        <row r="6">
          <cell r="V6">
            <v>193.10592792579257</v>
          </cell>
          <cell r="W6">
            <v>33.539055743594538</v>
          </cell>
        </row>
        <row r="7">
          <cell r="V7">
            <v>184.02344787008451</v>
          </cell>
          <cell r="W7">
            <v>26.952037669981753</v>
          </cell>
        </row>
        <row r="8">
          <cell r="V8">
            <v>172.54779710457944</v>
          </cell>
          <cell r="W8">
            <v>28.290763075213004</v>
          </cell>
        </row>
        <row r="9">
          <cell r="V9">
            <v>166.65004942693352</v>
          </cell>
          <cell r="W9">
            <v>23.42757821805785</v>
          </cell>
        </row>
        <row r="10">
          <cell r="V10">
            <v>158.5033393498386</v>
          </cell>
          <cell r="W10">
            <v>24.351975718832424</v>
          </cell>
        </row>
        <row r="11">
          <cell r="V11">
            <v>150.88537556292576</v>
          </cell>
          <cell r="W11">
            <v>24.04057919217286</v>
          </cell>
        </row>
        <row r="12">
          <cell r="V12">
            <v>142.9033412526334</v>
          </cell>
          <cell r="W12">
            <v>21.684618865615494</v>
          </cell>
        </row>
        <row r="13">
          <cell r="V13">
            <v>133.79401274463967</v>
          </cell>
          <cell r="W13">
            <v>17.594411733988824</v>
          </cell>
        </row>
      </sheetData>
      <sheetData sheetId="5">
        <row r="24">
          <cell r="B24">
            <v>20.461910760154922</v>
          </cell>
        </row>
        <row r="25">
          <cell r="B25">
            <v>18.697264269932575</v>
          </cell>
          <cell r="F25">
            <v>646.06589108613809</v>
          </cell>
        </row>
        <row r="26">
          <cell r="B26">
            <v>17.063268903839557</v>
          </cell>
          <cell r="F26">
            <v>596.53771867093235</v>
          </cell>
        </row>
        <row r="27">
          <cell r="B27">
            <v>15.518295240169509</v>
          </cell>
          <cell r="F27">
            <v>562.56113431231051</v>
          </cell>
        </row>
        <row r="28">
          <cell r="B28">
            <v>14.020713857216069</v>
          </cell>
          <cell r="F28">
            <v>543.95415314193997</v>
          </cell>
        </row>
        <row r="29">
          <cell r="B29">
            <v>12.528895333272882</v>
          </cell>
          <cell r="F29">
            <v>540.55797291193073</v>
          </cell>
        </row>
        <row r="30">
          <cell r="B30">
            <v>11.001210246633583</v>
          </cell>
          <cell r="F30">
            <v>552.22574116650981</v>
          </cell>
        </row>
        <row r="31">
          <cell r="B31">
            <v>9.3960291755918135</v>
          </cell>
          <cell r="F31">
            <v>578.81236310897202</v>
          </cell>
        </row>
        <row r="32">
          <cell r="B32">
            <v>7.6717226984412186</v>
          </cell>
          <cell r="F32">
            <v>620.16535710869368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0.21759999999999999</v>
          </cell>
        </row>
        <row r="18">
          <cell r="G18">
            <v>189.50134404484007</v>
          </cell>
        </row>
        <row r="19">
          <cell r="G19">
            <v>181.03958186553351</v>
          </cell>
        </row>
        <row r="20">
          <cell r="G20">
            <v>179.46857498654819</v>
          </cell>
        </row>
        <row r="21">
          <cell r="G21">
            <v>182.7184922689834</v>
          </cell>
        </row>
        <row r="22">
          <cell r="G22">
            <v>190.20597642578053</v>
          </cell>
        </row>
        <row r="23">
          <cell r="G23">
            <v>204.85499910238644</v>
          </cell>
        </row>
        <row r="24">
          <cell r="G24">
            <v>224.71540467450706</v>
          </cell>
        </row>
        <row r="25">
          <cell r="G25">
            <v>249.73458437236644</v>
          </cell>
        </row>
        <row r="26">
          <cell r="D26">
            <v>14047.610082268548</v>
          </cell>
        </row>
        <row r="27">
          <cell r="D27">
            <v>8867.2855690508259</v>
          </cell>
        </row>
        <row r="29">
          <cell r="D29">
            <v>5516.2362331515151</v>
          </cell>
        </row>
        <row r="127">
          <cell r="E127">
            <v>0.33820073815662316</v>
          </cell>
          <cell r="F127">
            <v>1.794981245239079E-3</v>
          </cell>
        </row>
        <row r="128">
          <cell r="E128">
            <v>0.30290897312615722</v>
          </cell>
          <cell r="F128">
            <v>0.76190661839363116</v>
          </cell>
        </row>
        <row r="129">
          <cell r="E129">
            <v>0.32801855080840464</v>
          </cell>
          <cell r="F129">
            <v>1.8075996589002003E-3</v>
          </cell>
        </row>
        <row r="130">
          <cell r="E130">
            <v>0.20359908708941324</v>
          </cell>
          <cell r="F130">
            <v>0.76264651540254924</v>
          </cell>
        </row>
        <row r="131">
          <cell r="E131">
            <v>0.22663526575641876</v>
          </cell>
          <cell r="F131">
            <v>9.0507431351815378E-4</v>
          </cell>
        </row>
        <row r="132">
          <cell r="E132">
            <v>0.24207552208066249</v>
          </cell>
          <cell r="F132">
            <v>0.75266666002038063</v>
          </cell>
        </row>
        <row r="133">
          <cell r="E133">
            <v>0.21522608561598167</v>
          </cell>
          <cell r="F133">
            <v>9.0741949572923882E-4</v>
          </cell>
        </row>
        <row r="134">
          <cell r="E134">
            <v>0.26823833373978784</v>
          </cell>
          <cell r="F134">
            <v>0.67312698782032776</v>
          </cell>
        </row>
      </sheetData>
      <sheetData sheetId="8"/>
      <sheetData sheetId="9">
        <row r="4">
          <cell r="F4">
            <v>92.977207842719608</v>
          </cell>
        </row>
        <row r="5">
          <cell r="F5">
            <v>90.954212574982563</v>
          </cell>
        </row>
        <row r="6">
          <cell r="F6">
            <v>92.795361631706641</v>
          </cell>
        </row>
        <row r="7">
          <cell r="F7">
            <v>95.913063467188266</v>
          </cell>
        </row>
        <row r="8">
          <cell r="F8">
            <v>101.90445615841824</v>
          </cell>
        </row>
        <row r="9">
          <cell r="F9">
            <v>111.84770190573329</v>
          </cell>
        </row>
        <row r="10">
          <cell r="F10">
            <v>125.17966606698936</v>
          </cell>
        </row>
        <row r="11">
          <cell r="F11">
            <v>142.25705929729267</v>
          </cell>
        </row>
      </sheetData>
      <sheetData sheetId="10">
        <row r="4">
          <cell r="B4">
            <v>2</v>
          </cell>
          <cell r="C4">
            <v>845</v>
          </cell>
          <cell r="D4">
            <v>2</v>
          </cell>
          <cell r="E4">
            <v>843</v>
          </cell>
          <cell r="F4">
            <v>1</v>
          </cell>
          <cell r="G4">
            <v>831</v>
          </cell>
          <cell r="H4">
            <v>1</v>
          </cell>
          <cell r="I4">
            <v>739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84.030849702282509</v>
          </cell>
        </row>
        <row r="6">
          <cell r="V6">
            <v>79.66000336218292</v>
          </cell>
          <cell r="W6">
            <v>34.077727856233388</v>
          </cell>
        </row>
        <row r="7">
          <cell r="V7">
            <v>76.573604540267368</v>
          </cell>
          <cell r="W7">
            <v>29.910026025962804</v>
          </cell>
        </row>
        <row r="8">
          <cell r="V8">
            <v>72.202520153543276</v>
          </cell>
          <cell r="W8">
            <v>28.655792653668527</v>
          </cell>
        </row>
        <row r="9">
          <cell r="V9">
            <v>69.95726328569647</v>
          </cell>
          <cell r="W9">
            <v>24.639285655894849</v>
          </cell>
        </row>
        <row r="10">
          <cell r="V10">
            <v>66.114396695606942</v>
          </cell>
          <cell r="W10">
            <v>23.887769537639134</v>
          </cell>
        </row>
        <row r="11">
          <cell r="V11">
            <v>60.97072019382415</v>
          </cell>
          <cell r="W11">
            <v>23.378193021691391</v>
          </cell>
        </row>
        <row r="12">
          <cell r="V12">
            <v>60.109706860317942</v>
          </cell>
          <cell r="W12">
            <v>21.896720449794017</v>
          </cell>
        </row>
        <row r="13">
          <cell r="V13">
            <v>56.422229926362739</v>
          </cell>
          <cell r="W13">
            <v>16.021936097450737</v>
          </cell>
        </row>
      </sheetData>
      <sheetData sheetId="4"/>
      <sheetData sheetId="5">
        <row r="24">
          <cell r="B24">
            <v>21.041767663218184</v>
          </cell>
        </row>
        <row r="25">
          <cell r="B25">
            <v>19.122190385987409</v>
          </cell>
          <cell r="F25">
            <v>334.84398373445856</v>
          </cell>
        </row>
        <row r="26">
          <cell r="B26">
            <v>17.334000816955815</v>
          </cell>
          <cell r="F26">
            <v>310.95835943473151</v>
          </cell>
        </row>
        <row r="27">
          <cell r="B27">
            <v>15.640006766626678</v>
          </cell>
          <cell r="F27">
            <v>293.73181555101166</v>
          </cell>
        </row>
        <row r="28">
          <cell r="B28">
            <v>14.003016045503266</v>
          </cell>
          <cell r="F28">
            <v>283.07749577564135</v>
          </cell>
        </row>
        <row r="29">
          <cell r="B29">
            <v>12.385836464088843</v>
          </cell>
          <cell r="F29">
            <v>278.91978147971093</v>
          </cell>
        </row>
        <row r="30">
          <cell r="B30">
            <v>10.75127583288668</v>
          </cell>
          <cell r="F30">
            <v>281.18984754067299</v>
          </cell>
        </row>
        <row r="31">
          <cell r="B31">
            <v>9.0621419624000481</v>
          </cell>
          <cell r="F31">
            <v>289.82165200084285</v>
          </cell>
        </row>
        <row r="32">
          <cell r="B32">
            <v>7.2812426631322111</v>
          </cell>
          <cell r="F32">
            <v>304.748349691383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0.18046153846153848</v>
          </cell>
        </row>
        <row r="18">
          <cell r="G18">
            <v>342.61873678584573</v>
          </cell>
        </row>
        <row r="19">
          <cell r="G19">
            <v>313.38192858879921</v>
          </cell>
        </row>
        <row r="20">
          <cell r="G20">
            <v>302.94911008554755</v>
          </cell>
        </row>
        <row r="21">
          <cell r="G21">
            <v>303.54297787328102</v>
          </cell>
        </row>
        <row r="22">
          <cell r="G22">
            <v>312.42866370067185</v>
          </cell>
        </row>
        <row r="23">
          <cell r="G23">
            <v>338.97752445941353</v>
          </cell>
        </row>
        <row r="24">
          <cell r="G24">
            <v>354.2680840963979</v>
          </cell>
        </row>
        <row r="25">
          <cell r="G25">
            <v>384.85116643533911</v>
          </cell>
        </row>
        <row r="26">
          <cell r="D26">
            <v>7183.7470362426629</v>
          </cell>
        </row>
        <row r="27">
          <cell r="D27">
            <v>7348.5537065689641</v>
          </cell>
        </row>
        <row r="29">
          <cell r="D29">
            <v>1051.6933088362564</v>
          </cell>
        </row>
        <row r="127">
          <cell r="E127">
            <v>6.0846378947632729E-2</v>
          </cell>
          <cell r="F127">
            <v>0.14097864502066668</v>
          </cell>
        </row>
        <row r="128">
          <cell r="E128">
            <v>5.3443551739191429E-2</v>
          </cell>
          <cell r="F128">
            <v>0.63135580304999683</v>
          </cell>
        </row>
        <row r="129">
          <cell r="E129">
            <v>5.5606307592850929E-2</v>
          </cell>
          <cell r="F129">
            <v>2.5889176655606402E-2</v>
          </cell>
        </row>
        <row r="130">
          <cell r="E130">
            <v>3.7229367498474317E-2</v>
          </cell>
          <cell r="F130">
            <v>0.46309972293153923</v>
          </cell>
        </row>
        <row r="131">
          <cell r="E131">
            <v>4.7887424061363204E-2</v>
          </cell>
          <cell r="F131">
            <v>5.6382192151891282E-2</v>
          </cell>
        </row>
        <row r="132">
          <cell r="E132">
            <v>7.0927469802282941E-2</v>
          </cell>
          <cell r="F132">
            <v>0.54038337791134361</v>
          </cell>
        </row>
        <row r="133">
          <cell r="E133">
            <v>1.057616410904077E-2</v>
          </cell>
          <cell r="F133">
            <v>2.7844904374876991E-2</v>
          </cell>
        </row>
        <row r="134">
          <cell r="E134">
            <v>5.1712731766766599E-2</v>
          </cell>
          <cell r="F134">
            <v>0.56358408009373351</v>
          </cell>
        </row>
      </sheetData>
      <sheetData sheetId="8"/>
      <sheetData sheetId="9">
        <row r="4">
          <cell r="J4">
            <v>226.93183674945587</v>
          </cell>
        </row>
        <row r="5">
          <cell r="J5">
            <v>208.43590498551561</v>
          </cell>
        </row>
        <row r="6">
          <cell r="J6">
            <v>203.91203012901909</v>
          </cell>
        </row>
        <row r="7">
          <cell r="J7">
            <v>204.84903348268492</v>
          </cell>
        </row>
        <row r="8">
          <cell r="J8">
            <v>212.99643998072358</v>
          </cell>
        </row>
        <row r="9">
          <cell r="J9">
            <v>233.31562106213437</v>
          </cell>
        </row>
        <row r="10">
          <cell r="J10">
            <v>244.35798528190466</v>
          </cell>
        </row>
        <row r="11">
          <cell r="J11">
            <v>266.75563868861957</v>
          </cell>
        </row>
      </sheetData>
      <sheetData sheetId="10">
        <row r="4">
          <cell r="B4">
            <v>159</v>
          </cell>
          <cell r="C4">
            <v>709</v>
          </cell>
          <cell r="D4">
            <v>29</v>
          </cell>
          <cell r="E4">
            <v>518</v>
          </cell>
          <cell r="F4">
            <v>63</v>
          </cell>
          <cell r="G4">
            <v>603</v>
          </cell>
          <cell r="H4">
            <v>31</v>
          </cell>
          <cell r="I4">
            <v>625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142.71559631224923</v>
          </cell>
        </row>
        <row r="6">
          <cell r="V6">
            <v>134.60396567821877</v>
          </cell>
          <cell r="W6">
            <v>37.869937392334577</v>
          </cell>
        </row>
        <row r="7">
          <cell r="V7">
            <v>127.62630579996534</v>
          </cell>
          <cell r="W7">
            <v>32.118465583959328</v>
          </cell>
        </row>
        <row r="8">
          <cell r="V8">
            <v>118.90147642324375</v>
          </cell>
          <cell r="W8">
            <v>31.595124254940057</v>
          </cell>
        </row>
        <row r="9">
          <cell r="V9">
            <v>114.22536839440035</v>
          </cell>
          <cell r="W9">
            <v>26.721073738068117</v>
          </cell>
        </row>
        <row r="10">
          <cell r="V10">
            <v>106.85706665766754</v>
          </cell>
          <cell r="W10">
            <v>26.224379685836212</v>
          </cell>
        </row>
        <row r="11">
          <cell r="V11">
            <v>102.04663265653873</v>
          </cell>
          <cell r="W11">
            <v>25.755276241366271</v>
          </cell>
        </row>
        <row r="12">
          <cell r="V12">
            <v>94.811412410860669</v>
          </cell>
          <cell r="W12">
            <v>22.399055317437259</v>
          </cell>
        </row>
        <row r="13">
          <cell r="V13">
            <v>89.507156216244582</v>
          </cell>
          <cell r="W13">
            <v>16.969439742619162</v>
          </cell>
        </row>
      </sheetData>
      <sheetData sheetId="4"/>
      <sheetData sheetId="5">
        <row r="24">
          <cell r="B24">
            <v>23.2121106497125</v>
          </cell>
        </row>
        <row r="25">
          <cell r="B25">
            <v>21.045638170060755</v>
          </cell>
          <cell r="F25">
            <v>428.12126148685195</v>
          </cell>
        </row>
        <row r="26">
          <cell r="B26">
            <v>19.005993583294369</v>
          </cell>
          <cell r="F26">
            <v>401.62211392620407</v>
          </cell>
        </row>
        <row r="27">
          <cell r="B27">
            <v>17.060093363895817</v>
          </cell>
          <cell r="F27">
            <v>381.88779929544006</v>
          </cell>
        </row>
        <row r="28">
          <cell r="B28">
            <v>15.174853986347571</v>
          </cell>
          <cell r="F28">
            <v>368.8160683462379</v>
          </cell>
        </row>
        <row r="29">
          <cell r="B29">
            <v>13.317191925132111</v>
          </cell>
          <cell r="F29">
            <v>362.31722085329812</v>
          </cell>
        </row>
        <row r="30">
          <cell r="B30">
            <v>11.454023654731913</v>
          </cell>
          <cell r="F30">
            <v>362.30992923284009</v>
          </cell>
        </row>
        <row r="31">
          <cell r="B31">
            <v>9.5522656496294491</v>
          </cell>
          <cell r="F31">
            <v>368.71750272576236</v>
          </cell>
        </row>
        <row r="32">
          <cell r="B32">
            <v>7.5788343843071964</v>
          </cell>
          <cell r="F32">
            <v>381.46457999702227</v>
          </cell>
        </row>
      </sheetData>
      <sheetData sheetId="6"/>
      <sheetData sheetId="7">
        <row r="15">
          <cell r="F15">
            <v>915</v>
          </cell>
        </row>
        <row r="16">
          <cell r="F16">
            <v>0.18977049180327871</v>
          </cell>
        </row>
        <row r="18">
          <cell r="G18">
            <v>206.45016739454326</v>
          </cell>
        </row>
        <row r="19">
          <cell r="G19">
            <v>198.46995497034081</v>
          </cell>
        </row>
        <row r="20">
          <cell r="G20">
            <v>198.52466815233012</v>
          </cell>
        </row>
        <row r="21">
          <cell r="G21">
            <v>202.52692284822129</v>
          </cell>
        </row>
        <row r="22">
          <cell r="G22">
            <v>210.22805142586395</v>
          </cell>
        </row>
        <row r="23">
          <cell r="G23">
            <v>221.91215382578994</v>
          </cell>
        </row>
        <row r="24">
          <cell r="G24">
            <v>235.03981302007202</v>
          </cell>
        </row>
        <row r="25">
          <cell r="G25">
            <v>267.7864763922741</v>
          </cell>
        </row>
        <row r="26">
          <cell r="D26">
            <v>9249.8365375674639</v>
          </cell>
        </row>
        <row r="27">
          <cell r="D27">
            <v>7715.926470589282</v>
          </cell>
        </row>
        <row r="29">
          <cell r="D29">
            <v>2305.6860693075923</v>
          </cell>
        </row>
        <row r="127">
          <cell r="E127">
            <v>0.12497358143599219</v>
          </cell>
          <cell r="F127">
            <v>1.1424163907180936E-2</v>
          </cell>
        </row>
        <row r="128">
          <cell r="E128">
            <v>0.13174963146217886</v>
          </cell>
          <cell r="F128">
            <v>0.7498137114387885</v>
          </cell>
        </row>
        <row r="129">
          <cell r="E129">
            <v>0.12790067472457131</v>
          </cell>
          <cell r="F129">
            <v>1.8600261413065658E-2</v>
          </cell>
        </row>
        <row r="130">
          <cell r="E130">
            <v>8.2852161322637369E-2</v>
          </cell>
          <cell r="F130">
            <v>0.474643809501887</v>
          </cell>
        </row>
        <row r="131">
          <cell r="E131">
            <v>0.10459183017702263</v>
          </cell>
          <cell r="F131">
            <v>2.6648013029987108E-2</v>
          </cell>
        </row>
        <row r="132">
          <cell r="E132">
            <v>8.6898613688137338E-2</v>
          </cell>
          <cell r="F132">
            <v>0.68861600019522806</v>
          </cell>
        </row>
        <row r="133">
          <cell r="E133">
            <v>9.7737849074452932E-2</v>
          </cell>
          <cell r="F133">
            <v>1.9627059149881349E-2</v>
          </cell>
        </row>
        <row r="134">
          <cell r="E134">
            <v>8.5376376676555357E-2</v>
          </cell>
          <cell r="F134">
            <v>0.58260247156040912</v>
          </cell>
        </row>
      </sheetData>
      <sheetData sheetId="8"/>
      <sheetData sheetId="9">
        <row r="4">
          <cell r="H4">
            <v>117.4765656701538</v>
          </cell>
        </row>
        <row r="5">
          <cell r="H5">
            <v>114.81676713755544</v>
          </cell>
        </row>
        <row r="6">
          <cell r="H6">
            <v>117.5064884012391</v>
          </cell>
        </row>
        <row r="7">
          <cell r="H7">
            <v>121.14161913027644</v>
          </cell>
        </row>
        <row r="8">
          <cell r="H8">
            <v>128.19209204478497</v>
          </cell>
        </row>
        <row r="9">
          <cell r="H9">
            <v>136.57404173346686</v>
          </cell>
        </row>
        <row r="10">
          <cell r="H10">
            <v>147.39873214897369</v>
          </cell>
        </row>
        <row r="11">
          <cell r="H11">
            <v>169.6831434003013</v>
          </cell>
        </row>
      </sheetData>
      <sheetData sheetId="10">
        <row r="4">
          <cell r="B4">
            <v>13</v>
          </cell>
          <cell r="C4">
            <v>849</v>
          </cell>
          <cell r="D4">
            <v>21</v>
          </cell>
          <cell r="E4">
            <v>535</v>
          </cell>
          <cell r="F4">
            <v>30</v>
          </cell>
          <cell r="G4">
            <v>774</v>
          </cell>
          <cell r="H4">
            <v>22</v>
          </cell>
          <cell r="I4">
            <v>650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204.38615683924391</v>
          </cell>
        </row>
        <row r="6">
          <cell r="V6">
            <v>190.07588019964896</v>
          </cell>
          <cell r="W6">
            <v>39.155176926651869</v>
          </cell>
        </row>
        <row r="7">
          <cell r="V7">
            <v>179.3253865767638</v>
          </cell>
          <cell r="W7">
            <v>32.270598852907213</v>
          </cell>
        </row>
        <row r="8">
          <cell r="V8">
            <v>166.02436881483837</v>
          </cell>
          <cell r="W8">
            <v>32.572146343822013</v>
          </cell>
        </row>
        <row r="9">
          <cell r="V9">
            <v>159.45248056179935</v>
          </cell>
          <cell r="W9">
            <v>27.565615193406092</v>
          </cell>
        </row>
        <row r="10">
          <cell r="V10">
            <v>149.64415946192133</v>
          </cell>
          <cell r="W10">
            <v>27.659730088940218</v>
          </cell>
        </row>
        <row r="11">
          <cell r="V11">
            <v>141.85566760338784</v>
          </cell>
          <cell r="W11">
            <v>27.492307706651037</v>
          </cell>
        </row>
        <row r="12">
          <cell r="V12">
            <v>132.09482833500709</v>
          </cell>
          <cell r="W12">
            <v>25.616980251572212</v>
          </cell>
        </row>
        <row r="13">
          <cell r="V13">
            <v>123.93898253048216</v>
          </cell>
          <cell r="W13">
            <v>17.08602509214656</v>
          </cell>
        </row>
      </sheetData>
      <sheetData sheetId="4"/>
      <sheetData sheetId="5">
        <row r="24">
          <cell r="B24">
            <v>23.794619064227181</v>
          </cell>
        </row>
        <row r="25">
          <cell r="B25">
            <v>21.581498284794559</v>
          </cell>
          <cell r="F25">
            <v>487.75346354841628</v>
          </cell>
        </row>
        <row r="26">
          <cell r="B26">
            <v>19.490081628537006</v>
          </cell>
          <cell r="F26">
            <v>459.24359569346979</v>
          </cell>
        </row>
        <row r="27">
          <cell r="B27">
            <v>17.484199402714331</v>
          </cell>
          <cell r="F27">
            <v>438.94922030952409</v>
          </cell>
        </row>
        <row r="28">
          <cell r="B28">
            <v>15.527681914586344</v>
          </cell>
          <cell r="F28">
            <v>426.74576824661386</v>
          </cell>
        </row>
        <row r="29">
          <cell r="B29">
            <v>13.584359471412849</v>
          </cell>
          <cell r="F29">
            <v>422.52282786840965</v>
          </cell>
        </row>
        <row r="30">
          <cell r="B30">
            <v>11.618062380453663</v>
          </cell>
          <cell r="F30">
            <v>426.17878201177149</v>
          </cell>
        </row>
        <row r="31">
          <cell r="B31">
            <v>9.592620948968591</v>
          </cell>
          <cell r="F31">
            <v>437.61604387020265</v>
          </cell>
        </row>
        <row r="32">
          <cell r="B32">
            <v>7.4718654842174423</v>
          </cell>
          <cell r="F32">
            <v>456.73689363941986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0.1858342541436464</v>
          </cell>
        </row>
        <row r="18">
          <cell r="G18">
            <v>150.03362534012643</v>
          </cell>
        </row>
        <row r="19">
          <cell r="G19">
            <v>147.20554036155175</v>
          </cell>
        </row>
        <row r="20">
          <cell r="G20">
            <v>149.65373952311711</v>
          </cell>
        </row>
        <row r="21">
          <cell r="G21">
            <v>155.15678043806039</v>
          </cell>
        </row>
        <row r="22">
          <cell r="G22">
            <v>163.04622096016524</v>
          </cell>
        </row>
        <row r="23">
          <cell r="G23">
            <v>175.0591454055259</v>
          </cell>
        </row>
        <row r="24">
          <cell r="G24">
            <v>188.67861623778828</v>
          </cell>
        </row>
        <row r="25">
          <cell r="G25">
            <v>217.99927849091625</v>
          </cell>
        </row>
        <row r="26">
          <cell r="D26">
            <v>10764.315517743098</v>
          </cell>
        </row>
        <row r="27">
          <cell r="D27">
            <v>7547.4782545287762</v>
          </cell>
        </row>
        <row r="29">
          <cell r="D29">
            <v>3976.7528887827648</v>
          </cell>
        </row>
        <row r="127">
          <cell r="E127">
            <v>0.24910379353560141</v>
          </cell>
          <cell r="F127">
            <v>3.5492489987107002E-3</v>
          </cell>
        </row>
        <row r="128">
          <cell r="E128">
            <v>0.22016512890277673</v>
          </cell>
          <cell r="F128">
            <v>0.67842735076158023</v>
          </cell>
        </row>
        <row r="129">
          <cell r="E129">
            <v>0.22499566655055814</v>
          </cell>
          <cell r="F129">
            <v>4.4760884066114585E-3</v>
          </cell>
        </row>
        <row r="130">
          <cell r="E130">
            <v>0.1402777844701506</v>
          </cell>
          <cell r="F130">
            <v>0.66851066786819457</v>
          </cell>
        </row>
        <row r="131">
          <cell r="E131">
            <v>0.15924690045615728</v>
          </cell>
          <cell r="F131">
            <v>4.4826202871389399E-3</v>
          </cell>
        </row>
        <row r="132">
          <cell r="E132">
            <v>0.14974039228818756</v>
          </cell>
          <cell r="F132">
            <v>0.61660146179537345</v>
          </cell>
        </row>
        <row r="133">
          <cell r="E133">
            <v>0.15192364579744988</v>
          </cell>
          <cell r="F133">
            <v>7.201955671027379E-3</v>
          </cell>
        </row>
        <row r="134">
          <cell r="E134">
            <v>0.14397765376313237</v>
          </cell>
          <cell r="F134">
            <v>0.53257669105428918</v>
          </cell>
        </row>
      </sheetData>
      <sheetData sheetId="8"/>
      <sheetData sheetId="9">
        <row r="4">
          <cell r="G4">
            <v>74.172406326785705</v>
          </cell>
        </row>
        <row r="5">
          <cell r="G5">
            <v>74.786942915626071</v>
          </cell>
        </row>
        <row r="6">
          <cell r="G6">
            <v>78.655756581681402</v>
          </cell>
        </row>
        <row r="7">
          <cell r="G7">
            <v>82.937808426315684</v>
          </cell>
        </row>
        <row r="8">
          <cell r="G8">
            <v>89.391770808850751</v>
          </cell>
        </row>
        <row r="9">
          <cell r="G9">
            <v>97.88517001270607</v>
          </cell>
        </row>
        <row r="10">
          <cell r="G10">
            <v>108.19741685671904</v>
          </cell>
        </row>
        <row r="11">
          <cell r="G11">
            <v>127.51519069076092</v>
          </cell>
        </row>
      </sheetData>
      <sheetData sheetId="10">
        <row r="4">
          <cell r="B4">
            <v>4</v>
          </cell>
          <cell r="C4">
            <v>760</v>
          </cell>
          <cell r="D4">
            <v>5</v>
          </cell>
          <cell r="E4">
            <v>746</v>
          </cell>
          <cell r="F4">
            <v>5</v>
          </cell>
          <cell r="G4">
            <v>687</v>
          </cell>
          <cell r="H4">
            <v>8</v>
          </cell>
          <cell r="I4">
            <v>588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84.051336698469996</v>
          </cell>
        </row>
        <row r="6">
          <cell r="V6">
            <v>81.431985621314382</v>
          </cell>
          <cell r="W6">
            <v>25.414617639520362</v>
          </cell>
        </row>
        <row r="7">
          <cell r="V7">
            <v>79.444053642290186</v>
          </cell>
          <cell r="W7">
            <v>21.231651295747014</v>
          </cell>
        </row>
        <row r="8">
          <cell r="V8">
            <v>76.655904578564972</v>
          </cell>
          <cell r="W8">
            <v>22.420768117455353</v>
          </cell>
        </row>
        <row r="9">
          <cell r="V9">
            <v>74.951898863430131</v>
          </cell>
          <cell r="W9">
            <v>19.171715994979447</v>
          </cell>
        </row>
        <row r="10">
          <cell r="V10">
            <v>72.904052503615517</v>
          </cell>
          <cell r="W10">
            <v>19.271136343824143</v>
          </cell>
        </row>
        <row r="11">
          <cell r="V11">
            <v>68.961674285208161</v>
          </cell>
          <cell r="W11">
            <v>18.715083295694452</v>
          </cell>
        </row>
        <row r="12">
          <cell r="V12">
            <v>68.88398470993566</v>
          </cell>
          <cell r="W12">
            <v>17.380428883579519</v>
          </cell>
        </row>
        <row r="13">
          <cell r="V13">
            <v>66.801330505105057</v>
          </cell>
          <cell r="W13">
            <v>13.014049830551887</v>
          </cell>
        </row>
      </sheetData>
      <sheetData sheetId="4"/>
      <sheetData sheetId="5">
        <row r="24">
          <cell r="B24">
            <v>16.382112731347831</v>
          </cell>
        </row>
        <row r="25">
          <cell r="B25">
            <v>15.315126516419728</v>
          </cell>
          <cell r="F25">
            <v>613.73463462337179</v>
          </cell>
        </row>
        <row r="26">
          <cell r="B26">
            <v>14.232854720820274</v>
          </cell>
          <cell r="F26">
            <v>621.43943618929995</v>
          </cell>
        </row>
        <row r="27">
          <cell r="B27">
            <v>13.141287593986695</v>
          </cell>
          <cell r="F27">
            <v>625.67864579593106</v>
          </cell>
        </row>
        <row r="28">
          <cell r="B28">
            <v>12.046415385356212</v>
          </cell>
          <cell r="F28">
            <v>626.47671322366148</v>
          </cell>
        </row>
        <row r="29">
          <cell r="B29">
            <v>10.954228344366047</v>
          </cell>
          <cell r="F29">
            <v>623.85781891914837</v>
          </cell>
        </row>
        <row r="30">
          <cell r="B30">
            <v>9.8707167204534265</v>
          </cell>
          <cell r="F30">
            <v>617.84552936546504</v>
          </cell>
        </row>
        <row r="31">
          <cell r="B31">
            <v>8.8018707630555681</v>
          </cell>
          <cell r="F31">
            <v>608.46247678182453</v>
          </cell>
        </row>
        <row r="32">
          <cell r="B32">
            <v>7.7536807216096975</v>
          </cell>
          <cell r="F32">
            <v>595.73006324378809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0.33119999999999994</v>
          </cell>
        </row>
        <row r="18">
          <cell r="G18">
            <v>518.73395950241536</v>
          </cell>
        </row>
        <row r="19">
          <cell r="G19">
            <v>518.85000797950488</v>
          </cell>
        </row>
        <row r="20">
          <cell r="G20">
            <v>530.29107130348757</v>
          </cell>
        </row>
        <row r="21">
          <cell r="G21">
            <v>546.03543089862126</v>
          </cell>
        </row>
        <row r="22">
          <cell r="G22">
            <v>558.10961187208181</v>
          </cell>
        </row>
        <row r="23">
          <cell r="G23">
            <v>575.40414034858361</v>
          </cell>
        </row>
        <row r="24">
          <cell r="G24">
            <v>567.84160997271408</v>
          </cell>
        </row>
        <row r="25">
          <cell r="G25">
            <v>530.45211602850361</v>
          </cell>
        </row>
        <row r="26">
          <cell r="D26">
            <v>14843.202003932454</v>
          </cell>
        </row>
        <row r="27">
          <cell r="D27">
            <v>13561.163295438273</v>
          </cell>
        </row>
        <row r="29">
          <cell r="D29">
            <v>2288.1838052287603</v>
          </cell>
        </row>
        <row r="127">
          <cell r="E127">
            <v>0.11684376623041337</v>
          </cell>
          <cell r="F127">
            <v>2.3062010006946295E-2</v>
          </cell>
        </row>
        <row r="128">
          <cell r="E128">
            <v>0.11223291130706579</v>
          </cell>
          <cell r="F128">
            <v>1.1114932826606356</v>
          </cell>
        </row>
        <row r="129">
          <cell r="E129">
            <v>0.12161997048959884</v>
          </cell>
          <cell r="F129">
            <v>2.3160820654337711E-2</v>
          </cell>
        </row>
        <row r="130">
          <cell r="E130">
            <v>9.8936272042662254E-2</v>
          </cell>
          <cell r="F130">
            <v>1.2064744106496323</v>
          </cell>
        </row>
        <row r="131">
          <cell r="E131">
            <v>8.7187066099194174E-2</v>
          </cell>
          <cell r="F131">
            <v>1.5001916555284557E-2</v>
          </cell>
        </row>
        <row r="132">
          <cell r="E132">
            <v>0.18730454814369171</v>
          </cell>
          <cell r="F132">
            <v>1.1164867763408297</v>
          </cell>
        </row>
        <row r="133">
          <cell r="E133">
            <v>3.581311834071173E-3</v>
          </cell>
          <cell r="F133">
            <v>1.777508150453648E-2</v>
          </cell>
        </row>
        <row r="134">
          <cell r="E134">
            <v>0.10502060040776502</v>
          </cell>
          <cell r="F134">
            <v>1.0069334667738887</v>
          </cell>
        </row>
      </sheetData>
      <sheetData sheetId="8"/>
      <sheetData sheetId="9">
        <row r="4">
          <cell r="J4">
            <v>345.98705875587126</v>
          </cell>
        </row>
        <row r="5">
          <cell r="J5">
            <v>347.51046503324</v>
          </cell>
        </row>
        <row r="6">
          <cell r="J6">
            <v>357.93066207902064</v>
          </cell>
        </row>
        <row r="7">
          <cell r="J7">
            <v>369.77837787199724</v>
          </cell>
        </row>
        <row r="8">
          <cell r="J8">
            <v>380.10707739152593</v>
          </cell>
        </row>
        <row r="9">
          <cell r="J9">
            <v>395.4355465559359</v>
          </cell>
        </row>
        <row r="10">
          <cell r="J10">
            <v>390.30829352265977</v>
          </cell>
        </row>
        <row r="11">
          <cell r="J11">
            <v>365.72998573364356</v>
          </cell>
        </row>
      </sheetData>
      <sheetData sheetId="10">
        <row r="4">
          <cell r="B4">
            <v>17</v>
          </cell>
          <cell r="C4">
            <v>817</v>
          </cell>
          <cell r="D4">
            <v>17</v>
          </cell>
          <cell r="E4">
            <v>885</v>
          </cell>
          <cell r="F4">
            <v>11</v>
          </cell>
          <cell r="G4">
            <v>818</v>
          </cell>
          <cell r="H4">
            <v>13</v>
          </cell>
          <cell r="I4">
            <v>734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143.50626936806222</v>
          </cell>
        </row>
        <row r="6">
          <cell r="V6">
            <v>138.80427482783298</v>
          </cell>
          <cell r="W6">
            <v>28.569324702796695</v>
          </cell>
        </row>
        <row r="7">
          <cell r="V7">
            <v>134.04946101848145</v>
          </cell>
          <cell r="W7">
            <v>23.747080217459942</v>
          </cell>
        </row>
        <row r="8">
          <cell r="V8">
            <v>128.16324019999638</v>
          </cell>
          <cell r="W8">
            <v>25.076951363173421</v>
          </cell>
        </row>
        <row r="9">
          <cell r="V9">
            <v>124.01928142921581</v>
          </cell>
          <cell r="W9">
            <v>21.191280188550181</v>
          </cell>
        </row>
        <row r="10">
          <cell r="V10">
            <v>120.4531682267047</v>
          </cell>
          <cell r="W10">
            <v>21.404804552295044</v>
          </cell>
        </row>
        <row r="11">
          <cell r="V11">
            <v>116.45329934894202</v>
          </cell>
          <cell r="W11">
            <v>21.050193014196065</v>
          </cell>
        </row>
        <row r="12">
          <cell r="V12">
            <v>112.61343061419846</v>
          </cell>
          <cell r="W12">
            <v>20.242236164199223</v>
          </cell>
        </row>
        <row r="13">
          <cell r="V13">
            <v>108.13592782139858</v>
          </cell>
          <cell r="W13">
            <v>13.854255971830337</v>
          </cell>
        </row>
      </sheetData>
      <sheetData sheetId="4"/>
      <sheetData sheetId="5">
        <row r="24">
          <cell r="B24">
            <v>18.163772365498104</v>
          </cell>
        </row>
        <row r="25">
          <cell r="B25">
            <v>16.640614833707232</v>
          </cell>
          <cell r="F25">
            <v>881.69316365373493</v>
          </cell>
        </row>
        <row r="26">
          <cell r="B26">
            <v>15.231086683160335</v>
          </cell>
          <cell r="F26">
            <v>813.9532204111822</v>
          </cell>
        </row>
        <row r="27">
          <cell r="B27">
            <v>13.903627151785406</v>
          </cell>
          <cell r="F27">
            <v>764.8573148848501</v>
          </cell>
        </row>
        <row r="28">
          <cell r="B28">
            <v>12.626675477510435</v>
          </cell>
          <cell r="F28">
            <v>734.21529775788179</v>
          </cell>
        </row>
        <row r="29">
          <cell r="B29">
            <v>11.368670898263414</v>
          </cell>
          <cell r="F29">
            <v>721.86231162190506</v>
          </cell>
        </row>
        <row r="30">
          <cell r="B30">
            <v>10.098052651972335</v>
          </cell>
          <cell r="F30">
            <v>727.6484760165514</v>
          </cell>
        </row>
        <row r="31">
          <cell r="B31">
            <v>8.7832599765651871</v>
          </cell>
          <cell r="F31">
            <v>751.42940219712159</v>
          </cell>
        </row>
        <row r="32">
          <cell r="B32">
            <v>7.3927321099699608</v>
          </cell>
          <cell r="F32">
            <v>793.05750569143072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0.3503</v>
          </cell>
        </row>
        <row r="18">
          <cell r="G18">
            <v>380.45644801331724</v>
          </cell>
        </row>
        <row r="19">
          <cell r="G19">
            <v>354.02513155703156</v>
          </cell>
        </row>
        <row r="20">
          <cell r="G20">
            <v>343.5959147933691</v>
          </cell>
        </row>
        <row r="21">
          <cell r="G21">
            <v>343.9464929342289</v>
          </cell>
        </row>
        <row r="22">
          <cell r="G22">
            <v>350.29855656092889</v>
          </cell>
        </row>
        <row r="23">
          <cell r="G23">
            <v>363.8617537598314</v>
          </cell>
        </row>
        <row r="24">
          <cell r="G24">
            <v>382.26999320066216</v>
          </cell>
        </row>
        <row r="25">
          <cell r="G25">
            <v>401.67084508962733</v>
          </cell>
        </row>
        <row r="26">
          <cell r="D26">
            <v>18772.161095141775</v>
          </cell>
        </row>
        <row r="27">
          <cell r="D27">
            <v>14315.207113962138</v>
          </cell>
        </row>
        <row r="29">
          <cell r="D29">
            <v>5322.7169154808098</v>
          </cell>
        </row>
        <row r="127">
          <cell r="E127">
            <v>0.24264543135549324</v>
          </cell>
          <cell r="F127">
            <v>0</v>
          </cell>
        </row>
        <row r="128">
          <cell r="E128">
            <v>0.29024751787995412</v>
          </cell>
          <cell r="F128">
            <v>1.252796527861767</v>
          </cell>
        </row>
        <row r="129">
          <cell r="E129">
            <v>0.29596067385777852</v>
          </cell>
          <cell r="F129">
            <v>2.7191574154958359E-3</v>
          </cell>
        </row>
        <row r="130">
          <cell r="E130">
            <v>0.24884266715644068</v>
          </cell>
          <cell r="F130">
            <v>1.207959547834023</v>
          </cell>
        </row>
        <row r="131">
          <cell r="E131">
            <v>0.17480661664923916</v>
          </cell>
          <cell r="F131">
            <v>0</v>
          </cell>
        </row>
        <row r="132">
          <cell r="E132">
            <v>0.23461350923688143</v>
          </cell>
          <cell r="F132">
            <v>1.2064651372455641</v>
          </cell>
        </row>
        <row r="133">
          <cell r="E133">
            <v>0.1836896131686282</v>
          </cell>
          <cell r="F133">
            <v>0</v>
          </cell>
        </row>
        <row r="134">
          <cell r="E134">
            <v>0.2465126259182838</v>
          </cell>
          <cell r="F134">
            <v>1.1017953342971964</v>
          </cell>
        </row>
      </sheetData>
      <sheetData sheetId="8"/>
      <sheetData sheetId="9">
        <row r="4">
          <cell r="F4">
            <v>214.67257594652375</v>
          </cell>
        </row>
        <row r="5">
          <cell r="F5">
            <v>202.20249287574373</v>
          </cell>
        </row>
        <row r="6">
          <cell r="F6">
            <v>199.32914748666994</v>
          </cell>
        </row>
        <row r="7">
          <cell r="F7">
            <v>201.60107041633992</v>
          </cell>
        </row>
        <row r="8">
          <cell r="F8">
            <v>207.27692219598856</v>
          </cell>
        </row>
        <row r="9">
          <cell r="F9">
            <v>217.40288989578113</v>
          </cell>
        </row>
        <row r="10">
          <cell r="F10">
            <v>230.74301319572069</v>
          </cell>
        </row>
        <row r="11">
          <cell r="F11">
            <v>245.09274158795827</v>
          </cell>
        </row>
      </sheetData>
      <sheetData sheetId="10">
        <row r="4">
          <cell r="B4">
            <v>0</v>
          </cell>
          <cell r="C4">
            <v>923</v>
          </cell>
          <cell r="D4">
            <v>2</v>
          </cell>
          <cell r="E4">
            <v>888</v>
          </cell>
          <cell r="F4">
            <v>0</v>
          </cell>
          <cell r="G4">
            <v>886</v>
          </cell>
          <cell r="H4">
            <v>0</v>
          </cell>
          <cell r="I4">
            <v>804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83.480642177927805</v>
          </cell>
        </row>
        <row r="6">
          <cell r="V6">
            <v>80.339839145519861</v>
          </cell>
          <cell r="W6">
            <v>40.63553573618622</v>
          </cell>
        </row>
        <row r="7">
          <cell r="V7">
            <v>77.541644460667428</v>
          </cell>
          <cell r="W7">
            <v>37.534867287302028</v>
          </cell>
        </row>
        <row r="8">
          <cell r="V8">
            <v>73.554496152536601</v>
          </cell>
          <cell r="W8">
            <v>34.891156320762597</v>
          </cell>
        </row>
        <row r="9">
          <cell r="V9">
            <v>70.980904504777712</v>
          </cell>
          <cell r="W9">
            <v>31.156330352921788</v>
          </cell>
        </row>
        <row r="10">
          <cell r="V10">
            <v>68.104318352763173</v>
          </cell>
          <cell r="W10">
            <v>29.646958419273734</v>
          </cell>
        </row>
        <row r="11">
          <cell r="V11">
            <v>64.950734078466141</v>
          </cell>
          <cell r="W11">
            <v>28.132577971019881</v>
          </cell>
        </row>
        <row r="12">
          <cell r="V12">
            <v>62.137297978397619</v>
          </cell>
          <cell r="W12">
            <v>23.8167724069347</v>
          </cell>
        </row>
        <row r="13">
          <cell r="V13">
            <v>59.33450256400058</v>
          </cell>
          <cell r="W13">
            <v>20.195498432184774</v>
          </cell>
        </row>
      </sheetData>
      <sheetData sheetId="4"/>
      <sheetData sheetId="5">
        <row r="24">
          <cell r="B24">
            <v>26.317102416762296</v>
          </cell>
        </row>
        <row r="25">
          <cell r="B25">
            <v>23.75690139899887</v>
          </cell>
          <cell r="F25">
            <v>337.09422896870444</v>
          </cell>
        </row>
        <row r="26">
          <cell r="B26">
            <v>21.326893764597216</v>
          </cell>
          <cell r="F26">
            <v>318.57444838099974</v>
          </cell>
        </row>
        <row r="27">
          <cell r="B27">
            <v>18.989527629194846</v>
          </cell>
          <cell r="F27">
            <v>305.18930749180464</v>
          </cell>
        </row>
        <row r="28">
          <cell r="B28">
            <v>16.707251108429269</v>
          </cell>
          <cell r="F28">
            <v>296.84715601834574</v>
          </cell>
        </row>
        <row r="29">
          <cell r="B29">
            <v>14.442512317937997</v>
          </cell>
          <cell r="F29">
            <v>293.46680228645295</v>
          </cell>
        </row>
        <row r="30">
          <cell r="B30">
            <v>12.157759373358527</v>
          </cell>
          <cell r="F30">
            <v>294.97395006661549</v>
          </cell>
        </row>
        <row r="31">
          <cell r="B31">
            <v>9.8154403903283765</v>
          </cell>
          <cell r="F31">
            <v>301.29807640105361</v>
          </cell>
        </row>
        <row r="32">
          <cell r="B32">
            <v>7.3780034844850455</v>
          </cell>
          <cell r="F32">
            <v>312.36975293923166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0.17775824175824176</v>
          </cell>
        </row>
        <row r="18">
          <cell r="G18">
            <v>398.87939225747471</v>
          </cell>
        </row>
        <row r="19">
          <cell r="G19">
            <v>371.28911576937338</v>
          </cell>
        </row>
        <row r="20">
          <cell r="G20">
            <v>360.72961868688014</v>
          </cell>
        </row>
        <row r="21">
          <cell r="G21">
            <v>358.85216967994893</v>
          </cell>
        </row>
        <row r="22">
          <cell r="G22">
            <v>358.87737118983409</v>
          </cell>
        </row>
        <row r="23">
          <cell r="G23">
            <v>365.39591771453252</v>
          </cell>
        </row>
        <row r="24">
          <cell r="G24">
            <v>372.20302890184365</v>
          </cell>
        </row>
        <row r="25">
          <cell r="G25">
            <v>405.34568010235466</v>
          </cell>
        </row>
        <row r="26">
          <cell r="D26">
            <v>7436.1835322141342</v>
          </cell>
        </row>
        <row r="27">
          <cell r="D27">
            <v>7202.1875633632435</v>
          </cell>
        </row>
        <row r="29">
          <cell r="D29">
            <v>939.0674007402522</v>
          </cell>
        </row>
        <row r="127">
          <cell r="E127">
            <v>4.3782121613671954E-2</v>
          </cell>
          <cell r="F127">
            <v>9.9555795114817158E-2</v>
          </cell>
        </row>
        <row r="128">
          <cell r="E128">
            <v>4.9135043827943835E-2</v>
          </cell>
          <cell r="F128">
            <v>0.58531060059364892</v>
          </cell>
        </row>
        <row r="129">
          <cell r="E129">
            <v>5.1199211353582359E-2</v>
          </cell>
          <cell r="F129">
            <v>3.2803686277359793E-2</v>
          </cell>
        </row>
        <row r="130">
          <cell r="E130">
            <v>4.381344709058365E-2</v>
          </cell>
          <cell r="F130">
            <v>0.57493932644018209</v>
          </cell>
        </row>
        <row r="131">
          <cell r="E131">
            <v>3.9638941739538906E-2</v>
          </cell>
          <cell r="F131">
            <v>0.24223380879134063</v>
          </cell>
        </row>
        <row r="132">
          <cell r="E132">
            <v>4.1106649250563634E-2</v>
          </cell>
          <cell r="F132">
            <v>0.18479013717977286</v>
          </cell>
        </row>
        <row r="133">
          <cell r="E133">
            <v>3.3889880022986749E-2</v>
          </cell>
          <cell r="F133">
            <v>3.6708652091054124E-2</v>
          </cell>
        </row>
        <row r="134">
          <cell r="E134">
            <v>4.372509089226112E-2</v>
          </cell>
          <cell r="F134">
            <v>0.6443871812995724</v>
          </cell>
        </row>
      </sheetData>
      <sheetData sheetId="8"/>
      <sheetData sheetId="9">
        <row r="4">
          <cell r="H4">
            <v>263.72100900454114</v>
          </cell>
        </row>
        <row r="5">
          <cell r="H5">
            <v>246.4017560171815</v>
          </cell>
        </row>
        <row r="6">
          <cell r="H6">
            <v>242.01014245661821</v>
          </cell>
        </row>
        <row r="7">
          <cell r="H7">
            <v>241.35699233329987</v>
          </cell>
        </row>
        <row r="8">
          <cell r="H8">
            <v>242.72205967888544</v>
          </cell>
        </row>
        <row r="9">
          <cell r="H9">
            <v>248.8792312005412</v>
          </cell>
        </row>
        <row r="10">
          <cell r="H10">
            <v>255.42256027204073</v>
          </cell>
        </row>
        <row r="11">
          <cell r="H11">
            <v>278.69300129737553</v>
          </cell>
        </row>
      </sheetData>
      <sheetData sheetId="10">
        <row r="4">
          <cell r="B4">
            <v>142</v>
          </cell>
          <cell r="C4">
            <v>656</v>
          </cell>
          <cell r="D4">
            <v>27</v>
          </cell>
          <cell r="E4">
            <v>670</v>
          </cell>
          <cell r="F4">
            <v>319</v>
          </cell>
          <cell r="G4">
            <v>209</v>
          </cell>
          <cell r="H4">
            <v>29</v>
          </cell>
          <cell r="I4">
            <v>703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143.71723808422772</v>
          </cell>
        </row>
        <row r="6">
          <cell r="V6">
            <v>134.66713816580582</v>
          </cell>
          <cell r="W6">
            <v>42.07061711482244</v>
          </cell>
        </row>
        <row r="7">
          <cell r="V7">
            <v>128.05675901738419</v>
          </cell>
          <cell r="W7">
            <v>37.357568429973121</v>
          </cell>
        </row>
        <row r="8">
          <cell r="V8">
            <v>119.45260752633124</v>
          </cell>
          <cell r="W8">
            <v>35.778125831508262</v>
          </cell>
        </row>
        <row r="9">
          <cell r="V9">
            <v>114.79053149921151</v>
          </cell>
          <cell r="W9">
            <v>31.174401238303805</v>
          </cell>
        </row>
        <row r="10">
          <cell r="V10">
            <v>107.67683087000852</v>
          </cell>
          <cell r="W10">
            <v>30.101641437115124</v>
          </cell>
        </row>
        <row r="11">
          <cell r="V11">
            <v>102.68650788987219</v>
          </cell>
          <cell r="W11">
            <v>29.200209151433327</v>
          </cell>
        </row>
        <row r="12">
          <cell r="V12">
            <v>95.84930156552754</v>
          </cell>
          <cell r="W12">
            <v>27.454341445829453</v>
          </cell>
        </row>
        <row r="13">
          <cell r="V13">
            <v>90.492683140187253</v>
          </cell>
          <cell r="W13">
            <v>20.07427786552563</v>
          </cell>
        </row>
      </sheetData>
      <sheetData sheetId="4"/>
      <sheetData sheetId="5">
        <row r="24">
          <cell r="B24">
            <v>26.820340802714338</v>
          </cell>
        </row>
        <row r="25">
          <cell r="B25">
            <v>24.086861352027086</v>
          </cell>
          <cell r="F25">
            <v>408.59756956856148</v>
          </cell>
        </row>
        <row r="26">
          <cell r="B26">
            <v>21.618813353589793</v>
          </cell>
          <cell r="F26">
            <v>367.26161017459441</v>
          </cell>
        </row>
        <row r="27">
          <cell r="B27">
            <v>19.327340932267155</v>
          </cell>
          <cell r="F27">
            <v>339.60564889078643</v>
          </cell>
        </row>
        <row r="28">
          <cell r="B28">
            <v>17.123588212923856</v>
          </cell>
          <cell r="F28">
            <v>325.37658083359469</v>
          </cell>
        </row>
        <row r="29">
          <cell r="B29">
            <v>14.918699320424581</v>
          </cell>
          <cell r="F29">
            <v>324.36269356285879</v>
          </cell>
        </row>
        <row r="30">
          <cell r="B30">
            <v>12.62381837963402</v>
          </cell>
          <cell r="F30">
            <v>336.37187637227709</v>
          </cell>
        </row>
        <row r="31">
          <cell r="B31">
            <v>10.150089515416862</v>
          </cell>
          <cell r="F31">
            <v>361.21262977666186</v>
          </cell>
        </row>
        <row r="32">
          <cell r="B32">
            <v>7.4086568526377938</v>
          </cell>
          <cell r="F32">
            <v>398.6779790103152</v>
          </cell>
        </row>
      </sheetData>
      <sheetData sheetId="6"/>
      <sheetData sheetId="7">
        <row r="15">
          <cell r="F15">
            <v>915</v>
          </cell>
        </row>
        <row r="16">
          <cell r="F16">
            <v>0.17757377049180328</v>
          </cell>
        </row>
        <row r="18">
          <cell r="G18">
            <v>205.18492583965846</v>
          </cell>
        </row>
        <row r="19">
          <cell r="G19">
            <v>189.72822765186933</v>
          </cell>
        </row>
        <row r="20">
          <cell r="G20">
            <v>184.36526310509399</v>
          </cell>
        </row>
        <row r="21">
          <cell r="G21">
            <v>186.68406225631526</v>
          </cell>
        </row>
        <row r="22">
          <cell r="G22">
            <v>196.47384341142853</v>
          </cell>
        </row>
        <row r="23">
          <cell r="G23">
            <v>215.00207783234245</v>
          </cell>
        </row>
        <row r="24">
          <cell r="G24">
            <v>239.67293900470153</v>
          </cell>
        </row>
        <row r="25">
          <cell r="G25">
            <v>289.85783088872682</v>
          </cell>
        </row>
        <row r="26">
          <cell r="D26">
            <v>8689.5835283692741</v>
          </cell>
        </row>
        <row r="27">
          <cell r="D27">
            <v>7194.5138940203569</v>
          </cell>
        </row>
        <row r="29">
          <cell r="D29">
            <v>2305.0731254102652</v>
          </cell>
        </row>
        <row r="127">
          <cell r="E127">
            <v>0.13958088897006196</v>
          </cell>
          <cell r="F127">
            <v>1.5747282337987063E-2</v>
          </cell>
        </row>
        <row r="128">
          <cell r="E128">
            <v>0.12287064170941782</v>
          </cell>
          <cell r="F128">
            <v>0.64364107050346542</v>
          </cell>
        </row>
        <row r="129">
          <cell r="E129">
            <v>0.12705879945232801</v>
          </cell>
          <cell r="F129">
            <v>2.4693692913685051E-2</v>
          </cell>
        </row>
        <row r="130">
          <cell r="E130">
            <v>8.5991485180952454E-2</v>
          </cell>
          <cell r="F130">
            <v>0.56542296610168818</v>
          </cell>
        </row>
        <row r="131">
          <cell r="E131">
            <v>0.10558678022813615</v>
          </cell>
          <cell r="F131">
            <v>0.18312931141309607</v>
          </cell>
        </row>
        <row r="132">
          <cell r="E132">
            <v>7.5327145024007142E-2</v>
          </cell>
          <cell r="F132">
            <v>0.20738474814088029</v>
          </cell>
        </row>
        <row r="133">
          <cell r="E133">
            <v>9.5066693355605511E-2</v>
          </cell>
          <cell r="F133">
            <v>5.4223392698349408E-2</v>
          </cell>
        </row>
        <row r="134">
          <cell r="E134">
            <v>9.0368162985441439E-2</v>
          </cell>
          <cell r="F134">
            <v>0.70392883389763439</v>
          </cell>
        </row>
      </sheetData>
      <sheetData sheetId="8"/>
      <sheetData sheetId="9">
        <row r="4">
          <cell r="H4">
            <v>116.19484846590078</v>
          </cell>
        </row>
        <row r="5">
          <cell r="H5">
            <v>109.15929997748205</v>
          </cell>
        </row>
        <row r="6">
          <cell r="H6">
            <v>108.49837238957973</v>
          </cell>
        </row>
        <row r="7">
          <cell r="H7">
            <v>110.98641909522038</v>
          </cell>
        </row>
        <row r="8">
          <cell r="H8">
            <v>118.911639403199</v>
          </cell>
        </row>
        <row r="9">
          <cell r="H9">
            <v>131.71046386383455</v>
          </cell>
        </row>
        <row r="10">
          <cell r="H10">
            <v>149.44966381403304</v>
          </cell>
        </row>
        <row r="11">
          <cell r="H11">
            <v>182.55423664577296</v>
          </cell>
        </row>
      </sheetData>
      <sheetData sheetId="10">
        <row r="4">
          <cell r="B4">
            <v>12</v>
          </cell>
          <cell r="C4">
            <v>728</v>
          </cell>
          <cell r="D4">
            <v>12</v>
          </cell>
          <cell r="E4">
            <v>645</v>
          </cell>
          <cell r="F4">
            <v>209</v>
          </cell>
          <cell r="G4">
            <v>223</v>
          </cell>
          <cell r="H4">
            <v>55</v>
          </cell>
          <cell r="I4">
            <v>787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204.92857884161126</v>
          </cell>
        </row>
        <row r="6">
          <cell r="V6">
            <v>191.03983293745247</v>
          </cell>
          <cell r="W6">
            <v>45.452134434829013</v>
          </cell>
        </row>
        <row r="7">
          <cell r="V7">
            <v>180.26017865023945</v>
          </cell>
          <cell r="W7">
            <v>39.4363954547647</v>
          </cell>
        </row>
        <row r="8">
          <cell r="V8">
            <v>167.31999116341322</v>
          </cell>
          <cell r="W8">
            <v>38.55343678772423</v>
          </cell>
        </row>
        <row r="9">
          <cell r="V9">
            <v>160.58352061801159</v>
          </cell>
          <cell r="W9">
            <v>32.935118279729778</v>
          </cell>
        </row>
        <row r="10">
          <cell r="V10">
            <v>150.17845400146564</v>
          </cell>
          <cell r="W10">
            <v>32.679001440121063</v>
          </cell>
        </row>
        <row r="11">
          <cell r="V11">
            <v>142.95073159320495</v>
          </cell>
          <cell r="W11">
            <v>32.265274423116495</v>
          </cell>
        </row>
        <row r="12">
          <cell r="V12">
            <v>132.71200091395849</v>
          </cell>
          <cell r="W12">
            <v>28.657335308321269</v>
          </cell>
        </row>
        <row r="13">
          <cell r="V13">
            <v>124.12939735992616</v>
          </cell>
          <cell r="W13">
            <v>21.54235668350438</v>
          </cell>
        </row>
      </sheetData>
      <sheetData sheetId="4"/>
      <sheetData sheetId="5">
        <row r="24">
          <cell r="B24">
            <v>29.255026286832376</v>
          </cell>
        </row>
        <row r="25">
          <cell r="B25">
            <v>26.07776157807708</v>
          </cell>
          <cell r="F25">
            <v>526.23295332335647</v>
          </cell>
        </row>
        <row r="26">
          <cell r="B26">
            <v>23.281926831527798</v>
          </cell>
          <cell r="F26">
            <v>460.63602875261671</v>
          </cell>
        </row>
        <row r="27">
          <cell r="B27">
            <v>20.7435366968237</v>
          </cell>
          <cell r="F27">
            <v>416.30112775519655</v>
          </cell>
        </row>
        <row r="28">
          <cell r="B28">
            <v>18.338605823603949</v>
          </cell>
          <cell r="F28">
            <v>392.76557071396297</v>
          </cell>
        </row>
        <row r="29">
          <cell r="B29">
            <v>15.943148861507712</v>
          </cell>
          <cell r="F29">
            <v>389.65837420019102</v>
          </cell>
        </row>
        <row r="30">
          <cell r="B30">
            <v>13.433180460174157</v>
          </cell>
          <cell r="F30">
            <v>406.65183161182296</v>
          </cell>
        </row>
        <row r="31">
          <cell r="B31">
            <v>10.684715269242439</v>
          </cell>
          <cell r="F31">
            <v>443.41974036594542</v>
          </cell>
        </row>
        <row r="32">
          <cell r="B32">
            <v>7.5737679383517289</v>
          </cell>
          <cell r="F32">
            <v>499.60244329352133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0.17799999999999999</v>
          </cell>
        </row>
        <row r="18">
          <cell r="G18">
            <v>167.89119766312129</v>
          </cell>
        </row>
        <row r="19">
          <cell r="G19">
            <v>153.48541481964668</v>
          </cell>
        </row>
        <row r="20">
          <cell r="G20">
            <v>147.36042320617611</v>
          </cell>
        </row>
        <row r="21">
          <cell r="G21">
            <v>147.69727700577414</v>
          </cell>
        </row>
        <row r="22">
          <cell r="G22">
            <v>155.26153998991649</v>
          </cell>
        </row>
        <row r="23">
          <cell r="G23">
            <v>171.82794399925601</v>
          </cell>
        </row>
        <row r="24">
          <cell r="G24">
            <v>196.35702727125724</v>
          </cell>
        </row>
        <row r="25">
          <cell r="G25">
            <v>246.98712574544473</v>
          </cell>
        </row>
        <row r="26">
          <cell r="D26">
            <v>10765.096693108373</v>
          </cell>
        </row>
        <row r="27">
          <cell r="D27">
            <v>7195.5795766013507</v>
          </cell>
        </row>
        <row r="29">
          <cell r="D29">
            <v>3988.5107994272526</v>
          </cell>
        </row>
        <row r="127">
          <cell r="E127">
            <v>0.24142855375401193</v>
          </cell>
          <cell r="F127">
            <v>6.2059153741702211E-3</v>
          </cell>
        </row>
        <row r="128">
          <cell r="E128">
            <v>0.21788424764955039</v>
          </cell>
          <cell r="F128">
            <v>0.61887330960898113</v>
          </cell>
        </row>
        <row r="129">
          <cell r="E129">
            <v>0.21947679423585578</v>
          </cell>
          <cell r="F129">
            <v>1.0735757056396669E-2</v>
          </cell>
        </row>
        <row r="130">
          <cell r="E130">
            <v>0.1386738869818355</v>
          </cell>
          <cell r="F130">
            <v>0.56102283395882713</v>
          </cell>
        </row>
        <row r="131">
          <cell r="E131">
            <v>0.17024708385847684</v>
          </cell>
          <cell r="F131">
            <v>9.8707048430500006E-3</v>
          </cell>
        </row>
        <row r="132">
          <cell r="E132">
            <v>0.14167419079270047</v>
          </cell>
          <cell r="F132">
            <v>0.61398710257858158</v>
          </cell>
        </row>
        <row r="133">
          <cell r="E133">
            <v>0.16045838775815055</v>
          </cell>
          <cell r="F133">
            <v>9.0195470290271515E-3</v>
          </cell>
        </row>
        <row r="134">
          <cell r="E134">
            <v>0.15249372280725373</v>
          </cell>
          <cell r="F134">
            <v>0.56881135508475</v>
          </cell>
        </row>
      </sheetData>
      <sheetData sheetId="8"/>
      <sheetData sheetId="9">
        <row r="4">
          <cell r="I4">
            <v>82.79657733563468</v>
          </cell>
        </row>
        <row r="5">
          <cell r="I5">
            <v>77.851256316891224</v>
          </cell>
        </row>
        <row r="6">
          <cell r="I6">
            <v>77.210703737314802</v>
          </cell>
        </row>
        <row r="7">
          <cell r="I7">
            <v>78.716104410334566</v>
          </cell>
        </row>
        <row r="8">
          <cell r="I8">
            <v>84.93778470471571</v>
          </cell>
        </row>
        <row r="9">
          <cell r="I9">
            <v>95.653324125235741</v>
          </cell>
        </row>
        <row r="10">
          <cell r="I10">
            <v>112.15388933155049</v>
          </cell>
        </row>
        <row r="11">
          <cell r="I11">
            <v>143.93817457495319</v>
          </cell>
        </row>
      </sheetData>
      <sheetData sheetId="10">
        <row r="4">
          <cell r="B4">
            <v>7</v>
          </cell>
          <cell r="C4">
            <v>694</v>
          </cell>
          <cell r="D4">
            <v>12</v>
          </cell>
          <cell r="E4">
            <v>626</v>
          </cell>
          <cell r="F4">
            <v>11</v>
          </cell>
          <cell r="G4">
            <v>683</v>
          </cell>
          <cell r="H4">
            <v>10</v>
          </cell>
          <cell r="I4">
            <v>627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84.784445670379895</v>
          </cell>
        </row>
        <row r="6">
          <cell r="V6">
            <v>81.138473134583833</v>
          </cell>
          <cell r="W6">
            <v>31.05960548277837</v>
          </cell>
        </row>
        <row r="7">
          <cell r="V7">
            <v>77.408394076381327</v>
          </cell>
          <cell r="W7">
            <v>26.934224690401951</v>
          </cell>
        </row>
        <row r="8">
          <cell r="V8">
            <v>73.602407903310265</v>
          </cell>
          <cell r="W8">
            <v>26.677489700980875</v>
          </cell>
        </row>
        <row r="9">
          <cell r="V9">
            <v>71.631475100719271</v>
          </cell>
          <cell r="W9">
            <v>22.821555552655312</v>
          </cell>
        </row>
        <row r="10">
          <cell r="V10">
            <v>68.16349884900184</v>
          </cell>
          <cell r="W10">
            <v>22.684507538140036</v>
          </cell>
        </row>
        <row r="11">
          <cell r="V11">
            <v>65.755054308177591</v>
          </cell>
          <cell r="W11">
            <v>22.719899407127723</v>
          </cell>
        </row>
        <row r="12">
          <cell r="V12">
            <v>63.230830635124128</v>
          </cell>
          <cell r="W12">
            <v>20.773571341267282</v>
          </cell>
        </row>
        <row r="13">
          <cell r="V13">
            <v>60.062106324402116</v>
          </cell>
          <cell r="W13">
            <v>16.835527600898043</v>
          </cell>
        </row>
      </sheetData>
      <sheetData sheetId="4"/>
      <sheetData sheetId="5">
        <row r="24">
          <cell r="B24">
            <v>19.413859476402223</v>
          </cell>
        </row>
        <row r="25">
          <cell r="B25">
            <v>17.790445540584408</v>
          </cell>
          <cell r="F25">
            <v>351.76820460465086</v>
          </cell>
        </row>
        <row r="26">
          <cell r="B26">
            <v>16.250168485660588</v>
          </cell>
          <cell r="F26">
            <v>332.8794903226069</v>
          </cell>
        </row>
        <row r="27">
          <cell r="B27">
            <v>14.765225960371859</v>
          </cell>
          <cell r="F27">
            <v>320.12615402714511</v>
          </cell>
        </row>
        <row r="28">
          <cell r="B28">
            <v>13.307815613459333</v>
          </cell>
          <cell r="F28">
            <v>313.4426923811742</v>
          </cell>
        </row>
        <row r="29">
          <cell r="B29">
            <v>11.850135093664106</v>
          </cell>
          <cell r="F29">
            <v>312.76981916222815</v>
          </cell>
        </row>
        <row r="30">
          <cell r="B30">
            <v>10.364382049727286</v>
          </cell>
          <cell r="F30">
            <v>318.05156421459014</v>
          </cell>
        </row>
        <row r="31">
          <cell r="B31">
            <v>8.8227541303899812</v>
          </cell>
          <cell r="F31">
            <v>329.23263636848219</v>
          </cell>
        </row>
        <row r="32">
          <cell r="B32">
            <v>7.1974489843932936</v>
          </cell>
          <cell r="F32">
            <v>346.25605589023633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0.17986956521739134</v>
          </cell>
        </row>
        <row r="18">
          <cell r="G18">
            <v>329.85645710117723</v>
          </cell>
        </row>
        <row r="19">
          <cell r="G19">
            <v>311.46090802660268</v>
          </cell>
        </row>
        <row r="20">
          <cell r="G20">
            <v>308.99993648974555</v>
          </cell>
        </row>
        <row r="21">
          <cell r="G21">
            <v>313.26770124155672</v>
          </cell>
        </row>
        <row r="22">
          <cell r="G22">
            <v>325.64069094073182</v>
          </cell>
        </row>
        <row r="23">
          <cell r="G23">
            <v>345.53877225808264</v>
          </cell>
        </row>
        <row r="24">
          <cell r="G24">
            <v>362.84414905614534</v>
          </cell>
        </row>
        <row r="25">
          <cell r="G25">
            <v>409.14685823832963</v>
          </cell>
        </row>
        <row r="26">
          <cell r="D26">
            <v>7958.1688424165222</v>
          </cell>
        </row>
        <row r="27">
          <cell r="D27">
            <v>7337.0319231036538</v>
          </cell>
        </row>
        <row r="29">
          <cell r="D29">
            <v>1599.052508393155</v>
          </cell>
        </row>
        <row r="127">
          <cell r="E127">
            <v>7.9981597634803295E-2</v>
          </cell>
          <cell r="F127">
            <v>1.7595149427001119E-2</v>
          </cell>
        </row>
        <row r="128">
          <cell r="E128">
            <v>9.4731767408288356E-2</v>
          </cell>
          <cell r="F128">
            <v>0.66134661208088186</v>
          </cell>
        </row>
        <row r="129">
          <cell r="E129">
            <v>8.119707520565328E-2</v>
          </cell>
          <cell r="F129">
            <v>1.8580860995113871E-2</v>
          </cell>
        </row>
        <row r="130">
          <cell r="E130">
            <v>5.2242968861414045E-2</v>
          </cell>
          <cell r="F130">
            <v>0.52792504956629183</v>
          </cell>
        </row>
        <row r="131">
          <cell r="E131">
            <v>7.2372583366697482E-2</v>
          </cell>
          <cell r="F131">
            <v>1.8614943051082224E-2</v>
          </cell>
        </row>
        <row r="132">
          <cell r="E132">
            <v>6.0353644763425113E-2</v>
          </cell>
          <cell r="F132">
            <v>0.57582891839727113</v>
          </cell>
        </row>
        <row r="133">
          <cell r="E133">
            <v>5.1464886217246771E-2</v>
          </cell>
          <cell r="F133">
            <v>1.6886849972585802E-2</v>
          </cell>
        </row>
        <row r="134">
          <cell r="E134">
            <v>7.4006312673523325E-2</v>
          </cell>
          <cell r="F134">
            <v>0.60889892421099001</v>
          </cell>
        </row>
      </sheetData>
      <sheetData sheetId="8"/>
      <sheetData sheetId="9">
        <row r="4">
          <cell r="I4">
            <v>215.41992237826889</v>
          </cell>
        </row>
        <row r="5">
          <cell r="I5">
            <v>204.9028426205885</v>
          </cell>
        </row>
        <row r="6">
          <cell r="I6">
            <v>205.42809255241249</v>
          </cell>
        </row>
        <row r="7">
          <cell r="I7">
            <v>208.92700840920051</v>
          </cell>
        </row>
        <row r="8">
          <cell r="I8">
            <v>219.26536958954208</v>
          </cell>
        </row>
        <row r="9">
          <cell r="I9">
            <v>233.43636961547858</v>
          </cell>
        </row>
        <row r="10">
          <cell r="I10">
            <v>246.82976071695262</v>
          </cell>
        </row>
        <row r="11">
          <cell r="I11">
            <v>279.95021700278693</v>
          </cell>
        </row>
      </sheetData>
      <sheetData sheetId="10">
        <row r="4">
          <cell r="B4">
            <v>20</v>
          </cell>
          <cell r="C4">
            <v>749</v>
          </cell>
          <cell r="D4">
            <v>21</v>
          </cell>
          <cell r="E4">
            <v>596</v>
          </cell>
          <cell r="F4">
            <v>21</v>
          </cell>
          <cell r="G4">
            <v>649</v>
          </cell>
          <cell r="H4">
            <v>19</v>
          </cell>
          <cell r="I4">
            <v>683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144.53335054458341</v>
          </cell>
        </row>
        <row r="6">
          <cell r="V6">
            <v>136.78339259429916</v>
          </cell>
          <cell r="W6">
            <v>35.007816767338007</v>
          </cell>
        </row>
        <row r="7">
          <cell r="V7">
            <v>131.12033537409604</v>
          </cell>
          <cell r="W7">
            <v>28.985262739923119</v>
          </cell>
        </row>
        <row r="8">
          <cell r="V8">
            <v>122.3527675776777</v>
          </cell>
          <cell r="W8">
            <v>29.518787465941955</v>
          </cell>
        </row>
        <row r="9">
          <cell r="V9">
            <v>118.76885091209373</v>
          </cell>
          <cell r="W9">
            <v>24.757537660359343</v>
          </cell>
        </row>
        <row r="10">
          <cell r="V10">
            <v>112.05673768253392</v>
          </cell>
          <cell r="W10">
            <v>24.691303160631989</v>
          </cell>
        </row>
        <row r="11">
          <cell r="V11">
            <v>107.61150849637927</v>
          </cell>
          <cell r="W11">
            <v>24.649129047878045</v>
          </cell>
        </row>
        <row r="12">
          <cell r="V12">
            <v>101.71387503172468</v>
          </cell>
          <cell r="W12">
            <v>23.962869227581411</v>
          </cell>
        </row>
        <row r="13">
          <cell r="V13">
            <v>96.765843752342278</v>
          </cell>
          <cell r="W13">
            <v>19.987575712932479</v>
          </cell>
        </row>
      </sheetData>
      <sheetData sheetId="5">
        <row r="24">
          <cell r="B24">
            <v>21.283935791356154</v>
          </cell>
        </row>
        <row r="25">
          <cell r="B25">
            <v>19.380121705537153</v>
          </cell>
          <cell r="F25">
            <v>462.82975026015151</v>
          </cell>
        </row>
        <row r="26">
          <cell r="B26">
            <v>17.626299537082183</v>
          </cell>
          <cell r="F26">
            <v>425.0595412338796</v>
          </cell>
        </row>
        <row r="27">
          <cell r="B27">
            <v>15.968214252633052</v>
          </cell>
          <cell r="F27">
            <v>400.72280065018163</v>
          </cell>
        </row>
        <row r="28">
          <cell r="B28">
            <v>14.351610818831576</v>
          </cell>
          <cell r="F28">
            <v>389.65276061854411</v>
          </cell>
        </row>
        <row r="29">
          <cell r="B29">
            <v>12.722234202319562</v>
          </cell>
          <cell r="F29">
            <v>391.70353573913781</v>
          </cell>
        </row>
        <row r="30">
          <cell r="B30">
            <v>11.02582936973883</v>
          </cell>
          <cell r="F30">
            <v>406.73773906717076</v>
          </cell>
        </row>
        <row r="31">
          <cell r="B31">
            <v>9.2081412877311841</v>
          </cell>
          <cell r="F31">
            <v>434.615360253311</v>
          </cell>
        </row>
        <row r="32">
          <cell r="B32">
            <v>7.2149149229384406</v>
          </cell>
          <cell r="F32">
            <v>475.18397451772347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0.19549450549450548</v>
          </cell>
        </row>
        <row r="18">
          <cell r="G18">
            <v>212.65764931769658</v>
          </cell>
        </row>
        <row r="19">
          <cell r="G19">
            <v>198.8673441639537</v>
          </cell>
        </row>
        <row r="20">
          <cell r="G20">
            <v>195.91577680980399</v>
          </cell>
        </row>
        <row r="21">
          <cell r="G21">
            <v>200.18496858689363</v>
          </cell>
        </row>
        <row r="22">
          <cell r="G22">
            <v>211.19969152143841</v>
          </cell>
        </row>
        <row r="23">
          <cell r="G23">
            <v>231.86163160947982</v>
          </cell>
        </row>
        <row r="24">
          <cell r="G24">
            <v>259.21488007596952</v>
          </cell>
        </row>
        <row r="25">
          <cell r="G25">
            <v>292.84056010069474</v>
          </cell>
        </row>
        <row r="26">
          <cell r="D26">
            <v>10269.306658169662</v>
          </cell>
        </row>
        <row r="27">
          <cell r="D27">
            <v>7956.1417141575066</v>
          </cell>
        </row>
        <row r="29">
          <cell r="D29">
            <v>3164.3355165244398</v>
          </cell>
        </row>
        <row r="127">
          <cell r="E127">
            <v>0.19691074876972384</v>
          </cell>
          <cell r="F127">
            <v>7.9758160688841555E-3</v>
          </cell>
        </row>
        <row r="128">
          <cell r="E128">
            <v>0.16768735364367218</v>
          </cell>
          <cell r="F128">
            <v>0.69802576302617136</v>
          </cell>
        </row>
        <row r="129">
          <cell r="E129">
            <v>0.21575680818167151</v>
          </cell>
          <cell r="F129">
            <v>8.9268169476276887E-3</v>
          </cell>
        </row>
        <row r="130">
          <cell r="E130">
            <v>0.10563309784347753</v>
          </cell>
          <cell r="F130">
            <v>0.54167042303358537</v>
          </cell>
        </row>
        <row r="131">
          <cell r="E131">
            <v>0.16112421609161087</v>
          </cell>
          <cell r="F131">
            <v>8.0498527246114799E-3</v>
          </cell>
        </row>
        <row r="132">
          <cell r="E132">
            <v>0.12601372186986778</v>
          </cell>
          <cell r="F132">
            <v>0.66947448015909183</v>
          </cell>
        </row>
        <row r="133">
          <cell r="E133">
            <v>0.13768755119410359</v>
          </cell>
          <cell r="F133">
            <v>1.1650676677126917E-2</v>
          </cell>
        </row>
        <row r="134">
          <cell r="E134">
            <v>0.13354737413850365</v>
          </cell>
          <cell r="F134">
            <v>0.7062734094154034</v>
          </cell>
        </row>
      </sheetData>
      <sheetData sheetId="8"/>
      <sheetData sheetId="9">
        <row r="4">
          <cell r="G4">
            <v>120.34902320735895</v>
          </cell>
        </row>
        <row r="5">
          <cell r="G5">
            <v>114.1276017731614</v>
          </cell>
        </row>
        <row r="6">
          <cell r="G6">
            <v>115.06209996294052</v>
          </cell>
        </row>
        <row r="7">
          <cell r="G7">
            <v>118.55825245709424</v>
          </cell>
        </row>
        <row r="8">
          <cell r="G8">
            <v>127.31834804908395</v>
          </cell>
        </row>
        <row r="9">
          <cell r="G9">
            <v>141.18115362460651</v>
          </cell>
        </row>
        <row r="10">
          <cell r="G10">
            <v>160.31279053960449</v>
          </cell>
        </row>
        <row r="11">
          <cell r="G11">
            <v>183.09471996939016</v>
          </cell>
        </row>
      </sheetData>
      <sheetData sheetId="10">
        <row r="4">
          <cell r="B4">
            <v>9</v>
          </cell>
          <cell r="C4">
            <v>784</v>
          </cell>
          <cell r="D4">
            <v>10</v>
          </cell>
          <cell r="E4">
            <v>606</v>
          </cell>
          <cell r="F4">
            <v>9</v>
          </cell>
          <cell r="G4">
            <v>748</v>
          </cell>
          <cell r="H4">
            <v>13</v>
          </cell>
          <cell r="I4">
            <v>786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Šilumos kiekio kitimas"/>
      <sheetName val="Silumos kiekio nustat.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204.12360969653739</v>
          </cell>
        </row>
        <row r="6">
          <cell r="V6">
            <v>192.51612751970865</v>
          </cell>
          <cell r="W6">
            <v>38.577329366994299</v>
          </cell>
        </row>
        <row r="7">
          <cell r="V7">
            <v>184.50103066295927</v>
          </cell>
          <cell r="W7">
            <v>31.944636061667627</v>
          </cell>
        </row>
        <row r="8">
          <cell r="V8">
            <v>173.26669700886225</v>
          </cell>
          <cell r="W8">
            <v>33.004438629460267</v>
          </cell>
        </row>
        <row r="9">
          <cell r="V9">
            <v>167.59139755044933</v>
          </cell>
          <cell r="W9">
            <v>27.661394534653066</v>
          </cell>
        </row>
        <row r="10">
          <cell r="V10">
            <v>159.43356887236806</v>
          </cell>
          <cell r="W10">
            <v>28.633095138168688</v>
          </cell>
        </row>
        <row r="11">
          <cell r="V11">
            <v>152.25908173623364</v>
          </cell>
          <cell r="W11">
            <v>28.5707314572293</v>
          </cell>
        </row>
        <row r="12">
          <cell r="V12">
            <v>143.96441303912266</v>
          </cell>
          <cell r="W12">
            <v>25.345555653010972</v>
          </cell>
        </row>
        <row r="13">
          <cell r="V13">
            <v>136.80349537612628</v>
          </cell>
          <cell r="W13">
            <v>18.598618216289719</v>
          </cell>
        </row>
      </sheetData>
      <sheetData sheetId="5"/>
      <sheetData sheetId="6">
        <row r="24">
          <cell r="B24">
            <v>23.696639302519323</v>
          </cell>
        </row>
        <row r="25">
          <cell r="B25">
            <v>21.429501208895797</v>
          </cell>
          <cell r="F25">
            <v>624.43910535863097</v>
          </cell>
        </row>
        <row r="26">
          <cell r="B26">
            <v>19.347074292146772</v>
          </cell>
          <cell r="F26">
            <v>571.44448930412545</v>
          </cell>
        </row>
        <row r="27">
          <cell r="B27">
            <v>17.384611531168435</v>
          </cell>
          <cell r="F27">
            <v>536.70117019485224</v>
          </cell>
        </row>
        <row r="28">
          <cell r="B28">
            <v>15.477365904856979</v>
          </cell>
          <cell r="F28">
            <v>519.93457023358474</v>
          </cell>
        </row>
        <row r="29">
          <cell r="B29">
            <v>13.560590392108594</v>
          </cell>
          <cell r="F29">
            <v>520.90743771438258</v>
          </cell>
        </row>
        <row r="30">
          <cell r="B30">
            <v>11.569537971819472</v>
          </cell>
          <cell r="F30">
            <v>539.39932583111818</v>
          </cell>
        </row>
        <row r="31">
          <cell r="B31">
            <v>9.4394616228857977</v>
          </cell>
          <cell r="F31">
            <v>575.18845131910427</v>
          </cell>
        </row>
        <row r="32">
          <cell r="B32">
            <v>7.1056143242037706</v>
          </cell>
          <cell r="F32">
            <v>628.03604766033493</v>
          </cell>
        </row>
      </sheetData>
      <sheetData sheetId="7">
        <row r="15">
          <cell r="F15">
            <v>900</v>
          </cell>
        </row>
        <row r="16">
          <cell r="F16">
            <v>0.22546666666666668</v>
          </cell>
        </row>
        <row r="18">
          <cell r="G18">
            <v>189.89421847253189</v>
          </cell>
        </row>
        <row r="19">
          <cell r="G19">
            <v>178.62613554048716</v>
          </cell>
        </row>
        <row r="20">
          <cell r="G20">
            <v>175.70997177076416</v>
          </cell>
        </row>
        <row r="21">
          <cell r="G21">
            <v>179.33639037737248</v>
          </cell>
        </row>
        <row r="22">
          <cell r="G22">
            <v>188.36218995745025</v>
          </cell>
        </row>
        <row r="23">
          <cell r="G23">
            <v>205.04227136426718</v>
          </cell>
        </row>
        <row r="24">
          <cell r="G24">
            <v>227.04005811796145</v>
          </cell>
        </row>
        <row r="25">
          <cell r="G25">
            <v>251.23516584091331</v>
          </cell>
        </row>
        <row r="26">
          <cell r="D26">
            <v>13698.124755663785</v>
          </cell>
        </row>
        <row r="27">
          <cell r="D27">
            <v>9155.0925821070814</v>
          </cell>
        </row>
        <row r="29">
          <cell r="D29">
            <v>5279.0181046944153</v>
          </cell>
        </row>
        <row r="127">
          <cell r="E127">
            <v>0.33809783545321515</v>
          </cell>
          <cell r="F127">
            <v>0</v>
          </cell>
        </row>
        <row r="128">
          <cell r="E128">
            <v>0.27299225311344844</v>
          </cell>
          <cell r="F128">
            <v>0.76212193329777367</v>
          </cell>
        </row>
        <row r="129">
          <cell r="E129">
            <v>0.32211500743444937</v>
          </cell>
          <cell r="F129">
            <v>1.7998461820174626E-3</v>
          </cell>
        </row>
        <row r="130">
          <cell r="E130">
            <v>0.20067887025529929</v>
          </cell>
          <cell r="F130">
            <v>0.818744784678198</v>
          </cell>
        </row>
        <row r="131">
          <cell r="E131">
            <v>0.22733657011887468</v>
          </cell>
          <cell r="F131">
            <v>9.0106820639360575E-4</v>
          </cell>
        </row>
        <row r="132">
          <cell r="E132">
            <v>0.23150909741740222</v>
          </cell>
          <cell r="F132">
            <v>0.77304039848940009</v>
          </cell>
        </row>
        <row r="133">
          <cell r="E133">
            <v>0.22399616704541092</v>
          </cell>
          <cell r="F133">
            <v>1.8092360872777621E-3</v>
          </cell>
        </row>
        <row r="134">
          <cell r="E134">
            <v>0.21831901868126299</v>
          </cell>
          <cell r="F134">
            <v>0.69328026042796631</v>
          </cell>
        </row>
      </sheetData>
      <sheetData sheetId="8"/>
      <sheetData sheetId="9">
        <row r="4">
          <cell r="G4">
            <v>93.307358420998597</v>
          </cell>
        </row>
        <row r="5">
          <cell r="G5">
            <v>89.630746931629986</v>
          </cell>
        </row>
        <row r="6">
          <cell r="G6">
            <v>90.685139997904869</v>
          </cell>
        </row>
        <row r="7">
          <cell r="G7">
            <v>93.915913603251454</v>
          </cell>
        </row>
        <row r="8">
          <cell r="G8">
            <v>100.68089256507085</v>
          </cell>
        </row>
        <row r="9">
          <cell r="G9">
            <v>111.56534761287313</v>
          </cell>
        </row>
        <row r="10">
          <cell r="G10">
            <v>126.1357338423029</v>
          </cell>
        </row>
        <row r="11">
          <cell r="G11">
            <v>142.01976621931055</v>
          </cell>
        </row>
      </sheetData>
      <sheetData sheetId="10">
        <row r="4">
          <cell r="B4">
            <v>0</v>
          </cell>
          <cell r="C4">
            <v>849</v>
          </cell>
          <cell r="D4">
            <v>2</v>
          </cell>
          <cell r="E4">
            <v>909</v>
          </cell>
          <cell r="F4">
            <v>1</v>
          </cell>
          <cell r="G4">
            <v>857</v>
          </cell>
          <cell r="H4">
            <v>2</v>
          </cell>
          <cell r="I4">
            <v>762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>
        <row r="5">
          <cell r="V5">
            <v>203.95066546168559</v>
          </cell>
        </row>
        <row r="6">
          <cell r="V6">
            <v>196.62545784083605</v>
          </cell>
          <cell r="W6">
            <v>32.527116804037405</v>
          </cell>
        </row>
        <row r="7">
          <cell r="V7">
            <v>189.55571517230348</v>
          </cell>
          <cell r="W7">
            <v>26.998302120794893</v>
          </cell>
        </row>
        <row r="8">
          <cell r="V8">
            <v>181.07386173694636</v>
          </cell>
          <cell r="W8">
            <v>28.802918186877985</v>
          </cell>
        </row>
        <row r="9">
          <cell r="V9">
            <v>174.51851264445517</v>
          </cell>
          <cell r="W9">
            <v>24.164098087457592</v>
          </cell>
        </row>
        <row r="10">
          <cell r="V10">
            <v>169.09672532970737</v>
          </cell>
          <cell r="W10">
            <v>24.138396697168229</v>
          </cell>
        </row>
        <row r="11">
          <cell r="V11">
            <v>164.18016273632483</v>
          </cell>
          <cell r="W11">
            <v>23.488997349206983</v>
          </cell>
        </row>
        <row r="12">
          <cell r="V12">
            <v>157.69649130028651</v>
          </cell>
          <cell r="W12">
            <v>22.59871420955821</v>
          </cell>
        </row>
        <row r="13">
          <cell r="V13">
            <v>152.14944269540482</v>
          </cell>
          <cell r="W13">
            <v>19.601556763681948</v>
          </cell>
        </row>
      </sheetData>
      <sheetData sheetId="4"/>
      <sheetData sheetId="5">
        <row r="24">
          <cell r="B24">
            <v>20.307231117807369</v>
          </cell>
        </row>
        <row r="25">
          <cell r="B25">
            <v>18.450683290453902</v>
          </cell>
          <cell r="F25">
            <v>1017.1910420455364</v>
          </cell>
        </row>
        <row r="26">
          <cell r="B26">
            <v>16.814538636183251</v>
          </cell>
          <cell r="F26">
            <v>893.82820123147872</v>
          </cell>
        </row>
        <row r="27">
          <cell r="B27">
            <v>15.32591215231964</v>
          </cell>
          <cell r="F27">
            <v>811.14972979930599</v>
          </cell>
        </row>
        <row r="28">
          <cell r="B28">
            <v>13.911918836187294</v>
          </cell>
          <cell r="F28">
            <v>768.66455782115099</v>
          </cell>
        </row>
        <row r="29">
          <cell r="B29">
            <v>12.499673685110434</v>
          </cell>
          <cell r="F29">
            <v>765.97030936820875</v>
          </cell>
        </row>
        <row r="30">
          <cell r="B30">
            <v>11.016291696413294</v>
          </cell>
          <cell r="F30">
            <v>802.7022661147422</v>
          </cell>
        </row>
        <row r="31">
          <cell r="B31">
            <v>9.3888878674200917</v>
          </cell>
          <cell r="F31">
            <v>878.48698697374778</v>
          </cell>
        </row>
        <row r="32">
          <cell r="B32">
            <v>7.5445771954550587</v>
          </cell>
          <cell r="F32">
            <v>992.90065964370933</v>
          </cell>
        </row>
      </sheetData>
      <sheetData sheetId="6"/>
      <sheetData sheetId="7">
        <row r="15">
          <cell r="F15">
            <v>540</v>
          </cell>
        </row>
        <row r="16">
          <cell r="F16">
            <v>0.32833333333333337</v>
          </cell>
        </row>
        <row r="18">
          <cell r="G18">
            <v>294.04141183733554</v>
          </cell>
        </row>
        <row r="19">
          <cell r="G19">
            <v>264.15326847097577</v>
          </cell>
        </row>
        <row r="20">
          <cell r="G20">
            <v>248.21072939711442</v>
          </cell>
        </row>
        <row r="21">
          <cell r="G21">
            <v>244.876983984677</v>
          </cell>
        </row>
        <row r="22">
          <cell r="G22">
            <v>252.57498104421501</v>
          </cell>
        </row>
        <row r="23">
          <cell r="G23">
            <v>272.64925653121384</v>
          </cell>
        </row>
        <row r="24">
          <cell r="G24">
            <v>307.6748183940403</v>
          </cell>
        </row>
        <row r="25">
          <cell r="G25">
            <v>357.12075100900114</v>
          </cell>
        </row>
        <row r="26">
          <cell r="D26">
            <v>21112.640472073927</v>
          </cell>
        </row>
        <row r="27">
          <cell r="D27">
            <v>13372.693271625205</v>
          </cell>
        </row>
        <row r="29">
          <cell r="D29">
            <v>8827.8187164002338</v>
          </cell>
        </row>
        <row r="127">
          <cell r="E127">
            <v>0.4240356875818061</v>
          </cell>
          <cell r="F127">
            <v>0</v>
          </cell>
        </row>
        <row r="128">
          <cell r="E128">
            <v>0.47085745282071462</v>
          </cell>
          <cell r="F128">
            <v>1.1358630741698843</v>
          </cell>
        </row>
        <row r="129">
          <cell r="E129">
            <v>0.48666265240236944</v>
          </cell>
          <cell r="F129">
            <v>0</v>
          </cell>
        </row>
        <row r="130">
          <cell r="E130">
            <v>0.43281984312933858</v>
          </cell>
          <cell r="F130">
            <v>1.1727097150941972</v>
          </cell>
        </row>
        <row r="131">
          <cell r="E131">
            <v>0.30549103308631048</v>
          </cell>
          <cell r="F131">
            <v>0</v>
          </cell>
        </row>
        <row r="132">
          <cell r="E132">
            <v>0.32823122101847624</v>
          </cell>
          <cell r="F132">
            <v>1.1141916450368843</v>
          </cell>
        </row>
        <row r="133">
          <cell r="E133">
            <v>0.35782791226897537</v>
          </cell>
          <cell r="F133">
            <v>0</v>
          </cell>
        </row>
        <row r="134">
          <cell r="E134">
            <v>0.34932765342283217</v>
          </cell>
          <cell r="F134">
            <v>1.0347999895741029</v>
          </cell>
        </row>
      </sheetData>
      <sheetData sheetId="8"/>
      <sheetData sheetId="9">
        <row r="4">
          <cell r="G4">
            <v>142.99711264757735</v>
          </cell>
        </row>
        <row r="5">
          <cell r="G5">
            <v>130.79881922989691</v>
          </cell>
        </row>
        <row r="6">
          <cell r="G6">
            <v>125.55530713515169</v>
          </cell>
        </row>
        <row r="7">
          <cell r="G7">
            <v>125.9675772319078</v>
          </cell>
        </row>
        <row r="8">
          <cell r="G8">
            <v>131.72540225053214</v>
          </cell>
        </row>
        <row r="9">
          <cell r="G9">
            <v>143.99380510995752</v>
          </cell>
        </row>
        <row r="10">
          <cell r="G10">
            <v>165.19495095141602</v>
          </cell>
        </row>
        <row r="11">
          <cell r="G11">
            <v>194.45081897292042</v>
          </cell>
        </row>
      </sheetData>
      <sheetData sheetId="10">
        <row r="4">
          <cell r="B4">
            <v>0</v>
          </cell>
          <cell r="C4">
            <v>756</v>
          </cell>
          <cell r="D4">
            <v>0</v>
          </cell>
          <cell r="E4">
            <v>778</v>
          </cell>
          <cell r="F4">
            <v>0</v>
          </cell>
          <cell r="G4">
            <v>738</v>
          </cell>
          <cell r="H4">
            <v>0</v>
          </cell>
          <cell r="I4">
            <v>683</v>
          </cell>
        </row>
      </sheetData>
      <sheetData sheetId="1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83.662503378285749</v>
          </cell>
        </row>
        <row r="6">
          <cell r="V6">
            <v>81.190273170501143</v>
          </cell>
          <cell r="W6">
            <v>28.768422363150279</v>
          </cell>
        </row>
        <row r="7">
          <cell r="V7">
            <v>79.380699559058613</v>
          </cell>
          <cell r="W7">
            <v>23.819572525952015</v>
          </cell>
        </row>
        <row r="8">
          <cell r="V8">
            <v>76.75037317843001</v>
          </cell>
          <cell r="W8">
            <v>25.375130520345763</v>
          </cell>
        </row>
        <row r="9">
          <cell r="V9">
            <v>75.232464666997501</v>
          </cell>
          <cell r="W9">
            <v>20.873276816868508</v>
          </cell>
        </row>
        <row r="10">
          <cell r="V10">
            <v>73.132756565253089</v>
          </cell>
          <cell r="W10">
            <v>20.975841597589962</v>
          </cell>
        </row>
        <row r="11">
          <cell r="V11">
            <v>71.191735978672412</v>
          </cell>
          <cell r="W11">
            <v>20.730382489411625</v>
          </cell>
        </row>
        <row r="12">
          <cell r="V12">
            <v>68.733860983815077</v>
          </cell>
          <cell r="W12">
            <v>19.577072651602197</v>
          </cell>
        </row>
        <row r="13">
          <cell r="V13">
            <v>66.970341355971115</v>
          </cell>
          <cell r="W13">
            <v>13.456869320690563</v>
          </cell>
        </row>
      </sheetData>
      <sheetData sheetId="4"/>
      <sheetData sheetId="5">
        <row r="24">
          <cell r="B24">
            <v>18.174532179368793</v>
          </cell>
        </row>
        <row r="25">
          <cell r="B25">
            <v>16.629947875275338</v>
          </cell>
          <cell r="F25">
            <v>679.85058965090252</v>
          </cell>
        </row>
        <row r="26">
          <cell r="B26">
            <v>15.239598667227174</v>
          </cell>
          <cell r="F26">
            <v>610.48921628182075</v>
          </cell>
        </row>
        <row r="27">
          <cell r="B27">
            <v>13.952879603018509</v>
          </cell>
          <cell r="F27">
            <v>563.75750821886697</v>
          </cell>
        </row>
        <row r="28">
          <cell r="B28">
            <v>12.719185730443552</v>
          </cell>
          <cell r="F28">
            <v>539.42969513265996</v>
          </cell>
        </row>
        <row r="29">
          <cell r="B29">
            <v>11.487912097296508</v>
          </cell>
          <cell r="F29">
            <v>537.31479525365376</v>
          </cell>
        </row>
        <row r="30">
          <cell r="B30">
            <v>10.208453751371589</v>
          </cell>
          <cell r="F30">
            <v>557.23720143567868</v>
          </cell>
        </row>
        <row r="31">
          <cell r="B31">
            <v>8.8302057404630023</v>
          </cell>
          <cell r="F31">
            <v>599.01883393245987</v>
          </cell>
        </row>
        <row r="32">
          <cell r="B32">
            <v>7.3025631123649575</v>
          </cell>
          <cell r="F32">
            <v>662.46287551962871</v>
          </cell>
        </row>
      </sheetData>
      <sheetData sheetId="6"/>
      <sheetData sheetId="7">
        <row r="15">
          <cell r="F15">
            <v>550</v>
          </cell>
        </row>
        <row r="16">
          <cell r="F16">
            <v>0.33490909090909093</v>
          </cell>
        </row>
        <row r="18">
          <cell r="G18">
            <v>614.96142391981664</v>
          </cell>
        </row>
        <row r="19">
          <cell r="G19">
            <v>535.38927479531026</v>
          </cell>
        </row>
        <row r="20">
          <cell r="G20">
            <v>497.31336950572745</v>
          </cell>
        </row>
        <row r="21">
          <cell r="G21">
            <v>487.33094544545753</v>
          </cell>
        </row>
        <row r="22">
          <cell r="G22">
            <v>497.79540928882648</v>
          </cell>
        </row>
        <row r="23">
          <cell r="G23">
            <v>526.68834152032503</v>
          </cell>
        </row>
        <row r="24">
          <cell r="G24">
            <v>565.02041332672388</v>
          </cell>
        </row>
        <row r="25">
          <cell r="G25">
            <v>597.79975961894127</v>
          </cell>
        </row>
        <row r="26">
          <cell r="D26">
            <v>14375.013212651764</v>
          </cell>
        </row>
        <row r="27">
          <cell r="D27">
            <v>13688.898301414423</v>
          </cell>
        </row>
        <row r="29">
          <cell r="D29">
            <v>2218.0340446302876</v>
          </cell>
        </row>
        <row r="127">
          <cell r="E127">
            <v>0.11054969096535723</v>
          </cell>
          <cell r="F127">
            <v>2.5075738449183805E-2</v>
          </cell>
        </row>
        <row r="128">
          <cell r="E128">
            <v>0.10575310200600224</v>
          </cell>
          <cell r="F128">
            <v>1.1636243508497741</v>
          </cell>
        </row>
        <row r="129">
          <cell r="E129">
            <v>0.11491375268712296</v>
          </cell>
          <cell r="F129">
            <v>2.5212609465265611E-2</v>
          </cell>
        </row>
        <row r="130">
          <cell r="E130">
            <v>8.9816786221915981E-2</v>
          </cell>
          <cell r="F130">
            <v>1.1398500838305776</v>
          </cell>
        </row>
        <row r="131">
          <cell r="E131">
            <v>8.9698602165103225E-2</v>
          </cell>
          <cell r="F131">
            <v>2.078772891447191E-2</v>
          </cell>
        </row>
        <row r="132">
          <cell r="E132">
            <v>0.10440942766284307</v>
          </cell>
          <cell r="F132">
            <v>1.1087091965935472</v>
          </cell>
        </row>
        <row r="133">
          <cell r="E133">
            <v>0.10256263434367956</v>
          </cell>
          <cell r="F133">
            <v>1.9362324417390074E-2</v>
          </cell>
        </row>
        <row r="134">
          <cell r="E134">
            <v>9.3173369191324532E-2</v>
          </cell>
          <cell r="F134">
            <v>1.0603440679512646</v>
          </cell>
        </row>
      </sheetData>
      <sheetData sheetId="8"/>
      <sheetData sheetId="9">
        <row r="4">
          <cell r="L4">
            <v>405.79063074121314</v>
          </cell>
        </row>
        <row r="5">
          <cell r="L5">
            <v>354.24473558144251</v>
          </cell>
        </row>
        <row r="6">
          <cell r="L6">
            <v>331.4509407979366</v>
          </cell>
        </row>
        <row r="7">
          <cell r="L7">
            <v>325.37691894813236</v>
          </cell>
        </row>
        <row r="8">
          <cell r="L8">
            <v>334.28855599249601</v>
          </cell>
        </row>
        <row r="9">
          <cell r="L9">
            <v>354.70398577753809</v>
          </cell>
        </row>
        <row r="10">
          <cell r="L10">
            <v>383.09661498368575</v>
          </cell>
        </row>
        <row r="11">
          <cell r="L11">
            <v>406.26730962243653</v>
          </cell>
        </row>
      </sheetData>
      <sheetData sheetId="10">
        <row r="4">
          <cell r="B4">
            <v>17</v>
          </cell>
          <cell r="C4">
            <v>786</v>
          </cell>
          <cell r="D4">
            <v>17</v>
          </cell>
          <cell r="E4">
            <v>768</v>
          </cell>
          <cell r="F4">
            <v>14</v>
          </cell>
          <cell r="G4">
            <v>746</v>
          </cell>
          <cell r="H4">
            <v>13</v>
          </cell>
          <cell r="I4">
            <v>709</v>
          </cell>
        </row>
      </sheetData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84.311887758675709</v>
          </cell>
        </row>
        <row r="6">
          <cell r="V6">
            <v>81.89191791245301</v>
          </cell>
          <cell r="W6">
            <v>27.762768173703723</v>
          </cell>
        </row>
        <row r="7">
          <cell r="V7">
            <v>79.717498271011209</v>
          </cell>
          <cell r="W7">
            <v>22.583883403093939</v>
          </cell>
        </row>
        <row r="8">
          <cell r="V8">
            <v>76.881323623504372</v>
          </cell>
          <cell r="W8">
            <v>24.195115538929642</v>
          </cell>
        </row>
        <row r="9">
          <cell r="V9">
            <v>75.155442088181829</v>
          </cell>
          <cell r="W9">
            <v>20.037186767218476</v>
          </cell>
        </row>
        <row r="10">
          <cell r="V10">
            <v>73.004145888468429</v>
          </cell>
          <cell r="W10">
            <v>20.673507786245704</v>
          </cell>
        </row>
        <row r="11">
          <cell r="V11">
            <v>71.060259854354513</v>
          </cell>
          <cell r="W11">
            <v>20.522676828478499</v>
          </cell>
        </row>
        <row r="12">
          <cell r="V12">
            <v>68.807401379727537</v>
          </cell>
          <cell r="W12">
            <v>19.393280498669039</v>
          </cell>
        </row>
        <row r="13">
          <cell r="V13">
            <v>66.939634263180949</v>
          </cell>
          <cell r="W13">
            <v>13.086768027863036</v>
          </cell>
        </row>
      </sheetData>
      <sheetData sheetId="4"/>
      <sheetData sheetId="5">
        <row r="24">
          <cell r="B24">
            <v>17.334565876236468</v>
          </cell>
        </row>
        <row r="25">
          <cell r="B25">
            <v>15.914534388115591</v>
          </cell>
          <cell r="F25">
            <v>624.22782592396231</v>
          </cell>
        </row>
        <row r="26">
          <cell r="B26">
            <v>14.617789892229071</v>
          </cell>
          <cell r="F26">
            <v>568.76780368609707</v>
          </cell>
        </row>
        <row r="27">
          <cell r="B27">
            <v>13.403214064987484</v>
          </cell>
          <cell r="F27">
            <v>531.64604045285944</v>
          </cell>
        </row>
        <row r="28">
          <cell r="B28">
            <v>12.229688582801401</v>
          </cell>
          <cell r="F28">
            <v>512.69517894007083</v>
          </cell>
        </row>
        <row r="29">
          <cell r="B29">
            <v>11.056095122081395</v>
          </cell>
          <cell r="F29">
            <v>511.77042781794643</v>
          </cell>
        </row>
        <row r="30">
          <cell r="B30">
            <v>9.8413153592380347</v>
          </cell>
          <cell r="F30">
            <v>528.73690308500932</v>
          </cell>
        </row>
        <row r="31">
          <cell r="B31">
            <v>8.5442309706818929</v>
          </cell>
          <cell r="F31">
            <v>563.45794516661999</v>
          </cell>
        </row>
        <row r="32">
          <cell r="B32">
            <v>7.1237236328235412</v>
          </cell>
          <cell r="F32">
            <v>615.78442782173499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0.30913761467889916</v>
          </cell>
        </row>
        <row r="18">
          <cell r="G18">
            <v>547.38799389226381</v>
          </cell>
        </row>
        <row r="19">
          <cell r="G19">
            <v>483.46772516152402</v>
          </cell>
        </row>
        <row r="20">
          <cell r="G20">
            <v>457.71320764087295</v>
          </cell>
        </row>
        <row r="21">
          <cell r="G21">
            <v>456.06107827056661</v>
          </cell>
        </row>
        <row r="22">
          <cell r="G22">
            <v>471.04378610573775</v>
          </cell>
        </row>
        <row r="23">
          <cell r="G23">
            <v>499.41643234332514</v>
          </cell>
        </row>
        <row r="24">
          <cell r="G24">
            <v>530.68393103872779</v>
          </cell>
        </row>
        <row r="25">
          <cell r="G25">
            <v>551.25153717487558</v>
          </cell>
        </row>
        <row r="26">
          <cell r="D26">
            <v>13479.335977109926</v>
          </cell>
        </row>
        <row r="27">
          <cell r="D27">
            <v>12642.068811767718</v>
          </cell>
        </row>
        <row r="29">
          <cell r="D29">
            <v>2276.1853196246348</v>
          </cell>
        </row>
        <row r="127">
          <cell r="E127">
            <v>0.10816499060668443</v>
          </cell>
          <cell r="F127">
            <v>2.0860388566343323E-2</v>
          </cell>
        </row>
        <row r="128">
          <cell r="E128">
            <v>0.12024771763230314</v>
          </cell>
          <cell r="F128">
            <v>1.088922329707503</v>
          </cell>
        </row>
        <row r="129">
          <cell r="E129">
            <v>0.12396394476792023</v>
          </cell>
          <cell r="F129">
            <v>2.0975989823127258E-2</v>
          </cell>
        </row>
        <row r="130">
          <cell r="E130">
            <v>9.8238216147821578E-2</v>
          </cell>
          <cell r="F130">
            <v>1.113713056710268</v>
          </cell>
        </row>
        <row r="131">
          <cell r="E131">
            <v>9.2047256140240064E-2</v>
          </cell>
          <cell r="F131">
            <v>1.9488154337972838E-2</v>
          </cell>
        </row>
        <row r="132">
          <cell r="E132">
            <v>0.10275059487203593</v>
          </cell>
          <cell r="F132">
            <v>1.014048278096513</v>
          </cell>
        </row>
        <row r="133">
          <cell r="E133">
            <v>9.4405672301765997E-2</v>
          </cell>
          <cell r="F133">
            <v>1.9541890457635588E-2</v>
          </cell>
        </row>
        <row r="134">
          <cell r="E134">
            <v>9.4996330430928921E-2</v>
          </cell>
          <cell r="F134">
            <v>0.91647284955654273</v>
          </cell>
        </row>
      </sheetData>
      <sheetData sheetId="8"/>
      <sheetData sheetId="9">
        <row r="4">
          <cell r="I4">
            <v>360.497065387725</v>
          </cell>
        </row>
        <row r="5">
          <cell r="I5">
            <v>319.65655166100527</v>
          </cell>
        </row>
        <row r="6">
          <cell r="I6">
            <v>305.01379704728572</v>
          </cell>
        </row>
        <row r="7">
          <cell r="I7">
            <v>304.66488628526218</v>
          </cell>
        </row>
        <row r="8">
          <cell r="I8">
            <v>316.5449194545136</v>
          </cell>
        </row>
        <row r="9">
          <cell r="I9">
            <v>336.66752739893775</v>
          </cell>
        </row>
        <row r="10">
          <cell r="I10">
            <v>359.96918134517284</v>
          </cell>
        </row>
        <row r="11">
          <cell r="I11">
            <v>375.05680128366248</v>
          </cell>
        </row>
      </sheetData>
      <sheetData sheetId="10">
        <row r="4">
          <cell r="B4">
            <v>14</v>
          </cell>
          <cell r="C4">
            <v>728</v>
          </cell>
          <cell r="D4">
            <v>14</v>
          </cell>
          <cell r="E4">
            <v>743</v>
          </cell>
          <cell r="F4">
            <v>13</v>
          </cell>
          <cell r="G4">
            <v>676</v>
          </cell>
          <cell r="H4">
            <v>13</v>
          </cell>
          <cell r="I4">
            <v>607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143.44744629335733</v>
          </cell>
        </row>
        <row r="6">
          <cell r="V6">
            <v>138.84364415244622</v>
          </cell>
          <cell r="W6">
            <v>31.094825457541152</v>
          </cell>
        </row>
        <row r="7">
          <cell r="V7">
            <v>134.06348817032</v>
          </cell>
          <cell r="W7">
            <v>25.469379084934406</v>
          </cell>
        </row>
        <row r="8">
          <cell r="V8">
            <v>128.42007270329734</v>
          </cell>
          <cell r="W8">
            <v>27.187864893644463</v>
          </cell>
        </row>
        <row r="9">
          <cell r="V9">
            <v>124.7700362987274</v>
          </cell>
          <cell r="W9">
            <v>22.752795911006402</v>
          </cell>
        </row>
        <row r="10">
          <cell r="V10">
            <v>120.45413693087994</v>
          </cell>
          <cell r="W10">
            <v>22.95282933019514</v>
          </cell>
        </row>
        <row r="11">
          <cell r="V11">
            <v>116.28665152452616</v>
          </cell>
          <cell r="W11">
            <v>22.58789771036081</v>
          </cell>
        </row>
        <row r="12">
          <cell r="V12">
            <v>112.44317511679976</v>
          </cell>
          <cell r="W12">
            <v>21.281411660956454</v>
          </cell>
        </row>
        <row r="13">
          <cell r="V13">
            <v>109.01484833667973</v>
          </cell>
          <cell r="W13">
            <v>14.429519966613578</v>
          </cell>
        </row>
      </sheetData>
      <sheetData sheetId="4"/>
      <sheetData sheetId="5">
        <row r="24">
          <cell r="B24">
            <v>19.445363920912289</v>
          </cell>
        </row>
        <row r="25">
          <cell r="B25">
            <v>17.805427598105844</v>
          </cell>
          <cell r="F25">
            <v>807.64118714922176</v>
          </cell>
        </row>
        <row r="26">
          <cell r="B26">
            <v>16.286014457068724</v>
          </cell>
          <cell r="F26">
            <v>746.32774787777362</v>
          </cell>
        </row>
        <row r="27">
          <cell r="B27">
            <v>14.843910694792953</v>
          </cell>
          <cell r="F27">
            <v>706.63619738264765</v>
          </cell>
        </row>
        <row r="28">
          <cell r="B28">
            <v>13.435902508270557</v>
          </cell>
          <cell r="F28">
            <v>688.33707559700997</v>
          </cell>
        </row>
        <row r="29">
          <cell r="B29">
            <v>12.018776094493559</v>
          </cell>
          <cell r="F29">
            <v>691.22758082431778</v>
          </cell>
        </row>
        <row r="30">
          <cell r="B30">
            <v>10.549317650453981</v>
          </cell>
          <cell r="F30">
            <v>715.11585520860524</v>
          </cell>
        </row>
        <row r="31">
          <cell r="B31">
            <v>8.9843133731438449</v>
          </cell>
          <cell r="F31">
            <v>759.80668972347678</v>
          </cell>
        </row>
        <row r="32">
          <cell r="B32">
            <v>7.2805494595551785</v>
          </cell>
          <cell r="F32">
            <v>825.08871292155243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0.33809174311926593</v>
          </cell>
        </row>
        <row r="18">
          <cell r="G18">
            <v>356.25135319849812</v>
          </cell>
        </row>
        <row r="19">
          <cell r="G19">
            <v>330.4704772426071</v>
          </cell>
        </row>
        <row r="20">
          <cell r="G20">
            <v>322.35735424587438</v>
          </cell>
        </row>
        <row r="21">
          <cell r="G21">
            <v>326.15029664437577</v>
          </cell>
        </row>
        <row r="22">
          <cell r="G22">
            <v>339.56961057172049</v>
          </cell>
        </row>
        <row r="23">
          <cell r="G23">
            <v>363.29369221559637</v>
          </cell>
        </row>
        <row r="24">
          <cell r="G24">
            <v>391.82808041216822</v>
          </cell>
        </row>
        <row r="25">
          <cell r="G25">
            <v>418.72957246540329</v>
          </cell>
        </row>
        <row r="26">
          <cell r="D26">
            <v>18009.201001568425</v>
          </cell>
        </row>
        <row r="27">
          <cell r="D27">
            <v>13798.532474144589</v>
          </cell>
        </row>
        <row r="29">
          <cell r="D29">
            <v>5188.599947904243</v>
          </cell>
        </row>
        <row r="127">
          <cell r="E127">
            <v>0.23786013793813154</v>
          </cell>
          <cell r="F127">
            <v>7.426725166724938E-3</v>
          </cell>
        </row>
        <row r="128">
          <cell r="E128">
            <v>0.28583972037099625</v>
          </cell>
          <cell r="F128">
            <v>1.0947148838340657</v>
          </cell>
        </row>
        <row r="129">
          <cell r="E129">
            <v>0.28467235573994232</v>
          </cell>
          <cell r="F129">
            <v>8.965557920857856E-3</v>
          </cell>
        </row>
        <row r="130">
          <cell r="E130">
            <v>0.22623497329241635</v>
          </cell>
          <cell r="F130">
            <v>1.2395395388152768</v>
          </cell>
        </row>
        <row r="131">
          <cell r="E131">
            <v>0.21218487500564373</v>
          </cell>
          <cell r="F131">
            <v>5.982828752904925E-3</v>
          </cell>
        </row>
        <row r="132">
          <cell r="E132">
            <v>0.24155139271750137</v>
          </cell>
          <cell r="F132">
            <v>1.1617388605369754</v>
          </cell>
        </row>
        <row r="133">
          <cell r="E133">
            <v>0.18457477002905687</v>
          </cell>
          <cell r="F133">
            <v>9.0043210281588962E-3</v>
          </cell>
        </row>
        <row r="134">
          <cell r="E134">
            <v>0.19675677205338174</v>
          </cell>
          <cell r="F134">
            <v>1.0721381086598987</v>
          </cell>
        </row>
      </sheetData>
      <sheetData sheetId="8"/>
      <sheetData sheetId="9">
        <row r="4">
          <cell r="G4">
            <v>200.99392916016933</v>
          </cell>
        </row>
        <row r="5">
          <cell r="G5">
            <v>188.74219155054706</v>
          </cell>
        </row>
        <row r="6">
          <cell r="G6">
            <v>186.88057388705792</v>
          </cell>
        </row>
        <row r="7">
          <cell r="G7">
            <v>190.79028481021675</v>
          </cell>
        </row>
        <row r="8">
          <cell r="G8">
            <v>200.92792599648854</v>
          </cell>
        </row>
        <row r="9">
          <cell r="G9">
            <v>217.15939178341731</v>
          </cell>
        </row>
        <row r="10">
          <cell r="G10">
            <v>236.61960734686451</v>
          </cell>
        </row>
        <row r="11">
          <cell r="G11">
            <v>254.90631711920253</v>
          </cell>
        </row>
      </sheetData>
      <sheetData sheetId="10">
        <row r="4">
          <cell r="B4">
            <v>5</v>
          </cell>
          <cell r="C4">
            <v>734</v>
          </cell>
          <cell r="D4">
            <v>6</v>
          </cell>
          <cell r="E4">
            <v>829</v>
          </cell>
          <cell r="F4">
            <v>4</v>
          </cell>
          <cell r="G4">
            <v>776</v>
          </cell>
          <cell r="H4">
            <v>6</v>
          </cell>
          <cell r="I4">
            <v>711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84.482659202118114</v>
          </cell>
        </row>
        <row r="6">
          <cell r="V6">
            <v>80.657519165647344</v>
          </cell>
          <cell r="W6">
            <v>43.687890795193404</v>
          </cell>
        </row>
        <row r="7">
          <cell r="V7">
            <v>77.380558889504272</v>
          </cell>
          <cell r="W7">
            <v>32.909754380426406</v>
          </cell>
        </row>
        <row r="8">
          <cell r="V8">
            <v>73.277657376822276</v>
          </cell>
          <cell r="W8">
            <v>36.350712356409502</v>
          </cell>
        </row>
        <row r="9">
          <cell r="V9">
            <v>71.61322142311576</v>
          </cell>
          <cell r="W9">
            <v>30.196963279519014</v>
          </cell>
        </row>
        <row r="10">
          <cell r="V10">
            <v>68.493071673515189</v>
          </cell>
          <cell r="W10">
            <v>31.078076298315256</v>
          </cell>
        </row>
        <row r="11">
          <cell r="V11">
            <v>65.633933389483857</v>
          </cell>
          <cell r="W11">
            <v>29.70422391208179</v>
          </cell>
        </row>
        <row r="12">
          <cell r="V12">
            <v>62.403884329476234</v>
          </cell>
          <cell r="W12">
            <v>29.518920726202765</v>
          </cell>
        </row>
        <row r="13">
          <cell r="V13">
            <v>59.784380244762673</v>
          </cell>
          <cell r="W13">
            <v>25.167479983864418</v>
          </cell>
        </row>
      </sheetData>
      <sheetData sheetId="4"/>
      <sheetData sheetId="5">
        <row r="24">
          <cell r="B24">
            <v>35.455755921843405</v>
          </cell>
        </row>
        <row r="25">
          <cell r="B25">
            <v>31.829285587545129</v>
          </cell>
          <cell r="F25">
            <v>187.44162277077993</v>
          </cell>
        </row>
        <row r="26">
          <cell r="B26">
            <v>28.505858229761323</v>
          </cell>
          <cell r="F26">
            <v>170.69600367514352</v>
          </cell>
        </row>
        <row r="27">
          <cell r="B27">
            <v>25.387102925878107</v>
          </cell>
          <cell r="F27">
            <v>159.26647334593008</v>
          </cell>
        </row>
        <row r="28">
          <cell r="B28">
            <v>22.374648753281605</v>
          </cell>
          <cell r="F28">
            <v>153.01583641456236</v>
          </cell>
        </row>
        <row r="29">
          <cell r="B29">
            <v>19.370124789357934</v>
          </cell>
          <cell r="F29">
            <v>151.8285959820812</v>
          </cell>
        </row>
        <row r="30">
          <cell r="B30">
            <v>16.275160111493225</v>
          </cell>
          <cell r="F30">
            <v>155.60110366295933</v>
          </cell>
        </row>
        <row r="31">
          <cell r="B31">
            <v>12.991383797073603</v>
          </cell>
          <cell r="F31">
            <v>164.23323531454713</v>
          </cell>
        </row>
        <row r="32">
          <cell r="B32">
            <v>9.4204249234851787</v>
          </cell>
          <cell r="F32">
            <v>177.62165998087875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8.5648351648351662E-2</v>
          </cell>
        </row>
        <row r="18">
          <cell r="G18">
            <v>228.60125211925808</v>
          </cell>
        </row>
        <row r="19">
          <cell r="G19">
            <v>193.72845235215615</v>
          </cell>
        </row>
        <row r="20">
          <cell r="G20">
            <v>181.80584862741208</v>
          </cell>
        </row>
        <row r="21">
          <cell r="G21">
            <v>180.95765982920528</v>
          </cell>
        </row>
        <row r="22">
          <cell r="G22">
            <v>188.66039840531568</v>
          </cell>
        </row>
        <row r="23">
          <cell r="G23">
            <v>206.74512677329409</v>
          </cell>
        </row>
        <row r="24">
          <cell r="G24">
            <v>227.5489725858466</v>
          </cell>
        </row>
        <row r="25">
          <cell r="G25">
            <v>240.94289703271517</v>
          </cell>
        </row>
        <row r="26">
          <cell r="D26">
            <v>4133.7863304909542</v>
          </cell>
        </row>
        <row r="27">
          <cell r="D27">
            <v>3462.866029800216</v>
          </cell>
        </row>
        <row r="29">
          <cell r="D29">
            <v>981.76116655213707</v>
          </cell>
        </row>
        <row r="127">
          <cell r="E127">
            <v>5.883742164067287E-2</v>
          </cell>
          <cell r="F127">
            <v>0.20841278234932284</v>
          </cell>
        </row>
        <row r="128">
          <cell r="E128">
            <v>4.7167030022358968E-2</v>
          </cell>
          <cell r="F128">
            <v>7.3459944499649626E-2</v>
          </cell>
        </row>
        <row r="129">
          <cell r="E129">
            <v>5.7167068601956868E-2</v>
          </cell>
          <cell r="F129">
            <v>2.7528962641231908E-2</v>
          </cell>
        </row>
        <row r="130">
          <cell r="E130">
            <v>2.8451015977480551E-2</v>
          </cell>
          <cell r="F130">
            <v>0.2472081242545571</v>
          </cell>
        </row>
        <row r="131">
          <cell r="E131">
            <v>4.2508248299569763E-2</v>
          </cell>
          <cell r="F131">
            <v>1.156464623004741E-2</v>
          </cell>
        </row>
        <row r="132">
          <cell r="E132">
            <v>4.4643753043668306E-2</v>
          </cell>
          <cell r="F132">
            <v>0.29636271352384164</v>
          </cell>
        </row>
        <row r="133">
          <cell r="E133">
            <v>4.3130351773934018E-2</v>
          </cell>
          <cell r="F133">
            <v>1.2478191177552542E-2</v>
          </cell>
        </row>
        <row r="134">
          <cell r="E134">
            <v>3.9846371044127145E-2</v>
          </cell>
          <cell r="F134">
            <v>0.277273311923869</v>
          </cell>
        </row>
      </sheetData>
      <sheetData sheetId="8"/>
      <sheetData sheetId="9">
        <row r="4">
          <cell r="M4">
            <v>147.66027373636746</v>
          </cell>
        </row>
        <row r="5">
          <cell r="M5">
            <v>126.13246763072958</v>
          </cell>
        </row>
        <row r="6">
          <cell r="M6">
            <v>119.6112668038357</v>
          </cell>
        </row>
        <row r="7">
          <cell r="M7">
            <v>119.35402218249901</v>
          </cell>
        </row>
        <row r="8">
          <cell r="M8">
            <v>125.43720577737007</v>
          </cell>
        </row>
        <row r="9">
          <cell r="M9">
            <v>138.17202637123961</v>
          </cell>
        </row>
        <row r="10">
          <cell r="M10">
            <v>153.3500075809842</v>
          </cell>
        </row>
        <row r="11">
          <cell r="M11">
            <v>163.12287982760913</v>
          </cell>
        </row>
      </sheetData>
      <sheetData sheetId="10">
        <row r="4">
          <cell r="B4">
            <v>237</v>
          </cell>
          <cell r="C4">
            <v>83</v>
          </cell>
          <cell r="D4">
            <v>31</v>
          </cell>
          <cell r="E4">
            <v>278</v>
          </cell>
          <cell r="F4">
            <v>13</v>
          </cell>
          <cell r="G4">
            <v>333</v>
          </cell>
          <cell r="H4">
            <v>14</v>
          </cell>
          <cell r="I4">
            <v>310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144.77390637913996</v>
          </cell>
        </row>
        <row r="6">
          <cell r="V6">
            <v>135.2658826750073</v>
          </cell>
          <cell r="W6">
            <v>46.565373522008294</v>
          </cell>
        </row>
        <row r="7">
          <cell r="V7">
            <v>128.02920851948136</v>
          </cell>
          <cell r="W7">
            <v>34.705423698425427</v>
          </cell>
        </row>
        <row r="8">
          <cell r="V8">
            <v>119.76154307979776</v>
          </cell>
          <cell r="W8">
            <v>38.98054068001975</v>
          </cell>
        </row>
        <row r="9">
          <cell r="V9">
            <v>114.69146230693877</v>
          </cell>
          <cell r="W9">
            <v>34.601126205619487</v>
          </cell>
        </row>
        <row r="10">
          <cell r="V10">
            <v>108.39868187888777</v>
          </cell>
          <cell r="W10">
            <v>34.313709817848455</v>
          </cell>
        </row>
        <row r="11">
          <cell r="V11">
            <v>103.29053643175375</v>
          </cell>
          <cell r="W11">
            <v>32.148418649408946</v>
          </cell>
        </row>
        <row r="12">
          <cell r="V12">
            <v>96.575178336009984</v>
          </cell>
          <cell r="W12">
            <v>31.002851269242012</v>
          </cell>
        </row>
        <row r="13">
          <cell r="V13">
            <v>91.793737836595767</v>
          </cell>
          <cell r="W13">
            <v>27.273137534965805</v>
          </cell>
        </row>
      </sheetData>
      <sheetData sheetId="4"/>
      <sheetData sheetId="5">
        <row r="24">
          <cell r="B24">
            <v>37.936305840655542</v>
          </cell>
        </row>
        <row r="25">
          <cell r="B25">
            <v>33.613022669807471</v>
          </cell>
          <cell r="F25">
            <v>234.09375186984204</v>
          </cell>
        </row>
        <row r="26">
          <cell r="B26">
            <v>29.77725445594287</v>
          </cell>
          <cell r="F26">
            <v>206.14494770220278</v>
          </cell>
        </row>
        <row r="27">
          <cell r="B27">
            <v>26.282422035904485</v>
          </cell>
          <cell r="F27">
            <v>186.58905026048978</v>
          </cell>
        </row>
        <row r="28">
          <cell r="B28">
            <v>22.98194624653506</v>
          </cell>
          <cell r="F28">
            <v>175.16281632611501</v>
          </cell>
        </row>
        <row r="29">
          <cell r="B29">
            <v>19.729247924677338</v>
          </cell>
          <cell r="F29">
            <v>171.65696999749616</v>
          </cell>
        </row>
        <row r="30">
          <cell r="B30">
            <v>16.377747907174069</v>
          </cell>
          <cell r="F30">
            <v>175.89197075019575</v>
          </cell>
        </row>
        <row r="31">
          <cell r="B31">
            <v>12.780867030868002</v>
          </cell>
          <cell r="F31">
            <v>187.69773645677387</v>
          </cell>
        </row>
        <row r="32">
          <cell r="B32">
            <v>8.7920261326018689</v>
          </cell>
          <cell r="F32">
            <v>206.89735050410889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7.2596685082872939E-2</v>
          </cell>
        </row>
        <row r="18">
          <cell r="G18">
            <v>119.65410634179615</v>
          </cell>
        </row>
        <row r="19">
          <cell r="G19">
            <v>108.15118283391585</v>
          </cell>
        </row>
        <row r="20">
          <cell r="G20">
            <v>102.97828050599124</v>
          </cell>
        </row>
        <row r="21">
          <cell r="G21">
            <v>102.89736673092231</v>
          </cell>
        </row>
        <row r="22">
          <cell r="G22">
            <v>107.52771504305512</v>
          </cell>
        </row>
        <row r="23">
          <cell r="G23">
            <v>117.68164219717755</v>
          </cell>
        </row>
        <row r="24">
          <cell r="G24">
            <v>132.72040604609364</v>
          </cell>
        </row>
        <row r="25">
          <cell r="G25">
            <v>149.48916459586999</v>
          </cell>
        </row>
        <row r="26">
          <cell r="D26">
            <v>4767.5617342710193</v>
          </cell>
        </row>
        <row r="27">
          <cell r="D27">
            <v>2932.3050053548022</v>
          </cell>
        </row>
        <row r="29">
          <cell r="D29">
            <v>2200.8348040524538</v>
          </cell>
        </row>
        <row r="127">
          <cell r="E127">
            <v>0.1482696625824744</v>
          </cell>
          <cell r="F127">
            <v>3.5287505589495726E-3</v>
          </cell>
        </row>
        <row r="128">
          <cell r="E128">
            <v>0.11705939675949224</v>
          </cell>
          <cell r="F128">
            <v>0.19524974960115613</v>
          </cell>
        </row>
        <row r="129">
          <cell r="E129">
            <v>0.12332129708119238</v>
          </cell>
          <cell r="F129">
            <v>4.4513466377340228E-3</v>
          </cell>
        </row>
        <row r="130">
          <cell r="E130">
            <v>8.3619719846022733E-2</v>
          </cell>
          <cell r="F130">
            <v>0.23801293425782385</v>
          </cell>
        </row>
        <row r="131">
          <cell r="E131">
            <v>9.198113480038049E-2</v>
          </cell>
          <cell r="F131">
            <v>4.4594852995590521E-3</v>
          </cell>
        </row>
        <row r="132">
          <cell r="E132">
            <v>8.2796585685938354E-2</v>
          </cell>
          <cell r="F132">
            <v>0.2677652417387047</v>
          </cell>
        </row>
        <row r="133">
          <cell r="E133">
            <v>9.6191649559939099E-2</v>
          </cell>
          <cell r="F133">
            <v>8.0485417911819439E-3</v>
          </cell>
        </row>
        <row r="134">
          <cell r="E134">
            <v>7.5308312772584846E-2</v>
          </cell>
          <cell r="F134">
            <v>0.25591895189982489</v>
          </cell>
        </row>
      </sheetData>
      <sheetData sheetId="8"/>
      <sheetData sheetId="9">
        <row r="4">
          <cell r="K4">
            <v>67.623856693408428</v>
          </cell>
        </row>
        <row r="5">
          <cell r="K5">
            <v>62.147176572978523</v>
          </cell>
        </row>
        <row r="6">
          <cell r="K6">
            <v>60.350593819260745</v>
          </cell>
        </row>
        <row r="7">
          <cell r="K7">
            <v>60.987109658265148</v>
          </cell>
        </row>
        <row r="8">
          <cell r="K8">
            <v>64.704036516212213</v>
          </cell>
        </row>
        <row r="9">
          <cell r="K9">
            <v>71.606667091766752</v>
          </cell>
        </row>
        <row r="10">
          <cell r="K10">
            <v>82.086674813718233</v>
          </cell>
        </row>
        <row r="11">
          <cell r="K11">
            <v>93.415127539413632</v>
          </cell>
        </row>
      </sheetData>
      <sheetData sheetId="10">
        <row r="4">
          <cell r="B4">
            <v>4</v>
          </cell>
          <cell r="C4">
            <v>220</v>
          </cell>
          <cell r="D4">
            <v>5</v>
          </cell>
          <cell r="E4">
            <v>267</v>
          </cell>
          <cell r="F4">
            <v>5</v>
          </cell>
          <cell r="G4">
            <v>300</v>
          </cell>
          <cell r="H4">
            <v>9</v>
          </cell>
          <cell r="I4">
            <v>285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202.43841643459481</v>
          </cell>
        </row>
        <row r="6">
          <cell r="V6">
            <v>187.51468707709125</v>
          </cell>
          <cell r="W6">
            <v>51.563064900589602</v>
          </cell>
        </row>
        <row r="7">
          <cell r="V7">
            <v>177.07884336736856</v>
          </cell>
          <cell r="W7">
            <v>39.056543850103765</v>
          </cell>
        </row>
        <row r="8">
          <cell r="V8">
            <v>163.53676867629233</v>
          </cell>
          <cell r="W8">
            <v>44.355938450401418</v>
          </cell>
        </row>
        <row r="9">
          <cell r="V9">
            <v>158.5492912852005</v>
          </cell>
          <cell r="W9">
            <v>39.777382131836042</v>
          </cell>
        </row>
        <row r="10">
          <cell r="V10">
            <v>148.50239356030571</v>
          </cell>
          <cell r="W10">
            <v>39.79292111768536</v>
          </cell>
        </row>
        <row r="11">
          <cell r="V11">
            <v>141.01750141183393</v>
          </cell>
          <cell r="W11">
            <v>37.789742457308911</v>
          </cell>
        </row>
        <row r="12">
          <cell r="V12">
            <v>130.8825718843311</v>
          </cell>
          <cell r="W12">
            <v>35.595772402537101</v>
          </cell>
        </row>
        <row r="13">
          <cell r="V13">
            <v>124.10229761946563</v>
          </cell>
          <cell r="W13">
            <v>30.761648762155126</v>
          </cell>
        </row>
      </sheetData>
      <sheetData sheetId="4"/>
      <sheetData sheetId="5">
        <row r="24">
          <cell r="B24">
            <v>42.500429812415291</v>
          </cell>
        </row>
        <row r="25">
          <cell r="B25">
            <v>37.754329678376152</v>
          </cell>
        </row>
        <row r="26">
          <cell r="B26">
            <v>33.378948565062352</v>
          </cell>
        </row>
        <row r="27">
          <cell r="B27">
            <v>29.270637662459919</v>
          </cell>
        </row>
        <row r="28">
          <cell r="B28">
            <v>25.325748160554873</v>
          </cell>
        </row>
        <row r="29">
          <cell r="B29">
            <v>21.440631249333236</v>
          </cell>
        </row>
        <row r="30">
          <cell r="B30">
            <v>17.511638118781018</v>
          </cell>
        </row>
        <row r="31">
          <cell r="B31">
            <v>13.43511995888425</v>
          </cell>
        </row>
        <row r="32">
          <cell r="B32">
            <v>9.10742795962895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6.5199999999999994E-2</v>
          </cell>
        </row>
        <row r="18">
          <cell r="G18">
            <v>94.047069149387866</v>
          </cell>
        </row>
        <row r="19">
          <cell r="G19">
            <v>90.009198203684306</v>
          </cell>
        </row>
        <row r="20">
          <cell r="G20">
            <v>89.708780249866976</v>
          </cell>
        </row>
        <row r="21">
          <cell r="G21">
            <v>91.3474188780948</v>
          </cell>
        </row>
        <row r="22">
          <cell r="G22">
            <v>95.003883620176921</v>
          </cell>
        </row>
        <row r="23">
          <cell r="G23">
            <v>102.56272461244347</v>
          </cell>
        </row>
        <row r="24">
          <cell r="G24">
            <v>112.23737815926005</v>
          </cell>
        </row>
        <row r="25">
          <cell r="G25">
            <v>121.73426369569718</v>
          </cell>
        </row>
        <row r="26">
          <cell r="D26">
            <v>5950.8223731143889</v>
          </cell>
        </row>
        <row r="27">
          <cell r="D27">
            <v>2623.069550323617</v>
          </cell>
        </row>
        <row r="29">
          <cell r="D29">
            <v>3637.9818303852117</v>
          </cell>
        </row>
      </sheetData>
      <sheetData sheetId="8"/>
      <sheetData sheetId="9">
        <row r="4">
          <cell r="I4">
            <v>47.189729010840153</v>
          </cell>
        </row>
        <row r="5">
          <cell r="I5">
            <v>46.228983947294182</v>
          </cell>
        </row>
        <row r="6">
          <cell r="I6">
            <v>47.493194201952761</v>
          </cell>
        </row>
        <row r="7">
          <cell r="I7">
            <v>48.909655911428963</v>
          </cell>
        </row>
        <row r="8">
          <cell r="I8">
            <v>52.042988328495817</v>
          </cell>
        </row>
        <row r="9">
          <cell r="I9">
            <v>57.137932720762741</v>
          </cell>
        </row>
        <row r="10">
          <cell r="I10">
            <v>64.009844892758906</v>
          </cell>
        </row>
        <row r="11">
          <cell r="I11">
            <v>70.483194689203714</v>
          </cell>
        </row>
      </sheetData>
      <sheetData sheetId="10">
        <row r="4">
          <cell r="B4">
            <v>3</v>
          </cell>
          <cell r="C4">
            <v>149</v>
          </cell>
          <cell r="D4">
            <v>5</v>
          </cell>
          <cell r="E4">
            <v>219</v>
          </cell>
          <cell r="F4">
            <v>5</v>
          </cell>
          <cell r="G4">
            <v>290</v>
          </cell>
          <cell r="H4">
            <v>8</v>
          </cell>
          <cell r="I4">
            <v>299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84.337657737826945</v>
          </cell>
        </row>
        <row r="6">
          <cell r="V6">
            <v>80.909722930066252</v>
          </cell>
          <cell r="W6">
            <v>37.511517919301596</v>
          </cell>
        </row>
        <row r="7">
          <cell r="V7">
            <v>77.949910872837265</v>
          </cell>
          <cell r="W7">
            <v>38.524291172547585</v>
          </cell>
        </row>
        <row r="8">
          <cell r="V8">
            <v>74.408630968332389</v>
          </cell>
          <cell r="W8">
            <v>35.186430964319527</v>
          </cell>
        </row>
        <row r="9">
          <cell r="V9">
            <v>73.057037453099184</v>
          </cell>
          <cell r="W9">
            <v>33.172459661124869</v>
          </cell>
        </row>
        <row r="10">
          <cell r="V10">
            <v>70.176151327974935</v>
          </cell>
          <cell r="W10">
            <v>30.903700681769838</v>
          </cell>
        </row>
        <row r="11">
          <cell r="V11">
            <v>67.407928948524713</v>
          </cell>
          <cell r="W11">
            <v>28.682308993822193</v>
          </cell>
        </row>
        <row r="12">
          <cell r="V12">
            <v>64.46010244251984</v>
          </cell>
          <cell r="W12">
            <v>26.82162632930552</v>
          </cell>
        </row>
        <row r="13">
          <cell r="V13">
            <v>62.392152340755565</v>
          </cell>
          <cell r="W13">
            <v>23.290561553360646</v>
          </cell>
        </row>
      </sheetData>
      <sheetData sheetId="4"/>
      <sheetData sheetId="5">
        <row r="24">
          <cell r="B24">
            <v>29.311373807518159</v>
          </cell>
        </row>
        <row r="25">
          <cell r="B25">
            <v>26.647156944443836</v>
          </cell>
          <cell r="F25">
            <v>207.41834788001313</v>
          </cell>
        </row>
        <row r="26">
          <cell r="B26">
            <v>24.118071485597593</v>
          </cell>
          <cell r="F26">
            <v>195.99899931305515</v>
          </cell>
        </row>
        <row r="27">
          <cell r="B27">
            <v>21.657533355456795</v>
          </cell>
          <cell r="F27">
            <v>189.86390221633121</v>
          </cell>
        </row>
        <row r="28">
          <cell r="B28">
            <v>19.19895847849881</v>
          </cell>
          <cell r="F28">
            <v>188.91875571770157</v>
          </cell>
        </row>
        <row r="29">
          <cell r="B29">
            <v>16.675762779201005</v>
          </cell>
          <cell r="F29">
            <v>193.0770962489386</v>
          </cell>
        </row>
        <row r="30">
          <cell r="B30">
            <v>14.02136218204075</v>
          </cell>
          <cell r="F30">
            <v>202.25455509976996</v>
          </cell>
        </row>
        <row r="31">
          <cell r="B31">
            <v>11.169172611495412</v>
          </cell>
          <cell r="F31">
            <v>216.36402240810591</v>
          </cell>
        </row>
        <row r="32">
          <cell r="B32">
            <v>8.0526099920423562</v>
          </cell>
          <cell r="F32">
            <v>235.31184495636757</v>
          </cell>
        </row>
      </sheetData>
      <sheetData sheetId="6"/>
      <sheetData sheetId="7">
        <row r="15">
          <cell r="F15">
            <v>912</v>
          </cell>
        </row>
        <row r="16">
          <cell r="F16">
            <v>0.10164473684210526</v>
          </cell>
        </row>
        <row r="18">
          <cell r="G18">
            <v>226.33401412564993</v>
          </cell>
        </row>
        <row r="19">
          <cell r="G19">
            <v>225.61144381338835</v>
          </cell>
        </row>
        <row r="20">
          <cell r="G20">
            <v>227.6935981539317</v>
          </cell>
        </row>
        <row r="21">
          <cell r="G21">
            <v>228.73026641736365</v>
          </cell>
        </row>
        <row r="22">
          <cell r="G22">
            <v>232.13672086338903</v>
          </cell>
        </row>
        <row r="23">
          <cell r="G23">
            <v>244.75717121912345</v>
          </cell>
        </row>
        <row r="24">
          <cell r="G24">
            <v>263.81553331689486</v>
          </cell>
        </row>
        <row r="25">
          <cell r="G25">
            <v>287.85535210260139</v>
          </cell>
        </row>
        <row r="26">
          <cell r="D26">
            <v>4972.7696707276154</v>
          </cell>
        </row>
        <row r="27">
          <cell r="D27">
            <v>4114.8742156307535</v>
          </cell>
        </row>
        <row r="29">
          <cell r="D29">
            <v>1240.3432980463426</v>
          </cell>
        </row>
        <row r="127">
          <cell r="E127">
            <v>7.3882938453703001E-2</v>
          </cell>
          <cell r="F127">
            <v>1.057781908076774E-2</v>
          </cell>
        </row>
        <row r="128">
          <cell r="E128">
            <v>7.0587005618550955E-2</v>
          </cell>
          <cell r="F128">
            <v>0.29731618412820576</v>
          </cell>
        </row>
        <row r="129">
          <cell r="E129">
            <v>7.5254889160927305E-2</v>
          </cell>
          <cell r="F129">
            <v>1.0603049695674271E-2</v>
          </cell>
        </row>
        <row r="130">
          <cell r="E130">
            <v>3.6814320535932525E-2</v>
          </cell>
          <cell r="F130">
            <v>0.35503082867785546</v>
          </cell>
        </row>
        <row r="131">
          <cell r="E131">
            <v>6.0255683814912357E-2</v>
          </cell>
          <cell r="F131">
            <v>7.0993682395873942E-3</v>
          </cell>
        </row>
        <row r="132">
          <cell r="E132">
            <v>6.5055700273516023E-2</v>
          </cell>
          <cell r="F132">
            <v>0.35584398127812022</v>
          </cell>
        </row>
        <row r="133">
          <cell r="E133">
            <v>6.072566983731878E-2</v>
          </cell>
          <cell r="F133">
            <v>8.9178324649140887E-3</v>
          </cell>
        </row>
        <row r="134">
          <cell r="E134">
            <v>4.877548532019068E-2</v>
          </cell>
          <cell r="F134">
            <v>0.32623567497845957</v>
          </cell>
        </row>
      </sheetData>
      <sheetData sheetId="8"/>
      <sheetData sheetId="9">
        <row r="4">
          <cell r="J4">
            <v>146.22773294537834</v>
          </cell>
        </row>
        <row r="5">
          <cell r="J5">
            <v>146.68606168625931</v>
          </cell>
        </row>
        <row r="6">
          <cell r="J6">
            <v>149.39507303164771</v>
          </cell>
        </row>
        <row r="7">
          <cell r="J7">
            <v>150.35188844674974</v>
          </cell>
        </row>
        <row r="8">
          <cell r="J8">
            <v>153.73081191658619</v>
          </cell>
        </row>
        <row r="9">
          <cell r="J9">
            <v>162.97388954374074</v>
          </cell>
        </row>
        <row r="10">
          <cell r="J10">
            <v>177.01328566796505</v>
          </cell>
        </row>
        <row r="11">
          <cell r="J11">
            <v>193.86236216272033</v>
          </cell>
        </row>
      </sheetData>
      <sheetData sheetId="10">
        <row r="4">
          <cell r="B4">
            <v>12</v>
          </cell>
          <cell r="C4">
            <v>337</v>
          </cell>
          <cell r="D4">
            <v>12</v>
          </cell>
          <cell r="E4">
            <v>401</v>
          </cell>
          <cell r="F4">
            <v>8</v>
          </cell>
          <cell r="G4">
            <v>400</v>
          </cell>
          <cell r="H4">
            <v>10</v>
          </cell>
          <cell r="I4">
            <v>365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144.5736898243614</v>
          </cell>
        </row>
        <row r="6">
          <cell r="V6">
            <v>137.06226609342542</v>
          </cell>
          <cell r="W6">
            <v>43.863621200377878</v>
          </cell>
        </row>
        <row r="7">
          <cell r="V7">
            <v>131.49131657297573</v>
          </cell>
          <cell r="W7">
            <v>42.653462295797119</v>
          </cell>
        </row>
        <row r="8">
          <cell r="V8">
            <v>124.02308587509155</v>
          </cell>
          <cell r="W8">
            <v>39.40302206554275</v>
          </cell>
        </row>
        <row r="9">
          <cell r="V9">
            <v>120.52062657609497</v>
          </cell>
          <cell r="W9">
            <v>36.542560208838886</v>
          </cell>
        </row>
        <row r="10">
          <cell r="V10">
            <v>114.46044867612363</v>
          </cell>
          <cell r="W10">
            <v>34.562109416069944</v>
          </cell>
        </row>
        <row r="11">
          <cell r="V11">
            <v>109.89284978161363</v>
          </cell>
          <cell r="W11">
            <v>32.520543172166391</v>
          </cell>
        </row>
        <row r="12">
          <cell r="V12">
            <v>104.30770646533392</v>
          </cell>
          <cell r="W12">
            <v>31.511103588536951</v>
          </cell>
        </row>
        <row r="13">
          <cell r="V13">
            <v>99.790223147016945</v>
          </cell>
          <cell r="W13">
            <v>25.777262404127988</v>
          </cell>
        </row>
      </sheetData>
      <sheetData sheetId="4"/>
      <sheetData sheetId="5">
        <row r="24">
          <cell r="B24">
            <v>31.717095158633946</v>
          </cell>
        </row>
        <row r="25">
          <cell r="B25">
            <v>29.025337395899989</v>
          </cell>
          <cell r="F25">
            <v>240.52744887448893</v>
          </cell>
        </row>
        <row r="26">
          <cell r="B26">
            <v>26.425279706925068</v>
          </cell>
          <cell r="F26">
            <v>231.23668588076131</v>
          </cell>
        </row>
        <row r="27">
          <cell r="B27">
            <v>23.827898923291464</v>
          </cell>
          <cell r="F27">
            <v>229.94488968210257</v>
          </cell>
        </row>
        <row r="28">
          <cell r="B28">
            <v>21.144171876581456</v>
          </cell>
          <cell r="F28">
            <v>236.50649643025503</v>
          </cell>
        </row>
        <row r="29">
          <cell r="B29">
            <v>18.28507539837733</v>
          </cell>
          <cell r="F29">
            <v>250.77832422827683</v>
          </cell>
        </row>
        <row r="30">
          <cell r="B30">
            <v>15.161586320261364</v>
          </cell>
          <cell r="F30">
            <v>272.60929319141911</v>
          </cell>
        </row>
        <row r="31">
          <cell r="B31">
            <v>11.684681473815836</v>
          </cell>
          <cell r="F31">
            <v>301.83242712812057</v>
          </cell>
        </row>
        <row r="32">
          <cell r="B32">
            <v>7.7653376906230278</v>
          </cell>
          <cell r="F32">
            <v>338.25975156474533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8.1016574585635354E-2</v>
          </cell>
        </row>
        <row r="18">
          <cell r="G18">
            <v>121.30189555356449</v>
          </cell>
        </row>
        <row r="19">
          <cell r="G19">
            <v>121.25011877587377</v>
          </cell>
        </row>
        <row r="20">
          <cell r="G20">
            <v>126.26972829536409</v>
          </cell>
        </row>
        <row r="21">
          <cell r="G21">
            <v>135.08374244654556</v>
          </cell>
        </row>
        <row r="22">
          <cell r="G22">
            <v>147.96941795506109</v>
          </cell>
        </row>
        <row r="23">
          <cell r="G23">
            <v>166.95793468968623</v>
          </cell>
        </row>
        <row r="24">
          <cell r="G24">
            <v>190.32276876044247</v>
          </cell>
        </row>
        <row r="25">
          <cell r="G25">
            <v>217.53847517243847</v>
          </cell>
        </row>
        <row r="26">
          <cell r="D26">
            <v>6429.7417697396013</v>
          </cell>
        </row>
        <row r="27">
          <cell r="D27">
            <v>3271.9001709298982</v>
          </cell>
        </row>
        <row r="29">
          <cell r="D29">
            <v>3448.4025446329179</v>
          </cell>
        </row>
        <row r="127">
          <cell r="E127">
            <v>0.19050444929668567</v>
          </cell>
          <cell r="F127">
            <v>8.8271896222810048E-4</v>
          </cell>
        </row>
        <row r="128">
          <cell r="E128">
            <v>0.14579040517055364</v>
          </cell>
          <cell r="F128">
            <v>0.12570364950795451</v>
          </cell>
        </row>
        <row r="129">
          <cell r="E129">
            <v>0.1870950071529407</v>
          </cell>
          <cell r="F129">
            <v>2.661860734541529E-3</v>
          </cell>
        </row>
        <row r="130">
          <cell r="E130">
            <v>9.9155201584479366E-2</v>
          </cell>
          <cell r="F130">
            <v>0.30940545025512034</v>
          </cell>
        </row>
        <row r="131">
          <cell r="E131">
            <v>0.14925169684408174</v>
          </cell>
          <cell r="F131">
            <v>0</v>
          </cell>
        </row>
        <row r="132">
          <cell r="E132">
            <v>0.12329471141543387</v>
          </cell>
          <cell r="F132">
            <v>0.32768796208532391</v>
          </cell>
        </row>
        <row r="133">
          <cell r="E133">
            <v>0.13537642678710532</v>
          </cell>
          <cell r="F133">
            <v>2.6858895104129236E-3</v>
          </cell>
        </row>
        <row r="134">
          <cell r="E134">
            <v>0.11899961662635918</v>
          </cell>
          <cell r="F134">
            <v>0.32160585925438484</v>
          </cell>
        </row>
      </sheetData>
      <sheetData sheetId="8"/>
      <sheetData sheetId="9">
        <row r="4">
          <cell r="J4">
            <v>68.263351623641668</v>
          </cell>
        </row>
        <row r="5">
          <cell r="J5">
            <v>69.100064986389796</v>
          </cell>
        </row>
        <row r="6">
          <cell r="J6">
            <v>73.243828195872197</v>
          </cell>
        </row>
        <row r="7">
          <cell r="J7">
            <v>78.951212876767954</v>
          </cell>
        </row>
        <row r="8">
          <cell r="J8">
            <v>87.741293526909018</v>
          </cell>
        </row>
        <row r="9">
          <cell r="J9">
            <v>99.997068813490415</v>
          </cell>
        </row>
        <row r="10">
          <cell r="J10">
            <v>115.53459777285504</v>
          </cell>
        </row>
        <row r="11">
          <cell r="J11">
            <v>133.36702903818318</v>
          </cell>
        </row>
      </sheetData>
      <sheetData sheetId="10">
        <row r="4">
          <cell r="B4">
            <v>1</v>
          </cell>
          <cell r="C4">
            <v>142</v>
          </cell>
          <cell r="D4">
            <v>3</v>
          </cell>
          <cell r="E4">
            <v>348</v>
          </cell>
          <cell r="F4">
            <v>0</v>
          </cell>
          <cell r="G4">
            <v>367</v>
          </cell>
          <cell r="H4">
            <v>3</v>
          </cell>
          <cell r="I4">
            <v>358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205.10895917475014</v>
          </cell>
        </row>
        <row r="6">
          <cell r="V6">
            <v>193.59746569480987</v>
          </cell>
          <cell r="W6">
            <v>49.837035059486446</v>
          </cell>
        </row>
        <row r="7">
          <cell r="V7">
            <v>185.17242647009053</v>
          </cell>
          <cell r="W7">
            <v>47.643402165070654</v>
          </cell>
        </row>
        <row r="8">
          <cell r="V8">
            <v>173.99819989315759</v>
          </cell>
          <cell r="W8">
            <v>45.016359346263719</v>
          </cell>
        </row>
        <row r="9">
          <cell r="V9">
            <v>168.68804552163337</v>
          </cell>
          <cell r="W9">
            <v>41.205206408683779</v>
          </cell>
        </row>
        <row r="10">
          <cell r="V10">
            <v>160.20245309596075</v>
          </cell>
          <cell r="W10">
            <v>40.071876037053983</v>
          </cell>
        </row>
        <row r="11">
          <cell r="V11">
            <v>153.22569519888748</v>
          </cell>
          <cell r="W11">
            <v>38.358691438516679</v>
          </cell>
        </row>
        <row r="12">
          <cell r="V12">
            <v>145.01892858904569</v>
          </cell>
          <cell r="W12">
            <v>36.193522598910199</v>
          </cell>
        </row>
        <row r="13">
          <cell r="V13">
            <v>138.12765775202601</v>
          </cell>
          <cell r="W13">
            <v>29.435108470513271</v>
          </cell>
        </row>
      </sheetData>
      <sheetData sheetId="4"/>
      <sheetData sheetId="5">
        <row r="24">
          <cell r="B24">
            <v>35.892479175975431</v>
          </cell>
        </row>
        <row r="25">
          <cell r="B25">
            <v>32.802336151417506</v>
          </cell>
          <cell r="F25">
            <v>302.47212499807461</v>
          </cell>
        </row>
        <row r="26">
          <cell r="B26">
            <v>29.828686220310395</v>
          </cell>
          <cell r="F26">
            <v>289.46034012989696</v>
          </cell>
        </row>
        <row r="27">
          <cell r="B27">
            <v>26.853655108652276</v>
          </cell>
          <cell r="F27">
            <v>288.05131705060478</v>
          </cell>
        </row>
        <row r="28">
          <cell r="B28">
            <v>23.759368542441337</v>
          </cell>
          <cell r="F28">
            <v>297.99868050860584</v>
          </cell>
        </row>
        <row r="29">
          <cell r="B29">
            <v>20.427952247675769</v>
          </cell>
          <cell r="F29">
            <v>319.05913351524106</v>
          </cell>
        </row>
        <row r="30">
          <cell r="B30">
            <v>16.74153195035375</v>
          </cell>
          <cell r="F30">
            <v>350.97295853740439</v>
          </cell>
        </row>
        <row r="31">
          <cell r="B31">
            <v>12.582233376473475</v>
          </cell>
          <cell r="F31">
            <v>393.44964744923038</v>
          </cell>
        </row>
        <row r="32">
          <cell r="B32">
            <v>7.832182252033121</v>
          </cell>
          <cell r="F32">
            <v>446.16025426495577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6.6461538461538461E-2</v>
          </cell>
        </row>
        <row r="18">
          <cell r="G18">
            <v>98.731561937691495</v>
          </cell>
        </row>
        <row r="19">
          <cell r="G19">
            <v>98.65760436152155</v>
          </cell>
        </row>
        <row r="20">
          <cell r="G20">
            <v>103.48953620574481</v>
          </cell>
        </row>
        <row r="21">
          <cell r="G21">
            <v>112.34426453200253</v>
          </cell>
        </row>
        <row r="22">
          <cell r="G22">
            <v>125.21065082359731</v>
          </cell>
        </row>
        <row r="23">
          <cell r="G23">
            <v>144.04450738780511</v>
          </cell>
        </row>
        <row r="24">
          <cell r="G24">
            <v>167.51187448478865</v>
          </cell>
        </row>
        <row r="25">
          <cell r="G25">
            <v>194.49370703972255</v>
          </cell>
        </row>
        <row r="26">
          <cell r="D26">
            <v>8230.9899060798816</v>
          </cell>
        </row>
        <row r="27">
          <cell r="D27">
            <v>2675.7267481217737</v>
          </cell>
        </row>
        <row r="29">
          <cell r="D29">
            <v>5704.3459602180346</v>
          </cell>
        </row>
        <row r="127">
          <cell r="E127">
            <v>0.31719710428203796</v>
          </cell>
          <cell r="F127">
            <v>0</v>
          </cell>
        </row>
        <row r="128">
          <cell r="E128">
            <v>0.23649187296193752</v>
          </cell>
          <cell r="F128">
            <v>1.7516238595915309E-3</v>
          </cell>
        </row>
        <row r="129">
          <cell r="E129">
            <v>0.31432113770113385</v>
          </cell>
          <cell r="F129">
            <v>0</v>
          </cell>
        </row>
        <row r="130">
          <cell r="E130">
            <v>0.16268895018818011</v>
          </cell>
          <cell r="F130">
            <v>0.24893944096883672</v>
          </cell>
        </row>
        <row r="131">
          <cell r="E131">
            <v>0.23621365412312301</v>
          </cell>
          <cell r="F131">
            <v>0</v>
          </cell>
        </row>
        <row r="132">
          <cell r="E132">
            <v>0.20830853269759006</v>
          </cell>
          <cell r="F132">
            <v>0.31001971157940733</v>
          </cell>
        </row>
        <row r="133">
          <cell r="E133">
            <v>0.22455818608106071</v>
          </cell>
          <cell r="F133">
            <v>8.8612822091425165E-4</v>
          </cell>
        </row>
        <row r="134">
          <cell r="E134">
            <v>0.20166921537094837</v>
          </cell>
          <cell r="F134">
            <v>0.3303120114118413</v>
          </cell>
        </row>
      </sheetData>
      <sheetData sheetId="8"/>
      <sheetData sheetId="9">
        <row r="4">
          <cell r="G4">
            <v>48.896379352481013</v>
          </cell>
        </row>
        <row r="5">
          <cell r="G5">
            <v>49.76905836684405</v>
          </cell>
        </row>
        <row r="6">
          <cell r="G6">
            <v>53.51520259713233</v>
          </cell>
        </row>
        <row r="7">
          <cell r="G7">
            <v>58.795604748517583</v>
          </cell>
        </row>
        <row r="8">
          <cell r="G8">
            <v>66.791050416196214</v>
          </cell>
        </row>
        <row r="9">
          <cell r="G9">
            <v>78.057423224078065</v>
          </cell>
        </row>
        <row r="10">
          <cell r="G10">
            <v>92.48973252717019</v>
          </cell>
        </row>
        <row r="11">
          <cell r="G11">
            <v>109.07022871395577</v>
          </cell>
        </row>
      </sheetData>
      <sheetData sheetId="10">
        <row r="4">
          <cell r="B4">
            <v>0</v>
          </cell>
          <cell r="C4">
            <v>2</v>
          </cell>
          <cell r="D4">
            <v>0</v>
          </cell>
          <cell r="E4">
            <v>283</v>
          </cell>
          <cell r="F4">
            <v>0</v>
          </cell>
          <cell r="G4">
            <v>351</v>
          </cell>
          <cell r="H4">
            <v>1</v>
          </cell>
          <cell r="I4">
            <v>371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85.016596017204762</v>
          </cell>
        </row>
        <row r="6">
          <cell r="V6">
            <v>82.086499953535863</v>
          </cell>
          <cell r="W6">
            <v>32.269491624319556</v>
          </cell>
        </row>
        <row r="7">
          <cell r="V7">
            <v>79.364045512996498</v>
          </cell>
          <cell r="W7">
            <v>30.8345210369109</v>
          </cell>
        </row>
        <row r="8">
          <cell r="V8">
            <v>76.778028757505467</v>
          </cell>
          <cell r="W8">
            <v>29.371829448679676</v>
          </cell>
        </row>
        <row r="9">
          <cell r="V9">
            <v>74.254321538942335</v>
          </cell>
          <cell r="W9">
            <v>25.963059902676076</v>
          </cell>
        </row>
        <row r="10">
          <cell r="V10">
            <v>72.837538061876913</v>
          </cell>
          <cell r="W10">
            <v>26.046947361704024</v>
          </cell>
        </row>
        <row r="11">
          <cell r="V11">
            <v>70.639314257291261</v>
          </cell>
          <cell r="W11">
            <v>25.732084189960457</v>
          </cell>
        </row>
        <row r="12">
          <cell r="V12">
            <v>68.35030439538788</v>
          </cell>
          <cell r="W12">
            <v>24.582268833668781</v>
          </cell>
        </row>
        <row r="13">
          <cell r="V13">
            <v>66.098943960409002</v>
          </cell>
          <cell r="W13">
            <v>18.49320994781403</v>
          </cell>
        </row>
      </sheetData>
      <sheetData sheetId="4"/>
      <sheetData sheetId="5">
        <row r="24">
          <cell r="B24">
            <v>21.503131705166801</v>
          </cell>
        </row>
        <row r="25">
          <cell r="B25">
            <v>19.926145219104455</v>
          </cell>
          <cell r="F25">
            <v>251.13078924477355</v>
          </cell>
        </row>
        <row r="26">
          <cell r="B26">
            <v>18.349150901839792</v>
          </cell>
          <cell r="F26">
            <v>250.46606071657015</v>
          </cell>
        </row>
        <row r="27">
          <cell r="B27">
            <v>16.73522997509669</v>
          </cell>
          <cell r="F27">
            <v>255.65106110104975</v>
          </cell>
        </row>
        <row r="28">
          <cell r="B28">
            <v>15.04746366059902</v>
          </cell>
          <cell r="F28">
            <v>266.62357730903591</v>
          </cell>
        </row>
        <row r="29">
          <cell r="B29">
            <v>13.248933180070653</v>
          </cell>
          <cell r="F29">
            <v>283.31860123374349</v>
          </cell>
        </row>
        <row r="30">
          <cell r="B30">
            <v>11.302719755235465</v>
          </cell>
          <cell r="F30">
            <v>305.66549266637531</v>
          </cell>
        </row>
        <row r="31">
          <cell r="B31">
            <v>9.1719046078173285</v>
          </cell>
          <cell r="F31">
            <v>333.5856339210722</v>
          </cell>
        </row>
        <row r="32">
          <cell r="B32">
            <v>6.8195689595401205</v>
          </cell>
          <cell r="F32">
            <v>366.99069146757745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0.1089</v>
          </cell>
        </row>
        <row r="18">
          <cell r="G18">
            <v>240.91828323711061</v>
          </cell>
        </row>
        <row r="19">
          <cell r="G19">
            <v>239.72707277751113</v>
          </cell>
        </row>
        <row r="20">
          <cell r="G20">
            <v>249.8567339303724</v>
          </cell>
        </row>
        <row r="21">
          <cell r="G21">
            <v>269.71766331338239</v>
          </cell>
        </row>
        <row r="22">
          <cell r="G22">
            <v>294.12928751301899</v>
          </cell>
        </row>
        <row r="23">
          <cell r="G23">
            <v>321.3765636975665</v>
          </cell>
        </row>
        <row r="24">
          <cell r="G24">
            <v>350.30788535057292</v>
          </cell>
        </row>
        <row r="25">
          <cell r="G25">
            <v>371.60774741798548</v>
          </cell>
        </row>
        <row r="26">
          <cell r="D26">
            <v>7031.8635642680656</v>
          </cell>
        </row>
        <row r="27">
          <cell r="D27">
            <v>4433.6022029398373</v>
          </cell>
        </row>
        <row r="29">
          <cell r="D29">
            <v>2495.6661731634163</v>
          </cell>
        </row>
        <row r="127">
          <cell r="E127">
            <v>0.12543724285687732</v>
          </cell>
          <cell r="F127">
            <v>1.2120026499919981E-2</v>
          </cell>
        </row>
        <row r="128">
          <cell r="E128">
            <v>0.11937194310929693</v>
          </cell>
          <cell r="F128">
            <v>0.13369964518452562</v>
          </cell>
        </row>
        <row r="129">
          <cell r="E129">
            <v>0.11013961849588656</v>
          </cell>
          <cell r="F129">
            <v>9.4680688094038578E-3</v>
          </cell>
        </row>
        <row r="130">
          <cell r="E130">
            <v>0.11747613771392322</v>
          </cell>
          <cell r="F130">
            <v>0.45349179543511381</v>
          </cell>
        </row>
        <row r="131">
          <cell r="E131">
            <v>5.9796656472398076E-2</v>
          </cell>
          <cell r="F131">
            <v>8.127986990008362E-3</v>
          </cell>
        </row>
        <row r="132">
          <cell r="E132">
            <v>0.10194195125971994</v>
          </cell>
          <cell r="F132">
            <v>0.43670764633497267</v>
          </cell>
        </row>
        <row r="133">
          <cell r="E133">
            <v>9.561356872820366E-2</v>
          </cell>
          <cell r="F133">
            <v>1.0873527104704741E-2</v>
          </cell>
        </row>
        <row r="134">
          <cell r="E134">
            <v>0.10211160575149957</v>
          </cell>
          <cell r="F134">
            <v>0.41337870462129661</v>
          </cell>
        </row>
      </sheetData>
      <sheetData sheetId="8"/>
      <sheetData sheetId="9">
        <row r="4">
          <cell r="G4">
            <v>156.23228413978026</v>
          </cell>
        </row>
        <row r="5">
          <cell r="G5">
            <v>156.41272877194342</v>
          </cell>
        </row>
        <row r="6">
          <cell r="G6">
            <v>164.11330642150276</v>
          </cell>
        </row>
        <row r="7">
          <cell r="G7">
            <v>178.14502837529432</v>
          </cell>
        </row>
        <row r="8">
          <cell r="G8">
            <v>194.98264369587577</v>
          </cell>
        </row>
        <row r="9">
          <cell r="G9">
            <v>214.05568471423126</v>
          </cell>
        </row>
        <row r="10">
          <cell r="G10">
            <v>234.71997845811768</v>
          </cell>
        </row>
        <row r="11">
          <cell r="G11">
            <v>250.21785642885979</v>
          </cell>
        </row>
      </sheetData>
      <sheetData sheetId="10">
        <row r="4">
          <cell r="B4">
            <v>9</v>
          </cell>
          <cell r="C4">
            <v>99</v>
          </cell>
          <cell r="D4">
            <v>7</v>
          </cell>
          <cell r="E4">
            <v>335</v>
          </cell>
          <cell r="F4">
            <v>6</v>
          </cell>
          <cell r="G4">
            <v>322</v>
          </cell>
          <cell r="H4">
            <v>8</v>
          </cell>
          <cell r="I4">
            <v>303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144.40806275554803</v>
          </cell>
        </row>
        <row r="6">
          <cell r="V6">
            <v>138.7581107329905</v>
          </cell>
          <cell r="W6">
            <v>36.342396703304672</v>
          </cell>
        </row>
        <row r="7">
          <cell r="V7">
            <v>133.91442364982723</v>
          </cell>
          <cell r="W7">
            <v>33.172524416735349</v>
          </cell>
        </row>
        <row r="8">
          <cell r="V8">
            <v>128.017644289103</v>
          </cell>
          <cell r="W8">
            <v>32.881747037980091</v>
          </cell>
        </row>
        <row r="9">
          <cell r="V9">
            <v>124.56823874873957</v>
          </cell>
          <cell r="W9">
            <v>28.120440996274173</v>
          </cell>
        </row>
        <row r="10">
          <cell r="V10">
            <v>119.98212841860116</v>
          </cell>
          <cell r="W10">
            <v>28.582677831135658</v>
          </cell>
        </row>
        <row r="11">
          <cell r="V11">
            <v>115.7809185217564</v>
          </cell>
          <cell r="W11">
            <v>28.405261343036244</v>
          </cell>
        </row>
        <row r="12">
          <cell r="V12">
            <v>111.14016431776297</v>
          </cell>
          <cell r="W12">
            <v>26.611939285943802</v>
          </cell>
        </row>
        <row r="13">
          <cell r="V13">
            <v>106.97640153380019</v>
          </cell>
          <cell r="W13">
            <v>18.513612062000156</v>
          </cell>
        </row>
      </sheetData>
      <sheetData sheetId="4"/>
      <sheetData sheetId="5">
        <row r="24">
          <cell r="B24">
            <v>23.771314699503577</v>
          </cell>
        </row>
        <row r="25">
          <cell r="B25">
            <v>21.722023665271394</v>
          </cell>
          <cell r="F25">
            <v>368.12914166247305</v>
          </cell>
        </row>
        <row r="26">
          <cell r="B26">
            <v>19.797471914971464</v>
          </cell>
          <cell r="F26">
            <v>344.55167577929774</v>
          </cell>
        </row>
        <row r="27">
          <cell r="B27">
            <v>17.929101251555057</v>
          </cell>
          <cell r="F27">
            <v>333.42802256564499</v>
          </cell>
        </row>
        <row r="28">
          <cell r="B28">
            <v>16.048353477973457</v>
          </cell>
          <cell r="F28">
            <v>334.59431969974122</v>
          </cell>
        </row>
        <row r="29">
          <cell r="B29">
            <v>14.086670397177933</v>
          </cell>
          <cell r="F29">
            <v>347.89789178026774</v>
          </cell>
        </row>
        <row r="30">
          <cell r="B30">
            <v>11.975493812119764</v>
          </cell>
          <cell r="F30">
            <v>373.18371572392567</v>
          </cell>
        </row>
        <row r="31">
          <cell r="B31">
            <v>9.646265525750227</v>
          </cell>
          <cell r="F31">
            <v>410.28267456675485</v>
          </cell>
        </row>
        <row r="32">
          <cell r="B32">
            <v>7.0304273410205944</v>
          </cell>
          <cell r="F32">
            <v>459.00194070607222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9.4799999999999982E-2</v>
          </cell>
        </row>
        <row r="18">
          <cell r="G18">
            <v>170.84570095554366</v>
          </cell>
        </row>
        <row r="19">
          <cell r="G19">
            <v>161.81727226723422</v>
          </cell>
        </row>
        <row r="20">
          <cell r="G20">
            <v>161.96301240531591</v>
          </cell>
        </row>
        <row r="21">
          <cell r="G21">
            <v>169.05694364805322</v>
          </cell>
        </row>
        <row r="22">
          <cell r="G22">
            <v>182.2135918814262</v>
          </cell>
        </row>
        <row r="23">
          <cell r="G23">
            <v>202.0366776208032</v>
          </cell>
        </row>
        <row r="24">
          <cell r="G24">
            <v>225.53384743104985</v>
          </cell>
        </row>
        <row r="25">
          <cell r="G25">
            <v>248.68232157579453</v>
          </cell>
        </row>
        <row r="26">
          <cell r="D26">
            <v>9052.694561683571</v>
          </cell>
        </row>
        <row r="27">
          <cell r="D27">
            <v>3855.0117631327839</v>
          </cell>
        </row>
        <row r="29">
          <cell r="D29">
            <v>5748.931915963326</v>
          </cell>
        </row>
        <row r="127">
          <cell r="E127">
            <v>0.28656849833263892</v>
          </cell>
          <cell r="F127">
            <v>0</v>
          </cell>
        </row>
        <row r="128">
          <cell r="E128">
            <v>0.2472511308462215</v>
          </cell>
          <cell r="F128">
            <v>5.7909300937118803E-2</v>
          </cell>
        </row>
        <row r="129">
          <cell r="E129">
            <v>0.29673952279654126</v>
          </cell>
          <cell r="F129">
            <v>0</v>
          </cell>
        </row>
        <row r="130">
          <cell r="E130">
            <v>0.18830113438581245</v>
          </cell>
          <cell r="F130">
            <v>0.38888821215537966</v>
          </cell>
        </row>
        <row r="131">
          <cell r="E131">
            <v>0.2280775200173927</v>
          </cell>
          <cell r="F131">
            <v>0</v>
          </cell>
        </row>
        <row r="132">
          <cell r="E132">
            <v>0.22336005213796872</v>
          </cell>
          <cell r="F132">
            <v>0.4166897114637394</v>
          </cell>
        </row>
        <row r="133">
          <cell r="E133">
            <v>0.22804569867130406</v>
          </cell>
          <cell r="F133">
            <v>0</v>
          </cell>
        </row>
        <row r="134">
          <cell r="E134">
            <v>0.21796708146656271</v>
          </cell>
          <cell r="F134">
            <v>0.42151669648802326</v>
          </cell>
        </row>
      </sheetData>
      <sheetData sheetId="8"/>
      <sheetData sheetId="9">
        <row r="4">
          <cell r="I4">
            <v>95.803675356185948</v>
          </cell>
        </row>
        <row r="5">
          <cell r="I5">
            <v>91.655466195286209</v>
          </cell>
        </row>
        <row r="6">
          <cell r="I6">
            <v>93.022840036892561</v>
          </cell>
        </row>
        <row r="7">
          <cell r="I7">
            <v>97.944471399937257</v>
          </cell>
        </row>
        <row r="8">
          <cell r="I8">
            <v>106.86242016516007</v>
          </cell>
        </row>
        <row r="9">
          <cell r="I9">
            <v>119.77128108465381</v>
          </cell>
        </row>
        <row r="10">
          <cell r="I10">
            <v>135.25752213801425</v>
          </cell>
        </row>
        <row r="11">
          <cell r="I11">
            <v>150.41822397667363</v>
          </cell>
        </row>
      </sheetData>
      <sheetData sheetId="10">
        <row r="4">
          <cell r="B4">
            <v>0</v>
          </cell>
          <cell r="C4">
            <v>43</v>
          </cell>
          <cell r="D4">
            <v>0</v>
          </cell>
          <cell r="E4">
            <v>288</v>
          </cell>
          <cell r="F4">
            <v>0</v>
          </cell>
          <cell r="G4">
            <v>308</v>
          </cell>
          <cell r="H4">
            <v>0</v>
          </cell>
          <cell r="I4">
            <v>309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204.50360298243439</v>
          </cell>
        </row>
        <row r="6">
          <cell r="V6">
            <v>196.49778991844428</v>
          </cell>
          <cell r="W6">
            <v>42.594528819963479</v>
          </cell>
        </row>
        <row r="7">
          <cell r="V7">
            <v>189.3799667156421</v>
          </cell>
          <cell r="W7">
            <v>37.472938329562226</v>
          </cell>
        </row>
        <row r="8">
          <cell r="V8">
            <v>180.30326880317307</v>
          </cell>
          <cell r="W8">
            <v>37.807879066596364</v>
          </cell>
        </row>
        <row r="9">
          <cell r="V9">
            <v>175.47186146132969</v>
          </cell>
          <cell r="W9">
            <v>32.698290509602117</v>
          </cell>
        </row>
        <row r="10">
          <cell r="V10">
            <v>168.65992648934582</v>
          </cell>
          <cell r="W10">
            <v>33.455869985684608</v>
          </cell>
        </row>
        <row r="11">
          <cell r="V11">
            <v>163.01009920747973</v>
          </cell>
          <cell r="W11">
            <v>33.626855006837729</v>
          </cell>
        </row>
        <row r="12">
          <cell r="V12">
            <v>156.44553238707272</v>
          </cell>
          <cell r="W12">
            <v>31.751982228547735</v>
          </cell>
        </row>
        <row r="13">
          <cell r="V13">
            <v>151.30018586564347</v>
          </cell>
          <cell r="W13">
            <v>21.50072112913039</v>
          </cell>
        </row>
      </sheetData>
      <sheetData sheetId="4"/>
      <sheetData sheetId="5">
        <row r="24">
          <cell r="B24">
            <v>27.2337687369536</v>
          </cell>
        </row>
        <row r="25">
          <cell r="B25">
            <v>24.87151259781384</v>
          </cell>
          <cell r="F25">
            <v>458.21255786941521</v>
          </cell>
        </row>
        <row r="26">
          <cell r="B26">
            <v>22.643044254450089</v>
          </cell>
          <cell r="F26">
            <v>430.536298656832</v>
          </cell>
        </row>
        <row r="27">
          <cell r="B27">
            <v>20.454922526848897</v>
          </cell>
          <cell r="F27">
            <v>421.14232364902318</v>
          </cell>
        </row>
        <row r="28">
          <cell r="B28">
            <v>18.213706234996831</v>
          </cell>
          <cell r="F28">
            <v>429.74980837771028</v>
          </cell>
        </row>
        <row r="29">
          <cell r="B29">
            <v>15.825954198880449</v>
          </cell>
          <cell r="F29">
            <v>456.08937043815945</v>
          </cell>
        </row>
        <row r="30">
          <cell r="B30">
            <v>13.198225238486312</v>
          </cell>
          <cell r="F30">
            <v>499.87693695028457</v>
          </cell>
        </row>
        <row r="31">
          <cell r="B31">
            <v>10.237078173800988</v>
          </cell>
          <cell r="F31">
            <v>560.79208435744431</v>
          </cell>
        </row>
        <row r="32">
          <cell r="B32">
            <v>6.8490718248110269</v>
          </cell>
          <cell r="F32">
            <v>638.46205683159496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9.0700000000000003E-2</v>
          </cell>
        </row>
        <row r="18">
          <cell r="G18">
            <v>141.41674131875496</v>
          </cell>
        </row>
        <row r="19">
          <cell r="G19">
            <v>134.67907953885489</v>
          </cell>
        </row>
        <row r="20">
          <cell r="G20">
            <v>136.85632598856711</v>
          </cell>
        </row>
        <row r="21">
          <cell r="G21">
            <v>145.93048673815474</v>
          </cell>
        </row>
        <row r="22">
          <cell r="G22">
            <v>161.26855259475803</v>
          </cell>
        </row>
        <row r="23">
          <cell r="G23">
            <v>183.51080896631751</v>
          </cell>
        </row>
        <row r="24">
          <cell r="G24">
            <v>209.87418928158485</v>
          </cell>
        </row>
        <row r="25">
          <cell r="G25">
            <v>236.1437572449972</v>
          </cell>
        </row>
        <row r="26">
          <cell r="D26">
            <v>11878.038370756611</v>
          </cell>
        </row>
        <row r="27">
          <cell r="D27">
            <v>3671.525599487743</v>
          </cell>
        </row>
        <row r="29">
          <cell r="D29">
            <v>8585.7078764706857</v>
          </cell>
        </row>
        <row r="127">
          <cell r="E127">
            <v>0.44833058939568698</v>
          </cell>
          <cell r="F127">
            <v>0</v>
          </cell>
        </row>
        <row r="128">
          <cell r="E128">
            <v>0.41317692741280915</v>
          </cell>
          <cell r="F128">
            <v>0.19169828787811163</v>
          </cell>
        </row>
        <row r="129">
          <cell r="E129">
            <v>0.51277894532991508</v>
          </cell>
          <cell r="F129">
            <v>0</v>
          </cell>
        </row>
        <row r="130">
          <cell r="E130">
            <v>0.28943702221826023</v>
          </cell>
          <cell r="F130">
            <v>0.2890106689346576</v>
          </cell>
        </row>
        <row r="131">
          <cell r="E131">
            <v>0.38328377200468638</v>
          </cell>
          <cell r="F131">
            <v>0</v>
          </cell>
        </row>
        <row r="132">
          <cell r="E132">
            <v>0.334832565146368</v>
          </cell>
          <cell r="F132">
            <v>0.34052647412427023</v>
          </cell>
        </row>
        <row r="133">
          <cell r="E133">
            <v>0.36584672643260369</v>
          </cell>
          <cell r="F133">
            <v>0</v>
          </cell>
        </row>
        <row r="134">
          <cell r="E134">
            <v>0.30490724080819853</v>
          </cell>
          <cell r="F134">
            <v>0.40260643555887476</v>
          </cell>
        </row>
      </sheetData>
      <sheetData sheetId="8"/>
      <sheetData sheetId="9">
        <row r="4">
          <cell r="G4">
            <v>69.58564959661372</v>
          </cell>
        </row>
        <row r="5">
          <cell r="G5">
            <v>67.317606869146729</v>
          </cell>
        </row>
        <row r="6">
          <cell r="G6">
            <v>69.785630504432177</v>
          </cell>
        </row>
        <row r="7">
          <cell r="G7">
            <v>75.223541719312109</v>
          </cell>
        </row>
        <row r="8">
          <cell r="G8">
            <v>84.401992864373838</v>
          </cell>
        </row>
        <row r="9">
          <cell r="G9">
            <v>97.273123838241162</v>
          </cell>
        </row>
        <row r="10">
          <cell r="G10">
            <v>112.9091442065107</v>
          </cell>
        </row>
        <row r="11">
          <cell r="G11">
            <v>128.52855647586961</v>
          </cell>
        </row>
      </sheetData>
      <sheetData sheetId="10">
        <row r="4">
          <cell r="B4">
            <v>0</v>
          </cell>
          <cell r="C4">
            <v>143</v>
          </cell>
          <cell r="D4">
            <v>0</v>
          </cell>
          <cell r="E4">
            <v>215</v>
          </cell>
          <cell r="F4">
            <v>0</v>
          </cell>
          <cell r="G4">
            <v>253</v>
          </cell>
          <cell r="H4">
            <v>0</v>
          </cell>
          <cell r="I4">
            <v>296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84.129499449098432</v>
          </cell>
        </row>
        <row r="6">
          <cell r="V6">
            <v>78.88290799984982</v>
          </cell>
          <cell r="W6">
            <v>23.881112639344011</v>
          </cell>
        </row>
        <row r="7">
          <cell r="V7">
            <v>74.94250358365646</v>
          </cell>
          <cell r="W7">
            <v>21.462402571506413</v>
          </cell>
        </row>
        <row r="8">
          <cell r="V8">
            <v>69.699791980928978</v>
          </cell>
          <cell r="W8">
            <v>20.313077839929981</v>
          </cell>
        </row>
        <row r="9">
          <cell r="V9">
            <v>67.463174122793802</v>
          </cell>
          <cell r="W9">
            <v>17.4493466292395</v>
          </cell>
        </row>
        <row r="10">
          <cell r="V10">
            <v>63.247847844692416</v>
          </cell>
          <cell r="W10">
            <v>16.915821314063574</v>
          </cell>
        </row>
        <row r="11">
          <cell r="V11">
            <v>58.670567684101911</v>
          </cell>
          <cell r="W11">
            <v>16.602121364999032</v>
          </cell>
        </row>
        <row r="12">
          <cell r="V12">
            <v>56.465702180118761</v>
          </cell>
          <cell r="W12">
            <v>15.735170744290286</v>
          </cell>
        </row>
        <row r="13">
          <cell r="V13">
            <v>53.321663707912016</v>
          </cell>
          <cell r="W13">
            <v>11.27851803653185</v>
          </cell>
        </row>
      </sheetData>
      <sheetData sheetId="4"/>
      <sheetData sheetId="5">
        <row r="24">
          <cell r="B24">
            <v>14.451748088720805</v>
          </cell>
        </row>
        <row r="25">
          <cell r="B25">
            <v>13.230753107987649</v>
          </cell>
          <cell r="F25">
            <v>245.27890843011602</v>
          </cell>
        </row>
        <row r="26">
          <cell r="B26">
            <v>12.141230042461242</v>
          </cell>
          <cell r="F26">
            <v>218.46379853888163</v>
          </cell>
        </row>
        <row r="27">
          <cell r="B27">
            <v>11.145257951705679</v>
          </cell>
          <cell r="F27">
            <v>199.37541065675435</v>
          </cell>
        </row>
        <row r="28">
          <cell r="B28">
            <v>10.204915895285055</v>
          </cell>
          <cell r="F28">
            <v>187.95269999696353</v>
          </cell>
        </row>
        <row r="29">
          <cell r="B29">
            <v>9.2822829327634651</v>
          </cell>
          <cell r="F29">
            <v>184.14505702706271</v>
          </cell>
        </row>
        <row r="30">
          <cell r="B30">
            <v>8.3394381237050048</v>
          </cell>
          <cell r="F30">
            <v>187.90738731711221</v>
          </cell>
        </row>
        <row r="31">
          <cell r="B31">
            <v>7.3384605276737673</v>
          </cell>
          <cell r="F31">
            <v>199.19551246931309</v>
          </cell>
        </row>
        <row r="32">
          <cell r="B32">
            <v>6.2414292042338495</v>
          </cell>
          <cell r="F32">
            <v>217.9618738581942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0.10793478260869566</v>
          </cell>
        </row>
        <row r="18">
          <cell r="G18">
            <v>208.0051469076673</v>
          </cell>
        </row>
        <row r="19">
          <cell r="G19">
            <v>190.52421429284081</v>
          </cell>
        </row>
        <row r="20">
          <cell r="G20">
            <v>183.07914262199961</v>
          </cell>
        </row>
        <row r="21">
          <cell r="G21">
            <v>181.81499210811282</v>
          </cell>
        </row>
        <row r="22">
          <cell r="G22">
            <v>187.15795292004933</v>
          </cell>
        </row>
        <row r="23">
          <cell r="G23">
            <v>205.41394202436729</v>
          </cell>
        </row>
        <row r="24">
          <cell r="G24">
            <v>226.07336492091036</v>
          </cell>
        </row>
        <row r="25">
          <cell r="G25">
            <v>245.74370258785191</v>
          </cell>
        </row>
        <row r="26">
          <cell r="D26">
            <v>4981.3469200040981</v>
          </cell>
        </row>
        <row r="27">
          <cell r="D27">
            <v>4425.0323365335071</v>
          </cell>
        </row>
        <row r="29">
          <cell r="D29">
            <v>1145.0435221200842</v>
          </cell>
        </row>
        <row r="127">
          <cell r="E127">
            <v>7.1449952768295688E-2</v>
          </cell>
          <cell r="F127">
            <v>1.3284111767019489E-2</v>
          </cell>
        </row>
        <row r="128">
          <cell r="E128">
            <v>6.2406887016849176E-2</v>
          </cell>
          <cell r="F128">
            <v>0.41386591267283523</v>
          </cell>
        </row>
        <row r="129">
          <cell r="E129">
            <v>6.9567360043594484E-2</v>
          </cell>
          <cell r="F129">
            <v>2.2240348455524708E-2</v>
          </cell>
        </row>
        <row r="130">
          <cell r="E130">
            <v>3.6763346853166672E-2</v>
          </cell>
          <cell r="F130">
            <v>0.35619547051939132</v>
          </cell>
        </row>
        <row r="131">
          <cell r="E131">
            <v>5.4532136835683948E-2</v>
          </cell>
          <cell r="F131">
            <v>1.6931920288638432E-2</v>
          </cell>
        </row>
        <row r="132">
          <cell r="E132">
            <v>6.4436890287735554E-2</v>
          </cell>
          <cell r="F132">
            <v>0.33628808306536334</v>
          </cell>
        </row>
        <row r="133">
          <cell r="E133">
            <v>2.7971587263102199E-2</v>
          </cell>
          <cell r="F133">
            <v>1.6082254284505854E-2</v>
          </cell>
        </row>
        <row r="134">
          <cell r="E134">
            <v>4.4218988825596828E-2</v>
          </cell>
          <cell r="F134">
            <v>0.30012267779122398</v>
          </cell>
        </row>
      </sheetData>
      <sheetData sheetId="8"/>
      <sheetData sheetId="9">
        <row r="4">
          <cell r="I4">
            <v>130.16204889302296</v>
          </cell>
        </row>
        <row r="5">
          <cell r="I5">
            <v>121.78993600168815</v>
          </cell>
        </row>
        <row r="6">
          <cell r="I6">
            <v>120.2656969927291</v>
          </cell>
        </row>
        <row r="7">
          <cell r="I7">
            <v>121.73761142834645</v>
          </cell>
        </row>
        <row r="8">
          <cell r="I8">
            <v>127.35774440615018</v>
          </cell>
        </row>
        <row r="9">
          <cell r="I9">
            <v>143.25322578261452</v>
          </cell>
        </row>
        <row r="10">
          <cell r="I10">
            <v>157.21167389415405</v>
          </cell>
        </row>
        <row r="11">
          <cell r="I11">
            <v>167.33852824852511</v>
          </cell>
        </row>
      </sheetData>
      <sheetData sheetId="10">
        <row r="4">
          <cell r="B4">
            <v>15</v>
          </cell>
          <cell r="C4">
            <v>466</v>
          </cell>
          <cell r="D4">
            <v>25</v>
          </cell>
          <cell r="E4">
            <v>400</v>
          </cell>
          <cell r="F4">
            <v>19</v>
          </cell>
          <cell r="G4">
            <v>377</v>
          </cell>
          <cell r="H4">
            <v>18</v>
          </cell>
          <cell r="I4">
            <v>335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145.22226434606853</v>
          </cell>
        </row>
        <row r="6">
          <cell r="V6">
            <v>134.94393591512349</v>
          </cell>
          <cell r="W6">
            <v>27.143841869996582</v>
          </cell>
        </row>
        <row r="7">
          <cell r="V7">
            <v>126.45086500607947</v>
          </cell>
          <cell r="W7">
            <v>23.526733189725103</v>
          </cell>
        </row>
        <row r="8">
          <cell r="V8">
            <v>116.86034902323591</v>
          </cell>
          <cell r="W8">
            <v>22.924239214749324</v>
          </cell>
        </row>
        <row r="9">
          <cell r="V9">
            <v>111.83717629719025</v>
          </cell>
          <cell r="W9">
            <v>19.609020296616709</v>
          </cell>
        </row>
        <row r="10">
          <cell r="V10">
            <v>104.29464862719034</v>
          </cell>
          <cell r="W10">
            <v>19.422657176765142</v>
          </cell>
        </row>
        <row r="11">
          <cell r="V11">
            <v>98.835341979501052</v>
          </cell>
          <cell r="W11">
            <v>19.297119165845675</v>
          </cell>
        </row>
        <row r="12">
          <cell r="V12">
            <v>92.084383975432885</v>
          </cell>
          <cell r="W12">
            <v>18.269576801889276</v>
          </cell>
        </row>
        <row r="13">
          <cell r="V13">
            <v>85.990765046495639</v>
          </cell>
          <cell r="W13">
            <v>12.581944800964717</v>
          </cell>
        </row>
      </sheetData>
      <sheetData sheetId="4"/>
      <sheetData sheetId="5">
        <row r="24">
          <cell r="B24">
            <v>16.27091156702922</v>
          </cell>
        </row>
        <row r="25">
          <cell r="B25">
            <v>14.93986519913808</v>
          </cell>
          <cell r="F25">
            <v>278.29787763897235</v>
          </cell>
        </row>
        <row r="26">
          <cell r="B26">
            <v>13.697923841620451</v>
          </cell>
          <cell r="F26">
            <v>259.1261225381719</v>
          </cell>
        </row>
        <row r="27">
          <cell r="B27">
            <v>12.518898900958716</v>
          </cell>
          <cell r="F27">
            <v>245.5208613302753</v>
          </cell>
        </row>
        <row r="28">
          <cell r="B28">
            <v>11.376601783635252</v>
          </cell>
          <cell r="F28">
            <v>237.43362989757094</v>
          </cell>
        </row>
        <row r="29">
          <cell r="B29">
            <v>10.244843896132441</v>
          </cell>
          <cell r="F29">
            <v>234.82164525772239</v>
          </cell>
        </row>
        <row r="30">
          <cell r="B30">
            <v>9.0974366449326567</v>
          </cell>
          <cell r="F30">
            <v>237.64532297746138</v>
          </cell>
        </row>
        <row r="31">
          <cell r="B31">
            <v>7.9081914365182815</v>
          </cell>
          <cell r="F31">
            <v>245.86597811823898</v>
          </cell>
        </row>
        <row r="32">
          <cell r="B32">
            <v>6.650919677371693</v>
          </cell>
          <cell r="F32">
            <v>259.44370600521569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9.8585635359115992E-2</v>
          </cell>
        </row>
        <row r="18">
          <cell r="G18">
            <v>120.15081918386183</v>
          </cell>
        </row>
        <row r="19">
          <cell r="G19">
            <v>117.53938705230708</v>
          </cell>
        </row>
        <row r="20">
          <cell r="G20">
            <v>119.21513072363066</v>
          </cell>
        </row>
        <row r="21">
          <cell r="G21">
            <v>123.19512219091486</v>
          </cell>
        </row>
        <row r="22">
          <cell r="G22">
            <v>129.81354447374252</v>
          </cell>
        </row>
        <row r="23">
          <cell r="G23">
            <v>140.26426930561377</v>
          </cell>
        </row>
        <row r="24">
          <cell r="G24">
            <v>152.57163652988649</v>
          </cell>
        </row>
        <row r="25">
          <cell r="G25">
            <v>166.16407074500148</v>
          </cell>
        </row>
        <row r="26">
          <cell r="D26">
            <v>6068.4629331274873</v>
          </cell>
        </row>
        <row r="27">
          <cell r="D27">
            <v>4033.7493606521421</v>
          </cell>
        </row>
        <row r="29">
          <cell r="D29">
            <v>2421.0744670175568</v>
          </cell>
        </row>
        <row r="127">
          <cell r="E127">
            <v>0.15263361547155183</v>
          </cell>
          <cell r="F127">
            <v>4.4877680928213995E-3</v>
          </cell>
        </row>
        <row r="128">
          <cell r="E128">
            <v>0.14183625647968887</v>
          </cell>
          <cell r="F128">
            <v>0.37474916310164813</v>
          </cell>
        </row>
        <row r="129">
          <cell r="E129">
            <v>0.14112550342175872</v>
          </cell>
          <cell r="F129">
            <v>9.9278112364600771E-3</v>
          </cell>
        </row>
        <row r="130">
          <cell r="E130">
            <v>8.467600088878631E-2</v>
          </cell>
          <cell r="F130">
            <v>0.33059884527883543</v>
          </cell>
        </row>
        <row r="131">
          <cell r="E131">
            <v>0.10799829715808427</v>
          </cell>
          <cell r="F131">
            <v>5.422337057555314E-3</v>
          </cell>
        </row>
        <row r="132">
          <cell r="E132">
            <v>8.7517938748624832E-2</v>
          </cell>
          <cell r="F132">
            <v>0.32562261714411961</v>
          </cell>
        </row>
        <row r="133">
          <cell r="E133">
            <v>9.4365941251015786E-2</v>
          </cell>
          <cell r="F133">
            <v>7.2500867911955424E-3</v>
          </cell>
        </row>
        <row r="134">
          <cell r="E134">
            <v>9.2050775024073772E-2</v>
          </cell>
          <cell r="F134">
            <v>0.28652449151474518</v>
          </cell>
        </row>
      </sheetData>
      <sheetData sheetId="8"/>
      <sheetData sheetId="9">
        <row r="4">
          <cell r="G4">
            <v>67.959073978172228</v>
          </cell>
        </row>
        <row r="5">
          <cell r="G5">
            <v>67.799409777722161</v>
          </cell>
        </row>
        <row r="6">
          <cell r="G6">
            <v>70.362190932558761</v>
          </cell>
        </row>
        <row r="7">
          <cell r="G7">
            <v>73.528986631016451</v>
          </cell>
        </row>
        <row r="8">
          <cell r="G8">
            <v>78.90998749696746</v>
          </cell>
        </row>
        <row r="9">
          <cell r="G9">
            <v>86.293237953095471</v>
          </cell>
        </row>
        <row r="10">
          <cell r="G10">
            <v>95.434488060755967</v>
          </cell>
        </row>
        <row r="11">
          <cell r="G11">
            <v>105.35996867578731</v>
          </cell>
        </row>
      </sheetData>
      <sheetData sheetId="10">
        <row r="4">
          <cell r="B4">
            <v>5</v>
          </cell>
          <cell r="C4">
            <v>416</v>
          </cell>
          <cell r="D4">
            <v>11</v>
          </cell>
          <cell r="E4">
            <v>366</v>
          </cell>
          <cell r="F4">
            <v>6</v>
          </cell>
          <cell r="G4">
            <v>360</v>
          </cell>
          <cell r="H4">
            <v>8</v>
          </cell>
          <cell r="I4">
            <v>315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205.05435631029445</v>
          </cell>
        </row>
        <row r="6">
          <cell r="V6">
            <v>187.99703375489983</v>
          </cell>
          <cell r="W6">
            <v>28.809586954960121</v>
          </cell>
        </row>
        <row r="7">
          <cell r="V7">
            <v>175.3984226604629</v>
          </cell>
          <cell r="W7">
            <v>24.536154054684321</v>
          </cell>
        </row>
        <row r="8">
          <cell r="V8">
            <v>162.73849960106577</v>
          </cell>
          <cell r="W8">
            <v>23.993340221660649</v>
          </cell>
        </row>
        <row r="9">
          <cell r="V9">
            <v>156.16049290361028</v>
          </cell>
          <cell r="W9">
            <v>20.189699651811328</v>
          </cell>
        </row>
        <row r="10">
          <cell r="V10">
            <v>144.45244899194122</v>
          </cell>
          <cell r="W10">
            <v>19.93682102504863</v>
          </cell>
        </row>
        <row r="11">
          <cell r="V11">
            <v>136.33695634742494</v>
          </cell>
          <cell r="W11">
            <v>19.718537025610583</v>
          </cell>
        </row>
        <row r="12">
          <cell r="V12">
            <v>125.36222303228266</v>
          </cell>
          <cell r="W12">
            <v>18.888376099141293</v>
          </cell>
        </row>
        <row r="13">
          <cell r="V13">
            <v>117.45303805845309</v>
          </cell>
          <cell r="W13">
            <v>12.540805951048037</v>
          </cell>
        </row>
      </sheetData>
      <sheetData sheetId="4"/>
      <sheetData sheetId="5">
        <row r="24">
          <cell r="B24">
            <v>16.956057679764257</v>
          </cell>
        </row>
        <row r="25">
          <cell r="B25">
            <v>15.401466182691468</v>
          </cell>
          <cell r="F25">
            <v>354.148194961949</v>
          </cell>
        </row>
        <row r="26">
          <cell r="B26">
            <v>14.005493558315106</v>
          </cell>
          <cell r="F26">
            <v>317.25036968174538</v>
          </cell>
        </row>
        <row r="27">
          <cell r="B27">
            <v>12.722119181360924</v>
          </cell>
          <cell r="F27">
            <v>291.03242146304774</v>
          </cell>
        </row>
        <row r="28">
          <cell r="B28">
            <v>11.505322426554685</v>
          </cell>
          <cell r="F28">
            <v>275.38514473013555</v>
          </cell>
        </row>
        <row r="29">
          <cell r="B29">
            <v>10.309082668622143</v>
          </cell>
          <cell r="F29">
            <v>270.21762063747548</v>
          </cell>
        </row>
        <row r="30">
          <cell r="B30">
            <v>9.0873792822890582</v>
          </cell>
          <cell r="F30">
            <v>275.4487501834322</v>
          </cell>
        </row>
        <row r="31">
          <cell r="B31">
            <v>7.7941916422811879</v>
          </cell>
          <cell r="F31">
            <v>290.99946772797682</v>
          </cell>
        </row>
        <row r="32">
          <cell r="B32">
            <v>6.3834991233242917</v>
          </cell>
          <cell r="F32">
            <v>316.7856034752495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9.4533333333333344E-2</v>
          </cell>
        </row>
        <row r="18">
          <cell r="G18">
            <v>102.78298224851223</v>
          </cell>
        </row>
        <row r="19">
          <cell r="G19">
            <v>98.197011655596057</v>
          </cell>
        </row>
        <row r="20">
          <cell r="G20">
            <v>96.430659698378676</v>
          </cell>
        </row>
        <row r="21">
          <cell r="G21">
            <v>96.922043856620107</v>
          </cell>
        </row>
        <row r="22">
          <cell r="G22">
            <v>101.37533110000669</v>
          </cell>
        </row>
        <row r="23">
          <cell r="G23">
            <v>110.96932229190737</v>
          </cell>
        </row>
        <row r="24">
          <cell r="G24">
            <v>124.79254607965493</v>
          </cell>
        </row>
        <row r="25">
          <cell r="G25">
            <v>142.2984278106149</v>
          </cell>
        </row>
        <row r="26">
          <cell r="D26">
            <v>7278.7895128986265</v>
          </cell>
        </row>
        <row r="27">
          <cell r="D27">
            <v>3866.4981792055332</v>
          </cell>
        </row>
        <row r="29">
          <cell r="D29">
            <v>4042.2386192300801</v>
          </cell>
        </row>
        <row r="127">
          <cell r="E127">
            <v>0.2859042386414406</v>
          </cell>
          <cell r="F127">
            <v>3.6044316619233551E-3</v>
          </cell>
        </row>
        <row r="128">
          <cell r="E128">
            <v>0.22863627652311658</v>
          </cell>
          <cell r="F128">
            <v>0.30585047785387898</v>
          </cell>
        </row>
        <row r="129">
          <cell r="E129">
            <v>0.21261470069949831</v>
          </cell>
          <cell r="F129">
            <v>4.7155827184434007E-2</v>
          </cell>
        </row>
        <row r="130">
          <cell r="E130">
            <v>0.12440887014129647</v>
          </cell>
          <cell r="F130">
            <v>0.32496370380440381</v>
          </cell>
        </row>
        <row r="131">
          <cell r="E131">
            <v>0.18943919919541721</v>
          </cell>
          <cell r="F131">
            <v>3.6329185776802012E-3</v>
          </cell>
        </row>
        <row r="132">
          <cell r="E132">
            <v>0.14279291277784253</v>
          </cell>
          <cell r="F132">
            <v>0.29999693362127855</v>
          </cell>
        </row>
        <row r="133">
          <cell r="E133">
            <v>0.17275287762780792</v>
          </cell>
          <cell r="F133">
            <v>5.4658749630640407E-3</v>
          </cell>
        </row>
        <row r="134">
          <cell r="E134">
            <v>0.13409172489795912</v>
          </cell>
          <cell r="F134">
            <v>0.29816255873518144</v>
          </cell>
        </row>
      </sheetData>
      <sheetData sheetId="8"/>
      <sheetData sheetId="9">
        <row r="4">
          <cell r="G4">
            <v>51.533664615849482</v>
          </cell>
        </row>
        <row r="5">
          <cell r="G5">
            <v>50.642628273709015</v>
          </cell>
        </row>
        <row r="6">
          <cell r="G6">
            <v>51.148506817473468</v>
          </cell>
        </row>
        <row r="7">
          <cell r="G7">
            <v>52.168886037767031</v>
          </cell>
        </row>
        <row r="8">
          <cell r="G8">
            <v>56.020115660584018</v>
          </cell>
        </row>
        <row r="9">
          <cell r="G9">
            <v>62.431664051103461</v>
          </cell>
        </row>
        <row r="10">
          <cell r="G10">
            <v>71.996139079802717</v>
          </cell>
        </row>
        <row r="11">
          <cell r="G11">
            <v>83.536511409542086</v>
          </cell>
        </row>
      </sheetData>
      <sheetData sheetId="10">
        <row r="4">
          <cell r="B4">
            <v>4</v>
          </cell>
          <cell r="C4">
            <v>338</v>
          </cell>
          <cell r="D4">
            <v>52</v>
          </cell>
          <cell r="E4">
            <v>358</v>
          </cell>
          <cell r="F4">
            <v>4</v>
          </cell>
          <cell r="G4">
            <v>330</v>
          </cell>
          <cell r="H4">
            <v>6</v>
          </cell>
          <cell r="I4">
            <v>326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204.5873358801675</v>
          </cell>
        </row>
        <row r="6">
          <cell r="V6">
            <v>191.75352186109285</v>
          </cell>
          <cell r="W6">
            <v>26.072377331634801</v>
          </cell>
        </row>
        <row r="7">
          <cell r="V7">
            <v>182.63098686364643</v>
          </cell>
          <cell r="W7">
            <v>21.439192384393607</v>
          </cell>
        </row>
        <row r="8">
          <cell r="V8">
            <v>170.40167056962991</v>
          </cell>
          <cell r="W8">
            <v>22.288580067004602</v>
          </cell>
        </row>
        <row r="9">
          <cell r="V9">
            <v>164.6801197284237</v>
          </cell>
          <cell r="W9">
            <v>18.349911167533492</v>
          </cell>
        </row>
        <row r="10">
          <cell r="V10">
            <v>154.73532113587925</v>
          </cell>
          <cell r="W10">
            <v>18.585017582675267</v>
          </cell>
        </row>
        <row r="11">
          <cell r="V11">
            <v>146.70812465451027</v>
          </cell>
          <cell r="W11">
            <v>18.442828792453145</v>
          </cell>
        </row>
        <row r="12">
          <cell r="V12">
            <v>137.45222017634822</v>
          </cell>
          <cell r="W12">
            <v>17.626967611509684</v>
          </cell>
        </row>
        <row r="13">
          <cell r="V13">
            <v>129.7341160111155</v>
          </cell>
          <cell r="W13">
            <v>13.28227352101287</v>
          </cell>
        </row>
      </sheetData>
      <sheetData sheetId="4"/>
      <sheetData sheetId="5">
        <row r="24">
          <cell r="B24">
            <v>15.591410083848771</v>
          </cell>
        </row>
        <row r="25">
          <cell r="B25">
            <v>14.251417041013513</v>
          </cell>
          <cell r="F25">
            <v>504.32557381505973</v>
          </cell>
        </row>
        <row r="26">
          <cell r="B26">
            <v>13.08639582876444</v>
          </cell>
          <cell r="F26">
            <v>437.58681031382849</v>
          </cell>
        </row>
        <row r="27">
          <cell r="B27">
            <v>12.039339962932182</v>
          </cell>
          <cell r="F27">
            <v>392.58355641942501</v>
          </cell>
        </row>
        <row r="28">
          <cell r="B28">
            <v>11.053242959347365</v>
          </cell>
          <cell r="F28">
            <v>369.13219979670652</v>
          </cell>
        </row>
        <row r="29">
          <cell r="B29">
            <v>10.071098333840617</v>
          </cell>
          <cell r="F29">
            <v>367.0842028841509</v>
          </cell>
        </row>
        <row r="30">
          <cell r="B30">
            <v>9.0358996022425657</v>
          </cell>
          <cell r="F30">
            <v>386.30552042870994</v>
          </cell>
        </row>
        <row r="31">
          <cell r="B31">
            <v>7.8906402803838382</v>
          </cell>
          <cell r="F31">
            <v>426.65742826278614</v>
          </cell>
        </row>
        <row r="32">
          <cell r="B32">
            <v>6.5783138840950617</v>
          </cell>
          <cell r="F32">
            <v>487.97876160132927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0.10246666666666666</v>
          </cell>
        </row>
        <row r="18">
          <cell r="G18">
            <v>142.2094511379361</v>
          </cell>
        </row>
        <row r="19">
          <cell r="G19">
            <v>128.98091872719519</v>
          </cell>
        </row>
        <row r="20">
          <cell r="G20">
            <v>122.18474022171237</v>
          </cell>
        </row>
        <row r="21">
          <cell r="G21">
            <v>121.19268677310818</v>
          </cell>
        </row>
        <row r="22">
          <cell r="G22">
            <v>126.87182169148892</v>
          </cell>
        </row>
        <row r="23">
          <cell r="G23">
            <v>141.9111787465859</v>
          </cell>
        </row>
        <row r="24">
          <cell r="G24">
            <v>165.57138073364411</v>
          </cell>
        </row>
        <row r="25">
          <cell r="G25">
            <v>197.77204437088804</v>
          </cell>
        </row>
        <row r="26">
          <cell r="D26">
            <v>10296.088118392905</v>
          </cell>
        </row>
        <row r="27">
          <cell r="D27">
            <v>4199.5362881115907</v>
          </cell>
        </row>
        <row r="29">
          <cell r="D29">
            <v>6411.4375673918639</v>
          </cell>
        </row>
        <row r="127">
          <cell r="E127">
            <v>0.36811421886764234</v>
          </cell>
          <cell r="F127">
            <v>0</v>
          </cell>
        </row>
        <row r="128">
          <cell r="E128">
            <v>0.26311221865237994</v>
          </cell>
          <cell r="F128">
            <v>0.13240955450217126</v>
          </cell>
        </row>
        <row r="129">
          <cell r="E129">
            <v>0.34198288141707317</v>
          </cell>
          <cell r="F129">
            <v>0</v>
          </cell>
        </row>
        <row r="130">
          <cell r="E130">
            <v>0.18084611315100951</v>
          </cell>
          <cell r="F130">
            <v>0.41191006084077991</v>
          </cell>
        </row>
        <row r="131">
          <cell r="E131">
            <v>0.27335371432262079</v>
          </cell>
          <cell r="F131">
            <v>0</v>
          </cell>
        </row>
        <row r="132">
          <cell r="E132">
            <v>0.2398436576745753</v>
          </cell>
          <cell r="F132">
            <v>0.45692843469087663</v>
          </cell>
        </row>
        <row r="133">
          <cell r="E133">
            <v>0.24842228888044104</v>
          </cell>
          <cell r="F133">
            <v>9.1155320129626737E-4</v>
          </cell>
        </row>
        <row r="134">
          <cell r="E134">
            <v>0.2214707628315459</v>
          </cell>
          <cell r="F134">
            <v>0.39768582613540615</v>
          </cell>
        </row>
      </sheetData>
      <sheetData sheetId="8"/>
      <sheetData sheetId="9">
        <row r="4">
          <cell r="H4">
            <v>70.710641893925825</v>
          </cell>
        </row>
        <row r="5">
          <cell r="H5">
            <v>65.440094517536252</v>
          </cell>
        </row>
        <row r="6">
          <cell r="H6">
            <v>63.696890424377962</v>
          </cell>
        </row>
        <row r="7">
          <cell r="H7">
            <v>64.003042019189266</v>
          </cell>
        </row>
        <row r="8">
          <cell r="H8">
            <v>68.517540944438466</v>
          </cell>
        </row>
        <row r="9">
          <cell r="H9">
            <v>78.031252948491471</v>
          </cell>
        </row>
        <row r="10">
          <cell r="H10">
            <v>92.987045312930718</v>
          </cell>
        </row>
        <row r="11">
          <cell r="H11">
            <v>113.00888338867878</v>
          </cell>
        </row>
      </sheetData>
      <sheetData sheetId="10">
        <row r="4">
          <cell r="B4">
            <v>0</v>
          </cell>
          <cell r="C4">
            <v>146</v>
          </cell>
          <cell r="D4">
            <v>0</v>
          </cell>
          <cell r="E4">
            <v>453</v>
          </cell>
          <cell r="F4">
            <v>0</v>
          </cell>
          <cell r="G4">
            <v>502</v>
          </cell>
          <cell r="H4">
            <v>1</v>
          </cell>
          <cell r="I4">
            <v>435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84.712778469958764</v>
          </cell>
        </row>
        <row r="6">
          <cell r="V6">
            <v>80.29558874924237</v>
          </cell>
          <cell r="W6">
            <v>21.608990415634636</v>
          </cell>
        </row>
        <row r="7">
          <cell r="V7">
            <v>76.848119641214609</v>
          </cell>
          <cell r="W7">
            <v>18.135978858703105</v>
          </cell>
        </row>
        <row r="8">
          <cell r="V8">
            <v>72.47480608960953</v>
          </cell>
          <cell r="W8">
            <v>18.684324138903243</v>
          </cell>
        </row>
        <row r="9">
          <cell r="V9">
            <v>69.636668045138279</v>
          </cell>
          <cell r="W9">
            <v>15.715517689186457</v>
          </cell>
        </row>
        <row r="10">
          <cell r="V10">
            <v>66.904897710994163</v>
          </cell>
          <cell r="W10">
            <v>16.064359472441723</v>
          </cell>
        </row>
        <row r="11">
          <cell r="V11">
            <v>64.249075677633655</v>
          </cell>
          <cell r="W11">
            <v>16.147627336888778</v>
          </cell>
        </row>
        <row r="12">
          <cell r="V12">
            <v>61.097498300189677</v>
          </cell>
          <cell r="W12">
            <v>15.331526331669442</v>
          </cell>
        </row>
        <row r="13">
          <cell r="V13">
            <v>58.396793989299233</v>
          </cell>
          <cell r="W13">
            <v>10.644390048697868</v>
          </cell>
        </row>
      </sheetData>
      <sheetData sheetId="4"/>
      <sheetData sheetId="5">
        <row r="24">
          <cell r="B24">
            <v>13.23826979135864</v>
          </cell>
        </row>
        <row r="25">
          <cell r="B25">
            <v>12.346316304228385</v>
          </cell>
          <cell r="F25">
            <v>268.8016472606302</v>
          </cell>
        </row>
        <row r="26">
          <cell r="B26">
            <v>11.499248893527366</v>
          </cell>
          <cell r="F26">
            <v>254.92211419195598</v>
          </cell>
        </row>
        <row r="27">
          <cell r="B27">
            <v>10.681311973187709</v>
          </cell>
          <cell r="F27">
            <v>245.83216769969746</v>
          </cell>
        </row>
        <row r="28">
          <cell r="B28">
            <v>9.8767499571415431</v>
          </cell>
          <cell r="F28">
            <v>241.5050076653242</v>
          </cell>
        </row>
        <row r="29">
          <cell r="B29">
            <v>9.0698072593209957</v>
          </cell>
          <cell r="F29">
            <v>241.91594670995912</v>
          </cell>
        </row>
        <row r="30">
          <cell r="B30">
            <v>8.2447282936581932</v>
          </cell>
          <cell r="F30">
            <v>247.04119510852547</v>
          </cell>
        </row>
        <row r="31">
          <cell r="B31">
            <v>7.3857574740852625</v>
          </cell>
          <cell r="F31">
            <v>256.85671257760208</v>
          </cell>
        </row>
        <row r="32">
          <cell r="B32">
            <v>6.4771392145343327</v>
          </cell>
          <cell r="F32">
            <v>271.33712839865717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0.11706666666666668</v>
          </cell>
        </row>
        <row r="18">
          <cell r="G18">
            <v>214.78600616162868</v>
          </cell>
        </row>
        <row r="19">
          <cell r="G19">
            <v>206.48509438628258</v>
          </cell>
        </row>
        <row r="20">
          <cell r="G20">
            <v>207.75524340172379</v>
          </cell>
        </row>
        <row r="21">
          <cell r="G21">
            <v>216.06456565559486</v>
          </cell>
        </row>
        <row r="22">
          <cell r="G22">
            <v>227.59085369173462</v>
          </cell>
        </row>
        <row r="23">
          <cell r="G23">
            <v>242.62413871190492</v>
          </cell>
        </row>
        <row r="24">
          <cell r="G24">
            <v>259.01038763928221</v>
          </cell>
        </row>
        <row r="25">
          <cell r="G25">
            <v>270.90828079388274</v>
          </cell>
        </row>
        <row r="26">
          <cell r="D26">
            <v>6137.2530656097388</v>
          </cell>
        </row>
        <row r="27">
          <cell r="D27">
            <v>4807.1870959040361</v>
          </cell>
        </row>
        <row r="29">
          <cell r="D29">
            <v>1476.5200089445643</v>
          </cell>
        </row>
        <row r="127">
          <cell r="E127">
            <v>9.5366957570238151E-2</v>
          </cell>
          <cell r="F127">
            <v>1.6333883371648684E-2</v>
          </cell>
        </row>
        <row r="128">
          <cell r="E128">
            <v>8.0807490221235581E-2</v>
          </cell>
          <cell r="F128">
            <v>0.29759716233047817</v>
          </cell>
        </row>
        <row r="129">
          <cell r="E129">
            <v>9.307195498785048E-2</v>
          </cell>
          <cell r="F129">
            <v>1.7314375006543276E-2</v>
          </cell>
        </row>
        <row r="130">
          <cell r="E130">
            <v>7.0029853255698923E-2</v>
          </cell>
          <cell r="F130">
            <v>0.47496354681966069</v>
          </cell>
        </row>
        <row r="131">
          <cell r="E131">
            <v>5.6985756920367885E-2</v>
          </cell>
          <cell r="F131">
            <v>1.1852629005155839E-2</v>
          </cell>
        </row>
        <row r="132">
          <cell r="E132">
            <v>6.3122432003265311E-2</v>
          </cell>
          <cell r="F132">
            <v>0.41048065047072818</v>
          </cell>
        </row>
        <row r="133">
          <cell r="E133">
            <v>6.4541025541033636E-2</v>
          </cell>
          <cell r="F133">
            <v>1.1876021289062176E-2</v>
          </cell>
        </row>
        <row r="134">
          <cell r="E134">
            <v>6.146126930450934E-2</v>
          </cell>
          <cell r="F134">
            <v>0.36197743034140162</v>
          </cell>
        </row>
      </sheetData>
      <sheetData sheetId="8"/>
      <sheetData sheetId="9">
        <row r="4">
          <cell r="H4">
            <v>138.98267292788609</v>
          </cell>
        </row>
        <row r="5">
          <cell r="H5">
            <v>134.62903898045087</v>
          </cell>
        </row>
        <row r="6">
          <cell r="H6">
            <v>136.99606205994399</v>
          </cell>
        </row>
        <row r="7">
          <cell r="H7">
            <v>143.28904353717488</v>
          </cell>
        </row>
        <row r="8">
          <cell r="H8">
            <v>152.00865877532297</v>
          </cell>
        </row>
        <row r="9">
          <cell r="H9">
            <v>162.88730886017265</v>
          </cell>
        </row>
        <row r="10">
          <cell r="H10">
            <v>175.32702383645585</v>
          </cell>
        </row>
        <row r="11">
          <cell r="H11">
            <v>184.37139373958624</v>
          </cell>
        </row>
      </sheetData>
      <sheetData sheetId="10">
        <row r="4">
          <cell r="B4">
            <v>18</v>
          </cell>
          <cell r="C4">
            <v>327</v>
          </cell>
          <cell r="D4">
            <v>19</v>
          </cell>
          <cell r="E4">
            <v>521</v>
          </cell>
          <cell r="F4">
            <v>13</v>
          </cell>
          <cell r="G4">
            <v>450</v>
          </cell>
          <cell r="H4">
            <v>13</v>
          </cell>
          <cell r="I4">
            <v>395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142.44659535860339</v>
          </cell>
        </row>
        <row r="6">
          <cell r="V6">
            <v>136.57825054865987</v>
          </cell>
          <cell r="W6">
            <v>23.27621269191728</v>
          </cell>
        </row>
        <row r="7">
          <cell r="V7">
            <v>129.96041789749339</v>
          </cell>
          <cell r="W7">
            <v>19.177254686243483</v>
          </cell>
        </row>
        <row r="8">
          <cell r="V8">
            <v>121.71657851882587</v>
          </cell>
          <cell r="W8">
            <v>20.10583684727489</v>
          </cell>
        </row>
        <row r="9">
          <cell r="V9">
            <v>117.26866594264523</v>
          </cell>
          <cell r="W9">
            <v>16.850084671305964</v>
          </cell>
        </row>
        <row r="10">
          <cell r="V10">
            <v>111.12689947562187</v>
          </cell>
          <cell r="W10">
            <v>17.398638546789275</v>
          </cell>
        </row>
        <row r="11">
          <cell r="V11">
            <v>106.60183943545719</v>
          </cell>
          <cell r="W11">
            <v>17.473068899855495</v>
          </cell>
        </row>
        <row r="12">
          <cell r="V12">
            <v>100.84450297147339</v>
          </cell>
          <cell r="W12">
            <v>16.398114519000483</v>
          </cell>
        </row>
        <row r="13">
          <cell r="V13">
            <v>94.776535793763742</v>
          </cell>
          <cell r="W13">
            <v>11.360741037933302</v>
          </cell>
        </row>
      </sheetData>
      <sheetData sheetId="4"/>
      <sheetData sheetId="5">
        <row r="24">
          <cell r="B24">
            <v>14.424092290542957</v>
          </cell>
        </row>
        <row r="25">
          <cell r="B25">
            <v>13.368448199442852</v>
          </cell>
          <cell r="F25">
            <v>366.84325258999434</v>
          </cell>
        </row>
        <row r="26">
          <cell r="B26">
            <v>12.411769155491157</v>
          </cell>
          <cell r="F26">
            <v>331.9165784491276</v>
          </cell>
        </row>
        <row r="27">
          <cell r="B27">
            <v>11.519455145276252</v>
          </cell>
          <cell r="F27">
            <v>309.13052878123733</v>
          </cell>
        </row>
        <row r="28">
          <cell r="B28">
            <v>10.65690615538651</v>
          </cell>
          <cell r="F28">
            <v>298.40522170868985</v>
          </cell>
        </row>
        <row r="29">
          <cell r="B29">
            <v>9.7895221724103045</v>
          </cell>
          <cell r="F29">
            <v>299.6714270157583</v>
          </cell>
        </row>
        <row r="30">
          <cell r="B30">
            <v>8.8827031829360159</v>
          </cell>
          <cell r="F30">
            <v>312.86372960800617</v>
          </cell>
        </row>
        <row r="31">
          <cell r="B31">
            <v>7.9018491735520175</v>
          </cell>
          <cell r="F31">
            <v>337.91410012934557</v>
          </cell>
        </row>
        <row r="32">
          <cell r="B32">
            <v>6.8123601308466881</v>
          </cell>
          <cell r="F32">
            <v>374.74588619857667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0.11326666666666665</v>
          </cell>
        </row>
        <row r="18">
          <cell r="G18">
            <v>153.39001841569564</v>
          </cell>
        </row>
        <row r="19">
          <cell r="G19">
            <v>142.22742159031162</v>
          </cell>
        </row>
        <row r="20">
          <cell r="G20">
            <v>139.76652273828481</v>
          </cell>
        </row>
        <row r="21">
          <cell r="G21">
            <v>142.8495729212845</v>
          </cell>
        </row>
        <row r="22">
          <cell r="G22">
            <v>151.27340535647693</v>
          </cell>
        </row>
        <row r="23">
          <cell r="G23">
            <v>166.24726624831598</v>
          </cell>
        </row>
        <row r="24">
          <cell r="G24">
            <v>186.39325511779822</v>
          </cell>
        </row>
        <row r="25">
          <cell r="G25">
            <v>211.65183092912682</v>
          </cell>
        </row>
        <row r="26">
          <cell r="D26">
            <v>7994.1922010206572</v>
          </cell>
        </row>
        <row r="27">
          <cell r="D27">
            <v>4646.7443822858959</v>
          </cell>
        </row>
        <row r="29">
          <cell r="D29">
            <v>3706.3880172421268</v>
          </cell>
        </row>
        <row r="127">
          <cell r="E127">
            <v>0.15020716861675779</v>
          </cell>
          <cell r="F127">
            <v>3.6243121227859903E-3</v>
          </cell>
        </row>
        <row r="128">
          <cell r="E128">
            <v>0.17941075102504278</v>
          </cell>
          <cell r="F128">
            <v>0.27906382193416901</v>
          </cell>
        </row>
        <row r="129">
          <cell r="E129">
            <v>0.20720395462870847</v>
          </cell>
          <cell r="F129">
            <v>3.6411160374667014E-3</v>
          </cell>
        </row>
        <row r="130">
          <cell r="E130">
            <v>0.12840894534365943</v>
          </cell>
          <cell r="F130">
            <v>0.4762426150176004</v>
          </cell>
        </row>
        <row r="131">
          <cell r="E131">
            <v>0.15091727735790525</v>
          </cell>
          <cell r="F131">
            <v>1.8212759207025019E-3</v>
          </cell>
        </row>
        <row r="132">
          <cell r="E132">
            <v>0.12433482570691994</v>
          </cell>
          <cell r="F132">
            <v>0.41362861567863823</v>
          </cell>
        </row>
        <row r="133">
          <cell r="E133">
            <v>0.13887639241248631</v>
          </cell>
          <cell r="F133">
            <v>4.562928598763589E-3</v>
          </cell>
        </row>
        <row r="134">
          <cell r="E134">
            <v>0.15610335732256239</v>
          </cell>
          <cell r="F134">
            <v>0.36633010878517241</v>
          </cell>
        </row>
      </sheetData>
      <sheetData sheetId="8"/>
      <sheetData sheetId="9">
        <row r="4">
          <cell r="G4">
            <v>86.413205598208705</v>
          </cell>
        </row>
        <row r="5">
          <cell r="G5">
            <v>81.371202370398677</v>
          </cell>
        </row>
        <row r="6">
          <cell r="G6">
            <v>81.549117404927642</v>
          </cell>
        </row>
        <row r="7">
          <cell r="G7">
            <v>84.188195181371754</v>
          </cell>
        </row>
        <row r="8">
          <cell r="G8">
            <v>90.483514771629643</v>
          </cell>
        </row>
        <row r="9">
          <cell r="G9">
            <v>100.45261031896773</v>
          </cell>
        </row>
        <row r="10">
          <cell r="G10">
            <v>114.21833345963667</v>
          </cell>
        </row>
        <row r="11">
          <cell r="G11">
            <v>131.51481575134085</v>
          </cell>
        </row>
      </sheetData>
      <sheetData sheetId="10">
        <row r="4">
          <cell r="B4">
            <v>4</v>
          </cell>
          <cell r="C4">
            <v>307</v>
          </cell>
          <cell r="D4">
            <v>4</v>
          </cell>
          <cell r="E4">
            <v>523</v>
          </cell>
          <cell r="F4">
            <v>2</v>
          </cell>
          <cell r="G4">
            <v>454</v>
          </cell>
          <cell r="H4">
            <v>5</v>
          </cell>
          <cell r="I4">
            <v>400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85.017565036517183</v>
          </cell>
        </row>
        <row r="6">
          <cell r="V6">
            <v>80.067683058152525</v>
          </cell>
          <cell r="W6">
            <v>27.910307573896379</v>
          </cell>
        </row>
        <row r="7">
          <cell r="V7">
            <v>76.231963717485598</v>
          </cell>
          <cell r="W7">
            <v>26.393445024569377</v>
          </cell>
        </row>
        <row r="8">
          <cell r="V8">
            <v>71.061778001692232</v>
          </cell>
          <cell r="W8">
            <v>24.456423782140721</v>
          </cell>
        </row>
        <row r="9">
          <cell r="V9">
            <v>68.282784088415397</v>
          </cell>
          <cell r="W9">
            <v>21.979896516930825</v>
          </cell>
        </row>
        <row r="10">
          <cell r="V10">
            <v>65.345519627513468</v>
          </cell>
          <cell r="W10">
            <v>20.817103082731439</v>
          </cell>
        </row>
        <row r="11">
          <cell r="V11">
            <v>61.771044009203699</v>
          </cell>
          <cell r="W11">
            <v>20.027771939093313</v>
          </cell>
        </row>
        <row r="12">
          <cell r="V12">
            <v>57.998704586239434</v>
          </cell>
          <cell r="W12">
            <v>18.879288818803584</v>
          </cell>
        </row>
        <row r="13">
          <cell r="V13">
            <v>55.19674668373775</v>
          </cell>
          <cell r="W13">
            <v>14.681774660787486</v>
          </cell>
        </row>
      </sheetData>
      <sheetData sheetId="4"/>
      <sheetData sheetId="5">
        <row r="24">
          <cell r="B24">
            <v>17.944871348953921</v>
          </cell>
        </row>
        <row r="25">
          <cell r="B25">
            <v>16.358868177672822</v>
          </cell>
          <cell r="F25">
            <v>228.55736255099291</v>
          </cell>
        </row>
        <row r="26">
          <cell r="B26">
            <v>14.918292922033732</v>
          </cell>
          <cell r="F26">
            <v>207.08511117249199</v>
          </cell>
        </row>
        <row r="27">
          <cell r="B27">
            <v>13.575342190844214</v>
          </cell>
          <cell r="F27">
            <v>192.61600337026556</v>
          </cell>
        </row>
        <row r="28">
          <cell r="B28">
            <v>12.282212592911828</v>
          </cell>
          <cell r="F28">
            <v>185.07830203531427</v>
          </cell>
        </row>
        <row r="29">
          <cell r="B29">
            <v>10.991100737044132</v>
          </cell>
          <cell r="F29">
            <v>184.41064397233652</v>
          </cell>
        </row>
        <row r="30">
          <cell r="B30">
            <v>9.6542032320486904</v>
          </cell>
          <cell r="F30">
            <v>190.55637222140132</v>
          </cell>
        </row>
        <row r="31">
          <cell r="B31">
            <v>8.2237166867330629</v>
          </cell>
          <cell r="F31">
            <v>203.4583458451647</v>
          </cell>
        </row>
        <row r="32">
          <cell r="B32">
            <v>6.6518377099048074</v>
          </cell>
          <cell r="F32">
            <v>223.05423292220183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0.10186813186813187</v>
          </cell>
        </row>
        <row r="18">
          <cell r="G18">
            <v>204.79543648016841</v>
          </cell>
        </row>
        <row r="19">
          <cell r="G19">
            <v>192.22113577529316</v>
          </cell>
        </row>
        <row r="20">
          <cell r="G20">
            <v>188.59161688341305</v>
          </cell>
        </row>
        <row r="21">
          <cell r="G21">
            <v>191.2753049528819</v>
          </cell>
        </row>
        <row r="22">
          <cell r="G22">
            <v>197.31151604670183</v>
          </cell>
        </row>
        <row r="23">
          <cell r="G23">
            <v>212.28715928776032</v>
          </cell>
        </row>
        <row r="24">
          <cell r="G24">
            <v>235.85225957067658</v>
          </cell>
        </row>
        <row r="25">
          <cell r="G25">
            <v>261.61457390413744</v>
          </cell>
        </row>
        <row r="26">
          <cell r="D26">
            <v>4878.7123437477358</v>
          </cell>
        </row>
        <row r="27">
          <cell r="D27">
            <v>4161.2516408495203</v>
          </cell>
        </row>
        <row r="29">
          <cell r="D29">
            <v>1123.648726113574</v>
          </cell>
        </row>
        <row r="127">
          <cell r="E127">
            <v>6.825113840169196E-2</v>
          </cell>
          <cell r="F127">
            <v>1.9620628444610624E-2</v>
          </cell>
        </row>
        <row r="128">
          <cell r="E128">
            <v>6.1517941931043207E-2</v>
          </cell>
          <cell r="F128">
            <v>0.40408163026475513</v>
          </cell>
        </row>
        <row r="129">
          <cell r="E129">
            <v>6.9203826319835224E-2</v>
          </cell>
          <cell r="F129">
            <v>1.611895171660464E-2</v>
          </cell>
        </row>
        <row r="130">
          <cell r="E130">
            <v>4.2276924692952488E-2</v>
          </cell>
          <cell r="F130">
            <v>0.25733855005535561</v>
          </cell>
        </row>
        <row r="131">
          <cell r="E131">
            <v>3.8700430354678794E-2</v>
          </cell>
          <cell r="F131">
            <v>1.4363344136808101E-2</v>
          </cell>
        </row>
        <row r="132">
          <cell r="E132">
            <v>5.3286074706313129E-2</v>
          </cell>
          <cell r="F132">
            <v>0.35957467470696924</v>
          </cell>
        </row>
        <row r="133">
          <cell r="E133">
            <v>4.8403823127745854E-2</v>
          </cell>
          <cell r="F133">
            <v>1.5310071494118359E-2</v>
          </cell>
        </row>
        <row r="134">
          <cell r="E134">
            <v>4.0734180153664104E-2</v>
          </cell>
          <cell r="F134">
            <v>0.30067602946395161</v>
          </cell>
        </row>
      </sheetData>
      <sheetData sheetId="8"/>
      <sheetData sheetId="9">
        <row r="4">
          <cell r="I4">
            <v>132.74262461787072</v>
          </cell>
        </row>
        <row r="5">
          <cell r="I5">
            <v>125.47637042076967</v>
          </cell>
        </row>
        <row r="6">
          <cell r="I6">
            <v>124.74972587413404</v>
          </cell>
        </row>
        <row r="7">
          <cell r="I7">
            <v>127.09737257271561</v>
          </cell>
        </row>
        <row r="8">
          <cell r="I8">
            <v>132.09845260385742</v>
          </cell>
        </row>
        <row r="9">
          <cell r="I9">
            <v>143.06333912323939</v>
          </cell>
        </row>
        <row r="10">
          <cell r="I10">
            <v>160.50453020260795</v>
          </cell>
        </row>
        <row r="11">
          <cell r="I11">
            <v>178.88392820222617</v>
          </cell>
        </row>
      </sheetData>
      <sheetData sheetId="10">
        <row r="4">
          <cell r="B4">
            <v>22</v>
          </cell>
          <cell r="C4">
            <v>452</v>
          </cell>
          <cell r="D4">
            <v>18</v>
          </cell>
          <cell r="E4">
            <v>287</v>
          </cell>
          <cell r="F4">
            <v>16</v>
          </cell>
          <cell r="G4">
            <v>400</v>
          </cell>
          <cell r="H4">
            <v>17</v>
          </cell>
          <cell r="I4">
            <v>333</v>
          </cell>
        </row>
      </sheetData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143.54459729177728</v>
          </cell>
        </row>
        <row r="6">
          <cell r="V6">
            <v>133.60331881716948</v>
          </cell>
          <cell r="W6">
            <v>30.44505194269134</v>
          </cell>
        </row>
        <row r="7">
          <cell r="V7">
            <v>125.71004143609575</v>
          </cell>
          <cell r="W7">
            <v>27.766160287864356</v>
          </cell>
        </row>
        <row r="8">
          <cell r="V8">
            <v>116.3945468964808</v>
          </cell>
          <cell r="W8">
            <v>25.778730551691933</v>
          </cell>
        </row>
        <row r="9">
          <cell r="V9">
            <v>110.88798619965787</v>
          </cell>
          <cell r="W9">
            <v>22.989865596559827</v>
          </cell>
        </row>
        <row r="10">
          <cell r="V10">
            <v>104.15464645848154</v>
          </cell>
          <cell r="W10">
            <v>22.042976242256298</v>
          </cell>
        </row>
        <row r="11">
          <cell r="V11">
            <v>98.719615121589541</v>
          </cell>
          <cell r="W11">
            <v>21.067852126357806</v>
          </cell>
        </row>
        <row r="12">
          <cell r="V12">
            <v>91.709063391095128</v>
          </cell>
          <cell r="W12">
            <v>19.427676174171371</v>
          </cell>
        </row>
        <row r="13">
          <cell r="V13">
            <v>85.577576567677966</v>
          </cell>
          <cell r="W13">
            <v>14.843110595431458</v>
          </cell>
        </row>
      </sheetData>
      <sheetData sheetId="4"/>
      <sheetData sheetId="5">
        <row r="24">
          <cell r="B24">
            <v>18.832869693077619</v>
          </cell>
        </row>
        <row r="25">
          <cell r="B25">
            <v>17.101047178672292</v>
          </cell>
          <cell r="F25">
            <v>272.6270709126926</v>
          </cell>
        </row>
        <row r="26">
          <cell r="B26">
            <v>15.530898816550211</v>
          </cell>
          <cell r="F26">
            <v>246.50361736251483</v>
          </cell>
        </row>
        <row r="27">
          <cell r="B27">
            <v>14.072369646045052</v>
          </cell>
          <cell r="F27">
            <v>228.41552525004491</v>
          </cell>
        </row>
        <row r="28">
          <cell r="B28">
            <v>12.67540470649049</v>
          </cell>
          <cell r="F28">
            <v>218.27135218547636</v>
          </cell>
        </row>
        <row r="29">
          <cell r="B29">
            <v>11.289949037220197</v>
          </cell>
          <cell r="F29">
            <v>215.99370074290002</v>
          </cell>
        </row>
        <row r="30">
          <cell r="B30">
            <v>9.8659476775678527</v>
          </cell>
          <cell r="F30">
            <v>221.51227141169286</v>
          </cell>
        </row>
        <row r="31">
          <cell r="B31">
            <v>8.3533456668671313</v>
          </cell>
          <cell r="F31">
            <v>234.75753565449313</v>
          </cell>
        </row>
        <row r="32">
          <cell r="B32">
            <v>6.7020880444517097</v>
          </cell>
          <cell r="F32">
            <v>255.65502182437012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8.9076923076923095E-2</v>
          </cell>
        </row>
        <row r="18">
          <cell r="G18">
            <v>122.06402523240256</v>
          </cell>
        </row>
        <row r="19">
          <cell r="G19">
            <v>117.14550381348369</v>
          </cell>
        </row>
        <row r="20">
          <cell r="G20">
            <v>115.82382785209761</v>
          </cell>
        </row>
        <row r="21">
          <cell r="G21">
            <v>117.98259956742427</v>
          </cell>
        </row>
        <row r="22">
          <cell r="G22">
            <v>123.42838485677466</v>
          </cell>
        </row>
        <row r="23">
          <cell r="G23">
            <v>133.77023193127047</v>
          </cell>
        </row>
        <row r="24">
          <cell r="G24">
            <v>149.12638162713711</v>
          </cell>
        </row>
        <row r="25">
          <cell r="G25">
            <v>169.25979330218684</v>
          </cell>
        </row>
        <row r="26">
          <cell r="D26">
            <v>5742.6786966405516</v>
          </cell>
        </row>
        <row r="27">
          <cell r="D27">
            <v>3635.7136981294225</v>
          </cell>
        </row>
        <row r="29">
          <cell r="D29">
            <v>2581.8044410037587</v>
          </cell>
        </row>
        <row r="127">
          <cell r="E127">
            <v>0.17609434890491507</v>
          </cell>
          <cell r="F127">
            <v>7.4739533820056145E-2</v>
          </cell>
        </row>
        <row r="128">
          <cell r="E128">
            <v>0.12871021214195685</v>
          </cell>
          <cell r="F128">
            <v>0.26689686615627373</v>
          </cell>
        </row>
        <row r="129">
          <cell r="E129">
            <v>0.13781649873283161</v>
          </cell>
          <cell r="F129">
            <v>1.2522808680477606E-2</v>
          </cell>
        </row>
        <row r="130">
          <cell r="E130">
            <v>8.7837496547462382E-2</v>
          </cell>
          <cell r="F130">
            <v>0.20870721660231287</v>
          </cell>
        </row>
        <row r="131">
          <cell r="E131">
            <v>9.7612342735220334E-2</v>
          </cell>
          <cell r="F131">
            <v>8.0712066847602824E-3</v>
          </cell>
        </row>
        <row r="132">
          <cell r="E132">
            <v>8.8619945207221884E-2</v>
          </cell>
          <cell r="F132">
            <v>0.34575974635362944</v>
          </cell>
        </row>
        <row r="133">
          <cell r="E133">
            <v>9.9083156531006564E-2</v>
          </cell>
          <cell r="F133">
            <v>9.8996701725817399E-3</v>
          </cell>
        </row>
        <row r="134">
          <cell r="E134">
            <v>9.3361079677090827E-2</v>
          </cell>
          <cell r="F134">
            <v>0.2853075175730489</v>
          </cell>
        </row>
      </sheetData>
      <sheetData sheetId="8"/>
      <sheetData sheetId="9">
        <row r="4">
          <cell r="I4">
            <v>68.776311415697847</v>
          </cell>
        </row>
        <row r="5">
          <cell r="I5">
            <v>67.202328264827543</v>
          </cell>
        </row>
        <row r="6">
          <cell r="I6">
            <v>67.935437934401648</v>
          </cell>
        </row>
        <row r="7">
          <cell r="I7">
            <v>70.06432830814191</v>
          </cell>
        </row>
        <row r="8">
          <cell r="I8">
            <v>74.501225834520511</v>
          </cell>
        </row>
        <row r="9">
          <cell r="I9">
            <v>81.673554618392586</v>
          </cell>
        </row>
        <row r="10">
          <cell r="I10">
            <v>92.62107060189598</v>
          </cell>
        </row>
        <row r="11">
          <cell r="I11">
            <v>106.54919160554266</v>
          </cell>
        </row>
      </sheetData>
      <sheetData sheetId="10">
        <row r="4">
          <cell r="B4">
            <v>84</v>
          </cell>
          <cell r="C4">
            <v>299</v>
          </cell>
          <cell r="D4">
            <v>14</v>
          </cell>
          <cell r="E4">
            <v>233</v>
          </cell>
          <cell r="F4">
            <v>9</v>
          </cell>
          <cell r="G4">
            <v>385</v>
          </cell>
          <cell r="H4">
            <v>11</v>
          </cell>
          <cell r="I4">
            <v>316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84.395899225358093</v>
          </cell>
        </row>
        <row r="6">
          <cell r="V6">
            <v>80.917939279739585</v>
          </cell>
          <cell r="W6">
            <v>16.691959373743355</v>
          </cell>
        </row>
        <row r="7">
          <cell r="V7">
            <v>78.153158131984227</v>
          </cell>
          <cell r="W7">
            <v>14.215685633515292</v>
          </cell>
        </row>
        <row r="8">
          <cell r="V8">
            <v>74.091011213259605</v>
          </cell>
          <cell r="W8">
            <v>14.966670709942967</v>
          </cell>
        </row>
        <row r="9">
          <cell r="V9">
            <v>72.668982041664933</v>
          </cell>
          <cell r="W9">
            <v>12.871508568991382</v>
          </cell>
        </row>
        <row r="10">
          <cell r="V10">
            <v>69.845182855170535</v>
          </cell>
          <cell r="W10">
            <v>12.968795349203489</v>
          </cell>
        </row>
        <row r="11">
          <cell r="V11">
            <v>67.551027286212374</v>
          </cell>
          <cell r="W11">
            <v>12.714409526292888</v>
          </cell>
        </row>
        <row r="12">
          <cell r="V12">
            <v>64.489228972680479</v>
          </cell>
          <cell r="W12">
            <v>12.201758467455967</v>
          </cell>
        </row>
        <row r="13">
          <cell r="V13">
            <v>62.601543588396133</v>
          </cell>
          <cell r="W13">
            <v>9.5460970709043558</v>
          </cell>
        </row>
      </sheetData>
      <sheetData sheetId="4"/>
      <sheetData sheetId="5">
        <row r="24">
          <cell r="B24">
            <v>11.071251906971519</v>
          </cell>
        </row>
        <row r="25">
          <cell r="B25">
            <v>10.401847729828187</v>
          </cell>
          <cell r="F25">
            <v>394.20102240120002</v>
          </cell>
        </row>
        <row r="26">
          <cell r="B26">
            <v>9.8145897996782114</v>
          </cell>
          <cell r="F26">
            <v>345.48675422164627</v>
          </cell>
        </row>
        <row r="27">
          <cell r="B27">
            <v>9.2836235316111839</v>
          </cell>
          <cell r="F27">
            <v>312.09840381626083</v>
          </cell>
        </row>
        <row r="28">
          <cell r="B28">
            <v>8.7830943407166977</v>
          </cell>
          <cell r="F28">
            <v>293.97272400320372</v>
          </cell>
        </row>
        <row r="29">
          <cell r="B29">
            <v>8.2871476420843511</v>
          </cell>
          <cell r="F29">
            <v>291.05755791525536</v>
          </cell>
        </row>
        <row r="30">
          <cell r="B30">
            <v>7.769928850803737</v>
          </cell>
          <cell r="F30">
            <v>303.3055187779363</v>
          </cell>
        </row>
        <row r="31">
          <cell r="B31">
            <v>7.2055833819644484</v>
          </cell>
          <cell r="F31">
            <v>330.66790454098395</v>
          </cell>
        </row>
        <row r="32">
          <cell r="B32">
            <v>6.56825665065608</v>
          </cell>
          <cell r="F32">
            <v>373.08884094532914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0.13538121546961326</v>
          </cell>
        </row>
        <row r="18">
          <cell r="G18">
            <v>290.11962742894508</v>
          </cell>
        </row>
        <row r="19">
          <cell r="G19">
            <v>259.33797615264791</v>
          </cell>
        </row>
        <row r="20">
          <cell r="G20">
            <v>243.62396833168398</v>
          </cell>
        </row>
        <row r="21">
          <cell r="G21">
            <v>238.45134855429347</v>
          </cell>
        </row>
        <row r="22">
          <cell r="G22">
            <v>243.75258136754462</v>
          </cell>
        </row>
        <row r="23">
          <cell r="G23">
            <v>263.59018221003822</v>
          </cell>
        </row>
        <row r="24">
          <cell r="G24">
            <v>296.08569659207694</v>
          </cell>
        </row>
        <row r="25">
          <cell r="G25">
            <v>337.11506631555307</v>
          </cell>
        </row>
        <row r="26">
          <cell r="D26">
            <v>8039.2547597804833</v>
          </cell>
        </row>
        <row r="27">
          <cell r="D27">
            <v>5574.8516032733205</v>
          </cell>
        </row>
        <row r="29">
          <cell r="D29">
            <v>2878.5537126618788</v>
          </cell>
        </row>
        <row r="127">
          <cell r="E127">
            <v>0.1491559695694207</v>
          </cell>
          <cell r="F127">
            <v>9.9736665579700425E-3</v>
          </cell>
        </row>
        <row r="128">
          <cell r="E128">
            <v>0.12692890085010713</v>
          </cell>
          <cell r="F128">
            <v>0.36874222817244556</v>
          </cell>
        </row>
        <row r="129">
          <cell r="E129">
            <v>0.17248060202710627</v>
          </cell>
          <cell r="F129">
            <v>7.2720725729978376E-3</v>
          </cell>
        </row>
        <row r="130">
          <cell r="E130">
            <v>7.0271351497930026E-2</v>
          </cell>
          <cell r="F130">
            <v>0.44466809637278942</v>
          </cell>
        </row>
        <row r="131">
          <cell r="E131">
            <v>0.11875870348941979</v>
          </cell>
          <cell r="F131">
            <v>7.276326134122396E-3</v>
          </cell>
        </row>
        <row r="132">
          <cell r="E132">
            <v>0.1078103827653541</v>
          </cell>
          <cell r="F132">
            <v>0.56141813550421793</v>
          </cell>
        </row>
        <row r="133">
          <cell r="E133">
            <v>0.12721796252874673</v>
          </cell>
          <cell r="F133">
            <v>9.1077572371281394E-3</v>
          </cell>
        </row>
        <row r="134">
          <cell r="E134">
            <v>8.6894031492541546E-2</v>
          </cell>
          <cell r="F134">
            <v>0.44982558520610216</v>
          </cell>
        </row>
      </sheetData>
      <sheetData sheetId="8"/>
      <sheetData sheetId="9">
        <row r="4">
          <cell r="J4">
            <v>187.39854742219364</v>
          </cell>
        </row>
        <row r="5">
          <cell r="J5">
            <v>168.57972943575641</v>
          </cell>
        </row>
        <row r="6">
          <cell r="J6">
            <v>160.03766286217856</v>
          </cell>
        </row>
        <row r="7">
          <cell r="J7">
            <v>157.05890643178839</v>
          </cell>
        </row>
        <row r="8">
          <cell r="J8">
            <v>161.73351243774752</v>
          </cell>
        </row>
        <row r="9">
          <cell r="J9">
            <v>175.70861113351376</v>
          </cell>
        </row>
        <row r="10">
          <cell r="J10">
            <v>198.95651700415365</v>
          </cell>
        </row>
        <row r="11">
          <cell r="J11">
            <v>227.39404013574699</v>
          </cell>
        </row>
      </sheetData>
      <sheetData sheetId="10">
        <row r="4">
          <cell r="B4">
            <v>11</v>
          </cell>
          <cell r="C4">
            <v>406</v>
          </cell>
          <cell r="D4">
            <v>8</v>
          </cell>
          <cell r="E4">
            <v>489</v>
          </cell>
          <cell r="F4">
            <v>8</v>
          </cell>
          <cell r="G4">
            <v>617</v>
          </cell>
          <cell r="H4">
            <v>10</v>
          </cell>
          <cell r="I4">
            <v>493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205.22475761438156</v>
          </cell>
        </row>
        <row r="6">
          <cell r="V6">
            <v>189.60193676032338</v>
          </cell>
          <cell r="W6">
            <v>34.333482450718805</v>
          </cell>
        </row>
        <row r="7">
          <cell r="V7">
            <v>178.4916317372741</v>
          </cell>
          <cell r="W7">
            <v>30.712170671330785</v>
          </cell>
        </row>
        <row r="8">
          <cell r="V8">
            <v>163.40509933259742</v>
          </cell>
          <cell r="W8">
            <v>28.865003331426028</v>
          </cell>
        </row>
        <row r="9">
          <cell r="V9">
            <v>157.50550736129296</v>
          </cell>
          <cell r="W9">
            <v>24.988109950961398</v>
          </cell>
        </row>
        <row r="10">
          <cell r="V10">
            <v>147.10951068805744</v>
          </cell>
          <cell r="W10">
            <v>24.452601983436196</v>
          </cell>
        </row>
        <row r="11">
          <cell r="V11">
            <v>138.97019671644304</v>
          </cell>
          <cell r="W11">
            <v>23.989589854492333</v>
          </cell>
        </row>
        <row r="12">
          <cell r="V12">
            <v>129.05307271512947</v>
          </cell>
          <cell r="W12">
            <v>22.280323210144488</v>
          </cell>
        </row>
        <row r="13">
          <cell r="V13">
            <v>120.42143786262113</v>
          </cell>
          <cell r="W13">
            <v>16.944970329625242</v>
          </cell>
        </row>
      </sheetData>
      <sheetData sheetId="4"/>
      <sheetData sheetId="5">
        <row r="24">
          <cell r="B24">
            <v>20.747460001544162</v>
          </cell>
        </row>
        <row r="25">
          <cell r="B25">
            <v>18.763507807715353</v>
          </cell>
          <cell r="F25">
            <v>341.53237736044628</v>
          </cell>
        </row>
        <row r="26">
          <cell r="B26">
            <v>16.92519072781176</v>
          </cell>
          <cell r="F26">
            <v>315.45311828297156</v>
          </cell>
        </row>
        <row r="27">
          <cell r="B27">
            <v>15.190786831866397</v>
          </cell>
          <cell r="F27">
            <v>296.74709980515519</v>
          </cell>
        </row>
        <row r="28">
          <cell r="B28">
            <v>13.518574189912293</v>
          </cell>
          <cell r="F28">
            <v>285.3153504359471</v>
          </cell>
        </row>
        <row r="29">
          <cell r="B29">
            <v>11.866830871982462</v>
          </cell>
          <cell r="F29">
            <v>281.07239408787603</v>
          </cell>
        </row>
        <row r="30">
          <cell r="B30">
            <v>10.193834948109924</v>
          </cell>
          <cell r="F30">
            <v>283.94074690106737</v>
          </cell>
        </row>
        <row r="31">
          <cell r="B31">
            <v>8.4578644883277008</v>
          </cell>
          <cell r="F31">
            <v>293.8459674541603</v>
          </cell>
        </row>
        <row r="32">
          <cell r="B32">
            <v>6.6171975626688102</v>
          </cell>
          <cell r="F32">
            <v>310.71224769418382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9.1027624309392277E-2</v>
          </cell>
        </row>
        <row r="18">
          <cell r="G18">
            <v>102.02473733461844</v>
          </cell>
        </row>
        <row r="19">
          <cell r="G19">
            <v>99.766262383076779</v>
          </cell>
        </row>
        <row r="20">
          <cell r="G20">
            <v>100.72368932516041</v>
          </cell>
        </row>
        <row r="21">
          <cell r="G21">
            <v>103.30121079666387</v>
          </cell>
        </row>
        <row r="22">
          <cell r="G22">
            <v>107.37352169606511</v>
          </cell>
        </row>
        <row r="23">
          <cell r="G23">
            <v>115.62433698501465</v>
          </cell>
        </row>
        <row r="24">
          <cell r="G24">
            <v>126.78701397129133</v>
          </cell>
        </row>
        <row r="25">
          <cell r="G25">
            <v>140.77672837998071</v>
          </cell>
        </row>
        <row r="26">
          <cell r="D26">
            <v>7314.2516479405203</v>
          </cell>
        </row>
        <row r="27">
          <cell r="D27">
            <v>3706.4562555844632</v>
          </cell>
        </row>
        <row r="29">
          <cell r="D29">
            <v>3944.6202153046747</v>
          </cell>
        </row>
        <row r="127">
          <cell r="E127">
            <v>0.26538940148515583</v>
          </cell>
          <cell r="F127">
            <v>4.5453530753577963E-2</v>
          </cell>
        </row>
        <row r="128">
          <cell r="E128">
            <v>0.20068662354254532</v>
          </cell>
          <cell r="F128">
            <v>0.23180570444229157</v>
          </cell>
        </row>
        <row r="129">
          <cell r="E129">
            <v>0.25262069798667602</v>
          </cell>
          <cell r="F129">
            <v>2.6917391413636884E-3</v>
          </cell>
        </row>
        <row r="130">
          <cell r="E130">
            <v>0.11578447219671345</v>
          </cell>
          <cell r="F130">
            <v>0.35223780470192306</v>
          </cell>
        </row>
        <row r="131">
          <cell r="E131">
            <v>0.17077132681671883</v>
          </cell>
          <cell r="F131">
            <v>2.6986070674800442E-2</v>
          </cell>
        </row>
        <row r="132">
          <cell r="E132">
            <v>0.14411114043851356</v>
          </cell>
          <cell r="F132">
            <v>0.28913229006262786</v>
          </cell>
        </row>
        <row r="133">
          <cell r="E133">
            <v>0.15757504375981496</v>
          </cell>
          <cell r="F133">
            <v>5.4161471371213495E-3</v>
          </cell>
        </row>
        <row r="134">
          <cell r="E134">
            <v>0.14627654096755552</v>
          </cell>
          <cell r="F134">
            <v>0.28176213161444835</v>
          </cell>
        </row>
      </sheetData>
      <sheetData sheetId="8"/>
      <sheetData sheetId="9">
        <row r="4">
          <cell r="G4">
            <v>50.977051311072159</v>
          </cell>
        </row>
        <row r="5">
          <cell r="G5">
            <v>51.105500019944081</v>
          </cell>
        </row>
        <row r="6">
          <cell r="G6">
            <v>53.346504770453258</v>
          </cell>
        </row>
        <row r="7">
          <cell r="G7">
            <v>55.436206953493695</v>
          </cell>
        </row>
        <row r="8">
          <cell r="G8">
            <v>58.978098617093956</v>
          </cell>
        </row>
        <row r="9">
          <cell r="G9">
            <v>64.661756602542653</v>
          </cell>
        </row>
        <row r="10">
          <cell r="G10">
            <v>72.524031089306064</v>
          </cell>
        </row>
        <row r="11">
          <cell r="G11">
            <v>82.073253522904139</v>
          </cell>
        </row>
      </sheetData>
      <sheetData sheetId="10">
        <row r="4">
          <cell r="B4">
            <v>51</v>
          </cell>
          <cell r="C4">
            <v>259</v>
          </cell>
          <cell r="D4">
            <v>3</v>
          </cell>
          <cell r="E4">
            <v>392</v>
          </cell>
          <cell r="F4">
            <v>30</v>
          </cell>
          <cell r="G4">
            <v>321</v>
          </cell>
          <cell r="H4">
            <v>6</v>
          </cell>
          <cell r="I4">
            <v>311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204.79912890993796</v>
          </cell>
        </row>
        <row r="6">
          <cell r="V6">
            <v>192.16788039042481</v>
          </cell>
          <cell r="W6">
            <v>31.192112785667053</v>
          </cell>
        </row>
        <row r="7">
          <cell r="V7">
            <v>183.68926254493499</v>
          </cell>
          <cell r="W7">
            <v>25.696570914872026</v>
          </cell>
        </row>
        <row r="8">
          <cell r="V8">
            <v>171.67101830341338</v>
          </cell>
          <cell r="W8">
            <v>26.292692430199764</v>
          </cell>
        </row>
        <row r="9">
          <cell r="V9">
            <v>164.6576446326786</v>
          </cell>
          <cell r="W9">
            <v>22.318179659342423</v>
          </cell>
        </row>
        <row r="10">
          <cell r="V10">
            <v>157.04849706589906</v>
          </cell>
          <cell r="W10">
            <v>22.918531623993331</v>
          </cell>
        </row>
        <row r="11">
          <cell r="V11">
            <v>150.17036117743351</v>
          </cell>
          <cell r="W11">
            <v>22.880482027605535</v>
          </cell>
        </row>
        <row r="12">
          <cell r="V12">
            <v>141.78184457623743</v>
          </cell>
          <cell r="W12">
            <v>21.183559847058209</v>
          </cell>
        </row>
        <row r="13">
          <cell r="V13">
            <v>134.16911185247656</v>
          </cell>
          <cell r="W13">
            <v>14.994836075366205</v>
          </cell>
        </row>
      </sheetData>
      <sheetData sheetId="4"/>
      <sheetData sheetId="5">
        <row r="24">
          <cell r="B24">
            <v>18.491212366830894</v>
          </cell>
        </row>
        <row r="25">
          <cell r="B25">
            <v>16.816890282221561</v>
          </cell>
          <cell r="F25">
            <v>471.99400631905672</v>
          </cell>
        </row>
        <row r="26">
          <cell r="B26">
            <v>15.263522612896189</v>
          </cell>
          <cell r="F26">
            <v>436.73491944814594</v>
          </cell>
        </row>
        <row r="27">
          <cell r="B27">
            <v>13.798305835353109</v>
          </cell>
          <cell r="F27">
            <v>410.94079585024929</v>
          </cell>
        </row>
        <row r="28">
          <cell r="B28">
            <v>12.388436426090649</v>
          </cell>
          <cell r="F28">
            <v>394.50483720554706</v>
          </cell>
        </row>
        <row r="29">
          <cell r="B29">
            <v>11.001110861607135</v>
          </cell>
          <cell r="F29">
            <v>387.33449014795616</v>
          </cell>
        </row>
        <row r="30">
          <cell r="B30">
            <v>9.6035256184008961</v>
          </cell>
          <cell r="F30">
            <v>389.34593675104981</v>
          </cell>
        </row>
        <row r="31">
          <cell r="B31">
            <v>8.1628771729702621</v>
          </cell>
          <cell r="F31">
            <v>400.45906660938419</v>
          </cell>
        </row>
        <row r="32">
          <cell r="B32">
            <v>6.6463620018135607</v>
          </cell>
          <cell r="F32">
            <v>420.5929107805992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9.7466666666666674E-2</v>
          </cell>
        </row>
        <row r="18">
          <cell r="G18">
            <v>137.04345729309998</v>
          </cell>
        </row>
        <row r="19">
          <cell r="G19">
            <v>131.45751892237465</v>
          </cell>
        </row>
        <row r="20">
          <cell r="G20">
            <v>130.20713204564194</v>
          </cell>
        </row>
        <row r="21">
          <cell r="G21">
            <v>132.66670952782451</v>
          </cell>
        </row>
        <row r="22">
          <cell r="G22">
            <v>137.02438521566344</v>
          </cell>
        </row>
        <row r="23">
          <cell r="G23">
            <v>144.58656085031186</v>
          </cell>
        </row>
        <row r="24">
          <cell r="G24">
            <v>154.98423360587739</v>
          </cell>
        </row>
        <row r="25">
          <cell r="G25">
            <v>166.78394466778951</v>
          </cell>
        </row>
        <row r="26">
          <cell r="D26">
            <v>10066.693541893957</v>
          </cell>
        </row>
        <row r="27">
          <cell r="D27">
            <v>3982.4029799559721</v>
          </cell>
        </row>
        <row r="29">
          <cell r="D29">
            <v>6076.0823176245649</v>
          </cell>
        </row>
        <row r="127">
          <cell r="E127">
            <v>0.35792769869063967</v>
          </cell>
          <cell r="F127">
            <v>0</v>
          </cell>
        </row>
        <row r="128">
          <cell r="E128">
            <v>0.24068507296065203</v>
          </cell>
          <cell r="F128">
            <v>3.7940759015475826E-2</v>
          </cell>
        </row>
        <row r="129">
          <cell r="E129">
            <v>0.3383672957643295</v>
          </cell>
          <cell r="F129">
            <v>0</v>
          </cell>
        </row>
        <row r="130">
          <cell r="E130">
            <v>0.22097419632313375</v>
          </cell>
          <cell r="F130">
            <v>0.46918940289068262</v>
          </cell>
        </row>
        <row r="131">
          <cell r="E131">
            <v>0.21033541838298311</v>
          </cell>
          <cell r="F131">
            <v>0</v>
          </cell>
        </row>
        <row r="132">
          <cell r="E132">
            <v>0.20946354638617479</v>
          </cell>
          <cell r="F132">
            <v>0.43332832080021005</v>
          </cell>
        </row>
        <row r="133">
          <cell r="E133">
            <v>0.22698047357019682</v>
          </cell>
          <cell r="F133">
            <v>0</v>
          </cell>
        </row>
        <row r="134">
          <cell r="E134">
            <v>0.22062707046341171</v>
          </cell>
          <cell r="F134">
            <v>0.38700917727895567</v>
          </cell>
        </row>
      </sheetData>
      <sheetData sheetId="8"/>
      <sheetData sheetId="9">
        <row r="4">
          <cell r="F4">
            <v>68.611242046230515</v>
          </cell>
        </row>
        <row r="5">
          <cell r="F5">
            <v>67.059585719037543</v>
          </cell>
        </row>
        <row r="6">
          <cell r="F6">
            <v>68.212649890879561</v>
          </cell>
        </row>
        <row r="7">
          <cell r="F7">
            <v>70.609707394070398</v>
          </cell>
        </row>
        <row r="8">
          <cell r="F8">
            <v>74.184878577240966</v>
          </cell>
        </row>
        <row r="9">
          <cell r="F9">
            <v>79.492480684001833</v>
          </cell>
        </row>
        <row r="10">
          <cell r="F10">
            <v>86.847331189012166</v>
          </cell>
        </row>
        <row r="11">
          <cell r="F11">
            <v>95.062352680945892</v>
          </cell>
        </row>
      </sheetData>
      <sheetData sheetId="10">
        <row r="4">
          <cell r="B4">
            <v>0</v>
          </cell>
          <cell r="C4">
            <v>42</v>
          </cell>
          <cell r="D4">
            <v>0</v>
          </cell>
          <cell r="E4">
            <v>518</v>
          </cell>
          <cell r="F4">
            <v>0</v>
          </cell>
          <cell r="G4">
            <v>478</v>
          </cell>
          <cell r="H4">
            <v>0</v>
          </cell>
          <cell r="I4">
            <v>424</v>
          </cell>
        </row>
      </sheetData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84.978498096739074</v>
          </cell>
        </row>
        <row r="6">
          <cell r="V6">
            <v>80.86785894236526</v>
          </cell>
          <cell r="W6">
            <v>25.152056508806073</v>
          </cell>
        </row>
        <row r="7">
          <cell r="V7">
            <v>77.416362562051475</v>
          </cell>
          <cell r="W7">
            <v>22.137672432893037</v>
          </cell>
        </row>
        <row r="8">
          <cell r="V8">
            <v>73.213820922301764</v>
          </cell>
          <cell r="W8">
            <v>21.644744027624228</v>
          </cell>
        </row>
        <row r="9">
          <cell r="V9">
            <v>71.045652830541499</v>
          </cell>
          <cell r="W9">
            <v>18.432534094548405</v>
          </cell>
        </row>
        <row r="10">
          <cell r="V10">
            <v>67.897365848430084</v>
          </cell>
          <cell r="W10">
            <v>18.548111565500179</v>
          </cell>
        </row>
        <row r="11">
          <cell r="V11">
            <v>64.983741273750681</v>
          </cell>
          <cell r="W11">
            <v>18.570406349960386</v>
          </cell>
        </row>
        <row r="12">
          <cell r="V12">
            <v>62.201602964729659</v>
          </cell>
          <cell r="W12">
            <v>16.737853220697563</v>
          </cell>
        </row>
        <row r="13">
          <cell r="V13">
            <v>59.441648220599234</v>
          </cell>
          <cell r="W13">
            <v>13.070629648023772</v>
          </cell>
        </row>
      </sheetData>
      <sheetData sheetId="4"/>
      <sheetData sheetId="5">
        <row r="24">
          <cell r="B24">
            <v>15.400792074267809</v>
          </cell>
        </row>
        <row r="25">
          <cell r="B25">
            <v>14.099962911428641</v>
          </cell>
          <cell r="F25">
            <v>295.65041070428271</v>
          </cell>
        </row>
        <row r="26">
          <cell r="B26">
            <v>12.897736053659928</v>
          </cell>
          <cell r="F26">
            <v>272.68952602563826</v>
          </cell>
        </row>
        <row r="27">
          <cell r="B27">
            <v>11.765642104455873</v>
          </cell>
          <cell r="F27">
            <v>256.30390389731542</v>
          </cell>
        </row>
        <row r="28">
          <cell r="B28">
            <v>10.67521166731068</v>
          </cell>
          <cell r="F28">
            <v>246.43779233861352</v>
          </cell>
        </row>
        <row r="29">
          <cell r="B29">
            <v>9.5979753457185559</v>
          </cell>
          <cell r="F29">
            <v>243.0426647500669</v>
          </cell>
        </row>
        <row r="30">
          <cell r="B30">
            <v>8.5054637431737028</v>
          </cell>
          <cell r="F30">
            <v>246.07404330296228</v>
          </cell>
        </row>
        <row r="31">
          <cell r="B31">
            <v>7.3692074631703228</v>
          </cell>
          <cell r="F31">
            <v>255.48855084753092</v>
          </cell>
        </row>
        <row r="32">
          <cell r="B32">
            <v>6.1607371092026231</v>
          </cell>
          <cell r="F32">
            <v>271.24118410465832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0.11966666666666667</v>
          </cell>
        </row>
        <row r="18">
          <cell r="G18">
            <v>249.46250700189685</v>
          </cell>
        </row>
        <row r="19">
          <cell r="G19">
            <v>232.74880399106283</v>
          </cell>
        </row>
        <row r="20">
          <cell r="G20">
            <v>227.11249643083181</v>
          </cell>
        </row>
        <row r="21">
          <cell r="G21">
            <v>227.88204185387309</v>
          </cell>
        </row>
        <row r="22">
          <cell r="G22">
            <v>233.85762613129864</v>
          </cell>
        </row>
        <row r="23">
          <cell r="G23">
            <v>247.33220860765948</v>
          </cell>
        </row>
        <row r="24">
          <cell r="G24">
            <v>263.08706556164049</v>
          </cell>
        </row>
        <row r="25">
          <cell r="G25">
            <v>277.61222559804423</v>
          </cell>
        </row>
        <row r="26">
          <cell r="D26">
            <v>6332.9647573364191</v>
          </cell>
        </row>
        <row r="27">
          <cell r="D27">
            <v>4901.5918706864877</v>
          </cell>
        </row>
        <row r="29">
          <cell r="D29">
            <v>1709.5792366932774</v>
          </cell>
        </row>
        <row r="127">
          <cell r="E127">
            <v>8.8947315743566083E-2</v>
          </cell>
          <cell r="F127">
            <v>2.2608015216247723E-2</v>
          </cell>
        </row>
        <row r="128">
          <cell r="E128">
            <v>8.231629212929438E-2</v>
          </cell>
          <cell r="F128">
            <v>0.35554153223442592</v>
          </cell>
        </row>
        <row r="129">
          <cell r="E129">
            <v>8.9205539099433406E-2</v>
          </cell>
          <cell r="F129">
            <v>1.453553659066136E-2</v>
          </cell>
        </row>
        <row r="130">
          <cell r="E130">
            <v>5.47690349421368E-2</v>
          </cell>
          <cell r="F130">
            <v>0.410973117844393</v>
          </cell>
        </row>
        <row r="131">
          <cell r="E131">
            <v>6.5702475685412848E-2</v>
          </cell>
          <cell r="F131">
            <v>1.3646249638129429E-2</v>
          </cell>
        </row>
        <row r="132">
          <cell r="E132">
            <v>6.8894260951037414E-2</v>
          </cell>
          <cell r="F132">
            <v>0.42793102333790672</v>
          </cell>
        </row>
        <row r="133">
          <cell r="E133">
            <v>5.6980856366531052E-2</v>
          </cell>
          <cell r="F133">
            <v>1.185498811772928E-2</v>
          </cell>
        </row>
        <row r="134">
          <cell r="E134">
            <v>6.3043970647013767E-2</v>
          </cell>
          <cell r="F134">
            <v>0.37677349391600257</v>
          </cell>
        </row>
      </sheetData>
      <sheetData sheetId="8"/>
      <sheetData sheetId="9">
        <row r="4">
          <cell r="G4">
            <v>161.17915041210173</v>
          </cell>
        </row>
        <row r="5">
          <cell r="G5">
            <v>151.53020514487346</v>
          </cell>
        </row>
        <row r="6">
          <cell r="G6">
            <v>149.46778216848253</v>
          </cell>
        </row>
        <row r="7">
          <cell r="G7">
            <v>150.48630569053327</v>
          </cell>
        </row>
        <row r="8">
          <cell r="G8">
            <v>155.69327135778119</v>
          </cell>
        </row>
        <row r="9">
          <cell r="G9">
            <v>165.58037262397863</v>
          </cell>
        </row>
        <row r="10">
          <cell r="G10">
            <v>177.40395263032187</v>
          </cell>
        </row>
        <row r="11">
          <cell r="G11">
            <v>188.19979281624467</v>
          </cell>
        </row>
      </sheetData>
      <sheetData sheetId="10">
        <row r="4">
          <cell r="B4">
            <v>25</v>
          </cell>
          <cell r="C4">
            <v>392</v>
          </cell>
          <cell r="D4">
            <v>16</v>
          </cell>
          <cell r="E4">
            <v>452</v>
          </cell>
          <cell r="F4">
            <v>15</v>
          </cell>
          <cell r="G4">
            <v>470</v>
          </cell>
          <cell r="H4">
            <v>13</v>
          </cell>
          <cell r="I4">
            <v>412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144.19368635068756</v>
          </cell>
        </row>
        <row r="6">
          <cell r="V6">
            <v>137.29300720509647</v>
          </cell>
          <cell r="W6">
            <v>27.173845115887655</v>
          </cell>
        </row>
        <row r="7">
          <cell r="V7">
            <v>130.65229570660799</v>
          </cell>
          <cell r="W7">
            <v>22.830299463603748</v>
          </cell>
        </row>
        <row r="8">
          <cell r="V8">
            <v>122.38170257296896</v>
          </cell>
          <cell r="W8">
            <v>23.03990703170366</v>
          </cell>
        </row>
        <row r="9">
          <cell r="V9">
            <v>118.20637110882592</v>
          </cell>
          <cell r="W9">
            <v>19.585983563157875</v>
          </cell>
        </row>
        <row r="10">
          <cell r="V10">
            <v>111.94215607699807</v>
          </cell>
          <cell r="W10">
            <v>19.891961539463203</v>
          </cell>
        </row>
        <row r="11">
          <cell r="V11">
            <v>107.2896722118719</v>
          </cell>
          <cell r="W11">
            <v>19.944053740880332</v>
          </cell>
        </row>
        <row r="12">
          <cell r="V12">
            <v>101.6566245080307</v>
          </cell>
          <cell r="W12">
            <v>18.680536799910698</v>
          </cell>
        </row>
        <row r="13">
          <cell r="V13">
            <v>95.605171553098145</v>
          </cell>
          <cell r="W13">
            <v>12.322129421570033</v>
          </cell>
        </row>
      </sheetData>
      <sheetData sheetId="4"/>
      <sheetData sheetId="5">
        <row r="24">
          <cell r="B24">
            <v>16.464157023627731</v>
          </cell>
        </row>
        <row r="25">
          <cell r="B25">
            <v>14.991930803981834</v>
          </cell>
          <cell r="F25">
            <v>388.0541269970654</v>
          </cell>
        </row>
        <row r="26">
          <cell r="B26">
            <v>13.664095185371192</v>
          </cell>
          <cell r="F26">
            <v>349.20057798267442</v>
          </cell>
        </row>
        <row r="27">
          <cell r="B27">
            <v>12.44142394149263</v>
          </cell>
          <cell r="F27">
            <v>320.88587778808647</v>
          </cell>
        </row>
        <row r="28">
          <cell r="B28">
            <v>11.284690846042988</v>
          </cell>
          <cell r="F28">
            <v>303.00668246373459</v>
          </cell>
        </row>
        <row r="29">
          <cell r="B29">
            <v>10.154669672719091</v>
          </cell>
          <cell r="F29">
            <v>295.47673601828222</v>
          </cell>
        </row>
        <row r="30">
          <cell r="B30">
            <v>9.0121341952177794</v>
          </cell>
          <cell r="F30">
            <v>298.21968949651887</v>
          </cell>
        </row>
        <row r="31">
          <cell r="B31">
            <v>7.8178581872358777</v>
          </cell>
          <cell r="F31">
            <v>311.16247152752607</v>
          </cell>
        </row>
        <row r="32">
          <cell r="B32">
            <v>6.532615422470224</v>
          </cell>
          <cell r="F32">
            <v>334.22917227380395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0.11211049723756907</v>
          </cell>
        </row>
        <row r="18">
          <cell r="G18">
            <v>166.28593556193096</v>
          </cell>
        </row>
        <row r="19">
          <cell r="G19">
            <v>153.2003452158722</v>
          </cell>
        </row>
        <row r="20">
          <cell r="G20">
            <v>148.2583895406456</v>
          </cell>
        </row>
        <row r="21">
          <cell r="G21">
            <v>147.98361204050335</v>
          </cell>
        </row>
        <row r="22">
          <cell r="G22">
            <v>152.01606332983096</v>
          </cell>
        </row>
        <row r="23">
          <cell r="G23">
            <v>161.48389577448654</v>
          </cell>
        </row>
        <row r="24">
          <cell r="G24">
            <v>174.07539242949846</v>
          </cell>
        </row>
        <row r="25">
          <cell r="G25">
            <v>189.40611070664221</v>
          </cell>
        </row>
        <row r="26">
          <cell r="D26">
            <v>7913.6319454352624</v>
          </cell>
        </row>
        <row r="27">
          <cell r="D27">
            <v>4589.0040136542984</v>
          </cell>
        </row>
        <row r="29">
          <cell r="D29">
            <v>3808.5592945990966</v>
          </cell>
        </row>
        <row r="127">
          <cell r="E127">
            <v>0.17815094954814822</v>
          </cell>
          <cell r="F127">
            <v>3.5904723768912E-3</v>
          </cell>
        </row>
        <row r="128">
          <cell r="E128">
            <v>0.18210653545402841</v>
          </cell>
          <cell r="F128">
            <v>0.29377336862959724</v>
          </cell>
        </row>
        <row r="129">
          <cell r="E129">
            <v>0.20953212491659831</v>
          </cell>
          <cell r="F129">
            <v>3.610916982960104E-3</v>
          </cell>
        </row>
        <row r="130">
          <cell r="E130">
            <v>0.12134158499000929</v>
          </cell>
          <cell r="F130">
            <v>0.43895107222095081</v>
          </cell>
        </row>
        <row r="131">
          <cell r="E131">
            <v>0.15536006751713663</v>
          </cell>
          <cell r="F131">
            <v>1.8066742703452578E-3</v>
          </cell>
        </row>
        <row r="132">
          <cell r="E132">
            <v>0.12865860186153169</v>
          </cell>
          <cell r="F132">
            <v>0.41492087428373714</v>
          </cell>
        </row>
        <row r="133">
          <cell r="E133">
            <v>0.13713724792946005</v>
          </cell>
          <cell r="F133">
            <v>4.5293828170242202E-3</v>
          </cell>
        </row>
        <row r="134">
          <cell r="E134">
            <v>0.15723265264945288</v>
          </cell>
          <cell r="F134">
            <v>0.36848524296992657</v>
          </cell>
        </row>
      </sheetData>
      <sheetData sheetId="8"/>
      <sheetData sheetId="9">
        <row r="4">
          <cell r="F4">
            <v>93.128713586436518</v>
          </cell>
        </row>
        <row r="5">
          <cell r="F5">
            <v>87.117723005189205</v>
          </cell>
        </row>
        <row r="6">
          <cell r="F6">
            <v>85.976015890931606</v>
          </cell>
        </row>
        <row r="7">
          <cell r="F7">
            <v>86.592339604707391</v>
          </cell>
        </row>
        <row r="8">
          <cell r="F8">
            <v>90.294344322497608</v>
          </cell>
        </row>
        <row r="9">
          <cell r="F9">
            <v>96.895736281949368</v>
          </cell>
        </row>
        <row r="10">
          <cell r="F10">
            <v>105.88167921389811</v>
          </cell>
        </row>
        <row r="11">
          <cell r="F11">
            <v>116.7862910610942</v>
          </cell>
        </row>
      </sheetData>
      <sheetData sheetId="10">
        <row r="4">
          <cell r="B4">
            <v>4</v>
          </cell>
          <cell r="C4">
            <v>326</v>
          </cell>
          <cell r="D4">
            <v>4</v>
          </cell>
          <cell r="E4">
            <v>486</v>
          </cell>
          <cell r="F4">
            <v>2</v>
          </cell>
          <cell r="G4">
            <v>459</v>
          </cell>
          <cell r="H4">
            <v>5</v>
          </cell>
          <cell r="I4">
            <v>405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84.314948086133271</v>
          </cell>
        </row>
        <row r="6">
          <cell r="V6">
            <v>80.932683555931121</v>
          </cell>
          <cell r="W6">
            <v>19.178097813118921</v>
          </cell>
        </row>
        <row r="7">
          <cell r="V7">
            <v>78.260053632514783</v>
          </cell>
          <cell r="W7">
            <v>16.139782378493166</v>
          </cell>
        </row>
        <row r="8">
          <cell r="V8">
            <v>74.839144237227899</v>
          </cell>
          <cell r="W8">
            <v>17.216672232225076</v>
          </cell>
        </row>
        <row r="9">
          <cell r="V9">
            <v>72.519436572845194</v>
          </cell>
          <cell r="W9">
            <v>14.533448815766471</v>
          </cell>
        </row>
        <row r="10">
          <cell r="V10">
            <v>70.409092787910126</v>
          </cell>
          <cell r="W10">
            <v>15.016914411797012</v>
          </cell>
        </row>
        <row r="11">
          <cell r="V11">
            <v>67.385460312876788</v>
          </cell>
          <cell r="W11">
            <v>14.84427452699064</v>
          </cell>
        </row>
        <row r="12">
          <cell r="V12">
            <v>65.626129418523718</v>
          </cell>
          <cell r="W12">
            <v>13.928049113030761</v>
          </cell>
        </row>
        <row r="13">
          <cell r="V13">
            <v>63.168044915790155</v>
          </cell>
          <cell r="W13">
            <v>11.299791482129734</v>
          </cell>
        </row>
      </sheetData>
      <sheetData sheetId="4"/>
      <sheetData sheetId="5">
        <row r="24">
          <cell r="B24">
            <v>12.501704000793824</v>
          </cell>
        </row>
        <row r="25">
          <cell r="B25">
            <v>11.678044781809712</v>
          </cell>
          <cell r="F25">
            <v>368.34719109212182</v>
          </cell>
        </row>
        <row r="26">
          <cell r="B26">
            <v>10.931928827362519</v>
          </cell>
          <cell r="F26">
            <v>333.25546112573454</v>
          </cell>
        </row>
        <row r="27">
          <cell r="B27">
            <v>10.234009825627956</v>
          </cell>
          <cell r="F27">
            <v>311.37473262179202</v>
          </cell>
        </row>
        <row r="28">
          <cell r="B28">
            <v>9.5549414647817326</v>
          </cell>
          <cell r="F28">
            <v>302.63899137968139</v>
          </cell>
        </row>
        <row r="29">
          <cell r="B29">
            <v>8.865377432999562</v>
          </cell>
          <cell r="F29">
            <v>306.99023044619275</v>
          </cell>
        </row>
        <row r="30">
          <cell r="B30">
            <v>8.1359714184571565</v>
          </cell>
          <cell r="F30">
            <v>324.37229188359811</v>
          </cell>
        </row>
        <row r="31">
          <cell r="B31">
            <v>7.3373771093302267</v>
          </cell>
          <cell r="F31">
            <v>354.7250071285701</v>
          </cell>
        </row>
        <row r="32">
          <cell r="B32">
            <v>6.4402481937944831</v>
          </cell>
          <cell r="F32">
            <v>397.97865632185153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0.12706666666666669</v>
          </cell>
        </row>
        <row r="18">
          <cell r="G18">
            <v>281.62818400104516</v>
          </cell>
        </row>
        <row r="19">
          <cell r="G19">
            <v>258.30767330849568</v>
          </cell>
        </row>
        <row r="20">
          <cell r="G20">
            <v>249.18723945264452</v>
          </cell>
        </row>
        <row r="21">
          <cell r="G21">
            <v>252.3667557306774</v>
          </cell>
        </row>
        <row r="22">
          <cell r="G22">
            <v>265.11654013548292</v>
          </cell>
        </row>
        <row r="23">
          <cell r="G23">
            <v>291.15655853072838</v>
          </cell>
        </row>
        <row r="24">
          <cell r="G24">
            <v>326.18797014787549</v>
          </cell>
        </row>
        <row r="25">
          <cell r="G25">
            <v>365.32464152263492</v>
          </cell>
        </row>
        <row r="26">
          <cell r="D26">
            <v>8149.539884785976</v>
          </cell>
        </row>
        <row r="27">
          <cell r="D27">
            <v>5223.6734587334358</v>
          </cell>
        </row>
        <row r="29">
          <cell r="D29">
            <v>2782.7050503184519</v>
          </cell>
        </row>
        <row r="127">
          <cell r="E127">
            <v>0.1445951285323829</v>
          </cell>
          <cell r="F127">
            <v>1.0916038395675618E-2</v>
          </cell>
        </row>
        <row r="128">
          <cell r="E128">
            <v>0.12105638336864344</v>
          </cell>
          <cell r="F128">
            <v>0.30170734098948609</v>
          </cell>
        </row>
        <row r="129">
          <cell r="E129">
            <v>0.14502879935336849</v>
          </cell>
          <cell r="F129">
            <v>9.1240947350460389E-3</v>
          </cell>
        </row>
        <row r="130">
          <cell r="E130">
            <v>0.10788545095505771</v>
          </cell>
          <cell r="F130">
            <v>0.44360419630323905</v>
          </cell>
        </row>
        <row r="131">
          <cell r="E131">
            <v>8.8585149812620112E-2</v>
          </cell>
          <cell r="F131">
            <v>6.3905973592634476E-3</v>
          </cell>
        </row>
        <row r="132">
          <cell r="E132">
            <v>0.13687711724150212</v>
          </cell>
          <cell r="F132">
            <v>0.50871304838073839</v>
          </cell>
        </row>
        <row r="133">
          <cell r="E133">
            <v>7.3102592264058672E-2</v>
          </cell>
          <cell r="F133">
            <v>9.1423311202243254E-3</v>
          </cell>
        </row>
        <row r="134">
          <cell r="E134">
            <v>0.11043772857851726</v>
          </cell>
          <cell r="F134">
            <v>0.45162683896080563</v>
          </cell>
        </row>
      </sheetData>
      <sheetData sheetId="8"/>
      <sheetData sheetId="9">
        <row r="4">
          <cell r="H4">
            <v>182.36105253280198</v>
          </cell>
        </row>
        <row r="5">
          <cell r="H5">
            <v>168.3692061338283</v>
          </cell>
        </row>
        <row r="6">
          <cell r="H6">
            <v>163.86860415815471</v>
          </cell>
        </row>
        <row r="7">
          <cell r="H7">
            <v>166.78988494026464</v>
          </cell>
        </row>
        <row r="8">
          <cell r="H8">
            <v>176.1804903074499</v>
          </cell>
        </row>
        <row r="9">
          <cell r="H9">
            <v>194.81648547365162</v>
          </cell>
        </row>
        <row r="10">
          <cell r="H10">
            <v>219.26147669632937</v>
          </cell>
        </row>
        <row r="11">
          <cell r="H11">
            <v>246.90627482447158</v>
          </cell>
        </row>
      </sheetData>
      <sheetData sheetId="10">
        <row r="4">
          <cell r="B4">
            <v>12</v>
          </cell>
          <cell r="C4">
            <v>331</v>
          </cell>
          <cell r="D4">
            <v>10</v>
          </cell>
          <cell r="E4">
            <v>486</v>
          </cell>
          <cell r="F4">
            <v>7</v>
          </cell>
          <cell r="G4">
            <v>557</v>
          </cell>
          <cell r="H4">
            <v>10</v>
          </cell>
          <cell r="I4">
            <v>493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144.22595353141512</v>
          </cell>
        </row>
        <row r="6">
          <cell r="V6">
            <v>138.43320106086804</v>
          </cell>
          <cell r="W6">
            <v>22.096094849028773</v>
          </cell>
        </row>
        <row r="7">
          <cell r="V7">
            <v>133.20826604617557</v>
          </cell>
          <cell r="W7">
            <v>18.172583029150569</v>
          </cell>
        </row>
        <row r="8">
          <cell r="V8">
            <v>126.72699682237004</v>
          </cell>
          <cell r="W8">
            <v>19.338503469015105</v>
          </cell>
        </row>
        <row r="9">
          <cell r="V9">
            <v>122.85238004924459</v>
          </cell>
          <cell r="W9">
            <v>16.392643661021292</v>
          </cell>
        </row>
        <row r="10">
          <cell r="V10">
            <v>118.13434114130837</v>
          </cell>
          <cell r="W10">
            <v>16.651022266079615</v>
          </cell>
        </row>
        <row r="11">
          <cell r="V11">
            <v>114.00601205316214</v>
          </cell>
          <cell r="W11">
            <v>16.410223371628572</v>
          </cell>
        </row>
        <row r="12">
          <cell r="V12">
            <v>109.39046365711268</v>
          </cell>
          <cell r="W12">
            <v>15.44860912977933</v>
          </cell>
        </row>
        <row r="13">
          <cell r="V13">
            <v>105.2282054419624</v>
          </cell>
          <cell r="W13">
            <v>11.081143225364826</v>
          </cell>
        </row>
      </sheetData>
      <sheetData sheetId="4"/>
      <sheetData sheetId="5">
        <row r="24">
          <cell r="B24">
            <v>13.634227223117454</v>
          </cell>
        </row>
        <row r="25">
          <cell r="B25">
            <v>12.629104360802254</v>
          </cell>
          <cell r="F25">
            <v>521.10755991474298</v>
          </cell>
        </row>
        <row r="26">
          <cell r="B26">
            <v>11.729123914507172</v>
          </cell>
          <cell r="F26">
            <v>465.88872958510075</v>
          </cell>
        </row>
        <row r="27">
          <cell r="B27">
            <v>10.897137500630047</v>
          </cell>
          <cell r="F27">
            <v>430.10114839892009</v>
          </cell>
        </row>
        <row r="28">
          <cell r="B28">
            <v>10.095996735568715</v>
          </cell>
          <cell r="F28">
            <v>413.62451662435325</v>
          </cell>
        </row>
        <row r="29">
          <cell r="B29">
            <v>9.2885532357210145</v>
          </cell>
          <cell r="F29">
            <v>416.35592682484838</v>
          </cell>
        </row>
        <row r="30">
          <cell r="B30">
            <v>8.4376586174847841</v>
          </cell>
          <cell r="F30">
            <v>438.1982065747145</v>
          </cell>
        </row>
        <row r="31">
          <cell r="B31">
            <v>7.5061644972578616</v>
          </cell>
          <cell r="F31">
            <v>479.04891802917763</v>
          </cell>
        </row>
        <row r="32">
          <cell r="B32">
            <v>6.4569224914380836</v>
          </cell>
          <cell r="F32">
            <v>538.79004106136153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0.14386740331491712</v>
          </cell>
        </row>
        <row r="18">
          <cell r="G18">
            <v>212.20956143162348</v>
          </cell>
        </row>
        <row r="19">
          <cell r="G19">
            <v>193.90431762550119</v>
          </cell>
        </row>
        <row r="20">
          <cell r="G20">
            <v>186.17882117954505</v>
          </cell>
        </row>
        <row r="21">
          <cell r="G21">
            <v>186.93426521608444</v>
          </cell>
        </row>
        <row r="22">
          <cell r="G22">
            <v>195.64397061887863</v>
          </cell>
        </row>
        <row r="23">
          <cell r="G23">
            <v>213.81617781977053</v>
          </cell>
        </row>
        <row r="24">
          <cell r="G24">
            <v>240.26520638440897</v>
          </cell>
        </row>
        <row r="25">
          <cell r="G25">
            <v>272.99532888823222</v>
          </cell>
        </row>
        <row r="26">
          <cell r="D26">
            <v>11261.281462103938</v>
          </cell>
        </row>
        <row r="27">
          <cell r="D27">
            <v>5906.1724864703656</v>
          </cell>
        </row>
        <row r="29">
          <cell r="D29">
            <v>6025.2866524279625</v>
          </cell>
        </row>
        <row r="127">
          <cell r="E127">
            <v>0.29376286416881853</v>
          </cell>
          <cell r="F127">
            <v>0</v>
          </cell>
        </row>
        <row r="128">
          <cell r="E128">
            <v>0.28015273738960528</v>
          </cell>
          <cell r="F128">
            <v>0.39533515834986482</v>
          </cell>
        </row>
        <row r="129">
          <cell r="E129">
            <v>0.32419695986971447</v>
          </cell>
          <cell r="F129">
            <v>0</v>
          </cell>
        </row>
        <row r="130">
          <cell r="E130">
            <v>0.21456146764716008</v>
          </cell>
          <cell r="F130">
            <v>0.56182555322026284</v>
          </cell>
        </row>
        <row r="131">
          <cell r="E131">
            <v>0.23248942838780287</v>
          </cell>
          <cell r="F131">
            <v>0</v>
          </cell>
        </row>
        <row r="132">
          <cell r="E132">
            <v>0.22139786270806036</v>
          </cell>
          <cell r="F132">
            <v>0.52596102049768489</v>
          </cell>
        </row>
        <row r="133">
          <cell r="E133">
            <v>0.22435848814042494</v>
          </cell>
          <cell r="F133">
            <v>0</v>
          </cell>
        </row>
        <row r="134">
          <cell r="E134">
            <v>0.21750907583106735</v>
          </cell>
          <cell r="F134">
            <v>0.48560243008897591</v>
          </cell>
        </row>
      </sheetData>
      <sheetData sheetId="8"/>
      <sheetData sheetId="9">
        <row r="4">
          <cell r="G4">
            <v>119.02051861791274</v>
          </cell>
        </row>
        <row r="5">
          <cell r="G5">
            <v>110.09410487017443</v>
          </cell>
        </row>
        <row r="6">
          <cell r="G6">
            <v>107.34358071170138</v>
          </cell>
        </row>
        <row r="7">
          <cell r="G7">
            <v>108.75436219534585</v>
          </cell>
        </row>
        <row r="8">
          <cell r="G8">
            <v>115.11665127353915</v>
          </cell>
        </row>
        <row r="9">
          <cell r="G9">
            <v>127.02878214612716</v>
          </cell>
        </row>
        <row r="10">
          <cell r="G10">
            <v>144.3495790098433</v>
          </cell>
        </row>
        <row r="11">
          <cell r="G11">
            <v>165.62710528961458</v>
          </cell>
        </row>
      </sheetData>
      <sheetData sheetId="10">
        <row r="4">
          <cell r="B4">
            <v>0</v>
          </cell>
          <cell r="C4">
            <v>437</v>
          </cell>
          <cell r="D4">
            <v>0</v>
          </cell>
          <cell r="E4">
            <v>620</v>
          </cell>
          <cell r="F4">
            <v>0</v>
          </cell>
          <cell r="G4">
            <v>580</v>
          </cell>
          <cell r="H4">
            <v>0</v>
          </cell>
          <cell r="I4">
            <v>533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>
        <row r="5">
          <cell r="V5">
            <v>205.41591166010463</v>
          </cell>
        </row>
        <row r="6">
          <cell r="V6">
            <v>197.06150900913676</v>
          </cell>
          <cell r="W6">
            <v>25.049384145436591</v>
          </cell>
        </row>
        <row r="7">
          <cell r="V7">
            <v>189.33079736517391</v>
          </cell>
          <cell r="W7">
            <v>20.724382276318718</v>
          </cell>
        </row>
        <row r="8">
          <cell r="V8">
            <v>179.63548049821648</v>
          </cell>
          <cell r="W8">
            <v>22.137375572390464</v>
          </cell>
        </row>
        <row r="9">
          <cell r="V9">
            <v>173.70159729472513</v>
          </cell>
          <cell r="W9">
            <v>18.790435793461658</v>
          </cell>
        </row>
        <row r="10">
          <cell r="V10">
            <v>165.76387907021231</v>
          </cell>
          <cell r="W10">
            <v>18.819214117288144</v>
          </cell>
        </row>
        <row r="11">
          <cell r="V11">
            <v>161.1135402480036</v>
          </cell>
          <cell r="W11">
            <v>18.507355448211953</v>
          </cell>
        </row>
        <row r="12">
          <cell r="V12">
            <v>154.37534681093837</v>
          </cell>
          <cell r="W12">
            <v>17.769342506075034</v>
          </cell>
        </row>
        <row r="13">
          <cell r="V13">
            <v>147.87384657476744</v>
          </cell>
          <cell r="W13">
            <v>13.243264597580476</v>
          </cell>
        </row>
      </sheetData>
      <sheetData sheetId="4"/>
      <sheetData sheetId="5">
        <row r="24">
          <cell r="B24">
            <v>15.064668656392154</v>
          </cell>
        </row>
        <row r="25">
          <cell r="B25">
            <v>13.913331283820188</v>
          </cell>
          <cell r="F25">
            <v>657.03746620036895</v>
          </cell>
        </row>
        <row r="26">
          <cell r="B26">
            <v>12.887903951480437</v>
          </cell>
          <cell r="F26">
            <v>584.15961585202842</v>
          </cell>
        </row>
        <row r="27">
          <cell r="B27">
            <v>11.941609851034011</v>
          </cell>
          <cell r="F27">
            <v>538.23166359474715</v>
          </cell>
        </row>
        <row r="28">
          <cell r="B28">
            <v>11.027672174142019</v>
          </cell>
          <cell r="F28">
            <v>519.06269205630088</v>
          </cell>
        </row>
        <row r="29">
          <cell r="B29">
            <v>10.099314112465571</v>
          </cell>
          <cell r="F29">
            <v>526.48968518507536</v>
          </cell>
        </row>
        <row r="30">
          <cell r="B30">
            <v>9.1097588576657778</v>
          </cell>
          <cell r="F30">
            <v>560.35707322408155</v>
          </cell>
        </row>
        <row r="31">
          <cell r="B31">
            <v>8.0122296014037495</v>
          </cell>
          <cell r="F31">
            <v>620.4975799844392</v>
          </cell>
        </row>
        <row r="32">
          <cell r="B32">
            <v>6.7599495353405992</v>
          </cell>
          <cell r="F32">
            <v>706.71446719039682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0.13730386740331493</v>
          </cell>
        </row>
        <row r="18">
          <cell r="G18">
            <v>181.08435768443726</v>
          </cell>
        </row>
        <row r="19">
          <cell r="G19">
            <v>165.64078625043157</v>
          </cell>
        </row>
        <row r="20">
          <cell r="G20">
            <v>159.29313402246768</v>
          </cell>
        </row>
        <row r="21">
          <cell r="G21">
            <v>160.67470087639381</v>
          </cell>
        </row>
        <row r="22">
          <cell r="G22">
            <v>170.13975136654267</v>
          </cell>
        </row>
        <row r="23">
          <cell r="G23">
            <v>188.09822679518811</v>
          </cell>
        </row>
        <row r="24">
          <cell r="G24">
            <v>214.20457725049582</v>
          </cell>
        </row>
        <row r="25">
          <cell r="G25">
            <v>249.77604138362497</v>
          </cell>
        </row>
        <row r="26">
          <cell r="D26">
            <v>14319.776723423513</v>
          </cell>
        </row>
        <row r="27">
          <cell r="D27">
            <v>5623.6727528136389</v>
          </cell>
        </row>
        <row r="29">
          <cell r="D29">
            <v>9315.6452389164479</v>
          </cell>
        </row>
        <row r="127">
          <cell r="E127">
            <v>0.46738472268441572</v>
          </cell>
          <cell r="F127">
            <v>0</v>
          </cell>
        </row>
        <row r="128">
          <cell r="E128">
            <v>0.46366191256884776</v>
          </cell>
          <cell r="F128">
            <v>0.46741067105334738</v>
          </cell>
        </row>
        <row r="129">
          <cell r="E129">
            <v>0.54557691159096133</v>
          </cell>
          <cell r="F129">
            <v>0</v>
          </cell>
        </row>
        <row r="130">
          <cell r="E130">
            <v>0.36082364319142618</v>
          </cell>
          <cell r="F130">
            <v>0.49004545102118507</v>
          </cell>
        </row>
        <row r="131">
          <cell r="E131">
            <v>0.44330239160759616</v>
          </cell>
          <cell r="F131">
            <v>0</v>
          </cell>
        </row>
        <row r="132">
          <cell r="E132">
            <v>0.2822112373572106</v>
          </cell>
          <cell r="F132">
            <v>0.45430669076206637</v>
          </cell>
        </row>
        <row r="133">
          <cell r="E133">
            <v>0.37197003431475067</v>
          </cell>
          <cell r="F133">
            <v>0</v>
          </cell>
        </row>
        <row r="134">
          <cell r="E134">
            <v>0.37857063629547821</v>
          </cell>
          <cell r="F134">
            <v>0.46279477143461434</v>
          </cell>
        </row>
      </sheetData>
      <sheetData sheetId="8"/>
      <sheetData sheetId="9">
        <row r="4">
          <cell r="G4">
            <v>88.995463400970536</v>
          </cell>
        </row>
        <row r="5">
          <cell r="G5">
            <v>82.80232415021058</v>
          </cell>
        </row>
        <row r="6">
          <cell r="G6">
            <v>81.346748350763249</v>
          </cell>
        </row>
        <row r="7">
          <cell r="G7">
            <v>83.150236556013397</v>
          </cell>
        </row>
        <row r="8">
          <cell r="G8">
            <v>89.625371581355111</v>
          </cell>
        </row>
        <row r="9">
          <cell r="G9">
            <v>100.13136026648017</v>
          </cell>
        </row>
        <row r="10">
          <cell r="G10">
            <v>115.78217763442431</v>
          </cell>
        </row>
        <row r="11">
          <cell r="G11">
            <v>137.01525072619515</v>
          </cell>
        </row>
      </sheetData>
      <sheetData sheetId="10">
        <row r="4">
          <cell r="B4">
            <v>0</v>
          </cell>
          <cell r="C4">
            <v>518</v>
          </cell>
          <cell r="D4">
            <v>0</v>
          </cell>
          <cell r="E4">
            <v>542</v>
          </cell>
          <cell r="F4">
            <v>0</v>
          </cell>
          <cell r="G4">
            <v>502</v>
          </cell>
          <cell r="H4">
            <v>0</v>
          </cell>
          <cell r="I4">
            <v>509</v>
          </cell>
        </row>
      </sheetData>
      <sheetData sheetId="1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6"/>
      <sheetName val="Eksp.200406 (1)"/>
      <sheetName val="Eksp.200406 (2)"/>
      <sheetName val="Eksp.200406 (3)"/>
      <sheetName val="Eksp.200406 (4)"/>
      <sheetName val="Eksp.200406 (5)"/>
      <sheetName val="Eksp.200406 (6)"/>
      <sheetName val="Eksp.200406 (7)"/>
      <sheetName val="Eksp.200406 (8)"/>
      <sheetName val="Eksp.200406 (9)"/>
      <sheetName val="Eksp.200406 (10)"/>
      <sheetName val="Eksp.200406 (11)"/>
      <sheetName val="Eksp.200406 (12)"/>
      <sheetName val="Eksp.200406 (13)"/>
    </sheetNames>
    <sheetDataSet>
      <sheetData sheetId="0">
        <row r="32">
          <cell r="E32">
            <v>135</v>
          </cell>
          <cell r="F32">
            <v>113</v>
          </cell>
          <cell r="G32">
            <v>0</v>
          </cell>
          <cell r="H32">
            <v>26.5</v>
          </cell>
          <cell r="I32">
            <v>0</v>
          </cell>
          <cell r="J32">
            <v>8.5</v>
          </cell>
          <cell r="K32">
            <v>0</v>
          </cell>
          <cell r="L32">
            <v>554</v>
          </cell>
        </row>
        <row r="33">
          <cell r="F33">
            <v>248</v>
          </cell>
          <cell r="H33">
            <v>26.5</v>
          </cell>
          <cell r="J33">
            <v>8.5</v>
          </cell>
          <cell r="L33">
            <v>554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F5">
            <v>1</v>
          </cell>
          <cell r="T5">
            <v>77.201732741488456</v>
          </cell>
        </row>
        <row r="6">
          <cell r="F6">
            <v>2</v>
          </cell>
          <cell r="T6">
            <v>65.944537646656471</v>
          </cell>
        </row>
        <row r="7">
          <cell r="F7">
            <v>3</v>
          </cell>
          <cell r="T7">
            <v>49.626110499116805</v>
          </cell>
        </row>
        <row r="8">
          <cell r="F8">
            <v>4</v>
          </cell>
          <cell r="T8">
            <v>39.362720503455364</v>
          </cell>
        </row>
        <row r="9">
          <cell r="F9">
            <v>5</v>
          </cell>
          <cell r="T9">
            <v>32.22099197183293</v>
          </cell>
        </row>
        <row r="10">
          <cell r="F10">
            <v>6</v>
          </cell>
          <cell r="T10">
            <v>25.304966787768212</v>
          </cell>
        </row>
        <row r="11">
          <cell r="F11">
            <v>7</v>
          </cell>
          <cell r="T11">
            <v>20.26327736708399</v>
          </cell>
        </row>
        <row r="12">
          <cell r="F12">
            <v>8</v>
          </cell>
          <cell r="T12">
            <v>15.289930380278797</v>
          </cell>
        </row>
        <row r="13">
          <cell r="F13">
            <v>9</v>
          </cell>
          <cell r="T13">
            <v>9.1899954925026037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9"/>
      <sheetName val="Eksp.200409 (1)"/>
      <sheetName val="Eksp.200409 (2)"/>
      <sheetName val="Eksp.200409 (3)"/>
      <sheetName val="Eksp.200409 (4)"/>
      <sheetName val="Eksp.200409 (5)"/>
      <sheetName val="Eksp.200409 (6)"/>
      <sheetName val="Eksp.200409 (7)"/>
      <sheetName val="Eksp.200409 (8)"/>
      <sheetName val="Eksp.200409 (9)"/>
      <sheetName val="Eksp.200409 (10)"/>
      <sheetName val="Eksp.200409 (11)"/>
      <sheetName val="Eksp.200409 (12)"/>
      <sheetName val="Eksp.200409 (13)"/>
      <sheetName val="Eksp.200409 (14)"/>
      <sheetName val="Eksp.200409 (15)"/>
      <sheetName val="Sheet1"/>
    </sheetNames>
    <sheetDataSet>
      <sheetData sheetId="0">
        <row r="32">
          <cell r="C32">
            <v>199.5</v>
          </cell>
          <cell r="D32">
            <v>130.19999999999999</v>
          </cell>
          <cell r="E32">
            <v>0</v>
          </cell>
          <cell r="F32">
            <v>0</v>
          </cell>
          <cell r="G32">
            <v>0</v>
          </cell>
          <cell r="H32">
            <v>119.8</v>
          </cell>
          <cell r="I32">
            <v>24.6</v>
          </cell>
          <cell r="J32">
            <v>772.7</v>
          </cell>
        </row>
        <row r="33">
          <cell r="D33">
            <v>329.7</v>
          </cell>
          <cell r="F33">
            <v>0</v>
          </cell>
          <cell r="H33">
            <v>119.8</v>
          </cell>
          <cell r="J33">
            <v>797.30000000000007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>
        <row r="5">
          <cell r="S5">
            <v>1</v>
          </cell>
        </row>
        <row r="6">
          <cell r="S6">
            <v>2</v>
          </cell>
          <cell r="V6">
            <v>65.853533738175486</v>
          </cell>
        </row>
        <row r="7">
          <cell r="S7">
            <v>3</v>
          </cell>
          <cell r="V7">
            <v>56.266062900856873</v>
          </cell>
        </row>
        <row r="8">
          <cell r="S8">
            <v>4</v>
          </cell>
          <cell r="V8">
            <v>43.75198425416594</v>
          </cell>
        </row>
        <row r="9">
          <cell r="S9">
            <v>5</v>
          </cell>
          <cell r="V9">
            <v>38.230932611973415</v>
          </cell>
        </row>
        <row r="10">
          <cell r="S10">
            <v>6</v>
          </cell>
          <cell r="V10">
            <v>31.072344282598433</v>
          </cell>
        </row>
        <row r="11">
          <cell r="S11">
            <v>7</v>
          </cell>
          <cell r="V11">
            <v>25.816406728256137</v>
          </cell>
        </row>
        <row r="12">
          <cell r="S12">
            <v>8</v>
          </cell>
          <cell r="V12">
            <v>21.544500681209108</v>
          </cell>
        </row>
        <row r="13">
          <cell r="V13">
            <v>17.86527328714919</v>
          </cell>
        </row>
      </sheetData>
      <sheetData sheetId="3"/>
      <sheetData sheetId="4"/>
      <sheetData sheetId="5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15"/>
      <sheetName val="Eksp.200415 (1)"/>
      <sheetName val="Eksp.200415 (2)"/>
      <sheetName val="Eksp.200415 (3)"/>
      <sheetName val="Eksp.200415 (4)"/>
      <sheetName val="Eksp.200415 (5)"/>
      <sheetName val="Eksp.200415 (6)"/>
      <sheetName val="Eksp.200415 (7)"/>
      <sheetName val="Eksp.200415 (8)"/>
      <sheetName val="Eksp.200415 (9)"/>
      <sheetName val="Eksp.200415 (10)"/>
      <sheetName val="Eksp.200415 (11)"/>
      <sheetName val="Eksp.200415 (12)"/>
      <sheetName val="Eksp.200415 (13)"/>
      <sheetName val="Eksp.200415 (14)"/>
      <sheetName val="Eksp.200415 (15)"/>
      <sheetName val="Eksp.200415 (16)"/>
    </sheetNames>
    <sheetDataSet>
      <sheetData sheetId="0">
        <row r="32">
          <cell r="D32">
            <v>19.3</v>
          </cell>
          <cell r="E32">
            <v>233</v>
          </cell>
          <cell r="F32">
            <v>5</v>
          </cell>
          <cell r="G32">
            <v>276</v>
          </cell>
          <cell r="H32">
            <v>0</v>
          </cell>
          <cell r="I32">
            <v>0</v>
          </cell>
          <cell r="J32">
            <v>0</v>
          </cell>
          <cell r="K32">
            <v>728</v>
          </cell>
        </row>
        <row r="33">
          <cell r="E33">
            <v>252.3</v>
          </cell>
          <cell r="G33">
            <v>281</v>
          </cell>
          <cell r="I33">
            <v>0</v>
          </cell>
          <cell r="K33">
            <v>728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73.764450834106384</v>
          </cell>
        </row>
        <row r="7">
          <cell r="S7">
            <v>3</v>
          </cell>
          <cell r="V7">
            <v>65.032283490142362</v>
          </cell>
        </row>
        <row r="8">
          <cell r="S8">
            <v>4</v>
          </cell>
          <cell r="V8">
            <v>52.094397415862964</v>
          </cell>
        </row>
        <row r="9">
          <cell r="S9">
            <v>5</v>
          </cell>
          <cell r="V9">
            <v>48.017438173986648</v>
          </cell>
        </row>
        <row r="10">
          <cell r="S10">
            <v>6</v>
          </cell>
          <cell r="V10">
            <v>39.740800320475344</v>
          </cell>
        </row>
        <row r="11">
          <cell r="S11">
            <v>7</v>
          </cell>
          <cell r="V11">
            <v>33.923414687700159</v>
          </cell>
        </row>
        <row r="12">
          <cell r="S12">
            <v>8</v>
          </cell>
          <cell r="V12">
            <v>29.222359205093554</v>
          </cell>
        </row>
        <row r="13">
          <cell r="S13">
            <v>9</v>
          </cell>
          <cell r="V13">
            <v>24.684157044256889</v>
          </cell>
        </row>
        <row r="14">
          <cell r="V14">
            <v>0</v>
          </cell>
        </row>
      </sheetData>
      <sheetData sheetId="4"/>
      <sheetData sheetId="5"/>
      <sheetData sheetId="6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>
        <row r="29">
          <cell r="D29">
            <v>1</v>
          </cell>
          <cell r="E29">
            <v>2</v>
          </cell>
          <cell r="F29">
            <v>3</v>
          </cell>
          <cell r="G29">
            <v>4</v>
          </cell>
          <cell r="H29">
            <v>5</v>
          </cell>
          <cell r="I29">
            <v>6</v>
          </cell>
          <cell r="J29">
            <v>7</v>
          </cell>
          <cell r="K29">
            <v>8</v>
          </cell>
        </row>
        <row r="31">
          <cell r="D31">
            <v>81</v>
          </cell>
          <cell r="E31">
            <v>65</v>
          </cell>
          <cell r="F31">
            <v>29</v>
          </cell>
          <cell r="G31">
            <v>21</v>
          </cell>
          <cell r="H31">
            <v>29</v>
          </cell>
          <cell r="I31">
            <v>764</v>
          </cell>
          <cell r="J31">
            <v>15</v>
          </cell>
          <cell r="K31">
            <v>481</v>
          </cell>
        </row>
        <row r="32">
          <cell r="E32">
            <v>146</v>
          </cell>
          <cell r="G32">
            <v>50</v>
          </cell>
          <cell r="I32">
            <v>793</v>
          </cell>
          <cell r="K32">
            <v>496</v>
          </cell>
        </row>
      </sheetData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82.028315686619038</v>
          </cell>
        </row>
        <row r="7">
          <cell r="S7">
            <v>3</v>
          </cell>
          <cell r="V7">
            <v>71.744159400466117</v>
          </cell>
        </row>
        <row r="8">
          <cell r="S8">
            <v>4</v>
          </cell>
          <cell r="V8">
            <v>61.318507192890642</v>
          </cell>
        </row>
        <row r="9">
          <cell r="S9">
            <v>5</v>
          </cell>
          <cell r="V9">
            <v>57.484958665275293</v>
          </cell>
        </row>
        <row r="10">
          <cell r="S10">
            <v>6</v>
          </cell>
          <cell r="V10">
            <v>49.432901791101919</v>
          </cell>
        </row>
        <row r="11">
          <cell r="S11">
            <v>7</v>
          </cell>
          <cell r="V11">
            <v>43.068196832234236</v>
          </cell>
        </row>
        <row r="12">
          <cell r="S12">
            <v>8</v>
          </cell>
          <cell r="V12">
            <v>38.762089601949214</v>
          </cell>
        </row>
        <row r="13">
          <cell r="S13">
            <v>9</v>
          </cell>
          <cell r="V13">
            <v>33.37256270697759</v>
          </cell>
        </row>
        <row r="14">
          <cell r="V14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8">
          <cell r="D38">
            <v>1</v>
          </cell>
          <cell r="E38">
            <v>2</v>
          </cell>
          <cell r="F38">
            <v>3</v>
          </cell>
          <cell r="G38">
            <v>4</v>
          </cell>
          <cell r="H38">
            <v>5</v>
          </cell>
          <cell r="I38">
            <v>6</v>
          </cell>
          <cell r="J38">
            <v>7</v>
          </cell>
          <cell r="K38">
            <v>8</v>
          </cell>
        </row>
        <row r="39">
          <cell r="D39">
            <v>12</v>
          </cell>
          <cell r="E39">
            <v>13</v>
          </cell>
          <cell r="F39">
            <v>13</v>
          </cell>
          <cell r="G39">
            <v>16</v>
          </cell>
          <cell r="H39">
            <v>9</v>
          </cell>
          <cell r="I39">
            <v>16</v>
          </cell>
          <cell r="J39">
            <v>13</v>
          </cell>
          <cell r="K39">
            <v>342</v>
          </cell>
        </row>
        <row r="40">
          <cell r="E40">
            <v>25</v>
          </cell>
          <cell r="G40">
            <v>29</v>
          </cell>
          <cell r="I40">
            <v>25</v>
          </cell>
          <cell r="K40">
            <v>355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80.499116437146625</v>
          </cell>
        </row>
        <row r="7">
          <cell r="U7">
            <v>3</v>
          </cell>
          <cell r="X7">
            <v>69.428492384183215</v>
          </cell>
        </row>
        <row r="8">
          <cell r="U8">
            <v>4</v>
          </cell>
          <cell r="X8">
            <v>59.920445527338053</v>
          </cell>
        </row>
        <row r="9">
          <cell r="U9">
            <v>5</v>
          </cell>
          <cell r="X9">
            <v>54.191906945817799</v>
          </cell>
        </row>
        <row r="10">
          <cell r="U10">
            <v>6</v>
          </cell>
          <cell r="X10">
            <v>47.529611272292307</v>
          </cell>
        </row>
        <row r="11">
          <cell r="U11">
            <v>7</v>
          </cell>
          <cell r="X11">
            <v>40.2169217565026</v>
          </cell>
        </row>
        <row r="12">
          <cell r="U12">
            <v>8</v>
          </cell>
          <cell r="X12">
            <v>36.244192739249705</v>
          </cell>
        </row>
        <row r="13">
          <cell r="X13">
            <v>30.624145220958063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14</v>
          </cell>
          <cell r="E38">
            <v>14</v>
          </cell>
          <cell r="F38">
            <v>21</v>
          </cell>
          <cell r="G38">
            <v>32</v>
          </cell>
          <cell r="H38">
            <v>41</v>
          </cell>
          <cell r="I38">
            <v>111</v>
          </cell>
          <cell r="J38">
            <v>14</v>
          </cell>
          <cell r="K38">
            <v>176</v>
          </cell>
        </row>
        <row r="39">
          <cell r="E39">
            <v>28</v>
          </cell>
          <cell r="G39">
            <v>53</v>
          </cell>
          <cell r="I39">
            <v>152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61.678013127370193</v>
          </cell>
        </row>
        <row r="7">
          <cell r="U7">
            <v>3</v>
          </cell>
          <cell r="X7">
            <v>53.776395839348538</v>
          </cell>
        </row>
        <row r="8">
          <cell r="U8">
            <v>4</v>
          </cell>
          <cell r="X8">
            <v>46.068146184906375</v>
          </cell>
        </row>
        <row r="9">
          <cell r="U9">
            <v>5</v>
          </cell>
          <cell r="X9">
            <v>41.62335190397885</v>
          </cell>
        </row>
        <row r="10">
          <cell r="U10">
            <v>6</v>
          </cell>
          <cell r="X10">
            <v>36.585259504426233</v>
          </cell>
        </row>
        <row r="11">
          <cell r="U11">
            <v>7</v>
          </cell>
          <cell r="X11">
            <v>31.506530268272734</v>
          </cell>
        </row>
        <row r="12">
          <cell r="U12">
            <v>8</v>
          </cell>
          <cell r="X12">
            <v>28.200704680062195</v>
          </cell>
        </row>
        <row r="13">
          <cell r="X13">
            <v>23.905686682466083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15</v>
          </cell>
          <cell r="E41">
            <v>16</v>
          </cell>
          <cell r="F41">
            <v>17</v>
          </cell>
          <cell r="G41">
            <v>68</v>
          </cell>
          <cell r="H41">
            <v>4</v>
          </cell>
          <cell r="I41">
            <v>21</v>
          </cell>
          <cell r="J41">
            <v>112</v>
          </cell>
          <cell r="K41">
            <v>292</v>
          </cell>
        </row>
        <row r="42">
          <cell r="E42">
            <v>31</v>
          </cell>
          <cell r="G42">
            <v>85</v>
          </cell>
          <cell r="I42">
            <v>25</v>
          </cell>
          <cell r="K42">
            <v>404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80.037779763342769</v>
          </cell>
        </row>
        <row r="7">
          <cell r="U7">
            <v>3</v>
          </cell>
          <cell r="X7">
            <v>72.310464435938627</v>
          </cell>
        </row>
        <row r="8">
          <cell r="U8">
            <v>4</v>
          </cell>
          <cell r="X8">
            <v>60.062441000552354</v>
          </cell>
        </row>
        <row r="9">
          <cell r="U9">
            <v>5</v>
          </cell>
          <cell r="X9">
            <v>55.68609999344266</v>
          </cell>
        </row>
        <row r="10">
          <cell r="U10">
            <v>6</v>
          </cell>
          <cell r="X10">
            <v>47.715652973476814</v>
          </cell>
        </row>
        <row r="11">
          <cell r="U11">
            <v>7</v>
          </cell>
          <cell r="X11">
            <v>41.049431443558682</v>
          </cell>
        </row>
        <row r="12">
          <cell r="U12">
            <v>8</v>
          </cell>
          <cell r="X12">
            <v>36.525314054551338</v>
          </cell>
        </row>
        <row r="13">
          <cell r="X13">
            <v>31.421099822667841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17</v>
          </cell>
          <cell r="E56">
            <v>213</v>
          </cell>
          <cell r="F56">
            <v>30</v>
          </cell>
          <cell r="G56">
            <v>34</v>
          </cell>
          <cell r="H56">
            <v>31</v>
          </cell>
          <cell r="I56">
            <v>129</v>
          </cell>
          <cell r="J56">
            <v>108</v>
          </cell>
          <cell r="K56">
            <v>689</v>
          </cell>
        </row>
        <row r="57">
          <cell r="E57">
            <v>230</v>
          </cell>
          <cell r="G57">
            <v>64</v>
          </cell>
          <cell r="I57">
            <v>160</v>
          </cell>
          <cell r="K57">
            <v>797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48.42667314958306</v>
          </cell>
        </row>
        <row r="7">
          <cell r="U7">
            <v>3</v>
          </cell>
          <cell r="X7">
            <v>45.584609890800053</v>
          </cell>
        </row>
        <row r="8">
          <cell r="U8">
            <v>4</v>
          </cell>
          <cell r="X8">
            <v>37.662702679307323</v>
          </cell>
        </row>
        <row r="9">
          <cell r="U9">
            <v>5</v>
          </cell>
          <cell r="X9">
            <v>35.875245883891708</v>
          </cell>
        </row>
        <row r="10">
          <cell r="U10">
            <v>6</v>
          </cell>
          <cell r="X10">
            <v>31.328523228253154</v>
          </cell>
        </row>
        <row r="11">
          <cell r="U11">
            <v>7</v>
          </cell>
          <cell r="X11">
            <v>28.433134870548443</v>
          </cell>
        </row>
        <row r="12">
          <cell r="U12">
            <v>8</v>
          </cell>
          <cell r="X12">
            <v>25.475919534820996</v>
          </cell>
        </row>
        <row r="13">
          <cell r="X13">
            <v>23.47830132521014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25">
          <cell r="D25">
            <v>1</v>
          </cell>
          <cell r="E25">
            <v>2</v>
          </cell>
          <cell r="F25">
            <v>3</v>
          </cell>
          <cell r="G25">
            <v>4</v>
          </cell>
          <cell r="H25">
            <v>5</v>
          </cell>
          <cell r="I25">
            <v>6</v>
          </cell>
          <cell r="J25">
            <v>7</v>
          </cell>
          <cell r="K25">
            <v>8</v>
          </cell>
        </row>
        <row r="26">
          <cell r="D26">
            <v>12</v>
          </cell>
          <cell r="E26">
            <v>207</v>
          </cell>
          <cell r="F26">
            <v>24</v>
          </cell>
          <cell r="G26">
            <v>21</v>
          </cell>
          <cell r="H26">
            <v>20</v>
          </cell>
          <cell r="I26">
            <v>14</v>
          </cell>
          <cell r="J26">
            <v>46</v>
          </cell>
          <cell r="K26">
            <v>481</v>
          </cell>
        </row>
        <row r="27">
          <cell r="E27">
            <v>219</v>
          </cell>
          <cell r="G27">
            <v>45</v>
          </cell>
          <cell r="I27">
            <v>34</v>
          </cell>
          <cell r="K27">
            <v>527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52.990522242399507</v>
          </cell>
        </row>
        <row r="7">
          <cell r="U7">
            <v>3</v>
          </cell>
          <cell r="X7">
            <v>49.402698057034577</v>
          </cell>
        </row>
        <row r="8">
          <cell r="U8">
            <v>4</v>
          </cell>
          <cell r="X8">
            <v>40.989032816885</v>
          </cell>
        </row>
        <row r="9">
          <cell r="U9">
            <v>5</v>
          </cell>
          <cell r="X9">
            <v>38.113109996352158</v>
          </cell>
        </row>
        <row r="10">
          <cell r="U10">
            <v>6</v>
          </cell>
          <cell r="X10">
            <v>33.229882619801927</v>
          </cell>
        </row>
        <row r="11">
          <cell r="U11">
            <v>7</v>
          </cell>
          <cell r="X11">
            <v>29.473566147903</v>
          </cell>
        </row>
        <row r="12">
          <cell r="U12">
            <v>8</v>
          </cell>
          <cell r="X12">
            <v>26.381608620542963</v>
          </cell>
        </row>
        <row r="13">
          <cell r="X13">
            <v>23.294429890143199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3"/>
      <sheetName val="Pap.skaic."/>
      <sheetName val="Kondensacijos efektyvumas"/>
      <sheetName val="Sheet1"/>
    </sheetNames>
    <sheetDataSet>
      <sheetData sheetId="0"/>
      <sheetData sheetId="1">
        <row r="52">
          <cell r="D52">
            <v>1</v>
          </cell>
          <cell r="E52">
            <v>2</v>
          </cell>
          <cell r="F52">
            <v>3</v>
          </cell>
          <cell r="G52">
            <v>4</v>
          </cell>
          <cell r="H52">
            <v>5</v>
          </cell>
          <cell r="I52">
            <v>6</v>
          </cell>
          <cell r="J52">
            <v>7</v>
          </cell>
          <cell r="K52">
            <v>8</v>
          </cell>
        </row>
        <row r="53">
          <cell r="D53">
            <v>5</v>
          </cell>
          <cell r="E53">
            <v>52</v>
          </cell>
          <cell r="F53">
            <v>11</v>
          </cell>
          <cell r="G53">
            <v>37</v>
          </cell>
          <cell r="H53">
            <v>3</v>
          </cell>
          <cell r="I53">
            <v>132</v>
          </cell>
          <cell r="J53">
            <v>1</v>
          </cell>
          <cell r="K53">
            <v>110</v>
          </cell>
        </row>
        <row r="54">
          <cell r="E54">
            <v>57</v>
          </cell>
          <cell r="G54">
            <v>48</v>
          </cell>
          <cell r="I54">
            <v>135</v>
          </cell>
          <cell r="K54">
            <v>111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41.351976966399533</v>
          </cell>
        </row>
        <row r="7">
          <cell r="U7">
            <v>3</v>
          </cell>
          <cell r="X7">
            <v>32.252420084024735</v>
          </cell>
        </row>
        <row r="8">
          <cell r="U8">
            <v>4</v>
          </cell>
          <cell r="X8">
            <v>24.797799637414684</v>
          </cell>
        </row>
        <row r="9">
          <cell r="U9">
            <v>5</v>
          </cell>
          <cell r="X9">
            <v>19.946029650568391</v>
          </cell>
        </row>
        <row r="10">
          <cell r="U10">
            <v>6</v>
          </cell>
          <cell r="X10">
            <v>15.655881181292578</v>
          </cell>
        </row>
        <row r="11">
          <cell r="U11">
            <v>7</v>
          </cell>
          <cell r="X11">
            <v>12.058137158230359</v>
          </cell>
        </row>
        <row r="12">
          <cell r="U12">
            <v>8</v>
          </cell>
          <cell r="X12">
            <v>9.5123222007991544</v>
          </cell>
        </row>
        <row r="13">
          <cell r="X13">
            <v>7.5768794383196294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63">
          <cell r="D63">
            <v>1</v>
          </cell>
          <cell r="E63">
            <v>2</v>
          </cell>
          <cell r="F63">
            <v>3</v>
          </cell>
          <cell r="G63">
            <v>4</v>
          </cell>
          <cell r="H63">
            <v>5</v>
          </cell>
          <cell r="I63">
            <v>6</v>
          </cell>
          <cell r="J63">
            <v>7</v>
          </cell>
          <cell r="K63">
            <v>8</v>
          </cell>
        </row>
        <row r="64">
          <cell r="D64">
            <v>310</v>
          </cell>
          <cell r="E64">
            <v>45</v>
          </cell>
          <cell r="F64">
            <v>13</v>
          </cell>
          <cell r="G64">
            <v>55</v>
          </cell>
          <cell r="H64">
            <v>19</v>
          </cell>
          <cell r="I64">
            <v>29</v>
          </cell>
          <cell r="J64">
            <v>16</v>
          </cell>
          <cell r="K64">
            <v>1014</v>
          </cell>
        </row>
        <row r="65">
          <cell r="E65">
            <v>355</v>
          </cell>
          <cell r="G65">
            <v>68</v>
          </cell>
          <cell r="I65">
            <v>48</v>
          </cell>
          <cell r="K65">
            <v>1030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38.12196559287991</v>
          </cell>
        </row>
        <row r="7">
          <cell r="U7">
            <v>3</v>
          </cell>
          <cell r="X7">
            <v>38.069967646617847</v>
          </cell>
        </row>
        <row r="8">
          <cell r="U8">
            <v>4</v>
          </cell>
          <cell r="X8">
            <v>30.023211287992702</v>
          </cell>
        </row>
        <row r="9">
          <cell r="U9">
            <v>5</v>
          </cell>
          <cell r="X9">
            <v>30.223565003631883</v>
          </cell>
        </row>
        <row r="10">
          <cell r="U10">
            <v>6</v>
          </cell>
          <cell r="X10">
            <v>25.204148880721014</v>
          </cell>
        </row>
        <row r="11">
          <cell r="U11">
            <v>7</v>
          </cell>
          <cell r="X11">
            <v>23.797546876163089</v>
          </cell>
        </row>
        <row r="12">
          <cell r="U12">
            <v>8</v>
          </cell>
          <cell r="X12">
            <v>21.309506580701871</v>
          </cell>
        </row>
        <row r="13">
          <cell r="X13">
            <v>18.796280762229706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1">
          <cell r="D61">
            <v>1</v>
          </cell>
          <cell r="E61">
            <v>2</v>
          </cell>
          <cell r="F61">
            <v>3</v>
          </cell>
          <cell r="G61">
            <v>4</v>
          </cell>
          <cell r="H61">
            <v>5</v>
          </cell>
          <cell r="I61">
            <v>6</v>
          </cell>
          <cell r="J61">
            <v>7</v>
          </cell>
          <cell r="K61">
            <v>8</v>
          </cell>
        </row>
        <row r="62">
          <cell r="D62">
            <v>101</v>
          </cell>
          <cell r="E62">
            <v>184</v>
          </cell>
          <cell r="F62">
            <v>12</v>
          </cell>
          <cell r="G62">
            <v>7</v>
          </cell>
          <cell r="H62">
            <v>6</v>
          </cell>
          <cell r="I62">
            <v>332</v>
          </cell>
          <cell r="J62">
            <v>34</v>
          </cell>
          <cell r="K62">
            <v>147</v>
          </cell>
        </row>
        <row r="63">
          <cell r="E63">
            <v>285</v>
          </cell>
          <cell r="G63">
            <v>19</v>
          </cell>
          <cell r="I63">
            <v>338</v>
          </cell>
          <cell r="K63">
            <v>181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32.852085844780717</v>
          </cell>
        </row>
        <row r="7">
          <cell r="U7">
            <v>3</v>
          </cell>
          <cell r="X7">
            <v>27.31210042597467</v>
          </cell>
        </row>
        <row r="8">
          <cell r="U8">
            <v>4</v>
          </cell>
          <cell r="X8">
            <v>20.700067658032154</v>
          </cell>
        </row>
        <row r="9">
          <cell r="U9">
            <v>5</v>
          </cell>
          <cell r="X9">
            <v>17.5298437342935</v>
          </cell>
        </row>
        <row r="10">
          <cell r="U10">
            <v>6</v>
          </cell>
          <cell r="X10">
            <v>13.668166520149242</v>
          </cell>
        </row>
        <row r="11">
          <cell r="U11">
            <v>7</v>
          </cell>
          <cell r="X11">
            <v>10.811002624683915</v>
          </cell>
        </row>
        <row r="12">
          <cell r="U12">
            <v>8</v>
          </cell>
          <cell r="X12">
            <v>9.7603059664834078</v>
          </cell>
        </row>
        <row r="13">
          <cell r="X13">
            <v>8.0600965296393809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0">
          <cell r="D60">
            <v>1</v>
          </cell>
          <cell r="E60">
            <v>2</v>
          </cell>
          <cell r="F60">
            <v>3</v>
          </cell>
          <cell r="G60">
            <v>4</v>
          </cell>
          <cell r="H60">
            <v>5</v>
          </cell>
          <cell r="I60">
            <v>6</v>
          </cell>
          <cell r="J60">
            <v>7</v>
          </cell>
          <cell r="K60">
            <v>8</v>
          </cell>
        </row>
        <row r="61">
          <cell r="D61">
            <v>41</v>
          </cell>
          <cell r="E61">
            <v>330</v>
          </cell>
          <cell r="F61">
            <v>213</v>
          </cell>
          <cell r="G61">
            <v>49</v>
          </cell>
          <cell r="H61">
            <v>19</v>
          </cell>
          <cell r="I61">
            <v>16</v>
          </cell>
          <cell r="J61">
            <v>23</v>
          </cell>
          <cell r="K61">
            <v>927</v>
          </cell>
        </row>
        <row r="62">
          <cell r="E62">
            <v>371</v>
          </cell>
          <cell r="G62">
            <v>262</v>
          </cell>
          <cell r="I62">
            <v>35</v>
          </cell>
          <cell r="K62">
            <v>950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38.206815962512373</v>
          </cell>
        </row>
        <row r="7">
          <cell r="U7">
            <v>3</v>
          </cell>
          <cell r="X7">
            <v>38.555224121048496</v>
          </cell>
        </row>
        <row r="8">
          <cell r="U8">
            <v>4</v>
          </cell>
          <cell r="X8">
            <v>30.581876569714602</v>
          </cell>
        </row>
        <row r="9">
          <cell r="U9">
            <v>5</v>
          </cell>
          <cell r="X9">
            <v>31.5802820926164</v>
          </cell>
        </row>
        <row r="10">
          <cell r="U10">
            <v>6</v>
          </cell>
          <cell r="X10">
            <v>26.444598136033882</v>
          </cell>
        </row>
        <row r="11">
          <cell r="U11">
            <v>7</v>
          </cell>
          <cell r="X11">
            <v>24.455487871716642</v>
          </cell>
        </row>
        <row r="12">
          <cell r="U12">
            <v>8</v>
          </cell>
          <cell r="X12">
            <v>22.526797618775717</v>
          </cell>
        </row>
        <row r="13">
          <cell r="X13">
            <v>21.357631820964976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7">
          <cell r="D57">
            <v>1</v>
          </cell>
          <cell r="E57">
            <v>2</v>
          </cell>
          <cell r="F57">
            <v>3</v>
          </cell>
          <cell r="G57">
            <v>4</v>
          </cell>
          <cell r="H57">
            <v>5</v>
          </cell>
          <cell r="I57">
            <v>6</v>
          </cell>
          <cell r="J57">
            <v>7</v>
          </cell>
          <cell r="K57">
            <v>8</v>
          </cell>
        </row>
        <row r="58">
          <cell r="D58">
            <v>16</v>
          </cell>
          <cell r="E58">
            <v>3</v>
          </cell>
          <cell r="F58">
            <v>29</v>
          </cell>
          <cell r="G58">
            <v>14</v>
          </cell>
          <cell r="H58">
            <v>88</v>
          </cell>
          <cell r="I58">
            <v>49</v>
          </cell>
          <cell r="J58">
            <v>35</v>
          </cell>
          <cell r="K58">
            <v>85</v>
          </cell>
        </row>
        <row r="59">
          <cell r="E59">
            <v>19</v>
          </cell>
          <cell r="G59">
            <v>43</v>
          </cell>
          <cell r="I59">
            <v>137</v>
          </cell>
          <cell r="K59">
            <v>120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43.246459002098199</v>
          </cell>
        </row>
        <row r="7">
          <cell r="U7">
            <v>3</v>
          </cell>
          <cell r="W7">
            <v>40.091959946802753</v>
          </cell>
        </row>
        <row r="8">
          <cell r="U8">
            <v>4</v>
          </cell>
          <cell r="W8">
            <v>39.746266428845388</v>
          </cell>
        </row>
        <row r="9">
          <cell r="U9">
            <v>5</v>
          </cell>
          <cell r="W9">
            <v>38.116783978625541</v>
          </cell>
        </row>
        <row r="10">
          <cell r="U10">
            <v>6</v>
          </cell>
          <cell r="W10">
            <v>38.030347996310063</v>
          </cell>
        </row>
        <row r="11">
          <cell r="U11">
            <v>7</v>
          </cell>
          <cell r="W11">
            <v>36.951777989252442</v>
          </cell>
        </row>
        <row r="12">
          <cell r="U12">
            <v>8</v>
          </cell>
          <cell r="W12">
            <v>36.661601549108966</v>
          </cell>
        </row>
        <row r="13">
          <cell r="W13">
            <v>36.016979987843357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18</v>
          </cell>
          <cell r="E56">
            <v>19</v>
          </cell>
          <cell r="F56">
            <v>19</v>
          </cell>
          <cell r="G56">
            <v>22</v>
          </cell>
          <cell r="H56">
            <v>20</v>
          </cell>
          <cell r="I56">
            <v>21</v>
          </cell>
          <cell r="J56">
            <v>21</v>
          </cell>
          <cell r="K56">
            <v>301</v>
          </cell>
        </row>
        <row r="57">
          <cell r="E57">
            <v>37</v>
          </cell>
          <cell r="G57">
            <v>41</v>
          </cell>
          <cell r="I57">
            <v>41</v>
          </cell>
          <cell r="K57">
            <v>322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53.640000871360932</v>
          </cell>
        </row>
        <row r="7">
          <cell r="U7">
            <v>3</v>
          </cell>
          <cell r="W7">
            <v>48.708010347981791</v>
          </cell>
        </row>
        <row r="8">
          <cell r="U8">
            <v>4</v>
          </cell>
          <cell r="W8">
            <v>47.988529622804265</v>
          </cell>
        </row>
        <row r="9">
          <cell r="U9">
            <v>5</v>
          </cell>
          <cell r="W9">
            <v>44.689307040401737</v>
          </cell>
        </row>
        <row r="10">
          <cell r="U10">
            <v>6</v>
          </cell>
          <cell r="W10">
            <v>44.676680671925105</v>
          </cell>
        </row>
        <row r="11">
          <cell r="U11">
            <v>7</v>
          </cell>
          <cell r="W11">
            <v>41.598772853828741</v>
          </cell>
        </row>
        <row r="12">
          <cell r="U12">
            <v>8</v>
          </cell>
          <cell r="W12">
            <v>41.939026706710933</v>
          </cell>
        </row>
        <row r="13">
          <cell r="W13">
            <v>40.143428022026697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2">
          <cell r="D62">
            <v>1</v>
          </cell>
          <cell r="E62">
            <v>2</v>
          </cell>
          <cell r="F62">
            <v>3</v>
          </cell>
          <cell r="G62">
            <v>4</v>
          </cell>
          <cell r="H62">
            <v>5</v>
          </cell>
          <cell r="I62">
            <v>6</v>
          </cell>
          <cell r="J62">
            <v>7</v>
          </cell>
          <cell r="K62">
            <v>8</v>
          </cell>
        </row>
        <row r="63">
          <cell r="D63">
            <v>351</v>
          </cell>
          <cell r="E63">
            <v>27</v>
          </cell>
          <cell r="F63">
            <v>44</v>
          </cell>
          <cell r="G63">
            <v>51</v>
          </cell>
          <cell r="H63">
            <v>54</v>
          </cell>
          <cell r="I63">
            <v>621</v>
          </cell>
          <cell r="J63">
            <v>39</v>
          </cell>
          <cell r="K63">
            <v>536</v>
          </cell>
        </row>
        <row r="64">
          <cell r="E64">
            <v>378</v>
          </cell>
          <cell r="G64">
            <v>95</v>
          </cell>
          <cell r="I64">
            <v>675</v>
          </cell>
          <cell r="K64">
            <v>575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45.844417166652157</v>
          </cell>
        </row>
        <row r="7">
          <cell r="U7">
            <v>3</v>
          </cell>
          <cell r="W7">
            <v>44.661693633991298</v>
          </cell>
        </row>
        <row r="8">
          <cell r="U8">
            <v>4</v>
          </cell>
          <cell r="W8">
            <v>43.124420225794857</v>
          </cell>
        </row>
        <row r="9">
          <cell r="U9">
            <v>5</v>
          </cell>
          <cell r="W9">
            <v>42.274710410914899</v>
          </cell>
        </row>
        <row r="10">
          <cell r="U10">
            <v>6</v>
          </cell>
          <cell r="W10">
            <v>41.414870509434863</v>
          </cell>
        </row>
        <row r="11">
          <cell r="U11">
            <v>7</v>
          </cell>
          <cell r="W11">
            <v>40.881976719247319</v>
          </cell>
        </row>
        <row r="12">
          <cell r="U12">
            <v>8</v>
          </cell>
          <cell r="W12">
            <v>39.51701482007266</v>
          </cell>
        </row>
        <row r="13">
          <cell r="W13">
            <v>38.372968417851489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6">
          <cell r="D36">
            <v>1</v>
          </cell>
          <cell r="E36">
            <v>2</v>
          </cell>
          <cell r="F36">
            <v>3</v>
          </cell>
          <cell r="G36">
            <v>4</v>
          </cell>
          <cell r="H36">
            <v>5</v>
          </cell>
          <cell r="I36">
            <v>6</v>
          </cell>
          <cell r="J36">
            <v>7</v>
          </cell>
          <cell r="K36">
            <v>8</v>
          </cell>
        </row>
        <row r="37">
          <cell r="D37">
            <v>18</v>
          </cell>
          <cell r="E37">
            <v>19</v>
          </cell>
          <cell r="F37">
            <v>22</v>
          </cell>
          <cell r="G37">
            <v>32</v>
          </cell>
          <cell r="H37">
            <v>21</v>
          </cell>
          <cell r="I37">
            <v>196</v>
          </cell>
          <cell r="J37">
            <v>140</v>
          </cell>
          <cell r="K37">
            <v>89</v>
          </cell>
        </row>
        <row r="38">
          <cell r="E38">
            <v>37</v>
          </cell>
          <cell r="G38">
            <v>54</v>
          </cell>
          <cell r="I38">
            <v>217</v>
          </cell>
          <cell r="K38">
            <v>229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43.914739589780673</v>
          </cell>
        </row>
        <row r="7">
          <cell r="U7">
            <v>3</v>
          </cell>
          <cell r="W7">
            <v>42.216751172880628</v>
          </cell>
        </row>
        <row r="8">
          <cell r="U8">
            <v>4</v>
          </cell>
          <cell r="W8">
            <v>41.35368511646643</v>
          </cell>
        </row>
        <row r="9">
          <cell r="U9">
            <v>5</v>
          </cell>
          <cell r="W9">
            <v>40.694582957263634</v>
          </cell>
        </row>
        <row r="10">
          <cell r="U10">
            <v>6</v>
          </cell>
          <cell r="W10">
            <v>40.258403351822572</v>
          </cell>
        </row>
        <row r="11">
          <cell r="U11">
            <v>7</v>
          </cell>
          <cell r="W11">
            <v>39.941261758210366</v>
          </cell>
        </row>
        <row r="12">
          <cell r="U12">
            <v>8</v>
          </cell>
          <cell r="W12">
            <v>38.981351433558515</v>
          </cell>
        </row>
        <row r="13">
          <cell r="W13">
            <v>38.512603743065299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216</v>
          </cell>
          <cell r="E41">
            <v>10</v>
          </cell>
          <cell r="F41">
            <v>44</v>
          </cell>
          <cell r="G41">
            <v>9</v>
          </cell>
          <cell r="H41">
            <v>29</v>
          </cell>
          <cell r="I41">
            <v>15</v>
          </cell>
          <cell r="J41">
            <v>22</v>
          </cell>
          <cell r="K41">
            <v>726</v>
          </cell>
        </row>
        <row r="42">
          <cell r="E42">
            <v>226</v>
          </cell>
          <cell r="G42">
            <v>53</v>
          </cell>
          <cell r="I42">
            <v>44</v>
          </cell>
          <cell r="K42">
            <v>748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63.480023609669537</v>
          </cell>
        </row>
        <row r="7">
          <cell r="U7">
            <v>3</v>
          </cell>
          <cell r="X7">
            <v>58.744709511419558</v>
          </cell>
        </row>
        <row r="8">
          <cell r="U8">
            <v>4</v>
          </cell>
          <cell r="X8">
            <v>48.606548045621572</v>
          </cell>
        </row>
        <row r="9">
          <cell r="U9">
            <v>5</v>
          </cell>
          <cell r="X9">
            <v>47.882369250333483</v>
          </cell>
        </row>
        <row r="10">
          <cell r="U10">
            <v>6</v>
          </cell>
          <cell r="X10">
            <v>40.050663424618577</v>
          </cell>
        </row>
        <row r="11">
          <cell r="U11">
            <v>7</v>
          </cell>
          <cell r="X11">
            <v>36.756869969141121</v>
          </cell>
        </row>
        <row r="12">
          <cell r="U12">
            <v>8</v>
          </cell>
          <cell r="X12">
            <v>31.858094707921609</v>
          </cell>
        </row>
        <row r="13">
          <cell r="X13">
            <v>28.865253426396652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</v>
          </cell>
          <cell r="E44">
            <v>240</v>
          </cell>
          <cell r="F44">
            <v>143</v>
          </cell>
          <cell r="G44">
            <v>168</v>
          </cell>
          <cell r="H44">
            <v>253</v>
          </cell>
          <cell r="I44">
            <v>29</v>
          </cell>
          <cell r="J44">
            <v>94</v>
          </cell>
          <cell r="K44">
            <v>60</v>
          </cell>
        </row>
        <row r="45">
          <cell r="E45">
            <v>244</v>
          </cell>
          <cell r="G45">
            <v>311</v>
          </cell>
          <cell r="I45">
            <v>282</v>
          </cell>
          <cell r="K45">
            <v>154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48.336495485564228</v>
          </cell>
        </row>
        <row r="7">
          <cell r="U7">
            <v>3</v>
          </cell>
          <cell r="X7">
            <v>40.503765995650866</v>
          </cell>
        </row>
        <row r="8">
          <cell r="U8">
            <v>4</v>
          </cell>
          <cell r="X8">
            <v>30.73952127890443</v>
          </cell>
        </row>
        <row r="9">
          <cell r="U9">
            <v>5</v>
          </cell>
          <cell r="X9">
            <v>26.431877396899111</v>
          </cell>
        </row>
        <row r="10">
          <cell r="U10">
            <v>6</v>
          </cell>
          <cell r="X10">
            <v>20.628540969162017</v>
          </cell>
        </row>
        <row r="11">
          <cell r="U11">
            <v>7</v>
          </cell>
          <cell r="X11">
            <v>17.450719988998284</v>
          </cell>
        </row>
        <row r="12">
          <cell r="U12">
            <v>8</v>
          </cell>
          <cell r="X12">
            <v>13.594584430403451</v>
          </cell>
        </row>
        <row r="13">
          <cell r="X13">
            <v>12.444008726741949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431</v>
          </cell>
          <cell r="E38">
            <v>15</v>
          </cell>
          <cell r="F38">
            <v>34</v>
          </cell>
          <cell r="G38">
            <v>171</v>
          </cell>
          <cell r="H38">
            <v>134</v>
          </cell>
          <cell r="I38">
            <v>228</v>
          </cell>
          <cell r="J38">
            <v>27</v>
          </cell>
          <cell r="K38">
            <v>699</v>
          </cell>
        </row>
        <row r="39">
          <cell r="E39">
            <v>446</v>
          </cell>
          <cell r="G39">
            <v>205</v>
          </cell>
          <cell r="H39">
            <v>0</v>
          </cell>
          <cell r="I39">
            <v>362</v>
          </cell>
          <cell r="K39">
            <v>726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47.510504842514756</v>
          </cell>
        </row>
        <row r="7">
          <cell r="U7">
            <v>3</v>
          </cell>
          <cell r="X7">
            <v>47.143094450301803</v>
          </cell>
        </row>
        <row r="8">
          <cell r="U8">
            <v>4</v>
          </cell>
          <cell r="X8">
            <v>38.662886388406378</v>
          </cell>
        </row>
        <row r="9">
          <cell r="U9">
            <v>5</v>
          </cell>
          <cell r="X9">
            <v>39.60098684493483</v>
          </cell>
        </row>
        <row r="10">
          <cell r="U10">
            <v>6</v>
          </cell>
          <cell r="X10">
            <v>33.351515014133902</v>
          </cell>
        </row>
        <row r="11">
          <cell r="U11">
            <v>7</v>
          </cell>
          <cell r="X11">
            <v>31.541646744476136</v>
          </cell>
        </row>
        <row r="12">
          <cell r="U12">
            <v>8</v>
          </cell>
          <cell r="X12">
            <v>28.33299541158927</v>
          </cell>
        </row>
        <row r="13">
          <cell r="X13">
            <v>28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294</v>
          </cell>
          <cell r="E38">
            <v>166</v>
          </cell>
          <cell r="F38">
            <v>83</v>
          </cell>
          <cell r="G38">
            <v>181</v>
          </cell>
          <cell r="H38">
            <v>236</v>
          </cell>
          <cell r="I38">
            <v>7</v>
          </cell>
          <cell r="J38">
            <v>54</v>
          </cell>
          <cell r="K38">
            <v>136</v>
          </cell>
        </row>
        <row r="39">
          <cell r="E39">
            <v>460</v>
          </cell>
          <cell r="G39">
            <v>264</v>
          </cell>
          <cell r="I39">
            <v>243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42.769293679796661</v>
          </cell>
        </row>
        <row r="7">
          <cell r="U7">
            <v>3</v>
          </cell>
          <cell r="X7">
            <v>38.714844963329668</v>
          </cell>
        </row>
        <row r="8">
          <cell r="U8">
            <v>4</v>
          </cell>
          <cell r="X8">
            <v>28.380249141070767</v>
          </cell>
        </row>
        <row r="9">
          <cell r="U9">
            <v>5</v>
          </cell>
          <cell r="X9">
            <v>24.314125805732935</v>
          </cell>
        </row>
        <row r="10">
          <cell r="U10">
            <v>6</v>
          </cell>
          <cell r="X10">
            <v>20.357311317322914</v>
          </cell>
        </row>
        <row r="11">
          <cell r="U11">
            <v>7</v>
          </cell>
          <cell r="X11">
            <v>16.638701862853875</v>
          </cell>
        </row>
        <row r="12">
          <cell r="U12">
            <v>8</v>
          </cell>
          <cell r="X12">
            <v>14.229136941014048</v>
          </cell>
        </row>
        <row r="13">
          <cell r="X13">
            <v>13.495528633476624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317</v>
          </cell>
          <cell r="E44">
            <v>15</v>
          </cell>
          <cell r="F44">
            <v>52</v>
          </cell>
          <cell r="G44">
            <v>26</v>
          </cell>
          <cell r="H44">
            <v>167</v>
          </cell>
          <cell r="I44">
            <v>469</v>
          </cell>
          <cell r="J44">
            <v>19</v>
          </cell>
          <cell r="K44">
            <v>416</v>
          </cell>
        </row>
        <row r="45">
          <cell r="E45">
            <v>332</v>
          </cell>
          <cell r="G45">
            <v>78</v>
          </cell>
          <cell r="I45">
            <v>636</v>
          </cell>
          <cell r="K45">
            <v>435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73.849499324111164</v>
          </cell>
        </row>
        <row r="7">
          <cell r="U7">
            <v>3</v>
          </cell>
          <cell r="X7">
            <v>64.396862041218057</v>
          </cell>
        </row>
        <row r="8">
          <cell r="U8">
            <v>4</v>
          </cell>
          <cell r="X8">
            <v>56.44865383959349</v>
          </cell>
        </row>
        <row r="9">
          <cell r="U9">
            <v>5</v>
          </cell>
          <cell r="X9">
            <v>50.766082504409098</v>
          </cell>
        </row>
        <row r="10">
          <cell r="U10">
            <v>6</v>
          </cell>
          <cell r="X10">
            <v>45.289497043284314</v>
          </cell>
        </row>
        <row r="11">
          <cell r="U11">
            <v>7</v>
          </cell>
          <cell r="X11">
            <v>39.268243733511426</v>
          </cell>
        </row>
        <row r="12">
          <cell r="U12">
            <v>8</v>
          </cell>
          <cell r="X12">
            <v>35.514397688229487</v>
          </cell>
        </row>
        <row r="13">
          <cell r="X13">
            <v>32.446712365792294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77</v>
          </cell>
          <cell r="E44">
            <v>80</v>
          </cell>
          <cell r="F44">
            <v>205</v>
          </cell>
          <cell r="G44">
            <v>190</v>
          </cell>
          <cell r="H44">
            <v>42</v>
          </cell>
          <cell r="I44">
            <v>177</v>
          </cell>
          <cell r="J44">
            <v>79</v>
          </cell>
          <cell r="K44">
            <v>93</v>
          </cell>
        </row>
        <row r="47">
          <cell r="E47">
            <v>157</v>
          </cell>
          <cell r="G47">
            <v>395</v>
          </cell>
          <cell r="I47">
            <v>219</v>
          </cell>
          <cell r="K47">
            <v>172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25.379553654089236</v>
          </cell>
        </row>
        <row r="7">
          <cell r="U7">
            <v>3</v>
          </cell>
          <cell r="W7">
            <v>23.881159296081847</v>
          </cell>
        </row>
        <row r="8">
          <cell r="U8">
            <v>4</v>
          </cell>
          <cell r="W8">
            <v>22.784147638174108</v>
          </cell>
        </row>
        <row r="9">
          <cell r="U9">
            <v>5</v>
          </cell>
          <cell r="W9">
            <v>22.148226064499983</v>
          </cell>
        </row>
        <row r="10">
          <cell r="U10">
            <v>6</v>
          </cell>
          <cell r="W10">
            <v>21.545678620377174</v>
          </cell>
        </row>
        <row r="11">
          <cell r="U11">
            <v>7</v>
          </cell>
          <cell r="W11">
            <v>21.494632807356471</v>
          </cell>
        </row>
        <row r="12">
          <cell r="U12">
            <v>8</v>
          </cell>
          <cell r="W12">
            <v>20.612948956328932</v>
          </cell>
        </row>
        <row r="13">
          <cell r="W13">
            <v>20.442195253960616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423</v>
          </cell>
          <cell r="E44">
            <v>65</v>
          </cell>
          <cell r="F44">
            <v>262</v>
          </cell>
          <cell r="G44">
            <v>28</v>
          </cell>
          <cell r="H44">
            <v>104</v>
          </cell>
          <cell r="I44">
            <v>131</v>
          </cell>
          <cell r="J44">
            <v>21</v>
          </cell>
          <cell r="K44">
            <v>171</v>
          </cell>
        </row>
        <row r="47">
          <cell r="E47">
            <v>488</v>
          </cell>
          <cell r="G47">
            <v>290</v>
          </cell>
          <cell r="I47">
            <v>235</v>
          </cell>
          <cell r="K47">
            <v>192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43.908522572481402</v>
          </cell>
        </row>
        <row r="7">
          <cell r="U7">
            <v>3</v>
          </cell>
          <cell r="X7">
            <v>36.486858555255623</v>
          </cell>
        </row>
        <row r="8">
          <cell r="U8">
            <v>4</v>
          </cell>
          <cell r="X8">
            <v>30.900561031905891</v>
          </cell>
        </row>
        <row r="9">
          <cell r="U9">
            <v>5</v>
          </cell>
          <cell r="X9">
            <v>25.572098427121563</v>
          </cell>
        </row>
        <row r="10">
          <cell r="U10">
            <v>6</v>
          </cell>
          <cell r="X10">
            <v>22.868827480091536</v>
          </cell>
        </row>
        <row r="11">
          <cell r="U11">
            <v>7</v>
          </cell>
          <cell r="X11">
            <v>17.899705295843763</v>
          </cell>
        </row>
        <row r="12">
          <cell r="U12">
            <v>8</v>
          </cell>
          <cell r="X12">
            <v>15.374197054657152</v>
          </cell>
        </row>
        <row r="13">
          <cell r="X13">
            <v>13.82713487042189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</v>
          </cell>
          <cell r="E44">
            <v>18</v>
          </cell>
          <cell r="F44">
            <v>26</v>
          </cell>
          <cell r="G44">
            <v>35</v>
          </cell>
          <cell r="H44">
            <v>27</v>
          </cell>
          <cell r="I44">
            <v>37</v>
          </cell>
          <cell r="J44">
            <v>21</v>
          </cell>
          <cell r="K44">
            <v>926</v>
          </cell>
        </row>
        <row r="45">
          <cell r="E45">
            <v>46</v>
          </cell>
          <cell r="G45">
            <v>61</v>
          </cell>
          <cell r="I45">
            <v>64</v>
          </cell>
          <cell r="K45">
            <v>947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60.000872255251259</v>
          </cell>
        </row>
        <row r="7">
          <cell r="U7">
            <v>3</v>
          </cell>
          <cell r="X7">
            <v>54.391994264042431</v>
          </cell>
        </row>
        <row r="8">
          <cell r="U8">
            <v>4</v>
          </cell>
          <cell r="X8">
            <v>46.077792636881249</v>
          </cell>
        </row>
        <row r="9">
          <cell r="U9">
            <v>5</v>
          </cell>
          <cell r="X9">
            <v>43.734496803515917</v>
          </cell>
        </row>
        <row r="10">
          <cell r="U10">
            <v>6</v>
          </cell>
          <cell r="X10">
            <v>37.702030291161243</v>
          </cell>
        </row>
        <row r="11">
          <cell r="U11">
            <v>7</v>
          </cell>
          <cell r="X11">
            <v>33.36386117626612</v>
          </cell>
        </row>
        <row r="12">
          <cell r="U12">
            <v>8</v>
          </cell>
          <cell r="X12">
            <v>32.672102161097229</v>
          </cell>
        </row>
        <row r="13">
          <cell r="X13">
            <v>32.246590917812824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289</v>
          </cell>
          <cell r="E44">
            <v>139</v>
          </cell>
          <cell r="F44">
            <v>63</v>
          </cell>
          <cell r="G44">
            <v>189</v>
          </cell>
          <cell r="H44">
            <v>55</v>
          </cell>
          <cell r="I44">
            <v>131</v>
          </cell>
          <cell r="J44">
            <v>118</v>
          </cell>
          <cell r="K44">
            <v>131</v>
          </cell>
        </row>
        <row r="45">
          <cell r="E45">
            <v>428</v>
          </cell>
          <cell r="G45">
            <v>252</v>
          </cell>
          <cell r="I45">
            <v>186</v>
          </cell>
          <cell r="K45">
            <v>249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43.258976891029661</v>
          </cell>
        </row>
        <row r="7">
          <cell r="U7">
            <v>3</v>
          </cell>
          <cell r="X7">
            <v>38.996986233240662</v>
          </cell>
        </row>
        <row r="8">
          <cell r="U8">
            <v>4</v>
          </cell>
          <cell r="X8">
            <v>29.415548646960264</v>
          </cell>
        </row>
        <row r="9">
          <cell r="U9">
            <v>5</v>
          </cell>
          <cell r="X9">
            <v>25.372264731833116</v>
          </cell>
        </row>
        <row r="10">
          <cell r="U10">
            <v>6</v>
          </cell>
          <cell r="X10">
            <v>22.208367934021755</v>
          </cell>
        </row>
        <row r="11">
          <cell r="U11">
            <v>7</v>
          </cell>
          <cell r="X11">
            <v>18.419771171448684</v>
          </cell>
        </row>
        <row r="12">
          <cell r="U12">
            <v>8</v>
          </cell>
          <cell r="X12">
            <v>15.569550750704042</v>
          </cell>
        </row>
        <row r="13">
          <cell r="X13">
            <v>13.867874844960575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407</v>
          </cell>
          <cell r="E44">
            <v>15</v>
          </cell>
          <cell r="F44">
            <v>69</v>
          </cell>
          <cell r="G44">
            <v>130</v>
          </cell>
          <cell r="H44">
            <v>20</v>
          </cell>
          <cell r="I44">
            <v>159</v>
          </cell>
          <cell r="J44">
            <v>14</v>
          </cell>
          <cell r="K44">
            <v>691</v>
          </cell>
        </row>
        <row r="45">
          <cell r="E45">
            <v>422</v>
          </cell>
          <cell r="G45">
            <v>199</v>
          </cell>
          <cell r="I45">
            <v>179</v>
          </cell>
          <cell r="K45">
            <v>705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44.485890718048843</v>
          </cell>
        </row>
        <row r="7">
          <cell r="U7">
            <v>3</v>
          </cell>
          <cell r="X7">
            <v>44.905654442283392</v>
          </cell>
        </row>
        <row r="8">
          <cell r="U8">
            <v>4</v>
          </cell>
          <cell r="X8">
            <v>38</v>
          </cell>
        </row>
        <row r="9">
          <cell r="U9">
            <v>5</v>
          </cell>
          <cell r="X9">
            <v>38.179820850243011</v>
          </cell>
        </row>
        <row r="10">
          <cell r="U10">
            <v>6</v>
          </cell>
          <cell r="X10">
            <v>33.248587507831353</v>
          </cell>
        </row>
        <row r="11">
          <cell r="U11">
            <v>7</v>
          </cell>
          <cell r="X11">
            <v>30.843298305917912</v>
          </cell>
        </row>
        <row r="12">
          <cell r="U12">
            <v>8</v>
          </cell>
          <cell r="X12">
            <v>28.083449530126348</v>
          </cell>
        </row>
        <row r="13">
          <cell r="X13">
            <v>27.831839621180496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 refreshError="1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84</v>
          </cell>
          <cell r="E44">
            <v>55</v>
          </cell>
          <cell r="F44">
            <v>267</v>
          </cell>
          <cell r="G44">
            <v>5</v>
          </cell>
          <cell r="H44">
            <v>71</v>
          </cell>
          <cell r="I44">
            <v>168</v>
          </cell>
          <cell r="J44">
            <v>159</v>
          </cell>
          <cell r="K44">
            <v>66</v>
          </cell>
        </row>
        <row r="45">
          <cell r="E45">
            <v>139</v>
          </cell>
          <cell r="G45">
            <v>272</v>
          </cell>
          <cell r="I45">
            <v>239</v>
          </cell>
          <cell r="K45">
            <v>225</v>
          </cell>
        </row>
      </sheetData>
      <sheetData sheetId="2" refreshError="1"/>
      <sheetData sheetId="3">
        <row r="5">
          <cell r="U5">
            <v>1</v>
          </cell>
        </row>
        <row r="6">
          <cell r="U6">
            <v>2</v>
          </cell>
          <cell r="X6">
            <v>43.50817662491658</v>
          </cell>
        </row>
        <row r="7">
          <cell r="U7">
            <v>3</v>
          </cell>
          <cell r="X7">
            <v>36.174691835325824</v>
          </cell>
        </row>
        <row r="8">
          <cell r="U8">
            <v>4</v>
          </cell>
          <cell r="X8">
            <v>27.488052523621718</v>
          </cell>
        </row>
        <row r="9">
          <cell r="U9">
            <v>5</v>
          </cell>
          <cell r="X9">
            <v>24.04164029693365</v>
          </cell>
        </row>
        <row r="10">
          <cell r="U10">
            <v>6</v>
          </cell>
          <cell r="X10">
            <v>19.210152744642404</v>
          </cell>
        </row>
        <row r="11">
          <cell r="U11">
            <v>7</v>
          </cell>
          <cell r="X11">
            <v>16.051156232427285</v>
          </cell>
        </row>
        <row r="12">
          <cell r="U12">
            <v>8</v>
          </cell>
          <cell r="X12">
            <v>14.313610313723157</v>
          </cell>
        </row>
        <row r="13">
          <cell r="X13">
            <v>13.30674870208977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ciencedirect.com/science/article/pii/S001793101000487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engineeringtoolbox.com/enthalpy-moist-air-d_683.html" TargetMode="External"/><Relationship Id="rId1" Type="http://schemas.openxmlformats.org/officeDocument/2006/relationships/hyperlink" Target="https://www.calculator.net/dew-point-calculator.html?airtemperature=205&amp;airtemperatureunit=celsius&amp;humidity=0.7815961&amp;dewpoint=&amp;dewpointunit=celsius&amp;x=Calculat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engineeringtoolbox.com/water-vapor-saturation-pressure-d_599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hermexcel.com/english/tables/vap_eau.htm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7"/>
  <sheetViews>
    <sheetView zoomScaleNormal="100" workbookViewId="0">
      <pane ySplit="1" topLeftCell="A37" activePane="bottomLeft" state="frozen"/>
      <selection pane="bottomLeft" activeCell="B51" sqref="B51:B52"/>
    </sheetView>
  </sheetViews>
  <sheetFormatPr defaultRowHeight="14.4" x14ac:dyDescent="0.3"/>
  <cols>
    <col min="2" max="12" width="14.109375" customWidth="1"/>
    <col min="16" max="16" width="8.88671875" style="35"/>
    <col min="17" max="17" width="14.109375" customWidth="1"/>
  </cols>
  <sheetData>
    <row r="1" spans="1:17" ht="58.2" thickBot="1" x14ac:dyDescent="0.35">
      <c r="A1" s="129"/>
      <c r="B1" s="1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  <c r="M1" s="2"/>
      <c r="N1" s="2"/>
      <c r="O1" s="142" t="s">
        <v>284</v>
      </c>
      <c r="P1" s="142" t="s">
        <v>191</v>
      </c>
      <c r="Q1" s="2" t="s">
        <v>176</v>
      </c>
    </row>
    <row r="2" spans="1:17" x14ac:dyDescent="0.3">
      <c r="A2" s="12">
        <v>1</v>
      </c>
      <c r="B2" s="8">
        <v>44847</v>
      </c>
      <c r="C2" s="9">
        <v>211</v>
      </c>
      <c r="D2" s="9">
        <v>4800</v>
      </c>
      <c r="E2" s="9" t="s">
        <v>4</v>
      </c>
      <c r="F2" s="9">
        <v>85</v>
      </c>
      <c r="G2" s="9">
        <v>0.6</v>
      </c>
      <c r="H2" s="9">
        <v>0</v>
      </c>
      <c r="I2" s="9">
        <v>645</v>
      </c>
      <c r="J2" s="73">
        <f>ROUND(I2/C2,0)</f>
        <v>3</v>
      </c>
      <c r="K2" s="9">
        <v>14.5</v>
      </c>
      <c r="L2" s="9">
        <v>2</v>
      </c>
      <c r="Q2" s="9">
        <f t="shared" ref="Q2:Q32" si="0">F2</f>
        <v>85</v>
      </c>
    </row>
    <row r="3" spans="1:17" x14ac:dyDescent="0.3">
      <c r="A3" s="12">
        <v>2</v>
      </c>
      <c r="B3" s="6">
        <v>44847</v>
      </c>
      <c r="C3" s="4">
        <v>211</v>
      </c>
      <c r="D3" s="4">
        <v>4770</v>
      </c>
      <c r="E3" s="4" t="s">
        <v>4</v>
      </c>
      <c r="F3" s="4">
        <v>85</v>
      </c>
      <c r="G3" s="4">
        <v>0.6</v>
      </c>
      <c r="H3" s="4">
        <v>0</v>
      </c>
      <c r="I3" s="4">
        <v>425</v>
      </c>
      <c r="J3" s="73">
        <f t="shared" ref="J3:J19" si="1">ROUND(I3/C3,0)</f>
        <v>2</v>
      </c>
      <c r="K3" s="9">
        <v>14.7</v>
      </c>
      <c r="L3" s="9">
        <v>3</v>
      </c>
      <c r="Q3" s="9">
        <f t="shared" si="0"/>
        <v>85</v>
      </c>
    </row>
    <row r="4" spans="1:17" x14ac:dyDescent="0.3">
      <c r="A4" s="12">
        <v>3</v>
      </c>
      <c r="B4" s="6">
        <v>44847</v>
      </c>
      <c r="C4" s="4">
        <v>211</v>
      </c>
      <c r="D4" s="4">
        <v>4790</v>
      </c>
      <c r="E4" s="4" t="s">
        <v>4</v>
      </c>
      <c r="F4" s="4">
        <v>85</v>
      </c>
      <c r="G4" s="4">
        <v>0.6</v>
      </c>
      <c r="H4" s="4">
        <v>0</v>
      </c>
      <c r="I4" s="4">
        <v>210</v>
      </c>
      <c r="J4" s="73">
        <f t="shared" si="1"/>
        <v>1</v>
      </c>
      <c r="K4" s="4">
        <v>14.9</v>
      </c>
      <c r="L4" s="4">
        <v>6</v>
      </c>
      <c r="Q4" s="9">
        <f t="shared" si="0"/>
        <v>85</v>
      </c>
    </row>
    <row r="5" spans="1:17" ht="15" x14ac:dyDescent="0.3">
      <c r="A5" s="82">
        <v>4</v>
      </c>
      <c r="B5" s="94">
        <v>44851</v>
      </c>
      <c r="C5" s="95">
        <v>208</v>
      </c>
      <c r="D5" s="95">
        <v>5200</v>
      </c>
      <c r="E5" s="95">
        <v>40</v>
      </c>
      <c r="F5" s="95">
        <v>86</v>
      </c>
      <c r="G5" s="95">
        <v>19.600000000000001</v>
      </c>
      <c r="H5" s="95">
        <v>19.739999999999998</v>
      </c>
      <c r="I5" s="95">
        <v>210</v>
      </c>
      <c r="J5" s="73">
        <f t="shared" si="1"/>
        <v>1</v>
      </c>
      <c r="K5" s="95">
        <v>15.6</v>
      </c>
      <c r="L5" s="84">
        <v>26</v>
      </c>
      <c r="M5" s="163"/>
      <c r="N5">
        <f>Q5+((100-O5)/5)</f>
        <v>67.538461538461533</v>
      </c>
      <c r="O5" s="4">
        <f t="shared" ref="O5:O32" si="2">(E5*1000)/C5</f>
        <v>192.30769230769232</v>
      </c>
      <c r="P5" s="145">
        <v>63.905000000000001</v>
      </c>
      <c r="Q5" s="9">
        <f t="shared" si="0"/>
        <v>86</v>
      </c>
    </row>
    <row r="6" spans="1:17" ht="15.6" thickBot="1" x14ac:dyDescent="0.4">
      <c r="A6" s="82">
        <v>5</v>
      </c>
      <c r="B6" s="83" t="s">
        <v>140</v>
      </c>
      <c r="C6" s="84">
        <v>207</v>
      </c>
      <c r="D6" s="84">
        <v>5200</v>
      </c>
      <c r="E6" s="84">
        <v>40</v>
      </c>
      <c r="F6" s="84">
        <v>85</v>
      </c>
      <c r="G6" s="84">
        <v>19.3</v>
      </c>
      <c r="H6" s="84">
        <v>23.6</v>
      </c>
      <c r="I6" s="84">
        <v>438</v>
      </c>
      <c r="J6" s="73">
        <f t="shared" si="1"/>
        <v>2</v>
      </c>
      <c r="K6" s="84">
        <v>14.9</v>
      </c>
      <c r="L6" s="84">
        <v>14.5</v>
      </c>
      <c r="M6" s="162"/>
      <c r="N6">
        <f t="shared" ref="N6:N11" si="3">Q6+((100-O6)/5)</f>
        <v>66.352657004830917</v>
      </c>
      <c r="O6" s="4">
        <f t="shared" si="2"/>
        <v>193.23671497584542</v>
      </c>
      <c r="P6" s="144" t="s">
        <v>192</v>
      </c>
      <c r="Q6" s="9">
        <f t="shared" si="0"/>
        <v>85</v>
      </c>
    </row>
    <row r="7" spans="1:17" ht="13.5" customHeight="1" thickBot="1" x14ac:dyDescent="0.4">
      <c r="A7" s="82">
        <v>6</v>
      </c>
      <c r="B7" s="83" t="s">
        <v>141</v>
      </c>
      <c r="C7" s="84">
        <v>207</v>
      </c>
      <c r="D7" s="84">
        <v>5200</v>
      </c>
      <c r="E7" s="84">
        <v>40</v>
      </c>
      <c r="F7" s="84">
        <v>85</v>
      </c>
      <c r="G7" s="84">
        <v>19.3</v>
      </c>
      <c r="H7" s="84">
        <v>25.2</v>
      </c>
      <c r="I7" s="84">
        <v>624</v>
      </c>
      <c r="J7" s="73">
        <f t="shared" si="1"/>
        <v>3</v>
      </c>
      <c r="K7" s="84">
        <v>14.9</v>
      </c>
      <c r="L7" s="84">
        <v>11</v>
      </c>
      <c r="M7" s="162"/>
      <c r="N7">
        <f t="shared" si="3"/>
        <v>66.352657004830917</v>
      </c>
      <c r="O7" s="4">
        <f t="shared" si="2"/>
        <v>193.23671497584542</v>
      </c>
      <c r="P7" s="144" t="s">
        <v>192</v>
      </c>
      <c r="Q7" s="9">
        <f t="shared" si="0"/>
        <v>85</v>
      </c>
    </row>
    <row r="8" spans="1:17" ht="15" x14ac:dyDescent="0.35">
      <c r="A8" s="82">
        <v>7</v>
      </c>
      <c r="B8" s="83" t="s">
        <v>142</v>
      </c>
      <c r="C8" s="84">
        <v>207</v>
      </c>
      <c r="D8" s="84">
        <v>5100</v>
      </c>
      <c r="E8" s="84">
        <v>40</v>
      </c>
      <c r="F8" s="84">
        <v>95</v>
      </c>
      <c r="G8" s="84">
        <v>19.399999999999999</v>
      </c>
      <c r="H8" s="84">
        <v>24.6</v>
      </c>
      <c r="I8" s="84">
        <f>C8*2</f>
        <v>414</v>
      </c>
      <c r="J8" s="73">
        <f t="shared" si="1"/>
        <v>2</v>
      </c>
      <c r="K8" s="84">
        <v>14.5</v>
      </c>
      <c r="L8" s="84">
        <v>16</v>
      </c>
      <c r="M8" s="162"/>
      <c r="N8">
        <f t="shared" si="3"/>
        <v>76.352657004830917</v>
      </c>
      <c r="O8" s="4">
        <f t="shared" si="2"/>
        <v>193.23671497584542</v>
      </c>
      <c r="P8" s="35">
        <v>63.987000000000002</v>
      </c>
      <c r="Q8" s="9">
        <f t="shared" si="0"/>
        <v>95</v>
      </c>
    </row>
    <row r="9" spans="1:17" ht="15" x14ac:dyDescent="0.3">
      <c r="A9" s="82">
        <v>8</v>
      </c>
      <c r="B9" s="83" t="s">
        <v>143</v>
      </c>
      <c r="C9" s="84">
        <v>207</v>
      </c>
      <c r="D9" s="84">
        <v>5000</v>
      </c>
      <c r="E9" s="84">
        <v>40</v>
      </c>
      <c r="F9" s="84">
        <v>105</v>
      </c>
      <c r="G9" s="84">
        <v>19.399999999999999</v>
      </c>
      <c r="H9" s="84">
        <v>24.9</v>
      </c>
      <c r="I9" s="84">
        <f>C9*2</f>
        <v>414</v>
      </c>
      <c r="J9" s="73">
        <f t="shared" si="1"/>
        <v>2</v>
      </c>
      <c r="K9" s="84">
        <v>14.5</v>
      </c>
      <c r="L9" s="84">
        <v>16.5</v>
      </c>
      <c r="M9" s="163"/>
      <c r="N9">
        <f t="shared" si="3"/>
        <v>86.352657004830917</v>
      </c>
      <c r="O9" s="4">
        <f t="shared" si="2"/>
        <v>193.23671497584542</v>
      </c>
      <c r="P9" s="35">
        <v>63.987000000000002</v>
      </c>
      <c r="Q9" s="9">
        <f t="shared" si="0"/>
        <v>105</v>
      </c>
    </row>
    <row r="10" spans="1:17" ht="15" x14ac:dyDescent="0.3">
      <c r="A10" s="74">
        <v>9</v>
      </c>
      <c r="B10" s="75" t="s">
        <v>144</v>
      </c>
      <c r="C10" s="76">
        <v>411</v>
      </c>
      <c r="D10" s="76">
        <v>10400</v>
      </c>
      <c r="E10" s="76">
        <v>81</v>
      </c>
      <c r="F10" s="76">
        <v>85</v>
      </c>
      <c r="G10" s="76">
        <v>19.7</v>
      </c>
      <c r="H10" s="76">
        <v>22.4</v>
      </c>
      <c r="I10" s="76">
        <v>870</v>
      </c>
      <c r="J10" s="73">
        <f t="shared" si="1"/>
        <v>2</v>
      </c>
      <c r="K10" s="76">
        <v>14</v>
      </c>
      <c r="L10" s="76">
        <v>13</v>
      </c>
      <c r="M10" s="163"/>
      <c r="N10">
        <f t="shared" si="3"/>
        <v>65.583941605839414</v>
      </c>
      <c r="O10" s="4">
        <f t="shared" si="2"/>
        <v>197.08029197080293</v>
      </c>
      <c r="P10" s="35">
        <v>64.319999999999993</v>
      </c>
      <c r="Q10" s="9">
        <f t="shared" si="0"/>
        <v>85</v>
      </c>
    </row>
    <row r="11" spans="1:17" x14ac:dyDescent="0.3">
      <c r="A11" s="74">
        <v>10</v>
      </c>
      <c r="B11" s="75" t="s">
        <v>145</v>
      </c>
      <c r="C11" s="76">
        <v>411</v>
      </c>
      <c r="D11" s="76">
        <v>10200</v>
      </c>
      <c r="E11" s="76">
        <v>81</v>
      </c>
      <c r="F11" s="76">
        <v>95</v>
      </c>
      <c r="G11" s="76">
        <v>19.7</v>
      </c>
      <c r="H11" s="76">
        <v>22.6</v>
      </c>
      <c r="I11" s="77">
        <v>870</v>
      </c>
      <c r="J11" s="73">
        <f t="shared" si="1"/>
        <v>2</v>
      </c>
      <c r="K11" s="76">
        <v>14</v>
      </c>
      <c r="L11" s="76">
        <v>14.5</v>
      </c>
      <c r="N11">
        <f t="shared" si="3"/>
        <v>75.583941605839414</v>
      </c>
      <c r="O11" s="4">
        <f t="shared" si="2"/>
        <v>197.08029197080293</v>
      </c>
      <c r="P11" s="35">
        <v>64.319999999999993</v>
      </c>
      <c r="Q11" s="9">
        <f t="shared" si="0"/>
        <v>95</v>
      </c>
    </row>
    <row r="12" spans="1:17" ht="15" x14ac:dyDescent="0.3">
      <c r="A12" s="79">
        <v>11</v>
      </c>
      <c r="B12" s="80">
        <v>44858</v>
      </c>
      <c r="C12" s="76">
        <v>411</v>
      </c>
      <c r="D12" s="76">
        <v>9900</v>
      </c>
      <c r="E12" s="76">
        <v>81</v>
      </c>
      <c r="F12" s="76">
        <v>105</v>
      </c>
      <c r="G12" s="76">
        <v>19.600000000000001</v>
      </c>
      <c r="H12" s="76">
        <v>22.7</v>
      </c>
      <c r="I12" s="81">
        <v>870</v>
      </c>
      <c r="J12" s="73">
        <f t="shared" si="1"/>
        <v>2</v>
      </c>
      <c r="K12" s="76">
        <v>14</v>
      </c>
      <c r="L12" s="76">
        <v>14.5</v>
      </c>
      <c r="M12" s="163"/>
      <c r="N12" s="163"/>
      <c r="O12" s="4">
        <f t="shared" si="2"/>
        <v>197.08029197080293</v>
      </c>
      <c r="P12" s="143">
        <v>64.319999999999993</v>
      </c>
      <c r="Q12" s="9">
        <f t="shared" si="0"/>
        <v>105</v>
      </c>
    </row>
    <row r="13" spans="1:17" x14ac:dyDescent="0.3">
      <c r="A13" s="85">
        <v>12</v>
      </c>
      <c r="B13" s="86" t="s">
        <v>146</v>
      </c>
      <c r="C13" s="87">
        <v>302</v>
      </c>
      <c r="D13" s="87">
        <v>7600</v>
      </c>
      <c r="E13" s="87">
        <v>60</v>
      </c>
      <c r="F13" s="87">
        <v>85</v>
      </c>
      <c r="G13" s="85">
        <v>20</v>
      </c>
      <c r="H13" s="85">
        <v>24.7</v>
      </c>
      <c r="I13" s="87">
        <v>600</v>
      </c>
      <c r="J13" s="73">
        <f t="shared" si="1"/>
        <v>2</v>
      </c>
      <c r="K13" s="85">
        <v>14</v>
      </c>
      <c r="L13" s="85">
        <v>15.8</v>
      </c>
      <c r="O13" s="4">
        <f t="shared" si="2"/>
        <v>198.67549668874173</v>
      </c>
      <c r="P13" s="35">
        <v>64.456000000000003</v>
      </c>
      <c r="Q13" s="9">
        <f t="shared" si="0"/>
        <v>85</v>
      </c>
    </row>
    <row r="14" spans="1:17" ht="15" x14ac:dyDescent="0.35">
      <c r="A14" s="88">
        <v>13</v>
      </c>
      <c r="B14" s="89" t="s">
        <v>147</v>
      </c>
      <c r="C14" s="87">
        <v>302</v>
      </c>
      <c r="D14" s="88">
        <v>7500</v>
      </c>
      <c r="E14" s="87">
        <v>60</v>
      </c>
      <c r="F14" s="87">
        <v>95</v>
      </c>
      <c r="G14" s="88">
        <v>20</v>
      </c>
      <c r="H14" s="88">
        <v>22.8</v>
      </c>
      <c r="I14" s="87">
        <v>600</v>
      </c>
      <c r="J14" s="73">
        <f t="shared" si="1"/>
        <v>2</v>
      </c>
      <c r="K14" s="87">
        <v>14</v>
      </c>
      <c r="L14" s="88">
        <v>15.7</v>
      </c>
      <c r="M14" s="162"/>
      <c r="O14" s="4">
        <f t="shared" si="2"/>
        <v>198.67549668874173</v>
      </c>
      <c r="P14" s="35">
        <v>64.456000000000003</v>
      </c>
      <c r="Q14" s="9">
        <f t="shared" si="0"/>
        <v>95</v>
      </c>
    </row>
    <row r="15" spans="1:17" x14ac:dyDescent="0.3">
      <c r="A15" s="85">
        <v>14</v>
      </c>
      <c r="B15" s="89" t="s">
        <v>148</v>
      </c>
      <c r="C15" s="87">
        <v>301</v>
      </c>
      <c r="D15" s="88">
        <v>7300</v>
      </c>
      <c r="E15" s="87">
        <v>60</v>
      </c>
      <c r="F15" s="87">
        <v>105</v>
      </c>
      <c r="G15" s="88">
        <v>20</v>
      </c>
      <c r="H15" s="88">
        <v>22.9</v>
      </c>
      <c r="I15" s="87">
        <v>600</v>
      </c>
      <c r="J15" s="73">
        <f t="shared" si="1"/>
        <v>2</v>
      </c>
      <c r="K15" s="87">
        <v>14</v>
      </c>
      <c r="L15" s="88">
        <v>15.9</v>
      </c>
      <c r="O15" s="4">
        <f t="shared" si="2"/>
        <v>199.33554817275748</v>
      </c>
      <c r="P15" s="35">
        <v>64.512</v>
      </c>
      <c r="Q15" s="9">
        <f t="shared" si="0"/>
        <v>105</v>
      </c>
    </row>
    <row r="16" spans="1:17" x14ac:dyDescent="0.3">
      <c r="A16" s="88">
        <v>15</v>
      </c>
      <c r="B16" s="89" t="s">
        <v>149</v>
      </c>
      <c r="C16" s="87">
        <v>299</v>
      </c>
      <c r="D16" s="88">
        <v>7300</v>
      </c>
      <c r="E16" s="87">
        <v>60</v>
      </c>
      <c r="F16" s="87">
        <v>105</v>
      </c>
      <c r="G16" s="88">
        <v>20</v>
      </c>
      <c r="H16" s="88">
        <v>25</v>
      </c>
      <c r="I16" s="87">
        <v>900</v>
      </c>
      <c r="J16" s="73">
        <f t="shared" si="1"/>
        <v>3</v>
      </c>
      <c r="K16" s="87">
        <v>14</v>
      </c>
      <c r="L16" s="88">
        <v>11.5</v>
      </c>
      <c r="O16" s="4">
        <f t="shared" si="2"/>
        <v>200.66889632107024</v>
      </c>
      <c r="P16" s="35">
        <v>64.625</v>
      </c>
      <c r="Q16" s="9">
        <f t="shared" si="0"/>
        <v>105</v>
      </c>
    </row>
    <row r="17" spans="1:17" x14ac:dyDescent="0.3">
      <c r="A17" s="93">
        <v>16</v>
      </c>
      <c r="B17" s="90" t="s">
        <v>150</v>
      </c>
      <c r="C17" s="91">
        <v>131</v>
      </c>
      <c r="D17" s="91">
        <v>3000</v>
      </c>
      <c r="E17" s="91">
        <v>26</v>
      </c>
      <c r="F17" s="92">
        <v>85</v>
      </c>
      <c r="G17" s="91">
        <v>20</v>
      </c>
      <c r="H17" s="91">
        <v>36.5</v>
      </c>
      <c r="I17" s="91">
        <v>264</v>
      </c>
      <c r="J17" s="73">
        <f t="shared" si="1"/>
        <v>2</v>
      </c>
      <c r="K17" s="91">
        <v>15</v>
      </c>
      <c r="L17" s="91">
        <v>23.2</v>
      </c>
      <c r="O17" s="4">
        <f t="shared" si="2"/>
        <v>198.47328244274809</v>
      </c>
      <c r="P17" s="35">
        <v>64.438999999999993</v>
      </c>
      <c r="Q17" s="9">
        <f t="shared" si="0"/>
        <v>85</v>
      </c>
    </row>
    <row r="18" spans="1:17" x14ac:dyDescent="0.3">
      <c r="A18" s="46">
        <v>17</v>
      </c>
      <c r="B18" s="90" t="s">
        <v>151</v>
      </c>
      <c r="C18" s="91">
        <v>131</v>
      </c>
      <c r="D18" s="91">
        <v>3000</v>
      </c>
      <c r="E18" s="91">
        <v>26</v>
      </c>
      <c r="F18" s="92">
        <v>95</v>
      </c>
      <c r="G18" s="91">
        <v>20</v>
      </c>
      <c r="H18" s="91">
        <v>35.6</v>
      </c>
      <c r="I18" s="91">
        <v>264</v>
      </c>
      <c r="J18" s="73">
        <f t="shared" si="1"/>
        <v>2</v>
      </c>
      <c r="K18" s="91">
        <v>15</v>
      </c>
      <c r="L18" s="91">
        <v>23.5</v>
      </c>
      <c r="O18" s="4">
        <f t="shared" si="2"/>
        <v>198.47328244274809</v>
      </c>
      <c r="P18" s="35">
        <v>64.438999999999993</v>
      </c>
      <c r="Q18" s="9">
        <f t="shared" si="0"/>
        <v>95</v>
      </c>
    </row>
    <row r="19" spans="1:17" x14ac:dyDescent="0.3">
      <c r="A19" s="97">
        <v>18</v>
      </c>
      <c r="B19" s="98">
        <v>44862</v>
      </c>
      <c r="C19" s="97">
        <v>131</v>
      </c>
      <c r="D19" s="97">
        <v>3000</v>
      </c>
      <c r="E19" s="97">
        <v>26</v>
      </c>
      <c r="F19" s="96">
        <v>105</v>
      </c>
      <c r="G19" s="97">
        <v>20</v>
      </c>
      <c r="H19" s="97">
        <v>35.4</v>
      </c>
      <c r="I19" s="97">
        <v>264</v>
      </c>
      <c r="J19" s="73">
        <f t="shared" si="1"/>
        <v>2</v>
      </c>
      <c r="K19" s="97">
        <v>15</v>
      </c>
      <c r="L19" s="97">
        <v>23.9</v>
      </c>
      <c r="O19" s="4">
        <f t="shared" si="2"/>
        <v>198.47328244274809</v>
      </c>
      <c r="P19" s="35">
        <v>64.438999999999993</v>
      </c>
      <c r="Q19" s="9">
        <f t="shared" si="0"/>
        <v>105</v>
      </c>
    </row>
    <row r="20" spans="1:17" x14ac:dyDescent="0.3">
      <c r="A20" s="52"/>
      <c r="B20" s="56"/>
      <c r="C20" s="52"/>
      <c r="D20" s="52"/>
      <c r="E20" s="52"/>
      <c r="F20" s="103"/>
      <c r="G20" s="121">
        <v>10</v>
      </c>
      <c r="H20" s="52"/>
      <c r="I20" s="52"/>
      <c r="J20" s="73" t="e">
        <f>ROUND(I20/C20,0)</f>
        <v>#DIV/0!</v>
      </c>
      <c r="K20" s="52"/>
      <c r="L20" s="52"/>
      <c r="O20" s="4" t="e">
        <f t="shared" si="2"/>
        <v>#DIV/0!</v>
      </c>
      <c r="Q20" s="9">
        <f t="shared" si="0"/>
        <v>0</v>
      </c>
    </row>
    <row r="21" spans="1:17" x14ac:dyDescent="0.3">
      <c r="A21" s="57">
        <v>19</v>
      </c>
      <c r="B21" s="57" t="s">
        <v>152</v>
      </c>
      <c r="C21" s="99">
        <v>203.5</v>
      </c>
      <c r="D21" s="99">
        <v>4850</v>
      </c>
      <c r="E21" s="99">
        <v>21.5</v>
      </c>
      <c r="F21" s="99">
        <v>85</v>
      </c>
      <c r="G21" s="99">
        <v>10</v>
      </c>
      <c r="H21" s="99">
        <v>31.5</v>
      </c>
      <c r="I21" s="99">
        <v>402</v>
      </c>
      <c r="J21" s="73">
        <f>ROUND(I21/C21,0)</f>
        <v>2</v>
      </c>
      <c r="K21" s="99">
        <v>14</v>
      </c>
      <c r="L21" s="99">
        <v>12.2</v>
      </c>
      <c r="O21" s="4">
        <f t="shared" si="2"/>
        <v>105.65110565110565</v>
      </c>
      <c r="P21" s="35">
        <v>53.491999999999997</v>
      </c>
      <c r="Q21" s="9">
        <f t="shared" si="0"/>
        <v>85</v>
      </c>
    </row>
    <row r="22" spans="1:17" x14ac:dyDescent="0.3">
      <c r="A22" s="57">
        <v>20</v>
      </c>
      <c r="B22" s="57" t="s">
        <v>153</v>
      </c>
      <c r="C22" s="99">
        <v>203.5</v>
      </c>
      <c r="D22" s="99">
        <v>4800</v>
      </c>
      <c r="E22" s="99">
        <v>21.5</v>
      </c>
      <c r="F22" s="57">
        <v>95</v>
      </c>
      <c r="G22" s="57">
        <v>10</v>
      </c>
      <c r="H22" s="57">
        <v>31.4</v>
      </c>
      <c r="I22" s="57">
        <v>402</v>
      </c>
      <c r="J22" s="73">
        <f t="shared" ref="J22:J85" si="4">ROUND(I22/C22,0)</f>
        <v>2</v>
      </c>
      <c r="K22" s="57">
        <v>13.8</v>
      </c>
      <c r="L22" s="57">
        <v>12.4</v>
      </c>
      <c r="O22" s="4">
        <f t="shared" si="2"/>
        <v>105.65110565110565</v>
      </c>
      <c r="P22" s="35">
        <v>53.491999999999997</v>
      </c>
      <c r="Q22" s="9">
        <f t="shared" si="0"/>
        <v>95</v>
      </c>
    </row>
    <row r="23" spans="1:17" x14ac:dyDescent="0.3">
      <c r="A23" s="57">
        <v>21</v>
      </c>
      <c r="B23" s="101">
        <v>44869</v>
      </c>
      <c r="C23" s="100">
        <v>205</v>
      </c>
      <c r="D23" s="100">
        <v>4800</v>
      </c>
      <c r="E23" s="100">
        <v>22</v>
      </c>
      <c r="F23" s="100">
        <v>105</v>
      </c>
      <c r="G23" s="57">
        <v>10</v>
      </c>
      <c r="H23" s="100">
        <v>30</v>
      </c>
      <c r="I23" s="100">
        <v>402</v>
      </c>
      <c r="J23" s="73">
        <f t="shared" si="4"/>
        <v>2</v>
      </c>
      <c r="K23" s="57">
        <v>13.8</v>
      </c>
      <c r="L23" s="57">
        <v>13</v>
      </c>
      <c r="O23" s="4">
        <f t="shared" si="2"/>
        <v>107.3170731707317</v>
      </c>
      <c r="P23" s="35">
        <v>53.768999999999998</v>
      </c>
      <c r="Q23" s="9">
        <f t="shared" si="0"/>
        <v>105</v>
      </c>
    </row>
    <row r="24" spans="1:17" x14ac:dyDescent="0.3">
      <c r="A24" s="102">
        <v>22</v>
      </c>
      <c r="B24" s="102" t="s">
        <v>154</v>
      </c>
      <c r="C24" s="102">
        <f>372+41</f>
        <v>413</v>
      </c>
      <c r="D24" s="102">
        <v>10000</v>
      </c>
      <c r="E24" s="102">
        <v>41</v>
      </c>
      <c r="F24" s="102">
        <v>85</v>
      </c>
      <c r="G24" s="102">
        <v>10</v>
      </c>
      <c r="H24" s="102">
        <v>17.8</v>
      </c>
      <c r="I24" s="102">
        <v>826</v>
      </c>
      <c r="J24" s="73">
        <f t="shared" si="4"/>
        <v>2</v>
      </c>
      <c r="K24" s="102">
        <v>13</v>
      </c>
      <c r="L24" s="102">
        <v>7.3</v>
      </c>
      <c r="O24" s="4">
        <f t="shared" si="2"/>
        <v>99.27360774818402</v>
      </c>
      <c r="P24" s="35">
        <v>52.393000000000001</v>
      </c>
      <c r="Q24" s="9">
        <f t="shared" si="0"/>
        <v>85</v>
      </c>
    </row>
    <row r="25" spans="1:17" x14ac:dyDescent="0.3">
      <c r="A25" s="102">
        <v>23</v>
      </c>
      <c r="B25" s="102" t="s">
        <v>155</v>
      </c>
      <c r="C25" s="102">
        <v>413</v>
      </c>
      <c r="D25" s="102">
        <v>9800</v>
      </c>
      <c r="E25" s="102">
        <v>41</v>
      </c>
      <c r="F25" s="102">
        <v>95</v>
      </c>
      <c r="G25" s="102">
        <v>10</v>
      </c>
      <c r="H25" s="102">
        <v>17.8</v>
      </c>
      <c r="I25" s="102">
        <v>826</v>
      </c>
      <c r="J25" s="73">
        <f t="shared" si="4"/>
        <v>2</v>
      </c>
      <c r="K25" s="102">
        <v>13</v>
      </c>
      <c r="L25" s="102">
        <v>7.7</v>
      </c>
      <c r="O25" s="4">
        <f t="shared" si="2"/>
        <v>99.27360774818402</v>
      </c>
      <c r="P25" s="35">
        <v>52.393000000000001</v>
      </c>
      <c r="Q25" s="9">
        <f t="shared" si="0"/>
        <v>95</v>
      </c>
    </row>
    <row r="26" spans="1:17" x14ac:dyDescent="0.3">
      <c r="A26" s="102">
        <v>24</v>
      </c>
      <c r="B26" s="105" t="s">
        <v>156</v>
      </c>
      <c r="C26" s="102">
        <v>413</v>
      </c>
      <c r="D26" s="102">
        <v>9500</v>
      </c>
      <c r="E26" s="102">
        <v>41</v>
      </c>
      <c r="F26" s="102">
        <v>105</v>
      </c>
      <c r="G26" s="102">
        <v>10</v>
      </c>
      <c r="H26" s="102">
        <v>18.5</v>
      </c>
      <c r="I26" s="102">
        <v>826</v>
      </c>
      <c r="J26" s="73">
        <f t="shared" si="4"/>
        <v>2</v>
      </c>
      <c r="K26" s="102">
        <v>13</v>
      </c>
      <c r="L26" s="102">
        <v>8.5</v>
      </c>
      <c r="O26" s="4">
        <f t="shared" si="2"/>
        <v>99.27360774818402</v>
      </c>
      <c r="P26" s="35">
        <v>52.393000000000001</v>
      </c>
      <c r="Q26" s="9">
        <f t="shared" si="0"/>
        <v>105</v>
      </c>
    </row>
    <row r="27" spans="1:17" x14ac:dyDescent="0.3">
      <c r="A27" s="106">
        <v>25</v>
      </c>
      <c r="B27" s="107" t="s">
        <v>157</v>
      </c>
      <c r="C27" s="108">
        <v>302</v>
      </c>
      <c r="D27" s="109">
        <v>7500</v>
      </c>
      <c r="E27" s="108">
        <v>31</v>
      </c>
      <c r="F27" s="108">
        <v>105</v>
      </c>
      <c r="G27" s="109">
        <v>10</v>
      </c>
      <c r="H27" s="109">
        <v>24</v>
      </c>
      <c r="I27" s="108">
        <v>605</v>
      </c>
      <c r="J27" s="73">
        <f t="shared" si="4"/>
        <v>2</v>
      </c>
      <c r="K27" s="108">
        <v>13</v>
      </c>
      <c r="L27" s="109">
        <v>10.7</v>
      </c>
      <c r="O27" s="4">
        <f t="shared" si="2"/>
        <v>102.64900662251655</v>
      </c>
      <c r="P27" s="35">
        <v>52.982999999999997</v>
      </c>
      <c r="Q27" s="9">
        <f t="shared" si="0"/>
        <v>105</v>
      </c>
    </row>
    <row r="28" spans="1:17" x14ac:dyDescent="0.3">
      <c r="A28" s="110">
        <v>26</v>
      </c>
      <c r="B28" s="107" t="s">
        <v>158</v>
      </c>
      <c r="C28" s="108">
        <v>310</v>
      </c>
      <c r="D28" s="109">
        <v>7500</v>
      </c>
      <c r="E28" s="108">
        <v>31</v>
      </c>
      <c r="F28" s="108">
        <v>85</v>
      </c>
      <c r="G28" s="109">
        <v>10</v>
      </c>
      <c r="H28" s="109">
        <v>24.5</v>
      </c>
      <c r="I28" s="108">
        <v>605</v>
      </c>
      <c r="J28" s="73">
        <f t="shared" si="4"/>
        <v>2</v>
      </c>
      <c r="K28" s="108">
        <v>13</v>
      </c>
      <c r="L28" s="109">
        <v>9.4</v>
      </c>
      <c r="O28" s="4">
        <f t="shared" si="2"/>
        <v>100</v>
      </c>
      <c r="P28" s="35">
        <v>52.521000000000001</v>
      </c>
      <c r="Q28" s="9">
        <f t="shared" si="0"/>
        <v>85</v>
      </c>
    </row>
    <row r="29" spans="1:17" x14ac:dyDescent="0.3">
      <c r="A29" s="110">
        <v>27</v>
      </c>
      <c r="B29" s="107" t="s">
        <v>159</v>
      </c>
      <c r="C29" s="108">
        <v>312</v>
      </c>
      <c r="D29" s="109">
        <v>7500</v>
      </c>
      <c r="E29" s="108">
        <v>32</v>
      </c>
      <c r="F29" s="108">
        <v>95</v>
      </c>
      <c r="G29" s="109">
        <v>10</v>
      </c>
      <c r="H29" s="109">
        <v>24.2</v>
      </c>
      <c r="I29" s="108">
        <v>610</v>
      </c>
      <c r="J29" s="73">
        <f t="shared" si="4"/>
        <v>2</v>
      </c>
      <c r="K29" s="108">
        <v>13</v>
      </c>
      <c r="L29" s="109">
        <v>10</v>
      </c>
      <c r="O29" s="4">
        <f t="shared" si="2"/>
        <v>102.56410256410257</v>
      </c>
      <c r="P29" s="35">
        <v>52.969000000000001</v>
      </c>
      <c r="Q29" s="9">
        <f t="shared" si="0"/>
        <v>95</v>
      </c>
    </row>
    <row r="30" spans="1:17" x14ac:dyDescent="0.3">
      <c r="A30" s="111">
        <v>16</v>
      </c>
      <c r="B30" s="112" t="s">
        <v>160</v>
      </c>
      <c r="C30" s="113">
        <v>131</v>
      </c>
      <c r="D30" s="113">
        <v>3000</v>
      </c>
      <c r="E30" s="113">
        <v>14.5</v>
      </c>
      <c r="F30" s="114">
        <v>85</v>
      </c>
      <c r="G30" s="113">
        <v>10</v>
      </c>
      <c r="H30" s="113">
        <v>37.200000000000003</v>
      </c>
      <c r="I30" s="113">
        <v>260</v>
      </c>
      <c r="J30" s="73">
        <f t="shared" si="4"/>
        <v>2</v>
      </c>
      <c r="K30" s="113">
        <v>14</v>
      </c>
      <c r="L30" s="113">
        <v>15</v>
      </c>
      <c r="O30" s="4">
        <f t="shared" si="2"/>
        <v>110.68702290076335</v>
      </c>
      <c r="P30" s="35">
        <v>54.314</v>
      </c>
      <c r="Q30" s="9">
        <f t="shared" si="0"/>
        <v>85</v>
      </c>
    </row>
    <row r="31" spans="1:17" x14ac:dyDescent="0.3">
      <c r="A31" s="113">
        <v>17</v>
      </c>
      <c r="B31" s="112" t="s">
        <v>161</v>
      </c>
      <c r="C31" s="113">
        <v>131</v>
      </c>
      <c r="D31" s="113">
        <v>3000</v>
      </c>
      <c r="E31" s="113">
        <v>14.5</v>
      </c>
      <c r="F31" s="114">
        <v>95</v>
      </c>
      <c r="G31" s="113">
        <v>10</v>
      </c>
      <c r="H31" s="113">
        <v>36.799999999999997</v>
      </c>
      <c r="I31" s="113">
        <v>260</v>
      </c>
      <c r="J31" s="73">
        <f t="shared" si="4"/>
        <v>2</v>
      </c>
      <c r="K31" s="113">
        <v>14</v>
      </c>
      <c r="L31" s="113">
        <v>15.3</v>
      </c>
      <c r="O31" s="4">
        <f t="shared" si="2"/>
        <v>110.68702290076335</v>
      </c>
      <c r="P31" s="35">
        <v>54.314</v>
      </c>
      <c r="Q31" s="9">
        <f t="shared" si="0"/>
        <v>95</v>
      </c>
    </row>
    <row r="32" spans="1:17" x14ac:dyDescent="0.3">
      <c r="A32" s="113">
        <v>18</v>
      </c>
      <c r="B32" s="112">
        <v>44876</v>
      </c>
      <c r="C32" s="113">
        <v>131</v>
      </c>
      <c r="D32" s="113">
        <v>3000</v>
      </c>
      <c r="E32" s="113">
        <v>14.5</v>
      </c>
      <c r="F32" s="114">
        <v>105</v>
      </c>
      <c r="G32" s="113">
        <v>10</v>
      </c>
      <c r="H32" s="113">
        <v>35</v>
      </c>
      <c r="I32" s="113">
        <v>260</v>
      </c>
      <c r="J32" s="73">
        <f t="shared" si="4"/>
        <v>2</v>
      </c>
      <c r="K32" s="113">
        <v>14</v>
      </c>
      <c r="L32" s="113">
        <v>15.3</v>
      </c>
      <c r="O32" s="4">
        <f t="shared" si="2"/>
        <v>110.68702290076335</v>
      </c>
      <c r="P32" s="35">
        <v>54.314</v>
      </c>
      <c r="Q32" s="9">
        <f t="shared" si="0"/>
        <v>105</v>
      </c>
    </row>
    <row r="33" spans="1:17" x14ac:dyDescent="0.3">
      <c r="A33" s="104"/>
      <c r="B33" s="104"/>
      <c r="C33" s="104"/>
      <c r="D33" s="104"/>
      <c r="E33" s="104"/>
      <c r="F33" s="104"/>
      <c r="G33" s="121"/>
      <c r="H33" s="104"/>
      <c r="I33" s="104"/>
      <c r="J33" s="73" t="e">
        <f t="shared" si="4"/>
        <v>#DIV/0!</v>
      </c>
      <c r="K33" s="104"/>
      <c r="L33" s="104"/>
      <c r="O33" s="4"/>
      <c r="Q33" s="9"/>
    </row>
    <row r="34" spans="1:17" x14ac:dyDescent="0.3">
      <c r="A34" s="115">
        <v>19</v>
      </c>
      <c r="B34" s="83" t="s">
        <v>162</v>
      </c>
      <c r="C34" s="84">
        <v>200</v>
      </c>
      <c r="D34" s="84">
        <v>5200</v>
      </c>
      <c r="E34" s="84">
        <v>60</v>
      </c>
      <c r="F34" s="84">
        <v>95</v>
      </c>
      <c r="G34" s="123">
        <f>E34/C34*100</f>
        <v>30</v>
      </c>
      <c r="H34" s="116">
        <v>29.9</v>
      </c>
      <c r="I34" s="84">
        <v>400</v>
      </c>
      <c r="J34" s="73">
        <f t="shared" si="4"/>
        <v>2</v>
      </c>
      <c r="K34" s="84">
        <v>12.6</v>
      </c>
      <c r="L34" s="84">
        <v>26</v>
      </c>
      <c r="O34" s="4">
        <f t="shared" ref="O34:O46" si="5">(E34*1000)/C34</f>
        <v>300</v>
      </c>
      <c r="P34" s="35">
        <v>71.192999999999998</v>
      </c>
      <c r="Q34" s="9">
        <f t="shared" ref="Q34:Q46" si="6">F34</f>
        <v>95</v>
      </c>
    </row>
    <row r="35" spans="1:17" x14ac:dyDescent="0.3">
      <c r="A35" s="115">
        <v>20</v>
      </c>
      <c r="B35" s="83" t="s">
        <v>163</v>
      </c>
      <c r="C35" s="115">
        <v>200</v>
      </c>
      <c r="D35" s="115">
        <v>5000</v>
      </c>
      <c r="E35" s="115">
        <v>60</v>
      </c>
      <c r="F35" s="115">
        <v>85</v>
      </c>
      <c r="G35" s="123">
        <f>E35/C35*100</f>
        <v>30</v>
      </c>
      <c r="H35" s="115">
        <v>30.2</v>
      </c>
      <c r="I35" s="115">
        <v>400</v>
      </c>
      <c r="J35" s="73">
        <f t="shared" si="4"/>
        <v>2</v>
      </c>
      <c r="K35" s="115">
        <v>12.5</v>
      </c>
      <c r="L35" s="115">
        <v>25.6</v>
      </c>
      <c r="O35" s="4">
        <f t="shared" si="5"/>
        <v>300</v>
      </c>
      <c r="P35" s="35">
        <v>71.192999999999998</v>
      </c>
      <c r="Q35" s="9">
        <f t="shared" si="6"/>
        <v>85</v>
      </c>
    </row>
    <row r="36" spans="1:17" x14ac:dyDescent="0.3">
      <c r="A36" s="115">
        <v>21</v>
      </c>
      <c r="B36" s="83" t="s">
        <v>165</v>
      </c>
      <c r="C36" s="115">
        <v>200</v>
      </c>
      <c r="D36" s="115">
        <v>5000</v>
      </c>
      <c r="E36" s="115">
        <v>60</v>
      </c>
      <c r="F36" s="115">
        <v>105</v>
      </c>
      <c r="G36" s="123">
        <f>E36/C36*100</f>
        <v>30</v>
      </c>
      <c r="H36" s="115">
        <v>28.5</v>
      </c>
      <c r="I36" s="115">
        <v>400</v>
      </c>
      <c r="J36" s="73">
        <f t="shared" si="4"/>
        <v>2</v>
      </c>
      <c r="K36" s="115">
        <v>11</v>
      </c>
      <c r="L36" s="115">
        <v>26</v>
      </c>
      <c r="O36" s="4">
        <f t="shared" si="5"/>
        <v>300</v>
      </c>
      <c r="P36" s="35">
        <v>71.192999999999998</v>
      </c>
      <c r="Q36" s="9">
        <f t="shared" si="6"/>
        <v>105</v>
      </c>
    </row>
    <row r="37" spans="1:17" x14ac:dyDescent="0.3">
      <c r="A37" s="117">
        <v>22</v>
      </c>
      <c r="B37" s="118" t="s">
        <v>164</v>
      </c>
      <c r="C37" s="119">
        <v>300</v>
      </c>
      <c r="D37" s="119">
        <v>7500</v>
      </c>
      <c r="E37" s="119">
        <v>90</v>
      </c>
      <c r="F37" s="119">
        <v>105</v>
      </c>
      <c r="G37" s="124">
        <f>E37/C37*100</f>
        <v>30</v>
      </c>
      <c r="H37" s="117">
        <v>25</v>
      </c>
      <c r="I37" s="119">
        <v>600</v>
      </c>
      <c r="J37" s="73">
        <f t="shared" si="4"/>
        <v>2</v>
      </c>
      <c r="K37" s="117">
        <v>13</v>
      </c>
      <c r="L37" s="117">
        <v>23</v>
      </c>
      <c r="O37" s="4">
        <f t="shared" si="5"/>
        <v>300</v>
      </c>
      <c r="P37" s="35">
        <v>71.192999999999998</v>
      </c>
      <c r="Q37" s="9">
        <f t="shared" si="6"/>
        <v>105</v>
      </c>
    </row>
    <row r="38" spans="1:17" x14ac:dyDescent="0.3">
      <c r="A38" s="120">
        <v>23</v>
      </c>
      <c r="B38" s="122" t="s">
        <v>166</v>
      </c>
      <c r="C38" s="119">
        <v>300</v>
      </c>
      <c r="D38" s="119">
        <v>7500</v>
      </c>
      <c r="E38" s="119">
        <v>85</v>
      </c>
      <c r="F38" s="58">
        <v>95</v>
      </c>
      <c r="G38" s="124">
        <v>30</v>
      </c>
      <c r="H38" s="120">
        <v>25.4</v>
      </c>
      <c r="I38" s="120">
        <v>612</v>
      </c>
      <c r="J38" s="73">
        <f t="shared" si="4"/>
        <v>2</v>
      </c>
      <c r="K38" s="120">
        <v>12.5</v>
      </c>
      <c r="L38" s="120">
        <v>21.4</v>
      </c>
      <c r="O38" s="4">
        <f t="shared" si="5"/>
        <v>283.33333333333331</v>
      </c>
      <c r="P38" s="35">
        <v>70.27</v>
      </c>
      <c r="Q38" s="9">
        <f t="shared" si="6"/>
        <v>95</v>
      </c>
    </row>
    <row r="39" spans="1:17" x14ac:dyDescent="0.3">
      <c r="A39" s="117">
        <v>24</v>
      </c>
      <c r="B39" s="122" t="s">
        <v>167</v>
      </c>
      <c r="C39" s="119">
        <v>300</v>
      </c>
      <c r="D39" s="119">
        <v>7500</v>
      </c>
      <c r="E39" s="119">
        <v>85</v>
      </c>
      <c r="F39" s="58">
        <v>85</v>
      </c>
      <c r="G39" s="124">
        <v>30</v>
      </c>
      <c r="H39" s="120">
        <v>26.7</v>
      </c>
      <c r="I39" s="120">
        <v>600</v>
      </c>
      <c r="J39" s="73">
        <f t="shared" si="4"/>
        <v>2</v>
      </c>
      <c r="K39" s="120">
        <v>12</v>
      </c>
      <c r="L39" s="120">
        <v>21.8</v>
      </c>
      <c r="O39" s="4">
        <f t="shared" si="5"/>
        <v>283.33333333333331</v>
      </c>
      <c r="P39" s="35">
        <v>70.27</v>
      </c>
      <c r="Q39" s="9">
        <f t="shared" si="6"/>
        <v>85</v>
      </c>
    </row>
    <row r="40" spans="1:17" x14ac:dyDescent="0.3">
      <c r="A40" s="126">
        <v>25</v>
      </c>
      <c r="B40" s="126" t="s">
        <v>168</v>
      </c>
      <c r="C40" s="114">
        <v>403</v>
      </c>
      <c r="D40" s="114">
        <v>10000</v>
      </c>
      <c r="E40" s="114">
        <v>110</v>
      </c>
      <c r="F40" s="114">
        <v>95</v>
      </c>
      <c r="G40" s="125">
        <v>28</v>
      </c>
      <c r="H40" s="114">
        <v>22.9</v>
      </c>
      <c r="I40" s="114">
        <f>C40*2</f>
        <v>806</v>
      </c>
      <c r="J40" s="73">
        <f t="shared" si="4"/>
        <v>2</v>
      </c>
      <c r="K40" s="114">
        <v>10.5</v>
      </c>
      <c r="L40" s="114">
        <v>19.3</v>
      </c>
      <c r="O40" s="4">
        <f t="shared" si="5"/>
        <v>272.95285359801488</v>
      </c>
      <c r="P40" s="35">
        <v>69.692999999999998</v>
      </c>
      <c r="Q40" s="9">
        <f t="shared" si="6"/>
        <v>95</v>
      </c>
    </row>
    <row r="41" spans="1:17" x14ac:dyDescent="0.3">
      <c r="A41" s="126">
        <v>26</v>
      </c>
      <c r="B41" s="126" t="s">
        <v>169</v>
      </c>
      <c r="C41" s="114">
        <v>403</v>
      </c>
      <c r="D41" s="114">
        <v>10000</v>
      </c>
      <c r="E41" s="114">
        <v>110</v>
      </c>
      <c r="F41" s="114">
        <v>85</v>
      </c>
      <c r="G41" s="125">
        <v>28</v>
      </c>
      <c r="H41" s="114">
        <v>23.6</v>
      </c>
      <c r="I41" s="114">
        <f>C41*2</f>
        <v>806</v>
      </c>
      <c r="J41" s="73">
        <f t="shared" si="4"/>
        <v>2</v>
      </c>
      <c r="K41" s="114">
        <v>10.6</v>
      </c>
      <c r="L41" s="114">
        <v>18.3</v>
      </c>
      <c r="O41" s="4">
        <f t="shared" si="5"/>
        <v>272.95285359801488</v>
      </c>
      <c r="P41" s="35">
        <v>69.692999999999998</v>
      </c>
      <c r="Q41" s="9">
        <f t="shared" si="6"/>
        <v>85</v>
      </c>
    </row>
    <row r="42" spans="1:17" x14ac:dyDescent="0.3">
      <c r="A42" s="126">
        <v>27</v>
      </c>
      <c r="B42" s="112">
        <v>44883</v>
      </c>
      <c r="C42" s="114">
        <v>403</v>
      </c>
      <c r="D42" s="114">
        <v>10000</v>
      </c>
      <c r="E42" s="114">
        <v>110</v>
      </c>
      <c r="F42" s="113">
        <v>105</v>
      </c>
      <c r="G42" s="125">
        <v>28</v>
      </c>
      <c r="H42" s="113">
        <v>22.8</v>
      </c>
      <c r="I42" s="113">
        <v>806</v>
      </c>
      <c r="J42" s="73">
        <f t="shared" si="4"/>
        <v>2</v>
      </c>
      <c r="K42" s="113">
        <v>12.3</v>
      </c>
      <c r="L42" s="113">
        <v>19.2</v>
      </c>
      <c r="O42" s="4">
        <f t="shared" si="5"/>
        <v>272.95285359801488</v>
      </c>
      <c r="P42" s="35">
        <v>69.692999999999998</v>
      </c>
      <c r="Q42" s="9">
        <f t="shared" si="6"/>
        <v>105</v>
      </c>
    </row>
    <row r="43" spans="1:17" x14ac:dyDescent="0.3">
      <c r="B43" s="127" t="s">
        <v>170</v>
      </c>
      <c r="C43" s="26">
        <v>131</v>
      </c>
      <c r="D43" s="26">
        <v>3000</v>
      </c>
      <c r="E43" s="26">
        <v>39</v>
      </c>
      <c r="F43" s="128">
        <v>95</v>
      </c>
      <c r="G43" s="26">
        <v>30</v>
      </c>
      <c r="H43" s="26">
        <v>31.1</v>
      </c>
      <c r="I43" s="26">
        <v>262</v>
      </c>
      <c r="J43" s="73">
        <f t="shared" si="4"/>
        <v>2</v>
      </c>
      <c r="K43" s="26">
        <v>13</v>
      </c>
      <c r="L43" s="26">
        <v>28.5</v>
      </c>
      <c r="O43" s="4">
        <f t="shared" si="5"/>
        <v>297.70992366412213</v>
      </c>
      <c r="P43" s="35">
        <v>71.072999999999993</v>
      </c>
      <c r="Q43" s="9">
        <f t="shared" si="6"/>
        <v>95</v>
      </c>
    </row>
    <row r="44" spans="1:17" x14ac:dyDescent="0.3">
      <c r="B44" s="127" t="s">
        <v>171</v>
      </c>
      <c r="C44" s="26">
        <v>131</v>
      </c>
      <c r="D44" s="26">
        <v>3000</v>
      </c>
      <c r="E44" s="26">
        <v>39</v>
      </c>
      <c r="F44" s="27">
        <v>85</v>
      </c>
      <c r="G44" s="27">
        <v>30</v>
      </c>
      <c r="H44" s="27">
        <v>31.4</v>
      </c>
      <c r="I44" s="27">
        <v>262</v>
      </c>
      <c r="J44" s="73">
        <f t="shared" si="4"/>
        <v>2</v>
      </c>
      <c r="K44" s="27">
        <v>12.5</v>
      </c>
      <c r="L44" s="27">
        <v>28.3</v>
      </c>
      <c r="O44" s="4">
        <f t="shared" si="5"/>
        <v>297.70992366412213</v>
      </c>
      <c r="P44" s="35">
        <v>71.072999999999993</v>
      </c>
      <c r="Q44" s="9">
        <f t="shared" si="6"/>
        <v>85</v>
      </c>
    </row>
    <row r="45" spans="1:17" x14ac:dyDescent="0.3">
      <c r="B45" s="127">
        <v>44887</v>
      </c>
      <c r="C45" s="26">
        <v>131</v>
      </c>
      <c r="D45" s="26">
        <v>3000</v>
      </c>
      <c r="E45" s="26">
        <v>39</v>
      </c>
      <c r="F45" s="128">
        <v>105</v>
      </c>
      <c r="G45" s="26">
        <v>30</v>
      </c>
      <c r="H45" s="26">
        <v>31.4</v>
      </c>
      <c r="I45" s="26">
        <v>262</v>
      </c>
      <c r="J45" s="73">
        <f t="shared" si="4"/>
        <v>2</v>
      </c>
      <c r="K45" s="26">
        <v>11.5</v>
      </c>
      <c r="L45" s="26">
        <v>29.7</v>
      </c>
      <c r="O45" s="4">
        <f t="shared" si="5"/>
        <v>297.70992366412213</v>
      </c>
      <c r="P45" s="35">
        <v>71.072999999999993</v>
      </c>
      <c r="Q45" s="9">
        <f t="shared" si="6"/>
        <v>105</v>
      </c>
    </row>
    <row r="46" spans="1:17" x14ac:dyDescent="0.3">
      <c r="B46" s="130">
        <v>44888</v>
      </c>
      <c r="C46" s="26">
        <v>131</v>
      </c>
      <c r="D46" s="26">
        <v>3000</v>
      </c>
      <c r="E46" s="26">
        <v>39</v>
      </c>
      <c r="F46" s="26">
        <v>85</v>
      </c>
      <c r="G46" s="26">
        <v>30</v>
      </c>
      <c r="H46" s="26">
        <v>32.200000000000003</v>
      </c>
      <c r="I46" s="26">
        <v>262</v>
      </c>
      <c r="J46" s="73">
        <f t="shared" si="4"/>
        <v>2</v>
      </c>
      <c r="K46" s="26">
        <v>10</v>
      </c>
      <c r="L46" s="26">
        <v>29</v>
      </c>
      <c r="O46" s="4">
        <f t="shared" si="5"/>
        <v>297.70992366412213</v>
      </c>
      <c r="P46" s="35">
        <v>71.072999999999993</v>
      </c>
      <c r="Q46" s="9">
        <f t="shared" si="6"/>
        <v>85</v>
      </c>
    </row>
    <row r="47" spans="1:17" x14ac:dyDescent="0.3">
      <c r="B47" s="104"/>
      <c r="C47" s="104"/>
      <c r="D47" s="104"/>
      <c r="E47" s="104"/>
      <c r="F47" s="104"/>
      <c r="G47" s="121"/>
      <c r="H47" s="104"/>
      <c r="I47" s="104"/>
      <c r="J47" s="73" t="e">
        <f t="shared" si="4"/>
        <v>#DIV/0!</v>
      </c>
      <c r="K47" s="104"/>
      <c r="L47" s="104"/>
      <c r="O47" s="4"/>
      <c r="Q47" s="9"/>
    </row>
    <row r="48" spans="1:17" x14ac:dyDescent="0.3">
      <c r="B48" s="131" t="s">
        <v>183</v>
      </c>
      <c r="C48" s="114">
        <v>200</v>
      </c>
      <c r="D48" s="114">
        <v>5000</v>
      </c>
      <c r="E48" s="114">
        <v>40</v>
      </c>
      <c r="F48" s="114">
        <v>115</v>
      </c>
      <c r="G48" s="114">
        <v>20</v>
      </c>
      <c r="H48" s="114">
        <v>25.9</v>
      </c>
      <c r="I48" s="114">
        <v>400</v>
      </c>
      <c r="J48" s="73">
        <f t="shared" si="4"/>
        <v>2</v>
      </c>
      <c r="K48" s="114">
        <v>11</v>
      </c>
      <c r="L48" s="114">
        <v>18.5</v>
      </c>
      <c r="O48" s="4">
        <f t="shared" ref="O48:O79" si="7">(E48*1000)/C48</f>
        <v>200</v>
      </c>
      <c r="P48" s="35">
        <v>64.569000000000003</v>
      </c>
      <c r="Q48" s="9">
        <f t="shared" ref="Q48:Q79" si="8">F48</f>
        <v>115</v>
      </c>
    </row>
    <row r="49" spans="2:17" x14ac:dyDescent="0.3">
      <c r="B49" s="131" t="s">
        <v>184</v>
      </c>
      <c r="C49" s="114">
        <v>200</v>
      </c>
      <c r="D49" s="114">
        <v>5000</v>
      </c>
      <c r="E49" s="114">
        <v>40</v>
      </c>
      <c r="F49" s="132">
        <v>125</v>
      </c>
      <c r="G49" s="132">
        <v>20</v>
      </c>
      <c r="H49" s="132">
        <v>25.6</v>
      </c>
      <c r="I49" s="114">
        <v>400</v>
      </c>
      <c r="J49" s="73">
        <f t="shared" si="4"/>
        <v>2</v>
      </c>
      <c r="K49" s="132">
        <v>11</v>
      </c>
      <c r="L49" s="132">
        <v>18.7</v>
      </c>
      <c r="O49" s="4">
        <f t="shared" si="7"/>
        <v>200</v>
      </c>
      <c r="P49" s="35">
        <v>64.569000000000003</v>
      </c>
      <c r="Q49" s="9">
        <f t="shared" si="8"/>
        <v>125</v>
      </c>
    </row>
    <row r="50" spans="2:17" x14ac:dyDescent="0.3">
      <c r="B50" s="131">
        <v>44890</v>
      </c>
      <c r="C50" s="114">
        <v>200</v>
      </c>
      <c r="D50" s="114">
        <v>5000</v>
      </c>
      <c r="E50" s="114">
        <v>40</v>
      </c>
      <c r="F50" s="132">
        <v>135</v>
      </c>
      <c r="G50" s="132">
        <v>20</v>
      </c>
      <c r="H50" s="132">
        <v>24</v>
      </c>
      <c r="I50" s="114">
        <v>400</v>
      </c>
      <c r="J50" s="73">
        <f t="shared" si="4"/>
        <v>2</v>
      </c>
      <c r="K50" s="132">
        <v>12</v>
      </c>
      <c r="L50" s="132">
        <v>19</v>
      </c>
      <c r="O50" s="4">
        <f t="shared" si="7"/>
        <v>200</v>
      </c>
      <c r="P50" s="35">
        <v>64.569000000000003</v>
      </c>
      <c r="Q50" s="9">
        <f t="shared" si="8"/>
        <v>135</v>
      </c>
    </row>
    <row r="51" spans="2:17" x14ac:dyDescent="0.3">
      <c r="B51" s="133">
        <v>44893</v>
      </c>
      <c r="C51" s="134">
        <v>213</v>
      </c>
      <c r="D51" s="135">
        <v>5000</v>
      </c>
      <c r="E51" s="135">
        <v>41.5</v>
      </c>
      <c r="F51" s="136">
        <v>145</v>
      </c>
      <c r="G51" s="136">
        <v>20</v>
      </c>
      <c r="H51" s="136">
        <v>23.5</v>
      </c>
      <c r="I51" s="135">
        <v>403.5</v>
      </c>
      <c r="J51" s="73">
        <f t="shared" si="4"/>
        <v>2</v>
      </c>
      <c r="K51" s="136">
        <v>8.84</v>
      </c>
      <c r="L51" s="136">
        <v>19.82</v>
      </c>
      <c r="O51" s="4">
        <f t="shared" si="7"/>
        <v>194.8356807511737</v>
      </c>
      <c r="P51" s="35">
        <v>67.691999999999993</v>
      </c>
      <c r="Q51" s="9">
        <f t="shared" si="8"/>
        <v>145</v>
      </c>
    </row>
    <row r="52" spans="2:17" x14ac:dyDescent="0.3">
      <c r="B52" s="133">
        <v>44893</v>
      </c>
      <c r="C52" s="134">
        <v>217</v>
      </c>
      <c r="D52" s="135">
        <v>5000</v>
      </c>
      <c r="E52" s="135">
        <v>41.5</v>
      </c>
      <c r="F52" s="136">
        <v>155</v>
      </c>
      <c r="G52" s="136">
        <v>20</v>
      </c>
      <c r="H52" s="136">
        <v>22.97</v>
      </c>
      <c r="I52" s="135">
        <v>405</v>
      </c>
      <c r="J52" s="73">
        <f t="shared" si="4"/>
        <v>2</v>
      </c>
      <c r="K52" s="136">
        <v>8.8800000000000008</v>
      </c>
      <c r="L52" s="136">
        <v>20.21</v>
      </c>
      <c r="O52" s="4">
        <f t="shared" si="7"/>
        <v>191.2442396313364</v>
      </c>
      <c r="P52" s="35">
        <v>63.811</v>
      </c>
      <c r="Q52" s="9">
        <f t="shared" si="8"/>
        <v>155</v>
      </c>
    </row>
    <row r="53" spans="2:17" x14ac:dyDescent="0.3">
      <c r="B53" t="s">
        <v>185</v>
      </c>
      <c r="C53" s="141">
        <v>225</v>
      </c>
      <c r="D53" s="138">
        <v>5000</v>
      </c>
      <c r="E53" s="138">
        <v>45</v>
      </c>
      <c r="F53" s="139">
        <v>165</v>
      </c>
      <c r="G53" s="139">
        <v>20</v>
      </c>
      <c r="H53" s="139">
        <v>22.43</v>
      </c>
      <c r="I53" s="138">
        <v>408</v>
      </c>
      <c r="J53" s="73">
        <f t="shared" si="4"/>
        <v>2</v>
      </c>
      <c r="K53" s="139">
        <v>11.11</v>
      </c>
      <c r="L53" s="139">
        <v>20.66</v>
      </c>
      <c r="O53" s="4">
        <f t="shared" si="7"/>
        <v>200</v>
      </c>
      <c r="P53" s="35">
        <v>64.569000000000003</v>
      </c>
      <c r="Q53" s="9">
        <f t="shared" si="8"/>
        <v>165</v>
      </c>
    </row>
    <row r="54" spans="2:17" x14ac:dyDescent="0.3">
      <c r="B54" t="s">
        <v>185</v>
      </c>
      <c r="C54" s="137">
        <v>225</v>
      </c>
      <c r="D54" s="138">
        <v>5000</v>
      </c>
      <c r="E54" s="138">
        <v>45</v>
      </c>
      <c r="F54" s="140">
        <v>165</v>
      </c>
      <c r="G54" s="139">
        <v>20</v>
      </c>
      <c r="H54" s="139">
        <v>22.43</v>
      </c>
      <c r="I54" s="138">
        <v>408</v>
      </c>
      <c r="J54" s="73">
        <f t="shared" si="4"/>
        <v>2</v>
      </c>
      <c r="K54" s="139">
        <v>11.11</v>
      </c>
      <c r="L54" s="139">
        <v>20.66</v>
      </c>
      <c r="O54" s="4">
        <f t="shared" si="7"/>
        <v>200</v>
      </c>
      <c r="P54" s="35">
        <v>64.569000000000003</v>
      </c>
      <c r="Q54" s="9">
        <f t="shared" si="8"/>
        <v>165</v>
      </c>
    </row>
    <row r="55" spans="2:17" x14ac:dyDescent="0.3">
      <c r="B55" t="s">
        <v>186</v>
      </c>
      <c r="C55">
        <v>223</v>
      </c>
      <c r="D55" s="138">
        <v>5000</v>
      </c>
      <c r="E55">
        <v>42</v>
      </c>
      <c r="F55">
        <v>185</v>
      </c>
      <c r="G55">
        <v>20</v>
      </c>
      <c r="H55">
        <v>23.88</v>
      </c>
      <c r="I55" s="138">
        <v>408</v>
      </c>
      <c r="J55" s="73">
        <f t="shared" si="4"/>
        <v>2</v>
      </c>
      <c r="K55">
        <v>11.05</v>
      </c>
      <c r="L55">
        <v>22.1</v>
      </c>
      <c r="O55" s="4">
        <f t="shared" si="7"/>
        <v>188.34080717488789</v>
      </c>
      <c r="P55" s="35">
        <v>63.552</v>
      </c>
      <c r="Q55" s="9">
        <f t="shared" si="8"/>
        <v>185</v>
      </c>
    </row>
    <row r="56" spans="2:17" x14ac:dyDescent="0.3">
      <c r="B56" t="s">
        <v>187</v>
      </c>
      <c r="C56">
        <v>226</v>
      </c>
      <c r="D56" s="138">
        <v>5000</v>
      </c>
      <c r="E56">
        <f>226-182</f>
        <v>44</v>
      </c>
      <c r="F56">
        <v>185</v>
      </c>
      <c r="G56">
        <v>20</v>
      </c>
      <c r="H56">
        <v>22.76</v>
      </c>
      <c r="I56" s="138">
        <v>432</v>
      </c>
      <c r="J56" s="73">
        <f t="shared" si="4"/>
        <v>2</v>
      </c>
      <c r="K56">
        <v>10.85</v>
      </c>
      <c r="L56">
        <v>21.6</v>
      </c>
      <c r="O56" s="4">
        <f t="shared" si="7"/>
        <v>194.69026548672565</v>
      </c>
      <c r="P56" s="35">
        <v>64.114000000000004</v>
      </c>
      <c r="Q56" s="9">
        <f t="shared" si="8"/>
        <v>185</v>
      </c>
    </row>
    <row r="57" spans="2:17" x14ac:dyDescent="0.3">
      <c r="B57" t="s">
        <v>188</v>
      </c>
      <c r="C57">
        <v>231</v>
      </c>
      <c r="D57" s="138">
        <v>5000</v>
      </c>
      <c r="E57">
        <f>231-186</f>
        <v>45</v>
      </c>
      <c r="F57">
        <v>195</v>
      </c>
      <c r="G57">
        <v>20</v>
      </c>
      <c r="H57">
        <v>23.44</v>
      </c>
      <c r="I57" s="138">
        <v>453</v>
      </c>
      <c r="J57" s="73">
        <f t="shared" si="4"/>
        <v>2</v>
      </c>
      <c r="K57">
        <v>10.44</v>
      </c>
      <c r="L57">
        <v>21.56</v>
      </c>
      <c r="O57" s="4">
        <f t="shared" si="7"/>
        <v>194.80519480519482</v>
      </c>
      <c r="P57" s="35">
        <v>64.123999999999995</v>
      </c>
      <c r="Q57" s="9">
        <f t="shared" si="8"/>
        <v>195</v>
      </c>
    </row>
    <row r="58" spans="2:17" ht="15" thickBot="1" x14ac:dyDescent="0.35">
      <c r="B58" t="s">
        <v>189</v>
      </c>
      <c r="C58">
        <v>243</v>
      </c>
      <c r="D58" s="138">
        <v>5000</v>
      </c>
      <c r="E58">
        <v>45</v>
      </c>
      <c r="F58">
        <v>205</v>
      </c>
      <c r="G58">
        <v>20</v>
      </c>
      <c r="H58">
        <v>23.28</v>
      </c>
      <c r="I58" s="138">
        <v>468</v>
      </c>
      <c r="J58" s="73">
        <f t="shared" si="4"/>
        <v>2</v>
      </c>
      <c r="K58">
        <v>10.42</v>
      </c>
      <c r="L58">
        <v>21.74</v>
      </c>
      <c r="O58" s="4">
        <f t="shared" si="7"/>
        <v>185.18518518518519</v>
      </c>
      <c r="P58" s="146">
        <v>99.866</v>
      </c>
      <c r="Q58" s="9">
        <f t="shared" si="8"/>
        <v>205</v>
      </c>
    </row>
    <row r="59" spans="2:17" x14ac:dyDescent="0.3">
      <c r="B59" t="s">
        <v>189</v>
      </c>
      <c r="C59">
        <v>243</v>
      </c>
      <c r="D59" s="138">
        <v>5000</v>
      </c>
      <c r="E59">
        <v>45</v>
      </c>
      <c r="F59">
        <v>215</v>
      </c>
      <c r="G59">
        <v>20</v>
      </c>
      <c r="H59">
        <v>23.13</v>
      </c>
      <c r="I59" s="138">
        <v>468</v>
      </c>
      <c r="J59" s="73">
        <f t="shared" si="4"/>
        <v>2</v>
      </c>
      <c r="K59">
        <v>10.45</v>
      </c>
      <c r="L59">
        <v>22.5</v>
      </c>
      <c r="O59" s="4">
        <f t="shared" si="7"/>
        <v>185.18518518518519</v>
      </c>
      <c r="P59" s="35">
        <v>99.866</v>
      </c>
      <c r="Q59" s="9">
        <f t="shared" si="8"/>
        <v>215</v>
      </c>
    </row>
    <row r="60" spans="2:17" x14ac:dyDescent="0.3">
      <c r="B60" t="s">
        <v>199</v>
      </c>
      <c r="C60">
        <v>194</v>
      </c>
      <c r="D60" s="138">
        <v>5000</v>
      </c>
      <c r="E60">
        <v>38</v>
      </c>
      <c r="F60">
        <v>85</v>
      </c>
      <c r="G60">
        <v>20</v>
      </c>
      <c r="H60">
        <v>29.14</v>
      </c>
      <c r="I60" s="138">
        <v>396</v>
      </c>
      <c r="J60" s="73">
        <f t="shared" si="4"/>
        <v>2</v>
      </c>
      <c r="K60">
        <v>10.220000000000001</v>
      </c>
      <c r="L60">
        <v>18.14</v>
      </c>
      <c r="O60" s="4">
        <f t="shared" si="7"/>
        <v>195.8762886597938</v>
      </c>
      <c r="P60" s="35">
        <v>85.003</v>
      </c>
      <c r="Q60" s="9">
        <f t="shared" si="8"/>
        <v>85</v>
      </c>
    </row>
    <row r="61" spans="2:17" x14ac:dyDescent="0.3">
      <c r="B61" t="s">
        <v>199</v>
      </c>
      <c r="C61">
        <v>196</v>
      </c>
      <c r="D61" s="138">
        <v>5000</v>
      </c>
      <c r="E61">
        <v>38</v>
      </c>
      <c r="F61">
        <v>95</v>
      </c>
      <c r="G61">
        <v>20</v>
      </c>
      <c r="H61">
        <v>28.52</v>
      </c>
      <c r="I61" s="138">
        <v>400.5</v>
      </c>
      <c r="J61" s="73">
        <f t="shared" si="4"/>
        <v>2</v>
      </c>
      <c r="K61">
        <v>10.35</v>
      </c>
      <c r="L61">
        <v>17.97</v>
      </c>
      <c r="O61" s="4">
        <f t="shared" si="7"/>
        <v>193.87755102040816</v>
      </c>
      <c r="P61" s="35">
        <v>95.003</v>
      </c>
      <c r="Q61" s="9">
        <f t="shared" si="8"/>
        <v>95</v>
      </c>
    </row>
    <row r="62" spans="2:17" x14ac:dyDescent="0.3">
      <c r="B62" t="s">
        <v>200</v>
      </c>
      <c r="C62">
        <v>210</v>
      </c>
      <c r="D62" s="138">
        <v>5000</v>
      </c>
      <c r="E62">
        <v>40</v>
      </c>
      <c r="F62">
        <v>105</v>
      </c>
      <c r="G62">
        <v>20</v>
      </c>
      <c r="H62">
        <v>25.79</v>
      </c>
      <c r="I62" s="138">
        <v>426</v>
      </c>
      <c r="J62" s="73">
        <f t="shared" si="4"/>
        <v>2</v>
      </c>
      <c r="K62">
        <v>10.11</v>
      </c>
      <c r="L62">
        <v>17.3</v>
      </c>
      <c r="O62" s="4">
        <f t="shared" si="7"/>
        <v>190.47619047619048</v>
      </c>
      <c r="P62" s="35">
        <v>99.866</v>
      </c>
      <c r="Q62" s="9">
        <f t="shared" si="8"/>
        <v>105</v>
      </c>
    </row>
    <row r="63" spans="2:17" x14ac:dyDescent="0.3">
      <c r="B63" t="s">
        <v>200</v>
      </c>
      <c r="C63">
        <v>211</v>
      </c>
      <c r="D63" s="138">
        <v>5000</v>
      </c>
      <c r="E63">
        <v>41</v>
      </c>
      <c r="F63">
        <v>115</v>
      </c>
      <c r="G63">
        <v>20</v>
      </c>
      <c r="H63">
        <v>24.76</v>
      </c>
      <c r="I63" s="138">
        <v>432</v>
      </c>
      <c r="J63" s="73">
        <f t="shared" si="4"/>
        <v>2</v>
      </c>
      <c r="K63">
        <v>10.26</v>
      </c>
      <c r="L63">
        <v>17.59</v>
      </c>
      <c r="O63" s="4">
        <f t="shared" si="7"/>
        <v>194.31279620853081</v>
      </c>
      <c r="P63" s="35">
        <v>99.866</v>
      </c>
      <c r="Q63" s="9">
        <f t="shared" si="8"/>
        <v>115</v>
      </c>
    </row>
    <row r="64" spans="2:17" x14ac:dyDescent="0.3">
      <c r="B64" t="s">
        <v>201</v>
      </c>
      <c r="C64">
        <v>403</v>
      </c>
      <c r="D64" s="138">
        <v>10000</v>
      </c>
      <c r="E64">
        <v>82</v>
      </c>
      <c r="F64">
        <v>85</v>
      </c>
      <c r="G64">
        <v>20</v>
      </c>
      <c r="H64">
        <v>22.67</v>
      </c>
      <c r="I64" s="138">
        <v>831</v>
      </c>
      <c r="J64" s="73">
        <f t="shared" si="4"/>
        <v>2</v>
      </c>
      <c r="K64">
        <v>10.130000000000001</v>
      </c>
      <c r="L64">
        <v>24.57</v>
      </c>
      <c r="O64" s="4">
        <f t="shared" si="7"/>
        <v>203.47394540942929</v>
      </c>
      <c r="P64" s="35">
        <v>85.003</v>
      </c>
      <c r="Q64" s="9">
        <f t="shared" si="8"/>
        <v>85</v>
      </c>
    </row>
    <row r="65" spans="2:17" x14ac:dyDescent="0.3">
      <c r="B65" t="s">
        <v>202</v>
      </c>
      <c r="C65">
        <v>417</v>
      </c>
      <c r="D65" s="138">
        <v>10000</v>
      </c>
      <c r="E65">
        <v>82</v>
      </c>
      <c r="F65">
        <v>115</v>
      </c>
      <c r="G65">
        <v>20</v>
      </c>
      <c r="H65">
        <v>22.02</v>
      </c>
      <c r="I65" s="138">
        <v>834</v>
      </c>
      <c r="J65" s="73">
        <f t="shared" si="4"/>
        <v>2</v>
      </c>
      <c r="K65">
        <v>9.7200000000000006</v>
      </c>
      <c r="L65">
        <v>15.75</v>
      </c>
      <c r="O65" s="4">
        <f t="shared" si="7"/>
        <v>196.64268585131896</v>
      </c>
      <c r="P65" s="35">
        <v>99.866</v>
      </c>
      <c r="Q65" s="9">
        <f t="shared" si="8"/>
        <v>115</v>
      </c>
    </row>
    <row r="66" spans="2:17" x14ac:dyDescent="0.3">
      <c r="B66" t="s">
        <v>202</v>
      </c>
      <c r="C66">
        <v>417</v>
      </c>
      <c r="D66" s="138">
        <v>10000</v>
      </c>
      <c r="E66">
        <v>82</v>
      </c>
      <c r="F66">
        <v>145</v>
      </c>
      <c r="G66">
        <v>20</v>
      </c>
      <c r="H66">
        <v>20.100000000000001</v>
      </c>
      <c r="I66" s="138">
        <v>856.5</v>
      </c>
      <c r="J66" s="73">
        <f t="shared" si="4"/>
        <v>2</v>
      </c>
      <c r="K66">
        <v>9.66</v>
      </c>
      <c r="L66">
        <v>16.010000000000002</v>
      </c>
      <c r="O66" s="4">
        <f t="shared" si="7"/>
        <v>196.64268585131896</v>
      </c>
      <c r="P66" s="35">
        <v>99.866</v>
      </c>
      <c r="Q66" s="9">
        <f t="shared" si="8"/>
        <v>145</v>
      </c>
    </row>
    <row r="67" spans="2:17" x14ac:dyDescent="0.3">
      <c r="B67" t="s">
        <v>203</v>
      </c>
      <c r="C67">
        <v>459</v>
      </c>
      <c r="D67" s="138">
        <v>10000</v>
      </c>
      <c r="E67">
        <v>90</v>
      </c>
      <c r="F67">
        <v>175</v>
      </c>
      <c r="G67">
        <v>20</v>
      </c>
      <c r="H67">
        <v>19.23</v>
      </c>
      <c r="I67" s="138">
        <v>931.5</v>
      </c>
      <c r="J67" s="73">
        <f t="shared" si="4"/>
        <v>2</v>
      </c>
      <c r="K67">
        <v>9.56</v>
      </c>
      <c r="L67">
        <v>16.62</v>
      </c>
      <c r="O67" s="4">
        <f t="shared" si="7"/>
        <v>196.07843137254903</v>
      </c>
      <c r="P67" s="35">
        <v>99.866</v>
      </c>
      <c r="Q67" s="9">
        <f t="shared" si="8"/>
        <v>175</v>
      </c>
    </row>
    <row r="68" spans="2:17" x14ac:dyDescent="0.3">
      <c r="B68" t="s">
        <v>203</v>
      </c>
      <c r="C68">
        <v>463</v>
      </c>
      <c r="D68" s="138">
        <v>10000</v>
      </c>
      <c r="E68">
        <v>94</v>
      </c>
      <c r="F68">
        <v>205</v>
      </c>
      <c r="G68">
        <v>20</v>
      </c>
      <c r="H68">
        <v>18.25</v>
      </c>
      <c r="I68" s="138">
        <v>930</v>
      </c>
      <c r="J68" s="73">
        <f t="shared" si="4"/>
        <v>2</v>
      </c>
      <c r="K68">
        <v>9.5</v>
      </c>
      <c r="L68">
        <v>18.07</v>
      </c>
      <c r="O68" s="4">
        <f t="shared" si="7"/>
        <v>203.02375809935205</v>
      </c>
      <c r="P68" s="35">
        <v>99.866</v>
      </c>
      <c r="Q68" s="9">
        <f t="shared" si="8"/>
        <v>205</v>
      </c>
    </row>
    <row r="69" spans="2:17" x14ac:dyDescent="0.3">
      <c r="B69" t="s">
        <v>204</v>
      </c>
      <c r="C69">
        <v>119</v>
      </c>
      <c r="D69" s="138">
        <v>3000</v>
      </c>
      <c r="E69">
        <v>23</v>
      </c>
      <c r="F69">
        <v>85</v>
      </c>
      <c r="G69">
        <v>20</v>
      </c>
      <c r="H69">
        <v>40.24</v>
      </c>
      <c r="I69" s="138">
        <v>241.5</v>
      </c>
      <c r="J69" s="73">
        <f t="shared" si="4"/>
        <v>2</v>
      </c>
      <c r="K69">
        <v>10.1</v>
      </c>
      <c r="L69">
        <v>24.69</v>
      </c>
      <c r="O69" s="4">
        <f t="shared" si="7"/>
        <v>193.27731092436974</v>
      </c>
      <c r="P69" s="35">
        <v>85.003</v>
      </c>
      <c r="Q69" s="9">
        <f t="shared" si="8"/>
        <v>85</v>
      </c>
    </row>
    <row r="70" spans="2:17" x14ac:dyDescent="0.3">
      <c r="B70" t="s">
        <v>229</v>
      </c>
      <c r="C70">
        <v>128</v>
      </c>
      <c r="D70" s="138">
        <v>3000</v>
      </c>
      <c r="E70">
        <v>25</v>
      </c>
      <c r="F70">
        <v>115</v>
      </c>
      <c r="G70">
        <v>20</v>
      </c>
      <c r="H70">
        <v>39.01</v>
      </c>
      <c r="I70" s="138">
        <v>261</v>
      </c>
      <c r="J70" s="73">
        <f t="shared" si="4"/>
        <v>2</v>
      </c>
      <c r="K70">
        <v>9.75</v>
      </c>
      <c r="L70">
        <v>35.79</v>
      </c>
      <c r="O70" s="4">
        <f t="shared" si="7"/>
        <v>195.3125</v>
      </c>
      <c r="P70" s="35">
        <v>64.168000000000006</v>
      </c>
      <c r="Q70" s="9">
        <f t="shared" si="8"/>
        <v>115</v>
      </c>
    </row>
    <row r="71" spans="2:17" x14ac:dyDescent="0.3">
      <c r="B71" t="s">
        <v>229</v>
      </c>
      <c r="C71">
        <v>137</v>
      </c>
      <c r="D71" s="138">
        <v>3000</v>
      </c>
      <c r="E71">
        <v>27</v>
      </c>
      <c r="F71">
        <v>145</v>
      </c>
      <c r="G71">
        <v>20</v>
      </c>
      <c r="H71">
        <v>36.22</v>
      </c>
      <c r="I71" s="138">
        <v>276</v>
      </c>
      <c r="J71" s="73">
        <f t="shared" si="4"/>
        <v>2</v>
      </c>
      <c r="K71">
        <v>9.7200000000000006</v>
      </c>
      <c r="L71">
        <v>27.08</v>
      </c>
      <c r="O71" s="4">
        <f t="shared" si="7"/>
        <v>197.08029197080293</v>
      </c>
      <c r="P71" s="35">
        <v>64.319999999999993</v>
      </c>
      <c r="Q71" s="9">
        <f t="shared" si="8"/>
        <v>145</v>
      </c>
    </row>
    <row r="72" spans="2:17" x14ac:dyDescent="0.3">
      <c r="B72" t="s">
        <v>230</v>
      </c>
      <c r="C72">
        <v>142</v>
      </c>
      <c r="D72" s="138">
        <v>3000</v>
      </c>
      <c r="E72">
        <v>28</v>
      </c>
      <c r="F72">
        <v>175</v>
      </c>
      <c r="G72">
        <v>20</v>
      </c>
      <c r="H72">
        <v>34.07</v>
      </c>
      <c r="I72" s="138">
        <v>282</v>
      </c>
      <c r="J72" s="73">
        <f t="shared" si="4"/>
        <v>2</v>
      </c>
      <c r="K72">
        <v>9.5500000000000007</v>
      </c>
      <c r="L72">
        <v>28.2</v>
      </c>
      <c r="O72" s="4">
        <f t="shared" si="7"/>
        <v>197.18309859154928</v>
      </c>
      <c r="P72" s="35">
        <v>64.328999999999994</v>
      </c>
      <c r="Q72" s="9">
        <f t="shared" si="8"/>
        <v>175</v>
      </c>
    </row>
    <row r="73" spans="2:17" x14ac:dyDescent="0.3">
      <c r="B73" t="s">
        <v>230</v>
      </c>
      <c r="C73">
        <v>150</v>
      </c>
      <c r="D73" s="138">
        <v>3000</v>
      </c>
      <c r="E73">
        <v>30</v>
      </c>
      <c r="F73">
        <v>205</v>
      </c>
      <c r="G73">
        <v>20</v>
      </c>
      <c r="H73">
        <v>32.369999999999997</v>
      </c>
      <c r="I73" s="138">
        <v>297</v>
      </c>
      <c r="J73" s="73">
        <f t="shared" si="4"/>
        <v>2</v>
      </c>
      <c r="K73">
        <v>9.51</v>
      </c>
      <c r="L73">
        <v>29.86</v>
      </c>
      <c r="O73" s="147">
        <f t="shared" si="7"/>
        <v>200</v>
      </c>
      <c r="P73" s="35">
        <v>68.986999999999995</v>
      </c>
      <c r="Q73" s="147">
        <f t="shared" si="8"/>
        <v>205</v>
      </c>
    </row>
    <row r="74" spans="2:17" x14ac:dyDescent="0.3">
      <c r="B74" t="s">
        <v>231</v>
      </c>
      <c r="C74">
        <v>209</v>
      </c>
      <c r="D74" s="138">
        <v>5000</v>
      </c>
      <c r="E74">
        <v>22</v>
      </c>
      <c r="F74">
        <v>85</v>
      </c>
      <c r="G74">
        <v>10</v>
      </c>
      <c r="H74">
        <v>32.1</v>
      </c>
      <c r="I74" s="138">
        <v>411</v>
      </c>
      <c r="J74" s="73">
        <f t="shared" si="4"/>
        <v>2</v>
      </c>
      <c r="K74">
        <v>8.5</v>
      </c>
      <c r="L74">
        <v>12.59</v>
      </c>
      <c r="O74" s="147">
        <f t="shared" si="7"/>
        <v>105.26315789473684</v>
      </c>
      <c r="P74" s="35">
        <v>53.427</v>
      </c>
      <c r="Q74" s="147">
        <f t="shared" si="8"/>
        <v>85</v>
      </c>
    </row>
    <row r="75" spans="2:17" x14ac:dyDescent="0.3">
      <c r="B75" t="s">
        <v>231</v>
      </c>
      <c r="C75">
        <v>223</v>
      </c>
      <c r="D75" s="138">
        <v>5000</v>
      </c>
      <c r="E75">
        <v>23</v>
      </c>
      <c r="F75">
        <v>115</v>
      </c>
      <c r="G75">
        <v>10</v>
      </c>
      <c r="H75">
        <v>30.17</v>
      </c>
      <c r="I75" s="138">
        <v>445.5</v>
      </c>
      <c r="J75" s="73">
        <f t="shared" si="4"/>
        <v>2</v>
      </c>
      <c r="K75">
        <v>8.7799999999999994</v>
      </c>
      <c r="L75">
        <v>13.14</v>
      </c>
      <c r="O75" s="147">
        <f t="shared" si="7"/>
        <v>103.1390134529148</v>
      </c>
      <c r="P75" s="35">
        <v>53.067999999999998</v>
      </c>
      <c r="Q75" s="147">
        <f t="shared" si="8"/>
        <v>115</v>
      </c>
    </row>
    <row r="76" spans="2:17" x14ac:dyDescent="0.3">
      <c r="B76" t="s">
        <v>233</v>
      </c>
      <c r="C76">
        <v>238.5</v>
      </c>
      <c r="D76" s="138">
        <v>5000</v>
      </c>
      <c r="E76">
        <v>23.5</v>
      </c>
      <c r="F76">
        <v>145</v>
      </c>
      <c r="G76">
        <v>10</v>
      </c>
      <c r="H76">
        <v>28.54</v>
      </c>
      <c r="I76" s="138">
        <v>469.5</v>
      </c>
      <c r="J76" s="73">
        <f t="shared" si="4"/>
        <v>2</v>
      </c>
      <c r="K76">
        <v>8.52</v>
      </c>
      <c r="L76">
        <v>14.11</v>
      </c>
      <c r="O76" s="147">
        <f t="shared" si="7"/>
        <v>98.532494758909849</v>
      </c>
      <c r="P76" s="35">
        <v>52.26</v>
      </c>
      <c r="Q76" s="147">
        <f t="shared" si="8"/>
        <v>145</v>
      </c>
    </row>
    <row r="77" spans="2:17" x14ac:dyDescent="0.3">
      <c r="B77" t="s">
        <v>233</v>
      </c>
      <c r="C77">
        <v>247</v>
      </c>
      <c r="D77" s="138">
        <v>5000</v>
      </c>
      <c r="E77">
        <v>25</v>
      </c>
      <c r="F77">
        <v>175</v>
      </c>
      <c r="G77">
        <v>10</v>
      </c>
      <c r="H77">
        <v>26.8</v>
      </c>
      <c r="I77" s="138">
        <v>499.5</v>
      </c>
      <c r="J77" s="73">
        <f t="shared" si="4"/>
        <v>2</v>
      </c>
      <c r="K77">
        <v>8.74</v>
      </c>
      <c r="L77">
        <v>14.84</v>
      </c>
      <c r="O77" s="147">
        <f t="shared" si="7"/>
        <v>101.21457489878543</v>
      </c>
      <c r="P77" s="35">
        <v>52.734999999999999</v>
      </c>
      <c r="Q77" s="147">
        <f t="shared" si="8"/>
        <v>175</v>
      </c>
    </row>
    <row r="78" spans="2:17" x14ac:dyDescent="0.3">
      <c r="B78" t="s">
        <v>234</v>
      </c>
      <c r="C78">
        <v>260</v>
      </c>
      <c r="D78" s="138">
        <v>5000</v>
      </c>
      <c r="E78">
        <v>26</v>
      </c>
      <c r="F78">
        <v>205</v>
      </c>
      <c r="G78">
        <v>10</v>
      </c>
      <c r="H78">
        <v>23.23</v>
      </c>
      <c r="I78" s="138">
        <v>522</v>
      </c>
      <c r="J78" s="73">
        <f t="shared" si="4"/>
        <v>2</v>
      </c>
      <c r="K78">
        <v>8.49</v>
      </c>
      <c r="L78">
        <v>15.54</v>
      </c>
      <c r="O78" s="147">
        <f t="shared" si="7"/>
        <v>100</v>
      </c>
      <c r="P78" s="35">
        <v>52.521000000000001</v>
      </c>
      <c r="Q78" s="147">
        <f t="shared" si="8"/>
        <v>205</v>
      </c>
    </row>
    <row r="79" spans="2:17" x14ac:dyDescent="0.3">
      <c r="B79" t="s">
        <v>234</v>
      </c>
      <c r="C79">
        <v>502</v>
      </c>
      <c r="D79" s="138">
        <v>10000</v>
      </c>
      <c r="E79">
        <v>100</v>
      </c>
      <c r="F79">
        <v>205</v>
      </c>
      <c r="G79">
        <v>20</v>
      </c>
      <c r="H79">
        <v>17.57</v>
      </c>
      <c r="I79" s="138">
        <v>1005</v>
      </c>
      <c r="J79" s="73">
        <f t="shared" si="4"/>
        <v>2</v>
      </c>
      <c r="K79">
        <v>8.58</v>
      </c>
      <c r="L79">
        <v>17.57</v>
      </c>
      <c r="O79" s="147">
        <f t="shared" si="7"/>
        <v>199.20318725099602</v>
      </c>
      <c r="P79" s="35">
        <v>64.501000000000005</v>
      </c>
      <c r="Q79" s="147">
        <f t="shared" si="8"/>
        <v>205</v>
      </c>
    </row>
    <row r="80" spans="2:17" x14ac:dyDescent="0.3">
      <c r="B80" t="s">
        <v>232</v>
      </c>
      <c r="C80">
        <v>417</v>
      </c>
      <c r="D80" s="138">
        <v>10000</v>
      </c>
      <c r="E80">
        <v>42</v>
      </c>
      <c r="F80">
        <v>85</v>
      </c>
      <c r="G80">
        <v>10</v>
      </c>
      <c r="H80">
        <v>18.239999999999998</v>
      </c>
      <c r="I80" s="138">
        <v>831</v>
      </c>
      <c r="J80" s="73">
        <f t="shared" si="4"/>
        <v>2</v>
      </c>
      <c r="K80">
        <v>8.48</v>
      </c>
      <c r="L80">
        <v>7.88</v>
      </c>
      <c r="O80" s="147">
        <f t="shared" ref="O80:O111" si="9">(E80*1000)/C80</f>
        <v>100.71942446043165</v>
      </c>
      <c r="P80" s="35">
        <v>52.648000000000003</v>
      </c>
      <c r="Q80" s="147">
        <f t="shared" ref="Q80:Q111" si="10">F80</f>
        <v>85</v>
      </c>
    </row>
    <row r="81" spans="2:17" x14ac:dyDescent="0.3">
      <c r="B81" t="s">
        <v>235</v>
      </c>
      <c r="C81">
        <v>439</v>
      </c>
      <c r="D81" s="138">
        <v>10000</v>
      </c>
      <c r="E81">
        <v>44</v>
      </c>
      <c r="F81">
        <v>115</v>
      </c>
      <c r="G81">
        <v>10</v>
      </c>
      <c r="H81">
        <v>17.940000000000001</v>
      </c>
      <c r="I81" s="138">
        <v>882</v>
      </c>
      <c r="J81" s="73">
        <f t="shared" si="4"/>
        <v>2</v>
      </c>
      <c r="K81">
        <v>8.08</v>
      </c>
      <c r="L81">
        <v>8.8800000000000008</v>
      </c>
      <c r="O81" s="147">
        <f t="shared" si="9"/>
        <v>100.22779043280183</v>
      </c>
      <c r="P81" s="35">
        <v>52.561999999999998</v>
      </c>
      <c r="Q81" s="147">
        <f t="shared" si="10"/>
        <v>115</v>
      </c>
    </row>
    <row r="82" spans="2:17" x14ac:dyDescent="0.3">
      <c r="B82" t="s">
        <v>235</v>
      </c>
      <c r="C82">
        <v>477</v>
      </c>
      <c r="D82" s="138">
        <v>10000</v>
      </c>
      <c r="E82">
        <v>47</v>
      </c>
      <c r="F82">
        <v>145</v>
      </c>
      <c r="G82">
        <v>10</v>
      </c>
      <c r="H82">
        <v>16.309999999999999</v>
      </c>
      <c r="I82" s="138">
        <v>940.5</v>
      </c>
      <c r="J82" s="73">
        <f t="shared" si="4"/>
        <v>2</v>
      </c>
      <c r="K82">
        <v>8.17</v>
      </c>
      <c r="L82">
        <v>9.85</v>
      </c>
      <c r="O82" s="147">
        <f t="shared" si="9"/>
        <v>98.532494758909849</v>
      </c>
      <c r="P82" s="35">
        <v>52.26</v>
      </c>
      <c r="Q82" s="147">
        <f t="shared" si="10"/>
        <v>145</v>
      </c>
    </row>
    <row r="83" spans="2:17" x14ac:dyDescent="0.3">
      <c r="B83" t="s">
        <v>236</v>
      </c>
      <c r="C83">
        <v>500</v>
      </c>
      <c r="D83" s="138">
        <v>10000</v>
      </c>
      <c r="E83">
        <v>50</v>
      </c>
      <c r="F83">
        <v>175</v>
      </c>
      <c r="G83">
        <v>10</v>
      </c>
      <c r="H83">
        <v>15.41</v>
      </c>
      <c r="I83" s="138">
        <v>999</v>
      </c>
      <c r="J83" s="73">
        <f t="shared" si="4"/>
        <v>2</v>
      </c>
      <c r="K83">
        <v>8.32</v>
      </c>
      <c r="L83">
        <v>10.62</v>
      </c>
      <c r="O83" s="147">
        <f t="shared" si="9"/>
        <v>100</v>
      </c>
      <c r="P83" s="35">
        <v>52.521000000000001</v>
      </c>
      <c r="Q83" s="147">
        <f t="shared" si="10"/>
        <v>175</v>
      </c>
    </row>
    <row r="84" spans="2:17" x14ac:dyDescent="0.3">
      <c r="B84" t="s">
        <v>236</v>
      </c>
      <c r="C84">
        <v>525</v>
      </c>
      <c r="D84" s="138">
        <v>10000</v>
      </c>
      <c r="E84">
        <v>53</v>
      </c>
      <c r="F84">
        <v>205</v>
      </c>
      <c r="G84">
        <v>10</v>
      </c>
      <c r="H84">
        <v>12.49</v>
      </c>
      <c r="I84" s="138">
        <v>1051.5</v>
      </c>
      <c r="J84" s="73">
        <f t="shared" si="4"/>
        <v>2</v>
      </c>
      <c r="K84">
        <v>8.2100000000000009</v>
      </c>
      <c r="L84">
        <v>11.12</v>
      </c>
      <c r="O84" s="147">
        <f t="shared" si="9"/>
        <v>100.95238095238095</v>
      </c>
      <c r="P84" s="35">
        <v>52.689</v>
      </c>
      <c r="Q84" s="147">
        <f t="shared" si="10"/>
        <v>205</v>
      </c>
    </row>
    <row r="85" spans="2:17" x14ac:dyDescent="0.3">
      <c r="B85" t="s">
        <v>237</v>
      </c>
      <c r="C85">
        <v>132</v>
      </c>
      <c r="D85" s="138">
        <v>3000</v>
      </c>
      <c r="E85">
        <v>14</v>
      </c>
      <c r="F85">
        <v>85</v>
      </c>
      <c r="G85">
        <v>10</v>
      </c>
      <c r="H85">
        <v>40.76</v>
      </c>
      <c r="I85" s="138">
        <v>265</v>
      </c>
      <c r="J85" s="73">
        <f t="shared" si="4"/>
        <v>2</v>
      </c>
      <c r="K85">
        <v>8.4</v>
      </c>
      <c r="L85">
        <v>15.65</v>
      </c>
      <c r="O85" s="147">
        <f t="shared" si="9"/>
        <v>106.06060606060606</v>
      </c>
      <c r="P85" s="35">
        <v>53.561</v>
      </c>
      <c r="Q85" s="147">
        <f t="shared" si="10"/>
        <v>85</v>
      </c>
    </row>
    <row r="86" spans="2:17" x14ac:dyDescent="0.3">
      <c r="B86" t="s">
        <v>238</v>
      </c>
      <c r="C86">
        <v>134</v>
      </c>
      <c r="D86" s="138">
        <v>3000</v>
      </c>
      <c r="E86">
        <v>14</v>
      </c>
      <c r="F86">
        <v>115</v>
      </c>
      <c r="G86">
        <v>10</v>
      </c>
      <c r="H86">
        <v>39.04</v>
      </c>
      <c r="I86" s="138">
        <v>270</v>
      </c>
      <c r="J86" s="73">
        <f t="shared" ref="J86:J147" si="11">ROUND(I86/C86,0)</f>
        <v>2</v>
      </c>
      <c r="K86">
        <v>8.27</v>
      </c>
      <c r="L86">
        <v>16.91</v>
      </c>
      <c r="O86" s="147">
        <f t="shared" si="9"/>
        <v>104.4776119402985</v>
      </c>
      <c r="P86" s="35">
        <v>53.295000000000002</v>
      </c>
      <c r="Q86" s="147">
        <f t="shared" si="10"/>
        <v>115</v>
      </c>
    </row>
    <row r="87" spans="2:17" x14ac:dyDescent="0.3">
      <c r="B87" t="s">
        <v>239</v>
      </c>
      <c r="C87">
        <v>142</v>
      </c>
      <c r="D87" s="138">
        <v>3000</v>
      </c>
      <c r="E87">
        <v>14.5</v>
      </c>
      <c r="F87">
        <v>145</v>
      </c>
      <c r="G87">
        <v>10</v>
      </c>
      <c r="H87">
        <v>35.049999999999997</v>
      </c>
      <c r="I87" s="138">
        <v>285</v>
      </c>
      <c r="J87" s="73">
        <f t="shared" si="11"/>
        <v>2</v>
      </c>
      <c r="K87">
        <v>8.09</v>
      </c>
      <c r="L87">
        <v>17.440000000000001</v>
      </c>
      <c r="O87" s="147">
        <f t="shared" si="9"/>
        <v>102.11267605633803</v>
      </c>
      <c r="P87" s="35">
        <v>52.890999999999998</v>
      </c>
      <c r="Q87" s="147">
        <f t="shared" si="10"/>
        <v>145</v>
      </c>
    </row>
    <row r="88" spans="2:17" x14ac:dyDescent="0.3">
      <c r="B88" t="s">
        <v>240</v>
      </c>
      <c r="C88">
        <v>156</v>
      </c>
      <c r="D88" s="138">
        <v>3000</v>
      </c>
      <c r="E88">
        <v>16</v>
      </c>
      <c r="F88">
        <v>205</v>
      </c>
      <c r="G88">
        <v>10</v>
      </c>
      <c r="H88">
        <v>25.28</v>
      </c>
      <c r="I88" s="138">
        <v>303</v>
      </c>
      <c r="J88" s="73">
        <f t="shared" si="11"/>
        <v>2</v>
      </c>
      <c r="K88">
        <v>8.02</v>
      </c>
      <c r="L88">
        <v>19.510000000000002</v>
      </c>
      <c r="O88" s="147">
        <f t="shared" si="9"/>
        <v>102.56410256410257</v>
      </c>
      <c r="P88" s="35">
        <v>52.969000000000001</v>
      </c>
      <c r="Q88" s="147">
        <f t="shared" si="10"/>
        <v>205</v>
      </c>
    </row>
    <row r="89" spans="2:17" x14ac:dyDescent="0.3">
      <c r="B89" t="s">
        <v>241</v>
      </c>
      <c r="C89">
        <v>250</v>
      </c>
      <c r="D89" s="138">
        <v>5000</v>
      </c>
      <c r="E89">
        <v>50</v>
      </c>
      <c r="F89">
        <v>205</v>
      </c>
      <c r="G89">
        <v>20</v>
      </c>
      <c r="H89">
        <v>17.649999999999999</v>
      </c>
      <c r="I89" s="138">
        <v>495</v>
      </c>
      <c r="J89" s="73">
        <f t="shared" si="11"/>
        <v>2</v>
      </c>
      <c r="K89">
        <v>16.5</v>
      </c>
      <c r="L89">
        <v>19.3</v>
      </c>
      <c r="O89" s="147">
        <f t="shared" si="9"/>
        <v>200</v>
      </c>
      <c r="P89" s="35">
        <v>64.569000000000003</v>
      </c>
      <c r="Q89" s="147">
        <f t="shared" si="10"/>
        <v>205</v>
      </c>
    </row>
    <row r="90" spans="2:17" x14ac:dyDescent="0.3">
      <c r="B90" t="s">
        <v>241</v>
      </c>
      <c r="C90">
        <v>250</v>
      </c>
      <c r="D90" s="138">
        <v>5000</v>
      </c>
      <c r="E90">
        <v>50</v>
      </c>
      <c r="F90">
        <v>205</v>
      </c>
      <c r="G90">
        <v>20</v>
      </c>
      <c r="H90">
        <v>5.18</v>
      </c>
      <c r="I90" s="138">
        <v>495</v>
      </c>
      <c r="J90" s="73">
        <f t="shared" si="11"/>
        <v>2</v>
      </c>
      <c r="K90">
        <v>43.92</v>
      </c>
      <c r="L90">
        <v>10.94</v>
      </c>
      <c r="O90" s="147">
        <f t="shared" si="9"/>
        <v>200</v>
      </c>
      <c r="P90" s="35">
        <v>64.569000000000003</v>
      </c>
      <c r="Q90" s="147">
        <f t="shared" si="10"/>
        <v>205</v>
      </c>
    </row>
    <row r="91" spans="2:17" x14ac:dyDescent="0.3">
      <c r="B91" t="s">
        <v>242</v>
      </c>
      <c r="C91">
        <v>196</v>
      </c>
      <c r="D91" s="138">
        <v>5000</v>
      </c>
      <c r="E91">
        <v>38.5</v>
      </c>
      <c r="F91">
        <v>85</v>
      </c>
      <c r="G91">
        <v>20</v>
      </c>
      <c r="H91">
        <v>24.85</v>
      </c>
      <c r="I91" s="138">
        <v>397</v>
      </c>
      <c r="J91" s="73">
        <f t="shared" si="11"/>
        <v>2</v>
      </c>
      <c r="K91">
        <v>13.46</v>
      </c>
      <c r="L91">
        <v>16.82</v>
      </c>
      <c r="O91" s="147">
        <f t="shared" si="9"/>
        <v>196.42857142857142</v>
      </c>
      <c r="P91" s="35">
        <v>64.263999999999996</v>
      </c>
      <c r="Q91" s="147">
        <f t="shared" si="10"/>
        <v>85</v>
      </c>
    </row>
    <row r="92" spans="2:17" x14ac:dyDescent="0.3">
      <c r="B92" t="s">
        <v>243</v>
      </c>
      <c r="C92">
        <v>211</v>
      </c>
      <c r="D92" s="138">
        <v>5000</v>
      </c>
      <c r="E92">
        <v>42</v>
      </c>
      <c r="F92">
        <v>115</v>
      </c>
      <c r="G92">
        <v>20</v>
      </c>
      <c r="H92">
        <v>25.04</v>
      </c>
      <c r="I92" s="138">
        <v>432</v>
      </c>
      <c r="J92" s="73">
        <f t="shared" si="11"/>
        <v>2</v>
      </c>
      <c r="K92">
        <v>11.69</v>
      </c>
      <c r="L92">
        <v>18.309999999999999</v>
      </c>
      <c r="O92" s="147">
        <f t="shared" si="9"/>
        <v>199.05213270142181</v>
      </c>
      <c r="P92" s="35">
        <v>64.488</v>
      </c>
      <c r="Q92" s="147">
        <f t="shared" si="10"/>
        <v>115</v>
      </c>
    </row>
    <row r="93" spans="2:17" x14ac:dyDescent="0.3">
      <c r="B93" t="s">
        <v>243</v>
      </c>
      <c r="C93">
        <v>211</v>
      </c>
      <c r="D93" s="138">
        <v>5000</v>
      </c>
      <c r="E93">
        <v>42</v>
      </c>
      <c r="F93">
        <v>115</v>
      </c>
      <c r="G93">
        <v>20</v>
      </c>
      <c r="H93">
        <v>15.91</v>
      </c>
      <c r="I93" s="138">
        <v>432</v>
      </c>
      <c r="J93" s="73">
        <f t="shared" si="11"/>
        <v>2</v>
      </c>
      <c r="K93">
        <v>35.76</v>
      </c>
      <c r="L93">
        <v>11.99</v>
      </c>
      <c r="O93" s="147">
        <f t="shared" si="9"/>
        <v>199.05213270142181</v>
      </c>
      <c r="P93" s="35">
        <v>64.488</v>
      </c>
      <c r="Q93" s="147">
        <f t="shared" si="10"/>
        <v>115</v>
      </c>
    </row>
    <row r="94" spans="2:17" x14ac:dyDescent="0.3">
      <c r="B94" s="148" t="s">
        <v>306</v>
      </c>
      <c r="C94" s="87">
        <v>221</v>
      </c>
      <c r="D94" s="87">
        <v>5000</v>
      </c>
      <c r="E94" s="87">
        <v>44</v>
      </c>
      <c r="F94" s="87">
        <v>145</v>
      </c>
      <c r="G94" s="87">
        <v>20</v>
      </c>
      <c r="H94" s="87">
        <v>20.8</v>
      </c>
      <c r="I94" s="149">
        <v>438</v>
      </c>
      <c r="J94" s="73">
        <f t="shared" si="11"/>
        <v>2</v>
      </c>
      <c r="K94" s="87">
        <v>13.8</v>
      </c>
      <c r="L94" s="87">
        <v>17.5</v>
      </c>
      <c r="O94" s="147">
        <f t="shared" si="9"/>
        <v>199.09502262443439</v>
      </c>
      <c r="P94" s="35">
        <v>59.048999999999999</v>
      </c>
      <c r="Q94" s="147">
        <f t="shared" si="10"/>
        <v>145</v>
      </c>
    </row>
    <row r="95" spans="2:17" x14ac:dyDescent="0.3">
      <c r="B95" s="148" t="s">
        <v>307</v>
      </c>
      <c r="C95" s="87">
        <v>221</v>
      </c>
      <c r="D95" s="87">
        <v>5000</v>
      </c>
      <c r="E95" s="87">
        <v>44</v>
      </c>
      <c r="F95" s="87">
        <v>145</v>
      </c>
      <c r="G95" s="87">
        <v>20</v>
      </c>
      <c r="H95" s="87">
        <v>11.8</v>
      </c>
      <c r="I95" s="149">
        <v>438</v>
      </c>
      <c r="J95" s="73">
        <f t="shared" si="11"/>
        <v>2</v>
      </c>
      <c r="K95" s="87">
        <v>39.5</v>
      </c>
      <c r="L95" s="87">
        <v>11.6</v>
      </c>
      <c r="O95" s="147">
        <f t="shared" si="9"/>
        <v>199.09502262443439</v>
      </c>
      <c r="P95" s="35">
        <v>59.048999999999999</v>
      </c>
      <c r="Q95" s="147">
        <f t="shared" si="10"/>
        <v>145</v>
      </c>
    </row>
    <row r="96" spans="2:17" x14ac:dyDescent="0.3">
      <c r="B96" s="150" t="s">
        <v>308</v>
      </c>
      <c r="C96" s="151">
        <v>197</v>
      </c>
      <c r="D96" s="151">
        <v>5000</v>
      </c>
      <c r="E96" s="151">
        <v>39</v>
      </c>
      <c r="F96" s="151">
        <v>85</v>
      </c>
      <c r="G96" s="151">
        <v>20</v>
      </c>
      <c r="H96" s="151">
        <v>22.8</v>
      </c>
      <c r="I96" s="152">
        <v>195</v>
      </c>
      <c r="J96" s="73">
        <f t="shared" si="11"/>
        <v>1</v>
      </c>
      <c r="K96" s="151">
        <v>8</v>
      </c>
      <c r="L96" s="151">
        <v>30.8</v>
      </c>
      <c r="O96" s="147">
        <f t="shared" si="9"/>
        <v>197.96954314720813</v>
      </c>
      <c r="P96" s="35">
        <v>49.648000000000003</v>
      </c>
      <c r="Q96" s="147">
        <f t="shared" si="10"/>
        <v>85</v>
      </c>
    </row>
    <row r="97" spans="2:17" x14ac:dyDescent="0.3">
      <c r="B97" s="150" t="s">
        <v>309</v>
      </c>
      <c r="C97" s="151">
        <v>221</v>
      </c>
      <c r="D97" s="151">
        <v>5000</v>
      </c>
      <c r="E97" s="151">
        <v>44</v>
      </c>
      <c r="F97" s="151">
        <v>145</v>
      </c>
      <c r="G97" s="151">
        <v>20</v>
      </c>
      <c r="H97" s="151">
        <v>19.8</v>
      </c>
      <c r="I97" s="152">
        <v>225</v>
      </c>
      <c r="J97" s="73">
        <f t="shared" si="11"/>
        <v>1</v>
      </c>
      <c r="K97" s="151">
        <v>8</v>
      </c>
      <c r="L97" s="151">
        <v>32.700000000000003</v>
      </c>
      <c r="O97" s="147">
        <f t="shared" si="9"/>
        <v>199.09502262443439</v>
      </c>
      <c r="P97" s="35">
        <v>64.492000000000004</v>
      </c>
      <c r="Q97" s="147">
        <f t="shared" si="10"/>
        <v>145</v>
      </c>
    </row>
    <row r="98" spans="2:17" x14ac:dyDescent="0.3">
      <c r="B98" s="150">
        <v>44939</v>
      </c>
      <c r="C98" s="151">
        <v>250</v>
      </c>
      <c r="D98" s="151">
        <v>5000</v>
      </c>
      <c r="E98" s="151">
        <v>50</v>
      </c>
      <c r="F98" s="151">
        <v>205</v>
      </c>
      <c r="G98" s="151">
        <v>20</v>
      </c>
      <c r="H98" s="151">
        <v>14.6</v>
      </c>
      <c r="I98" s="152">
        <v>255</v>
      </c>
      <c r="J98" s="73">
        <f t="shared" si="11"/>
        <v>1</v>
      </c>
      <c r="K98" s="151">
        <v>8</v>
      </c>
      <c r="L98" s="151">
        <v>34.799999999999997</v>
      </c>
      <c r="O98" s="147">
        <f t="shared" si="9"/>
        <v>200</v>
      </c>
      <c r="P98" s="35">
        <v>64.569000000000003</v>
      </c>
      <c r="Q98" s="147">
        <f t="shared" si="10"/>
        <v>205</v>
      </c>
    </row>
    <row r="99" spans="2:17" x14ac:dyDescent="0.3">
      <c r="B99" s="153">
        <v>44942</v>
      </c>
      <c r="C99" s="154">
        <v>119</v>
      </c>
      <c r="D99" s="154">
        <v>3000</v>
      </c>
      <c r="E99" s="154">
        <v>23</v>
      </c>
      <c r="F99" s="154">
        <v>85</v>
      </c>
      <c r="G99" s="154">
        <v>20</v>
      </c>
      <c r="H99" s="154">
        <v>33.6</v>
      </c>
      <c r="I99" s="155">
        <v>120</v>
      </c>
      <c r="J99" s="73">
        <f t="shared" si="11"/>
        <v>1</v>
      </c>
      <c r="K99" s="154">
        <v>9</v>
      </c>
      <c r="L99" s="154">
        <v>37.6</v>
      </c>
      <c r="O99" s="147">
        <f t="shared" si="9"/>
        <v>193.27731092436974</v>
      </c>
      <c r="P99" s="35">
        <v>63.991</v>
      </c>
      <c r="Q99" s="147">
        <f t="shared" si="10"/>
        <v>85</v>
      </c>
    </row>
    <row r="100" spans="2:17" x14ac:dyDescent="0.3">
      <c r="B100" s="156" t="s">
        <v>310</v>
      </c>
      <c r="C100" s="157">
        <v>134</v>
      </c>
      <c r="D100" s="154">
        <v>3000</v>
      </c>
      <c r="E100" s="157">
        <v>27</v>
      </c>
      <c r="F100" s="157">
        <v>145</v>
      </c>
      <c r="G100" s="157">
        <v>20</v>
      </c>
      <c r="H100" s="157">
        <v>25.1</v>
      </c>
      <c r="I100" s="158">
        <v>135</v>
      </c>
      <c r="J100" s="73">
        <f t="shared" si="11"/>
        <v>1</v>
      </c>
      <c r="K100" s="157">
        <v>8.9</v>
      </c>
      <c r="L100" s="157">
        <v>41.7</v>
      </c>
      <c r="O100" s="147">
        <f t="shared" si="9"/>
        <v>201.49253731343285</v>
      </c>
      <c r="P100" s="35">
        <v>64.694000000000003</v>
      </c>
      <c r="Q100" s="147">
        <f t="shared" si="10"/>
        <v>145</v>
      </c>
    </row>
    <row r="101" spans="2:17" x14ac:dyDescent="0.3">
      <c r="B101" s="156" t="s">
        <v>311</v>
      </c>
      <c r="C101" s="157">
        <v>149</v>
      </c>
      <c r="D101" s="154">
        <v>3000</v>
      </c>
      <c r="E101" s="157">
        <v>30</v>
      </c>
      <c r="F101" s="157">
        <v>205</v>
      </c>
      <c r="G101" s="157">
        <v>20</v>
      </c>
      <c r="H101" s="157">
        <v>19.3</v>
      </c>
      <c r="I101" s="158">
        <v>150</v>
      </c>
      <c r="J101" s="73">
        <f t="shared" si="11"/>
        <v>1</v>
      </c>
      <c r="K101" s="157">
        <v>8.8000000000000007</v>
      </c>
      <c r="L101" s="157">
        <v>43</v>
      </c>
      <c r="O101" s="147">
        <f t="shared" si="9"/>
        <v>201.34228187919464</v>
      </c>
      <c r="P101" s="35">
        <v>64.680999999999997</v>
      </c>
      <c r="Q101" s="147">
        <f t="shared" si="10"/>
        <v>205</v>
      </c>
    </row>
    <row r="102" spans="2:17" x14ac:dyDescent="0.3">
      <c r="B102" s="75">
        <v>44944</v>
      </c>
      <c r="C102" s="76">
        <v>400</v>
      </c>
      <c r="D102" s="76">
        <v>10000</v>
      </c>
      <c r="E102" s="76">
        <v>80</v>
      </c>
      <c r="F102" s="76">
        <v>85</v>
      </c>
      <c r="G102" s="76">
        <v>20</v>
      </c>
      <c r="H102" s="77">
        <v>19.8</v>
      </c>
      <c r="I102" s="78">
        <v>405</v>
      </c>
      <c r="J102" s="73">
        <f t="shared" si="11"/>
        <v>1</v>
      </c>
      <c r="K102" s="76">
        <v>7.9</v>
      </c>
      <c r="L102" s="76">
        <v>25.6</v>
      </c>
      <c r="O102" s="147">
        <f t="shared" si="9"/>
        <v>200</v>
      </c>
      <c r="P102" s="35">
        <v>64.569000000000003</v>
      </c>
      <c r="Q102" s="147">
        <f t="shared" si="10"/>
        <v>85</v>
      </c>
    </row>
    <row r="103" spans="2:17" x14ac:dyDescent="0.3">
      <c r="B103" s="75" t="s">
        <v>312</v>
      </c>
      <c r="C103" s="76">
        <v>450</v>
      </c>
      <c r="D103" s="76">
        <v>10000</v>
      </c>
      <c r="E103" s="76">
        <v>90</v>
      </c>
      <c r="F103" s="76">
        <v>145</v>
      </c>
      <c r="G103" s="76">
        <v>20</v>
      </c>
      <c r="H103" s="77">
        <v>15.8</v>
      </c>
      <c r="I103" s="78">
        <v>450</v>
      </c>
      <c r="J103" s="73">
        <f t="shared" si="11"/>
        <v>1</v>
      </c>
      <c r="K103" s="76">
        <v>7.3</v>
      </c>
      <c r="L103" s="76">
        <v>26.7</v>
      </c>
      <c r="O103" s="147">
        <f t="shared" si="9"/>
        <v>200</v>
      </c>
      <c r="P103" s="35">
        <v>64.569000000000003</v>
      </c>
      <c r="Q103" s="147">
        <f t="shared" si="10"/>
        <v>145</v>
      </c>
    </row>
    <row r="104" spans="2:17" x14ac:dyDescent="0.3">
      <c r="B104" s="75" t="s">
        <v>313</v>
      </c>
      <c r="C104" s="76">
        <v>500</v>
      </c>
      <c r="D104" s="76">
        <v>10000</v>
      </c>
      <c r="E104" s="76">
        <v>100</v>
      </c>
      <c r="F104" s="76">
        <v>205</v>
      </c>
      <c r="G104" s="76">
        <v>20</v>
      </c>
      <c r="H104" s="77">
        <v>12.2</v>
      </c>
      <c r="I104" s="78">
        <v>500</v>
      </c>
      <c r="J104" s="73">
        <f t="shared" si="11"/>
        <v>1</v>
      </c>
      <c r="K104" s="76">
        <v>7.6</v>
      </c>
      <c r="L104" s="76">
        <v>29</v>
      </c>
      <c r="O104" s="147">
        <f t="shared" si="9"/>
        <v>200</v>
      </c>
      <c r="P104" s="35">
        <v>64.569000000000003</v>
      </c>
      <c r="Q104" s="147">
        <f t="shared" si="10"/>
        <v>205</v>
      </c>
    </row>
    <row r="105" spans="2:17" x14ac:dyDescent="0.3">
      <c r="B105" s="159">
        <v>44946</v>
      </c>
      <c r="C105" s="128">
        <v>197</v>
      </c>
      <c r="D105" s="128">
        <v>5000</v>
      </c>
      <c r="E105" s="128">
        <v>39</v>
      </c>
      <c r="F105" s="128">
        <v>85</v>
      </c>
      <c r="G105" s="128">
        <v>20</v>
      </c>
      <c r="H105" s="128">
        <v>29</v>
      </c>
      <c r="I105" s="160">
        <v>786</v>
      </c>
      <c r="J105" s="73">
        <f t="shared" si="11"/>
        <v>4</v>
      </c>
      <c r="K105" s="128">
        <v>7.2</v>
      </c>
      <c r="L105" s="128">
        <v>10</v>
      </c>
      <c r="O105" s="147">
        <f t="shared" si="9"/>
        <v>197.96954314720813</v>
      </c>
      <c r="P105" s="35">
        <v>64.396000000000001</v>
      </c>
      <c r="Q105" s="147">
        <f t="shared" si="10"/>
        <v>85</v>
      </c>
    </row>
    <row r="106" spans="2:17" x14ac:dyDescent="0.3">
      <c r="B106" s="159" t="s">
        <v>314</v>
      </c>
      <c r="C106" s="128">
        <v>221</v>
      </c>
      <c r="D106" s="128">
        <v>5000</v>
      </c>
      <c r="E106" s="128">
        <v>44</v>
      </c>
      <c r="F106" s="128">
        <v>145</v>
      </c>
      <c r="G106" s="128">
        <v>20</v>
      </c>
      <c r="H106" s="128">
        <v>30.2</v>
      </c>
      <c r="I106" s="160">
        <v>895</v>
      </c>
      <c r="J106" s="73">
        <f t="shared" si="11"/>
        <v>4</v>
      </c>
      <c r="K106" s="128">
        <v>6.8</v>
      </c>
      <c r="L106" s="128">
        <v>11.7</v>
      </c>
      <c r="O106" s="147">
        <f t="shared" si="9"/>
        <v>199.09502262443439</v>
      </c>
      <c r="P106" s="35">
        <v>64.492000000000004</v>
      </c>
      <c r="Q106" s="147">
        <f t="shared" si="10"/>
        <v>145</v>
      </c>
    </row>
    <row r="107" spans="2:17" x14ac:dyDescent="0.3">
      <c r="B107" s="159" t="s">
        <v>315</v>
      </c>
      <c r="C107" s="128">
        <v>250</v>
      </c>
      <c r="D107" s="128">
        <v>5000</v>
      </c>
      <c r="E107" s="128">
        <v>50</v>
      </c>
      <c r="F107" s="128">
        <v>205</v>
      </c>
      <c r="G107" s="128">
        <v>20</v>
      </c>
      <c r="H107" s="128">
        <v>26</v>
      </c>
      <c r="I107" s="160">
        <v>1002</v>
      </c>
      <c r="J107" s="73">
        <f t="shared" si="11"/>
        <v>4</v>
      </c>
      <c r="K107" s="128">
        <v>7.5</v>
      </c>
      <c r="L107" s="128">
        <v>12.8</v>
      </c>
      <c r="O107" s="147">
        <f t="shared" si="9"/>
        <v>200</v>
      </c>
      <c r="P107" s="35">
        <v>64.569000000000003</v>
      </c>
      <c r="Q107" s="147">
        <f t="shared" si="10"/>
        <v>205</v>
      </c>
    </row>
    <row r="108" spans="2:17" x14ac:dyDescent="0.3">
      <c r="B108" s="153" t="s">
        <v>316</v>
      </c>
      <c r="C108" s="154">
        <v>119</v>
      </c>
      <c r="D108" s="154">
        <v>3000</v>
      </c>
      <c r="E108" s="154">
        <v>23</v>
      </c>
      <c r="F108" s="154">
        <v>85</v>
      </c>
      <c r="G108" s="154">
        <v>20</v>
      </c>
      <c r="H108" s="154">
        <v>45</v>
      </c>
      <c r="I108" s="155">
        <v>477</v>
      </c>
      <c r="J108" s="73">
        <f t="shared" si="11"/>
        <v>4</v>
      </c>
      <c r="K108" s="154">
        <v>7.2</v>
      </c>
      <c r="L108" s="154">
        <v>13.8</v>
      </c>
      <c r="O108" s="147">
        <f t="shared" si="9"/>
        <v>193.27731092436974</v>
      </c>
      <c r="P108" s="35">
        <v>63.991</v>
      </c>
      <c r="Q108" s="147">
        <f t="shared" si="10"/>
        <v>85</v>
      </c>
    </row>
    <row r="109" spans="2:17" x14ac:dyDescent="0.3">
      <c r="B109" s="153" t="s">
        <v>317</v>
      </c>
      <c r="C109" s="154">
        <v>134</v>
      </c>
      <c r="D109" s="154">
        <v>3000</v>
      </c>
      <c r="E109" s="154">
        <v>27</v>
      </c>
      <c r="F109" s="154">
        <v>145</v>
      </c>
      <c r="G109" s="154">
        <v>20</v>
      </c>
      <c r="H109" s="154">
        <v>42.4</v>
      </c>
      <c r="I109" s="155">
        <v>537</v>
      </c>
      <c r="J109" s="73">
        <f t="shared" si="11"/>
        <v>4</v>
      </c>
      <c r="K109" s="154">
        <v>7.4</v>
      </c>
      <c r="L109" s="154">
        <v>15.8</v>
      </c>
      <c r="O109" s="147">
        <f t="shared" si="9"/>
        <v>201.49253731343285</v>
      </c>
      <c r="P109" s="35">
        <v>64.694000000000003</v>
      </c>
      <c r="Q109" s="147">
        <f t="shared" si="10"/>
        <v>145</v>
      </c>
    </row>
    <row r="110" spans="2:17" x14ac:dyDescent="0.3">
      <c r="B110" s="156">
        <v>44951</v>
      </c>
      <c r="C110" s="157">
        <v>149</v>
      </c>
      <c r="D110" s="154">
        <v>3000</v>
      </c>
      <c r="E110" s="157">
        <v>30</v>
      </c>
      <c r="F110" s="157">
        <v>205</v>
      </c>
      <c r="G110" s="157">
        <v>20</v>
      </c>
      <c r="H110" s="157">
        <v>37.1</v>
      </c>
      <c r="I110" s="158">
        <v>600</v>
      </c>
      <c r="J110" s="73">
        <f t="shared" si="11"/>
        <v>4</v>
      </c>
      <c r="K110" s="157">
        <v>6.8</v>
      </c>
      <c r="L110" s="157">
        <v>16.2</v>
      </c>
      <c r="O110" s="147">
        <f t="shared" si="9"/>
        <v>201.34228187919464</v>
      </c>
      <c r="P110" s="35">
        <v>64.680999999999997</v>
      </c>
      <c r="Q110" s="147">
        <f t="shared" si="10"/>
        <v>205</v>
      </c>
    </row>
    <row r="111" spans="2:17" s="33" customFormat="1" x14ac:dyDescent="0.3">
      <c r="B111" s="16">
        <v>44952</v>
      </c>
      <c r="C111" s="151">
        <v>400</v>
      </c>
      <c r="D111" s="151">
        <v>10000</v>
      </c>
      <c r="E111" s="151">
        <v>80</v>
      </c>
      <c r="F111" s="151">
        <v>85</v>
      </c>
      <c r="G111" s="151">
        <v>20</v>
      </c>
      <c r="H111" s="161">
        <v>24.8</v>
      </c>
      <c r="I111" s="152">
        <v>1580</v>
      </c>
      <c r="J111" s="73">
        <f t="shared" si="11"/>
        <v>4</v>
      </c>
      <c r="K111" s="151">
        <v>7.6</v>
      </c>
      <c r="L111" s="151">
        <v>8.6</v>
      </c>
      <c r="O111" s="178">
        <f t="shared" si="9"/>
        <v>200</v>
      </c>
      <c r="P111" s="179">
        <v>64.569000000000003</v>
      </c>
      <c r="Q111" s="178">
        <f t="shared" si="10"/>
        <v>85</v>
      </c>
    </row>
    <row r="112" spans="2:17" x14ac:dyDescent="0.3">
      <c r="B112" s="75">
        <v>44953</v>
      </c>
      <c r="C112" s="76">
        <v>450</v>
      </c>
      <c r="D112" s="76">
        <v>10000</v>
      </c>
      <c r="E112" s="76">
        <v>90</v>
      </c>
      <c r="F112" s="76">
        <v>145</v>
      </c>
      <c r="G112" s="76">
        <v>20</v>
      </c>
      <c r="H112" s="77">
        <v>23.3</v>
      </c>
      <c r="I112" s="78">
        <v>1580</v>
      </c>
      <c r="J112" s="73">
        <f t="shared" si="11"/>
        <v>4</v>
      </c>
      <c r="K112" s="76">
        <v>7.2</v>
      </c>
      <c r="L112" s="76">
        <v>10.9</v>
      </c>
      <c r="O112" s="147">
        <f t="shared" ref="O112:O117" si="12">(E112*1000)/C112</f>
        <v>200</v>
      </c>
      <c r="P112" s="35">
        <v>64.569000000000003</v>
      </c>
      <c r="Q112" s="147">
        <f t="shared" ref="Q112:Q147" si="13">F112</f>
        <v>145</v>
      </c>
    </row>
    <row r="113" spans="2:17" x14ac:dyDescent="0.3">
      <c r="B113" s="153" t="s">
        <v>318</v>
      </c>
      <c r="C113" s="154">
        <v>119</v>
      </c>
      <c r="D113" s="154">
        <v>3000</v>
      </c>
      <c r="E113" s="154">
        <v>23</v>
      </c>
      <c r="F113" s="154">
        <v>85</v>
      </c>
      <c r="G113" s="154">
        <v>20</v>
      </c>
      <c r="H113" s="154">
        <v>44.4</v>
      </c>
      <c r="I113" s="155">
        <v>360</v>
      </c>
      <c r="J113" s="73">
        <f t="shared" si="11"/>
        <v>3</v>
      </c>
      <c r="K113" s="154">
        <v>7.1</v>
      </c>
      <c r="L113" s="154">
        <v>19</v>
      </c>
      <c r="O113" s="147">
        <f t="shared" si="12"/>
        <v>193.27731092436974</v>
      </c>
      <c r="P113" s="35">
        <v>63.991</v>
      </c>
      <c r="Q113" s="147">
        <f t="shared" si="13"/>
        <v>85</v>
      </c>
    </row>
    <row r="114" spans="2:17" x14ac:dyDescent="0.3">
      <c r="B114" s="153" t="s">
        <v>319</v>
      </c>
      <c r="C114" s="154">
        <v>134</v>
      </c>
      <c r="D114" s="154">
        <v>3000</v>
      </c>
      <c r="E114" s="154">
        <v>27</v>
      </c>
      <c r="F114" s="154">
        <v>145</v>
      </c>
      <c r="G114" s="154">
        <v>20</v>
      </c>
      <c r="H114" s="154">
        <v>39.5</v>
      </c>
      <c r="I114" s="155">
        <v>402</v>
      </c>
      <c r="J114" s="73">
        <f t="shared" si="11"/>
        <v>3</v>
      </c>
      <c r="K114" s="154">
        <v>7.1</v>
      </c>
      <c r="L114" s="154">
        <v>19.7</v>
      </c>
      <c r="O114" s="147">
        <f t="shared" si="12"/>
        <v>201.49253731343285</v>
      </c>
      <c r="P114" s="35">
        <v>64.694000000000003</v>
      </c>
      <c r="Q114" s="147">
        <f t="shared" si="13"/>
        <v>145</v>
      </c>
    </row>
    <row r="115" spans="2:17" x14ac:dyDescent="0.3">
      <c r="B115" s="156" t="s">
        <v>761</v>
      </c>
      <c r="C115" s="157">
        <v>149</v>
      </c>
      <c r="D115" s="154">
        <v>3000</v>
      </c>
      <c r="E115" s="157">
        <v>30</v>
      </c>
      <c r="F115" s="157">
        <v>205</v>
      </c>
      <c r="G115" s="157">
        <v>20</v>
      </c>
      <c r="H115" s="157">
        <v>35.6</v>
      </c>
      <c r="I115" s="158">
        <v>450</v>
      </c>
      <c r="J115" s="73">
        <f t="shared" si="11"/>
        <v>3</v>
      </c>
      <c r="K115" s="157">
        <v>7.2</v>
      </c>
      <c r="L115" s="157">
        <v>22</v>
      </c>
      <c r="O115" s="147">
        <f t="shared" si="12"/>
        <v>201.34228187919464</v>
      </c>
      <c r="P115" s="35">
        <v>64.680999999999997</v>
      </c>
      <c r="Q115" s="147">
        <f t="shared" si="13"/>
        <v>205</v>
      </c>
    </row>
    <row r="116" spans="2:17" x14ac:dyDescent="0.3">
      <c r="B116" s="159" t="s">
        <v>320</v>
      </c>
      <c r="C116" s="128">
        <v>197</v>
      </c>
      <c r="D116" s="128">
        <v>5000</v>
      </c>
      <c r="E116" s="128">
        <v>39</v>
      </c>
      <c r="F116" s="128">
        <v>85</v>
      </c>
      <c r="G116" s="128">
        <v>20</v>
      </c>
      <c r="H116" s="128">
        <v>27.6</v>
      </c>
      <c r="I116" s="160">
        <v>588</v>
      </c>
      <c r="J116" s="73">
        <f t="shared" si="11"/>
        <v>3</v>
      </c>
      <c r="K116" s="128">
        <v>7</v>
      </c>
      <c r="L116" s="128">
        <v>12.3</v>
      </c>
      <c r="O116" s="147">
        <f t="shared" si="12"/>
        <v>197.96954314720813</v>
      </c>
      <c r="P116" s="35">
        <v>64.396000000000001</v>
      </c>
      <c r="Q116" s="147">
        <f t="shared" si="13"/>
        <v>85</v>
      </c>
    </row>
    <row r="117" spans="2:17" x14ac:dyDescent="0.3">
      <c r="B117" s="159" t="s">
        <v>321</v>
      </c>
      <c r="C117" s="128">
        <v>221</v>
      </c>
      <c r="D117" s="128">
        <v>5000</v>
      </c>
      <c r="E117" s="128">
        <v>44</v>
      </c>
      <c r="F117" s="128">
        <v>145</v>
      </c>
      <c r="G117" s="128">
        <v>20</v>
      </c>
      <c r="H117" s="128">
        <v>26.8</v>
      </c>
      <c r="I117" s="160">
        <v>663</v>
      </c>
      <c r="J117" s="73">
        <f t="shared" si="11"/>
        <v>3</v>
      </c>
      <c r="K117" s="128">
        <v>7.1</v>
      </c>
      <c r="L117" s="128">
        <v>14.6</v>
      </c>
      <c r="O117" s="147">
        <f t="shared" si="12"/>
        <v>199.09502262443439</v>
      </c>
      <c r="P117" s="35">
        <v>64.492000000000004</v>
      </c>
      <c r="Q117" s="147">
        <f t="shared" si="13"/>
        <v>145</v>
      </c>
    </row>
    <row r="118" spans="2:17" x14ac:dyDescent="0.3">
      <c r="B118" s="159" t="s">
        <v>322</v>
      </c>
      <c r="C118" s="128">
        <v>250</v>
      </c>
      <c r="D118" s="128">
        <v>5000</v>
      </c>
      <c r="E118" s="128">
        <v>50</v>
      </c>
      <c r="F118" s="128">
        <v>205</v>
      </c>
      <c r="G118" s="128">
        <v>20</v>
      </c>
      <c r="H118" s="128">
        <v>26.6</v>
      </c>
      <c r="I118" s="160">
        <v>750</v>
      </c>
      <c r="J118" s="73">
        <f t="shared" si="11"/>
        <v>3</v>
      </c>
      <c r="K118" s="128">
        <v>6.8</v>
      </c>
      <c r="L118" s="128">
        <v>16.7</v>
      </c>
      <c r="O118" s="147">
        <f t="shared" ref="O118:O147" si="14">(E118*1000)/C118</f>
        <v>200</v>
      </c>
      <c r="P118" s="35">
        <v>64.569000000000003</v>
      </c>
      <c r="Q118" s="147">
        <f t="shared" si="13"/>
        <v>205</v>
      </c>
    </row>
    <row r="119" spans="2:17" x14ac:dyDescent="0.3">
      <c r="B119" s="75" t="s">
        <v>323</v>
      </c>
      <c r="C119" s="76">
        <v>500</v>
      </c>
      <c r="D119" s="76">
        <v>10000</v>
      </c>
      <c r="E119" s="76">
        <v>100</v>
      </c>
      <c r="F119" s="76">
        <v>205</v>
      </c>
      <c r="G119" s="76">
        <v>20</v>
      </c>
      <c r="H119" s="77">
        <v>19.7</v>
      </c>
      <c r="I119" s="78">
        <v>1500</v>
      </c>
      <c r="J119" s="73">
        <f t="shared" si="11"/>
        <v>3</v>
      </c>
      <c r="K119" s="76">
        <v>7.3</v>
      </c>
      <c r="L119" s="76">
        <v>13</v>
      </c>
      <c r="O119" s="147">
        <f t="shared" si="14"/>
        <v>200</v>
      </c>
      <c r="P119" s="35">
        <v>64.569000000000003</v>
      </c>
      <c r="Q119" s="147">
        <f t="shared" si="13"/>
        <v>205</v>
      </c>
    </row>
    <row r="120" spans="2:17" x14ac:dyDescent="0.3">
      <c r="B120" s="75">
        <v>44960</v>
      </c>
      <c r="C120" s="76">
        <v>400</v>
      </c>
      <c r="D120" s="76">
        <v>10000</v>
      </c>
      <c r="E120" s="76">
        <v>80</v>
      </c>
      <c r="F120" s="76">
        <v>85</v>
      </c>
      <c r="G120" s="76">
        <v>20</v>
      </c>
      <c r="H120" s="77">
        <v>25.3</v>
      </c>
      <c r="I120" s="78">
        <v>1200</v>
      </c>
      <c r="J120" s="73">
        <f t="shared" si="11"/>
        <v>3</v>
      </c>
      <c r="K120" s="76">
        <v>6.9</v>
      </c>
      <c r="L120" s="76">
        <v>10.199999999999999</v>
      </c>
      <c r="O120" s="147">
        <f t="shared" si="14"/>
        <v>200</v>
      </c>
      <c r="P120" s="35">
        <v>64.569000000000003</v>
      </c>
      <c r="Q120" s="147">
        <f t="shared" si="13"/>
        <v>85</v>
      </c>
    </row>
    <row r="121" spans="2:17" x14ac:dyDescent="0.3">
      <c r="B121" s="7" t="s">
        <v>324</v>
      </c>
      <c r="C121" s="180">
        <v>400</v>
      </c>
      <c r="D121" s="180">
        <v>10000</v>
      </c>
      <c r="E121" s="180">
        <v>80</v>
      </c>
      <c r="F121" s="180">
        <v>85</v>
      </c>
      <c r="G121" s="180">
        <v>20</v>
      </c>
      <c r="H121" s="181">
        <v>23.3</v>
      </c>
      <c r="I121" s="182">
        <v>1200</v>
      </c>
      <c r="J121" s="73">
        <f t="shared" si="11"/>
        <v>3</v>
      </c>
      <c r="K121" s="180">
        <v>6.5</v>
      </c>
      <c r="L121" s="180">
        <v>9.8000000000000007</v>
      </c>
      <c r="O121" s="147">
        <f t="shared" si="14"/>
        <v>200</v>
      </c>
      <c r="P121" s="35">
        <v>64.569000000000003</v>
      </c>
      <c r="Q121" s="147">
        <f t="shared" si="13"/>
        <v>85</v>
      </c>
    </row>
    <row r="122" spans="2:17" x14ac:dyDescent="0.3">
      <c r="B122" s="75" t="s">
        <v>325</v>
      </c>
      <c r="C122" s="76">
        <v>450</v>
      </c>
      <c r="D122" s="76">
        <v>10000</v>
      </c>
      <c r="E122" s="76">
        <v>90</v>
      </c>
      <c r="F122" s="76">
        <v>145</v>
      </c>
      <c r="G122" s="76">
        <v>20</v>
      </c>
      <c r="H122" s="77">
        <v>23.3</v>
      </c>
      <c r="I122" s="78">
        <v>1350</v>
      </c>
      <c r="J122" s="73">
        <f t="shared" si="11"/>
        <v>3</v>
      </c>
      <c r="K122" s="76">
        <v>7</v>
      </c>
      <c r="L122" s="76">
        <v>19</v>
      </c>
      <c r="O122" s="147">
        <f t="shared" si="14"/>
        <v>200</v>
      </c>
      <c r="P122" s="35">
        <v>64.569000000000003</v>
      </c>
      <c r="Q122" s="147">
        <f t="shared" si="13"/>
        <v>145</v>
      </c>
    </row>
    <row r="123" spans="2:17" x14ac:dyDescent="0.3">
      <c r="B123" s="167" t="s">
        <v>326</v>
      </c>
      <c r="C123" s="168">
        <v>132</v>
      </c>
      <c r="D123" s="168">
        <v>3000</v>
      </c>
      <c r="E123" s="168">
        <v>14</v>
      </c>
      <c r="F123" s="168">
        <v>85</v>
      </c>
      <c r="G123" s="168">
        <v>10</v>
      </c>
      <c r="H123" s="169">
        <v>36.71</v>
      </c>
      <c r="I123" s="169">
        <v>138</v>
      </c>
      <c r="J123" s="73">
        <f t="shared" si="11"/>
        <v>1</v>
      </c>
      <c r="K123" s="168">
        <v>8.11</v>
      </c>
      <c r="L123" s="168">
        <v>27.15</v>
      </c>
      <c r="O123" s="147">
        <f t="shared" si="14"/>
        <v>106.06060606060606</v>
      </c>
      <c r="P123" s="35">
        <v>53.561</v>
      </c>
      <c r="Q123" s="147">
        <f t="shared" si="13"/>
        <v>85</v>
      </c>
    </row>
    <row r="124" spans="2:17" x14ac:dyDescent="0.3">
      <c r="B124" s="167" t="s">
        <v>327</v>
      </c>
      <c r="C124" s="168">
        <v>143</v>
      </c>
      <c r="D124" s="168">
        <v>3000</v>
      </c>
      <c r="E124" s="168">
        <v>14.5</v>
      </c>
      <c r="F124" s="168">
        <v>145</v>
      </c>
      <c r="G124" s="168">
        <v>10</v>
      </c>
      <c r="H124" s="169">
        <v>30.04</v>
      </c>
      <c r="I124">
        <v>144</v>
      </c>
      <c r="J124" s="73">
        <f t="shared" si="11"/>
        <v>1</v>
      </c>
      <c r="K124" s="168">
        <v>7.89</v>
      </c>
      <c r="L124" s="168">
        <v>29.93</v>
      </c>
      <c r="O124" s="147">
        <f t="shared" si="14"/>
        <v>101.3986013986014</v>
      </c>
      <c r="P124" s="35">
        <v>52.767000000000003</v>
      </c>
      <c r="Q124" s="147">
        <f t="shared" si="13"/>
        <v>145</v>
      </c>
    </row>
    <row r="125" spans="2:17" x14ac:dyDescent="0.3">
      <c r="B125" s="167" t="s">
        <v>328</v>
      </c>
      <c r="C125" s="168">
        <v>156</v>
      </c>
      <c r="D125" s="168">
        <v>3000</v>
      </c>
      <c r="E125" s="168">
        <v>16</v>
      </c>
      <c r="F125" s="168">
        <v>205</v>
      </c>
      <c r="G125" s="168">
        <v>10</v>
      </c>
      <c r="H125" s="169">
        <v>24.45</v>
      </c>
      <c r="I125" s="169">
        <v>156</v>
      </c>
      <c r="J125" s="73">
        <f t="shared" si="11"/>
        <v>1</v>
      </c>
      <c r="K125" s="168">
        <v>7.97</v>
      </c>
      <c r="L125" s="168">
        <v>34.33</v>
      </c>
      <c r="O125" s="147">
        <f t="shared" si="14"/>
        <v>102.56410256410257</v>
      </c>
      <c r="P125" s="35">
        <v>52.969000000000001</v>
      </c>
      <c r="Q125" s="147">
        <f t="shared" si="13"/>
        <v>205</v>
      </c>
    </row>
    <row r="126" spans="2:17" x14ac:dyDescent="0.3">
      <c r="B126" s="167" t="s">
        <v>329</v>
      </c>
      <c r="C126" s="168">
        <v>208</v>
      </c>
      <c r="D126" s="168">
        <v>5000</v>
      </c>
      <c r="E126" s="168">
        <v>21</v>
      </c>
      <c r="F126" s="168">
        <v>85</v>
      </c>
      <c r="G126" s="168">
        <v>10</v>
      </c>
      <c r="H126" s="169">
        <v>29.04</v>
      </c>
      <c r="I126" s="169">
        <v>210</v>
      </c>
      <c r="J126" s="73">
        <f t="shared" si="11"/>
        <v>1</v>
      </c>
      <c r="K126" s="168">
        <v>7.16</v>
      </c>
      <c r="L126" s="168">
        <v>21.62</v>
      </c>
      <c r="O126" s="147">
        <f t="shared" si="14"/>
        <v>100.96153846153847</v>
      </c>
      <c r="P126" s="143">
        <v>52.691000000000003</v>
      </c>
      <c r="Q126" s="147">
        <f t="shared" si="13"/>
        <v>85</v>
      </c>
    </row>
    <row r="127" spans="2:17" x14ac:dyDescent="0.3">
      <c r="B127" s="167" t="s">
        <v>330</v>
      </c>
      <c r="C127" s="168">
        <v>240</v>
      </c>
      <c r="D127" s="168">
        <v>5000</v>
      </c>
      <c r="E127" s="168">
        <v>24</v>
      </c>
      <c r="F127" s="168">
        <v>145</v>
      </c>
      <c r="G127" s="168">
        <v>10</v>
      </c>
      <c r="H127" s="169">
        <v>20.25</v>
      </c>
      <c r="I127">
        <v>240</v>
      </c>
      <c r="J127" s="73">
        <f t="shared" si="11"/>
        <v>1</v>
      </c>
      <c r="K127" s="168">
        <v>7.01</v>
      </c>
      <c r="L127" s="168">
        <v>24.4</v>
      </c>
      <c r="O127" s="147">
        <f t="shared" si="14"/>
        <v>100</v>
      </c>
      <c r="P127" s="143">
        <v>52.521000000000001</v>
      </c>
      <c r="Q127" s="147">
        <f t="shared" si="13"/>
        <v>145</v>
      </c>
    </row>
    <row r="128" spans="2:17" x14ac:dyDescent="0.3">
      <c r="B128" s="167" t="s">
        <v>331</v>
      </c>
      <c r="C128" s="168">
        <v>260</v>
      </c>
      <c r="D128" s="168">
        <v>5000</v>
      </c>
      <c r="E128" s="168">
        <v>26</v>
      </c>
      <c r="F128" s="168">
        <v>205</v>
      </c>
      <c r="G128" s="168">
        <v>10</v>
      </c>
      <c r="H128" s="169">
        <v>15.34</v>
      </c>
      <c r="I128" s="169">
        <v>261</v>
      </c>
      <c r="J128" s="73">
        <f t="shared" si="11"/>
        <v>1</v>
      </c>
      <c r="K128" s="168">
        <v>6.69</v>
      </c>
      <c r="L128" s="168">
        <v>28.6</v>
      </c>
      <c r="O128" s="147">
        <f t="shared" si="14"/>
        <v>100</v>
      </c>
      <c r="P128" s="143">
        <v>52.521000000000001</v>
      </c>
      <c r="Q128" s="147">
        <f t="shared" si="13"/>
        <v>205</v>
      </c>
    </row>
    <row r="129" spans="2:17" x14ac:dyDescent="0.3">
      <c r="B129" s="167" t="s">
        <v>332</v>
      </c>
      <c r="C129" s="168">
        <v>414</v>
      </c>
      <c r="D129" s="168">
        <v>10000</v>
      </c>
      <c r="E129" s="168">
        <v>41.5</v>
      </c>
      <c r="F129" s="168">
        <v>85</v>
      </c>
      <c r="G129" s="168">
        <v>10</v>
      </c>
      <c r="H129" s="169">
        <v>15.74</v>
      </c>
      <c r="I129" s="169">
        <v>435</v>
      </c>
      <c r="J129" s="73">
        <f t="shared" si="11"/>
        <v>1</v>
      </c>
      <c r="K129" s="168">
        <v>6.46</v>
      </c>
      <c r="L129" s="168">
        <v>14.87</v>
      </c>
      <c r="O129" s="147">
        <f t="shared" si="14"/>
        <v>100.2415458937198</v>
      </c>
      <c r="P129" s="35">
        <v>52.564</v>
      </c>
      <c r="Q129" s="147">
        <f t="shared" si="13"/>
        <v>85</v>
      </c>
    </row>
    <row r="130" spans="2:17" x14ac:dyDescent="0.3">
      <c r="B130" s="167" t="s">
        <v>333</v>
      </c>
      <c r="C130" s="168">
        <v>477</v>
      </c>
      <c r="D130" s="168">
        <v>10000</v>
      </c>
      <c r="E130" s="168">
        <v>47</v>
      </c>
      <c r="F130" s="168">
        <v>145</v>
      </c>
      <c r="G130" s="168">
        <v>10</v>
      </c>
      <c r="H130" s="169">
        <v>12.1</v>
      </c>
      <c r="I130" s="169">
        <v>489</v>
      </c>
      <c r="J130" s="73">
        <f t="shared" si="11"/>
        <v>1</v>
      </c>
      <c r="K130" s="168">
        <v>6.65</v>
      </c>
      <c r="L130" s="168">
        <v>16.989999999999998</v>
      </c>
      <c r="O130" s="147">
        <f t="shared" si="14"/>
        <v>98.532494758909849</v>
      </c>
      <c r="P130" s="35">
        <v>52.26</v>
      </c>
      <c r="Q130" s="147">
        <f t="shared" si="13"/>
        <v>145</v>
      </c>
    </row>
    <row r="131" spans="2:17" x14ac:dyDescent="0.3">
      <c r="B131" s="167" t="s">
        <v>334</v>
      </c>
      <c r="C131" s="168">
        <v>524</v>
      </c>
      <c r="D131" s="168">
        <v>10000</v>
      </c>
      <c r="E131" s="168">
        <v>53</v>
      </c>
      <c r="F131" s="168">
        <v>205</v>
      </c>
      <c r="G131" s="168">
        <v>10</v>
      </c>
      <c r="H131" s="169">
        <v>10.27</v>
      </c>
      <c r="I131" s="169">
        <v>525</v>
      </c>
      <c r="J131" s="73">
        <f t="shared" si="11"/>
        <v>1</v>
      </c>
      <c r="K131" s="168">
        <v>6.34</v>
      </c>
      <c r="L131" s="168">
        <v>20.7</v>
      </c>
      <c r="O131" s="147">
        <f t="shared" si="14"/>
        <v>101.14503816793894</v>
      </c>
      <c r="P131" s="35">
        <v>52.722999999999999</v>
      </c>
      <c r="Q131" s="147">
        <f t="shared" si="13"/>
        <v>205</v>
      </c>
    </row>
    <row r="132" spans="2:17" x14ac:dyDescent="0.3">
      <c r="B132" s="167" t="s">
        <v>335</v>
      </c>
      <c r="C132" s="168">
        <v>132</v>
      </c>
      <c r="D132" s="168">
        <v>3000</v>
      </c>
      <c r="E132" s="168">
        <v>14</v>
      </c>
      <c r="F132" s="168">
        <v>85</v>
      </c>
      <c r="G132" s="140">
        <v>10</v>
      </c>
      <c r="H132" s="169">
        <v>46.26</v>
      </c>
      <c r="I132" s="169">
        <v>555</v>
      </c>
      <c r="J132" s="73">
        <f t="shared" si="11"/>
        <v>4</v>
      </c>
      <c r="K132" s="168">
        <v>6.09</v>
      </c>
      <c r="L132" s="168">
        <v>8.31</v>
      </c>
      <c r="O132" s="147">
        <f t="shared" si="14"/>
        <v>106.06060606060606</v>
      </c>
      <c r="P132" s="35">
        <v>53.561</v>
      </c>
      <c r="Q132" s="147">
        <f t="shared" si="13"/>
        <v>85</v>
      </c>
    </row>
    <row r="133" spans="2:17" x14ac:dyDescent="0.3">
      <c r="B133" s="167" t="s">
        <v>336</v>
      </c>
      <c r="C133" s="168">
        <v>142</v>
      </c>
      <c r="D133" s="168">
        <v>3000</v>
      </c>
      <c r="E133" s="168">
        <v>14.5</v>
      </c>
      <c r="F133" s="168">
        <v>145</v>
      </c>
      <c r="G133" s="168">
        <v>10</v>
      </c>
      <c r="H133" s="169">
        <v>40.79</v>
      </c>
      <c r="I133">
        <v>576</v>
      </c>
      <c r="J133" s="73">
        <f t="shared" si="11"/>
        <v>4</v>
      </c>
      <c r="K133" s="168">
        <v>6.48</v>
      </c>
      <c r="L133" s="168">
        <v>9.73</v>
      </c>
      <c r="O133" s="147">
        <f t="shared" si="14"/>
        <v>102.11267605633803</v>
      </c>
      <c r="P133" s="35">
        <v>52.890999999999998</v>
      </c>
      <c r="Q133" s="147">
        <f t="shared" si="13"/>
        <v>145</v>
      </c>
    </row>
    <row r="134" spans="2:17" x14ac:dyDescent="0.3">
      <c r="B134" t="s">
        <v>338</v>
      </c>
      <c r="C134" s="168">
        <v>156</v>
      </c>
      <c r="D134" s="168">
        <v>3000</v>
      </c>
      <c r="E134" s="168">
        <v>15.5</v>
      </c>
      <c r="F134" s="168">
        <v>205</v>
      </c>
      <c r="G134" s="168">
        <v>10</v>
      </c>
      <c r="H134" s="169">
        <v>36.590000000000003</v>
      </c>
      <c r="I134" s="169">
        <v>627</v>
      </c>
      <c r="J134" s="73">
        <f t="shared" si="11"/>
        <v>4</v>
      </c>
      <c r="K134" s="168">
        <v>6.21</v>
      </c>
      <c r="L134" s="168">
        <v>10.72</v>
      </c>
      <c r="O134" s="147">
        <f t="shared" si="14"/>
        <v>99.358974358974365</v>
      </c>
      <c r="P134" s="35">
        <v>52.408000000000001</v>
      </c>
      <c r="Q134" s="147">
        <f t="shared" si="13"/>
        <v>205</v>
      </c>
    </row>
    <row r="135" spans="2:17" x14ac:dyDescent="0.3">
      <c r="B135" s="170" t="s">
        <v>337</v>
      </c>
      <c r="C135" s="168">
        <v>259</v>
      </c>
      <c r="D135" s="168">
        <v>5000</v>
      </c>
      <c r="E135" s="168">
        <v>26</v>
      </c>
      <c r="F135" s="168">
        <v>205</v>
      </c>
      <c r="G135" s="168">
        <v>10</v>
      </c>
      <c r="H135" s="169">
        <v>23.65</v>
      </c>
      <c r="I135" s="169">
        <v>1038</v>
      </c>
      <c r="J135" s="73">
        <f t="shared" si="11"/>
        <v>4</v>
      </c>
      <c r="K135" s="168">
        <v>6.39</v>
      </c>
      <c r="L135" s="168">
        <v>9.17</v>
      </c>
      <c r="O135" s="147">
        <f t="shared" si="14"/>
        <v>100.38610038610038</v>
      </c>
      <c r="P135" s="35">
        <v>52.59</v>
      </c>
      <c r="Q135" s="147">
        <f t="shared" si="13"/>
        <v>205</v>
      </c>
    </row>
    <row r="136" spans="2:17" x14ac:dyDescent="0.3">
      <c r="B136" s="170" t="s">
        <v>339</v>
      </c>
      <c r="C136" s="168">
        <v>209</v>
      </c>
      <c r="D136" s="168">
        <v>5000</v>
      </c>
      <c r="E136" s="168">
        <v>21</v>
      </c>
      <c r="F136" s="168">
        <v>85</v>
      </c>
      <c r="G136" s="168">
        <v>10</v>
      </c>
      <c r="H136" s="169">
        <v>33.450000000000003</v>
      </c>
      <c r="I136" s="169">
        <v>834</v>
      </c>
      <c r="J136" s="73">
        <f t="shared" si="11"/>
        <v>4</v>
      </c>
      <c r="K136" s="168">
        <v>6.36</v>
      </c>
      <c r="L136" s="168">
        <v>6.82</v>
      </c>
      <c r="O136" s="147">
        <f t="shared" si="14"/>
        <v>100.47846889952153</v>
      </c>
      <c r="P136" s="35">
        <v>52.606000000000002</v>
      </c>
      <c r="Q136" s="147">
        <f t="shared" si="13"/>
        <v>85</v>
      </c>
    </row>
    <row r="137" spans="2:17" x14ac:dyDescent="0.3">
      <c r="B137" s="170" t="s">
        <v>340</v>
      </c>
      <c r="C137" s="168">
        <v>241</v>
      </c>
      <c r="D137" s="168">
        <v>5000</v>
      </c>
      <c r="E137" s="168">
        <v>24</v>
      </c>
      <c r="F137" s="168">
        <v>145</v>
      </c>
      <c r="G137" s="168">
        <v>10</v>
      </c>
      <c r="H137" s="169">
        <v>28.32</v>
      </c>
      <c r="I137" s="169">
        <v>960</v>
      </c>
      <c r="J137" s="73">
        <f t="shared" si="11"/>
        <v>4</v>
      </c>
      <c r="K137" s="168">
        <v>6.7</v>
      </c>
      <c r="L137" s="168">
        <v>7.71</v>
      </c>
      <c r="O137" s="147">
        <f t="shared" si="14"/>
        <v>99.585062240663902</v>
      </c>
      <c r="P137" s="35">
        <v>52.448</v>
      </c>
      <c r="Q137" s="147">
        <f t="shared" si="13"/>
        <v>145</v>
      </c>
    </row>
    <row r="138" spans="2:17" x14ac:dyDescent="0.3">
      <c r="B138" s="170" t="s">
        <v>341</v>
      </c>
      <c r="C138" s="168">
        <v>132</v>
      </c>
      <c r="D138" s="168">
        <v>3000</v>
      </c>
      <c r="E138" s="168">
        <v>14</v>
      </c>
      <c r="F138" s="168">
        <v>85</v>
      </c>
      <c r="G138" s="168">
        <v>10</v>
      </c>
      <c r="H138">
        <v>43.66</v>
      </c>
      <c r="I138" s="169">
        <v>396</v>
      </c>
      <c r="J138" s="73">
        <f t="shared" si="11"/>
        <v>3</v>
      </c>
      <c r="K138" s="168">
        <v>6.47</v>
      </c>
      <c r="L138" s="168">
        <v>11.37</v>
      </c>
      <c r="O138" s="147">
        <f t="shared" si="14"/>
        <v>106.06060606060606</v>
      </c>
      <c r="P138" s="35">
        <v>53.561</v>
      </c>
      <c r="Q138" s="147">
        <f t="shared" si="13"/>
        <v>85</v>
      </c>
    </row>
    <row r="139" spans="2:17" x14ac:dyDescent="0.3">
      <c r="B139" s="170" t="s">
        <v>342</v>
      </c>
      <c r="C139" s="168">
        <v>143</v>
      </c>
      <c r="D139" s="168">
        <v>3000</v>
      </c>
      <c r="E139" s="168">
        <v>14.5</v>
      </c>
      <c r="F139" s="168">
        <v>145</v>
      </c>
      <c r="G139" s="168">
        <v>10</v>
      </c>
      <c r="H139" s="171">
        <v>36.86</v>
      </c>
      <c r="I139" s="169">
        <v>432</v>
      </c>
      <c r="J139" s="73">
        <f t="shared" si="11"/>
        <v>3</v>
      </c>
      <c r="K139" s="168">
        <v>6.49</v>
      </c>
      <c r="L139" s="168">
        <v>12.26</v>
      </c>
      <c r="O139" s="147">
        <f t="shared" si="14"/>
        <v>101.3986013986014</v>
      </c>
      <c r="P139" s="35">
        <v>52.767000000000003</v>
      </c>
      <c r="Q139" s="147">
        <f t="shared" si="13"/>
        <v>145</v>
      </c>
    </row>
    <row r="140" spans="2:17" x14ac:dyDescent="0.3">
      <c r="B140" s="170" t="s">
        <v>343</v>
      </c>
      <c r="C140" s="168">
        <v>415</v>
      </c>
      <c r="D140" s="168">
        <v>10000</v>
      </c>
      <c r="E140" s="168">
        <v>41.5</v>
      </c>
      <c r="F140" s="168">
        <v>85</v>
      </c>
      <c r="G140" s="168">
        <v>10</v>
      </c>
      <c r="H140" s="169">
        <v>19.57</v>
      </c>
      <c r="I140" s="169">
        <v>1635</v>
      </c>
      <c r="J140" s="73">
        <f t="shared" si="11"/>
        <v>4</v>
      </c>
      <c r="K140" s="168">
        <v>6.48</v>
      </c>
      <c r="L140" s="168">
        <v>4.5599999999999996</v>
      </c>
      <c r="O140" s="147">
        <f t="shared" si="14"/>
        <v>100</v>
      </c>
      <c r="P140" s="35">
        <v>52.521000000000001</v>
      </c>
      <c r="Q140" s="147">
        <f t="shared" si="13"/>
        <v>85</v>
      </c>
    </row>
    <row r="141" spans="2:17" x14ac:dyDescent="0.3">
      <c r="B141" s="170" t="s">
        <v>344</v>
      </c>
      <c r="C141" s="168">
        <v>157</v>
      </c>
      <c r="D141" s="168">
        <v>3000</v>
      </c>
      <c r="E141" s="168">
        <v>15.5</v>
      </c>
      <c r="F141" s="168">
        <v>205</v>
      </c>
      <c r="G141" s="168">
        <v>10</v>
      </c>
      <c r="H141" s="169">
        <v>35.24</v>
      </c>
      <c r="I141">
        <v>471</v>
      </c>
      <c r="J141" s="73">
        <f t="shared" si="11"/>
        <v>3</v>
      </c>
      <c r="K141" s="168">
        <v>6.4</v>
      </c>
      <c r="L141" s="168">
        <v>14.29</v>
      </c>
      <c r="O141" s="147">
        <f t="shared" si="14"/>
        <v>98.726114649681534</v>
      </c>
      <c r="P141" s="35">
        <v>52.295000000000002</v>
      </c>
      <c r="Q141" s="147">
        <f t="shared" si="13"/>
        <v>205</v>
      </c>
    </row>
    <row r="142" spans="2:17" x14ac:dyDescent="0.3">
      <c r="B142" s="170" t="s">
        <v>345</v>
      </c>
      <c r="C142" s="168">
        <v>261</v>
      </c>
      <c r="D142" s="168">
        <v>5000</v>
      </c>
      <c r="E142" s="168">
        <v>26</v>
      </c>
      <c r="F142" s="168">
        <v>205</v>
      </c>
      <c r="G142" s="168">
        <v>10</v>
      </c>
      <c r="H142" s="171">
        <v>22.49</v>
      </c>
      <c r="I142" s="169">
        <v>774</v>
      </c>
      <c r="J142" s="73">
        <f t="shared" si="11"/>
        <v>3</v>
      </c>
      <c r="K142" s="168">
        <v>6.48</v>
      </c>
      <c r="L142" s="168">
        <v>11.99</v>
      </c>
      <c r="O142" s="147">
        <f t="shared" si="14"/>
        <v>99.616858237547888</v>
      </c>
      <c r="P142" s="35">
        <v>52.454000000000001</v>
      </c>
      <c r="Q142" s="147">
        <f t="shared" si="13"/>
        <v>205</v>
      </c>
    </row>
    <row r="143" spans="2:17" x14ac:dyDescent="0.3">
      <c r="B143" s="170" t="s">
        <v>346</v>
      </c>
      <c r="C143" s="168">
        <v>209</v>
      </c>
      <c r="D143" s="168">
        <v>5000</v>
      </c>
      <c r="E143" s="168">
        <v>21</v>
      </c>
      <c r="F143" s="168">
        <v>85</v>
      </c>
      <c r="G143" s="168">
        <v>10</v>
      </c>
      <c r="H143" s="168">
        <v>34.19</v>
      </c>
      <c r="I143">
        <v>627</v>
      </c>
      <c r="J143" s="73">
        <f t="shared" si="11"/>
        <v>3</v>
      </c>
      <c r="K143" s="168">
        <v>6.03</v>
      </c>
      <c r="L143" s="168">
        <v>9.34</v>
      </c>
      <c r="O143" s="147">
        <f t="shared" si="14"/>
        <v>100.47846889952153</v>
      </c>
      <c r="P143" s="35">
        <v>52.606000000000002</v>
      </c>
      <c r="Q143" s="147">
        <f t="shared" si="13"/>
        <v>85</v>
      </c>
    </row>
    <row r="144" spans="2:17" x14ac:dyDescent="0.3">
      <c r="B144" s="170" t="s">
        <v>358</v>
      </c>
      <c r="C144" s="168">
        <v>243</v>
      </c>
      <c r="D144" s="168">
        <v>5000</v>
      </c>
      <c r="E144" s="168">
        <v>24</v>
      </c>
      <c r="F144" s="168">
        <v>145</v>
      </c>
      <c r="G144" s="168">
        <v>10</v>
      </c>
      <c r="H144" s="168">
        <v>28.03</v>
      </c>
      <c r="I144" s="169">
        <v>726</v>
      </c>
      <c r="J144" s="73">
        <f t="shared" si="11"/>
        <v>3</v>
      </c>
      <c r="K144" s="168">
        <v>6.39</v>
      </c>
      <c r="L144" s="168">
        <v>10.07</v>
      </c>
      <c r="O144" s="147">
        <f t="shared" si="14"/>
        <v>98.76543209876543</v>
      </c>
      <c r="P144" s="35">
        <v>52.302</v>
      </c>
      <c r="Q144" s="147">
        <f t="shared" si="13"/>
        <v>145</v>
      </c>
    </row>
    <row r="145" spans="2:17" x14ac:dyDescent="0.3">
      <c r="B145" s="170" t="s">
        <v>347</v>
      </c>
      <c r="C145" s="168">
        <v>414</v>
      </c>
      <c r="D145" s="168">
        <v>10000</v>
      </c>
      <c r="E145" s="168">
        <v>41.5</v>
      </c>
      <c r="F145" s="168">
        <v>85</v>
      </c>
      <c r="G145" s="168">
        <v>10</v>
      </c>
      <c r="H145" s="168">
        <v>18.37</v>
      </c>
      <c r="I145" s="168">
        <v>1239</v>
      </c>
      <c r="J145" s="73">
        <f t="shared" si="11"/>
        <v>3</v>
      </c>
      <c r="K145" s="168">
        <v>6.35</v>
      </c>
      <c r="L145" s="168">
        <v>6.1</v>
      </c>
      <c r="O145" s="147">
        <f t="shared" si="14"/>
        <v>100.2415458937198</v>
      </c>
      <c r="P145" s="35">
        <v>52.564</v>
      </c>
      <c r="Q145" s="147">
        <f t="shared" si="13"/>
        <v>85</v>
      </c>
    </row>
    <row r="146" spans="2:17" x14ac:dyDescent="0.3">
      <c r="B146" s="170" t="s">
        <v>348</v>
      </c>
      <c r="C146" s="168">
        <v>477</v>
      </c>
      <c r="D146" s="168">
        <v>10000</v>
      </c>
      <c r="E146" s="168">
        <v>47</v>
      </c>
      <c r="F146" s="168">
        <v>145</v>
      </c>
      <c r="G146" s="168">
        <v>10</v>
      </c>
      <c r="H146" s="168">
        <v>18.37</v>
      </c>
      <c r="I146" s="168">
        <v>1434</v>
      </c>
      <c r="J146" s="73">
        <f t="shared" si="11"/>
        <v>3</v>
      </c>
      <c r="K146" s="168">
        <v>6.32</v>
      </c>
      <c r="L146" s="168">
        <v>7.27</v>
      </c>
      <c r="O146" s="147">
        <f t="shared" si="14"/>
        <v>98.532494758909849</v>
      </c>
      <c r="P146" s="35">
        <v>52.26</v>
      </c>
      <c r="Q146" s="147">
        <f t="shared" si="13"/>
        <v>145</v>
      </c>
    </row>
    <row r="147" spans="2:17" x14ac:dyDescent="0.3">
      <c r="B147" s="170" t="s">
        <v>349</v>
      </c>
      <c r="C147" s="168">
        <v>524</v>
      </c>
      <c r="D147" s="168">
        <v>10000</v>
      </c>
      <c r="E147" s="168">
        <v>53</v>
      </c>
      <c r="F147" s="168">
        <v>205</v>
      </c>
      <c r="G147" s="168">
        <v>10</v>
      </c>
      <c r="H147" s="168">
        <v>15.54</v>
      </c>
      <c r="I147">
        <v>1575</v>
      </c>
      <c r="J147" s="73">
        <f t="shared" si="11"/>
        <v>3</v>
      </c>
      <c r="K147" s="168">
        <v>6.6</v>
      </c>
      <c r="L147" s="168">
        <v>8.41</v>
      </c>
      <c r="O147" s="147">
        <f t="shared" si="14"/>
        <v>101.14503816793894</v>
      </c>
      <c r="P147" s="35">
        <v>52.722999999999999</v>
      </c>
      <c r="Q147" s="147">
        <f t="shared" si="13"/>
        <v>205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BCEC-995D-4F11-8DC8-743C6C80AF08}">
  <sheetPr codeName="Sheet2"/>
  <dimension ref="A1:DV106"/>
  <sheetViews>
    <sheetView zoomScale="105" zoomScaleNormal="175" workbookViewId="0">
      <pane xSplit="1" ySplit="1" topLeftCell="BV2" activePane="bottomRight" state="frozen"/>
      <selection pane="topRight" activeCell="B1" sqref="B1"/>
      <selection pane="bottomLeft" activeCell="A2" sqref="A2"/>
      <selection pane="bottomRight" activeCell="DQ102" sqref="DQ55:DQ102"/>
    </sheetView>
  </sheetViews>
  <sheetFormatPr defaultRowHeight="14.4" x14ac:dyDescent="0.3"/>
  <cols>
    <col min="1" max="1" width="13" style="166" customWidth="1"/>
    <col min="2" max="3" width="8.88671875" style="166" customWidth="1"/>
    <col min="4" max="9" width="9.21875" style="166" bestFit="1" customWidth="1"/>
    <col min="10" max="10" width="11.88671875" style="166" bestFit="1" customWidth="1"/>
    <col min="11" max="11" width="11.77734375" style="166" bestFit="1" customWidth="1"/>
    <col min="12" max="12" width="9.88671875" style="166" customWidth="1"/>
    <col min="13" max="13" width="11.77734375" style="166" bestFit="1" customWidth="1"/>
    <col min="14" max="14" width="11.33203125" style="166" customWidth="1"/>
    <col min="15" max="15" width="11.77734375" style="166" bestFit="1" customWidth="1"/>
    <col min="16" max="16" width="13" style="166" customWidth="1"/>
    <col min="17" max="17" width="20.5546875" style="166" customWidth="1"/>
    <col min="18" max="18" width="21.21875" style="166" customWidth="1"/>
    <col min="19" max="19" width="11.88671875" style="166" bestFit="1" customWidth="1"/>
    <col min="20" max="23" width="11.77734375" style="166" bestFit="1" customWidth="1"/>
    <col min="24" max="24" width="11.6640625" style="166" bestFit="1" customWidth="1"/>
    <col min="25" max="25" width="11.77734375" style="166" bestFit="1" customWidth="1"/>
    <col min="26" max="28" width="11.5546875" style="166" bestFit="1" customWidth="1"/>
    <col min="29" max="33" width="8.88671875" style="166"/>
    <col min="34" max="34" width="11.5546875" bestFit="1" customWidth="1"/>
    <col min="42" max="42" width="12.109375" bestFit="1" customWidth="1"/>
    <col min="44" max="44" width="11.5546875" style="166" bestFit="1" customWidth="1"/>
    <col min="45" max="51" width="8.88671875" style="166"/>
    <col min="52" max="52" width="11.6640625" style="166" bestFit="1" customWidth="1"/>
    <col min="53" max="53" width="9.109375" style="165" bestFit="1" customWidth="1"/>
    <col min="54" max="54" width="11.77734375" style="166" bestFit="1" customWidth="1"/>
    <col min="55" max="55" width="10.6640625" style="166" bestFit="1" customWidth="1"/>
    <col min="56" max="56" width="11.77734375" style="166" bestFit="1" customWidth="1"/>
    <col min="57" max="57" width="9" style="166" bestFit="1" customWidth="1"/>
    <col min="58" max="58" width="11.77734375" style="166" bestFit="1" customWidth="1"/>
    <col min="59" max="59" width="9" style="166" bestFit="1" customWidth="1"/>
    <col min="60" max="60" width="11.77734375" style="166" bestFit="1" customWidth="1"/>
    <col min="61" max="61" width="9" style="166" bestFit="1" customWidth="1"/>
    <col min="62" max="62" width="11.77734375" style="166" bestFit="1" customWidth="1"/>
    <col min="63" max="63" width="9" style="166" bestFit="1" customWidth="1"/>
    <col min="64" max="64" width="11.77734375" style="166" bestFit="1" customWidth="1"/>
    <col min="65" max="65" width="9" style="166" bestFit="1" customWidth="1"/>
    <col min="66" max="66" width="11.77734375" style="166" bestFit="1" customWidth="1"/>
    <col min="67" max="67" width="9" style="166" bestFit="1" customWidth="1"/>
    <col min="68" max="68" width="11.77734375" style="166" bestFit="1" customWidth="1"/>
    <col min="69" max="69" width="7.5546875" style="166" bestFit="1" customWidth="1"/>
    <col min="70" max="70" width="11.6640625" style="166" bestFit="1" customWidth="1"/>
    <col min="71" max="71" width="10.5546875" style="166" bestFit="1" customWidth="1"/>
    <col min="72" max="75" width="11.5546875" style="166" bestFit="1" customWidth="1"/>
    <col min="76" max="76" width="10.5546875" style="166" bestFit="1" customWidth="1"/>
    <col min="77" max="77" width="11.5546875" style="166" bestFit="1" customWidth="1"/>
    <col min="78" max="78" width="11.88671875" style="166" bestFit="1" customWidth="1"/>
    <col min="79" max="79" width="11.77734375" style="166" bestFit="1" customWidth="1"/>
    <col min="80" max="80" width="11.88671875" style="166" bestFit="1" customWidth="1"/>
    <col min="81" max="82" width="11.77734375" style="166" bestFit="1" customWidth="1"/>
    <col min="83" max="83" width="11.88671875" style="166" bestFit="1" customWidth="1"/>
    <col min="84" max="85" width="11.77734375" style="166" bestFit="1" customWidth="1"/>
    <col min="86" max="86" width="11.77734375" style="166" customWidth="1"/>
    <col min="87" max="87" width="11.77734375" style="166" bestFit="1" customWidth="1"/>
    <col min="88" max="94" width="11.6640625" style="166" bestFit="1" customWidth="1"/>
    <col min="95" max="95" width="11.6640625" style="166" customWidth="1"/>
    <col min="96" max="96" width="9.109375" style="166" bestFit="1" customWidth="1"/>
    <col min="97" max="97" width="8.88671875" style="166"/>
    <col min="98" max="98" width="11.5546875" style="166" bestFit="1" customWidth="1"/>
    <col min="99" max="100" width="11.5546875" style="166" customWidth="1"/>
    <col min="101" max="102" width="9.109375" style="166" bestFit="1" customWidth="1"/>
    <col min="103" max="103" width="13.44140625" style="166" customWidth="1"/>
    <col min="104" max="104" width="12.44140625" style="166" customWidth="1"/>
    <col min="105" max="105" width="11.33203125" style="166" customWidth="1"/>
    <col min="106" max="110" width="9.109375" style="166" bestFit="1" customWidth="1"/>
    <col min="111" max="112" width="9.109375" bestFit="1" customWidth="1"/>
    <col min="113" max="113" width="13.88671875" style="166" bestFit="1" customWidth="1"/>
    <col min="114" max="116" width="13.88671875" style="166" customWidth="1"/>
    <col min="117" max="118" width="11.21875" style="166" bestFit="1" customWidth="1"/>
    <col min="119" max="120" width="11.5546875" style="166" bestFit="1" customWidth="1"/>
    <col min="121" max="121" width="12.88671875" style="166" customWidth="1"/>
    <col min="122" max="122" width="12.21875" style="166" bestFit="1" customWidth="1"/>
    <col min="123" max="123" width="11.5546875" style="166" bestFit="1" customWidth="1"/>
    <col min="124" max="124" width="14" style="166" customWidth="1"/>
    <col min="125" max="125" width="15.88671875" style="166" customWidth="1"/>
    <col min="126" max="126" width="16.33203125" style="166" customWidth="1"/>
    <col min="127" max="127" width="8.88671875" style="166"/>
    <col min="128" max="128" width="11.5546875" style="166" bestFit="1" customWidth="1"/>
    <col min="129" max="16384" width="8.88671875" style="166"/>
  </cols>
  <sheetData>
    <row r="1" spans="1:126" s="172" customFormat="1" ht="101.4" thickBot="1" x14ac:dyDescent="0.35">
      <c r="A1" s="172" t="s">
        <v>194</v>
      </c>
      <c r="B1" s="172" t="s">
        <v>205</v>
      </c>
      <c r="C1" s="172" t="s">
        <v>206</v>
      </c>
      <c r="D1" s="172" t="s">
        <v>207</v>
      </c>
      <c r="E1" s="172" t="s">
        <v>208</v>
      </c>
      <c r="F1" s="172" t="s">
        <v>209</v>
      </c>
      <c r="G1" s="172" t="s">
        <v>210</v>
      </c>
      <c r="H1" s="172" t="s">
        <v>211</v>
      </c>
      <c r="I1" s="172" t="s">
        <v>212</v>
      </c>
      <c r="J1" s="172" t="s">
        <v>213</v>
      </c>
      <c r="K1" s="172" t="s">
        <v>214</v>
      </c>
      <c r="L1" s="172" t="s">
        <v>215</v>
      </c>
      <c r="M1" s="172" t="s">
        <v>216</v>
      </c>
      <c r="N1" s="172" t="s">
        <v>217</v>
      </c>
      <c r="O1" s="172" t="s">
        <v>218</v>
      </c>
      <c r="P1" s="172" t="s">
        <v>219</v>
      </c>
      <c r="Q1" s="172" t="s">
        <v>220</v>
      </c>
      <c r="R1" s="172" t="s">
        <v>221</v>
      </c>
      <c r="S1" s="172" t="s">
        <v>228</v>
      </c>
      <c r="T1" s="172" t="s">
        <v>227</v>
      </c>
      <c r="U1" s="172" t="s">
        <v>226</v>
      </c>
      <c r="V1" s="172" t="s">
        <v>225</v>
      </c>
      <c r="W1" s="172" t="s">
        <v>224</v>
      </c>
      <c r="X1" s="172" t="s">
        <v>223</v>
      </c>
      <c r="Y1" s="172" t="s">
        <v>222</v>
      </c>
      <c r="Z1" s="298" t="s">
        <v>244</v>
      </c>
      <c r="AA1" s="298" t="s">
        <v>245</v>
      </c>
      <c r="AB1" s="298" t="s">
        <v>246</v>
      </c>
      <c r="AC1" s="298" t="s">
        <v>247</v>
      </c>
      <c r="AD1" s="298" t="s">
        <v>248</v>
      </c>
      <c r="AE1" s="298" t="s">
        <v>249</v>
      </c>
      <c r="AF1" s="298" t="s">
        <v>250</v>
      </c>
      <c r="AG1" s="298" t="s">
        <v>251</v>
      </c>
      <c r="AH1" s="298" t="s">
        <v>294</v>
      </c>
      <c r="AI1" s="298" t="s">
        <v>295</v>
      </c>
      <c r="AJ1" s="298" t="s">
        <v>296</v>
      </c>
      <c r="AK1" s="298" t="s">
        <v>297</v>
      </c>
      <c r="AL1" s="298" t="s">
        <v>298</v>
      </c>
      <c r="AM1" s="298" t="s">
        <v>299</v>
      </c>
      <c r="AN1" s="298" t="s">
        <v>300</v>
      </c>
      <c r="AO1" s="298" t="s">
        <v>301</v>
      </c>
      <c r="AP1" s="298" t="s">
        <v>911</v>
      </c>
      <c r="AQ1" s="298" t="s">
        <v>910</v>
      </c>
      <c r="AR1" s="298" t="s">
        <v>252</v>
      </c>
      <c r="AS1" s="298" t="s">
        <v>253</v>
      </c>
      <c r="AT1" s="298" t="s">
        <v>254</v>
      </c>
      <c r="AU1" s="298" t="s">
        <v>255</v>
      </c>
      <c r="AV1" s="298" t="s">
        <v>256</v>
      </c>
      <c r="AW1" s="298" t="s">
        <v>257</v>
      </c>
      <c r="AX1" s="298" t="s">
        <v>258</v>
      </c>
      <c r="AY1" s="298" t="s">
        <v>259</v>
      </c>
      <c r="AZ1" s="142" t="s">
        <v>284</v>
      </c>
      <c r="BA1" s="142" t="s">
        <v>285</v>
      </c>
      <c r="BB1" s="129" t="s">
        <v>286</v>
      </c>
      <c r="BC1" s="172" t="s">
        <v>260</v>
      </c>
      <c r="BD1" s="172" t="s">
        <v>293</v>
      </c>
      <c r="BE1" s="172" t="s">
        <v>261</v>
      </c>
      <c r="BF1" s="172" t="s">
        <v>292</v>
      </c>
      <c r="BG1" s="172" t="s">
        <v>262</v>
      </c>
      <c r="BH1" s="172" t="s">
        <v>291</v>
      </c>
      <c r="BI1" s="172" t="s">
        <v>263</v>
      </c>
      <c r="BJ1" s="172" t="s">
        <v>290</v>
      </c>
      <c r="BK1" s="172" t="s">
        <v>264</v>
      </c>
      <c r="BL1" s="172" t="s">
        <v>289</v>
      </c>
      <c r="BM1" s="172" t="s">
        <v>265</v>
      </c>
      <c r="BN1" s="172" t="s">
        <v>288</v>
      </c>
      <c r="BO1" s="172" t="s">
        <v>266</v>
      </c>
      <c r="BP1" s="172" t="s">
        <v>287</v>
      </c>
      <c r="BQ1" s="172" t="s">
        <v>267</v>
      </c>
      <c r="BR1" s="175" t="s">
        <v>350</v>
      </c>
      <c r="BS1" s="175" t="s">
        <v>351</v>
      </c>
      <c r="BT1" s="175" t="s">
        <v>352</v>
      </c>
      <c r="BU1" s="175" t="s">
        <v>353</v>
      </c>
      <c r="BV1" s="175" t="s">
        <v>354</v>
      </c>
      <c r="BW1" s="175" t="s">
        <v>355</v>
      </c>
      <c r="BX1" s="175" t="s">
        <v>356</v>
      </c>
      <c r="BY1" s="175" t="s">
        <v>357</v>
      </c>
      <c r="BZ1" s="174" t="s">
        <v>268</v>
      </c>
      <c r="CA1" s="174" t="s">
        <v>269</v>
      </c>
      <c r="CB1" s="174" t="s">
        <v>270</v>
      </c>
      <c r="CC1" s="174" t="s">
        <v>271</v>
      </c>
      <c r="CD1" s="174" t="s">
        <v>272</v>
      </c>
      <c r="CE1" s="174" t="s">
        <v>273</v>
      </c>
      <c r="CF1" s="174" t="s">
        <v>274</v>
      </c>
      <c r="CG1" s="174" t="s">
        <v>275</v>
      </c>
      <c r="CH1" s="174" t="s">
        <v>871</v>
      </c>
      <c r="CI1" s="173" t="s">
        <v>276</v>
      </c>
      <c r="CJ1" s="173" t="s">
        <v>277</v>
      </c>
      <c r="CK1" s="173" t="s">
        <v>278</v>
      </c>
      <c r="CL1" s="173" t="s">
        <v>279</v>
      </c>
      <c r="CM1" s="173" t="s">
        <v>280</v>
      </c>
      <c r="CN1" s="173" t="s">
        <v>281</v>
      </c>
      <c r="CO1" s="173" t="s">
        <v>282</v>
      </c>
      <c r="CP1" s="173" t="s">
        <v>283</v>
      </c>
      <c r="CQ1" s="173" t="s">
        <v>872</v>
      </c>
      <c r="CR1" s="172" t="s">
        <v>190</v>
      </c>
      <c r="CS1" s="172" t="s">
        <v>196</v>
      </c>
      <c r="CT1" s="172" t="s">
        <v>193</v>
      </c>
      <c r="CU1" s="172" t="s">
        <v>874</v>
      </c>
      <c r="CV1" s="172" t="str">
        <f>'Su K. oro stendu'!J1</f>
        <v>Ratio of water/mixture flow rates</v>
      </c>
      <c r="CW1" s="172" t="s">
        <v>195</v>
      </c>
      <c r="CX1" s="172" t="s">
        <v>305</v>
      </c>
      <c r="CY1" s="172" t="s">
        <v>875</v>
      </c>
      <c r="CZ1" s="172" t="s">
        <v>198</v>
      </c>
      <c r="DA1" s="2" t="s">
        <v>173</v>
      </c>
      <c r="DB1" s="2" t="s">
        <v>175</v>
      </c>
      <c r="DC1" s="2" t="s">
        <v>179</v>
      </c>
      <c r="DD1" s="2" t="s">
        <v>181</v>
      </c>
      <c r="DE1" s="2" t="s">
        <v>182</v>
      </c>
      <c r="DF1" s="2" t="s">
        <v>176</v>
      </c>
      <c r="DG1" s="172" t="s">
        <v>302</v>
      </c>
      <c r="DH1" s="172" t="s">
        <v>303</v>
      </c>
      <c r="DI1" s="172" t="s">
        <v>304</v>
      </c>
      <c r="DJ1" s="172" t="s">
        <v>912</v>
      </c>
      <c r="DK1" s="172" t="s">
        <v>914</v>
      </c>
      <c r="DL1" s="172" t="s">
        <v>913</v>
      </c>
      <c r="DM1" s="172" t="s">
        <v>359</v>
      </c>
      <c r="DN1" s="172" t="s">
        <v>360</v>
      </c>
      <c r="DO1" s="172" t="s">
        <v>361</v>
      </c>
      <c r="DP1" s="172" t="s">
        <v>682</v>
      </c>
      <c r="DQ1" s="315" t="s">
        <v>873</v>
      </c>
      <c r="DR1" s="172" t="s">
        <v>905</v>
      </c>
      <c r="DS1" s="172" t="s">
        <v>906</v>
      </c>
      <c r="DT1" s="172" t="s">
        <v>907</v>
      </c>
      <c r="DU1" s="172" t="s">
        <v>908</v>
      </c>
      <c r="DV1" s="172" t="s">
        <v>909</v>
      </c>
    </row>
    <row r="2" spans="1:126" ht="15" thickBot="1" x14ac:dyDescent="0.35">
      <c r="A2" s="184">
        <f>'Su K. oro stendu'!B46</f>
        <v>44888</v>
      </c>
      <c r="B2" s="183">
        <v>170</v>
      </c>
      <c r="C2" s="183">
        <v>648</v>
      </c>
      <c r="D2" s="183">
        <v>18</v>
      </c>
      <c r="E2" s="183">
        <v>517</v>
      </c>
      <c r="F2" s="183">
        <v>54</v>
      </c>
      <c r="G2" s="183">
        <v>831</v>
      </c>
      <c r="H2" s="183">
        <v>37</v>
      </c>
      <c r="I2" s="183">
        <v>863</v>
      </c>
      <c r="J2" s="183">
        <v>202.62</v>
      </c>
      <c r="K2" s="183">
        <v>296.15600000000001</v>
      </c>
      <c r="L2" s="183">
        <v>365.86500000000001</v>
      </c>
      <c r="M2" s="183">
        <v>408.73</v>
      </c>
      <c r="N2" s="183">
        <v>426.18</v>
      </c>
      <c r="O2" s="183">
        <v>464.34899999999999</v>
      </c>
      <c r="P2" s="183">
        <v>459.34699999999998</v>
      </c>
      <c r="Q2" s="183">
        <v>417.91500000000002</v>
      </c>
      <c r="R2" s="183" cm="1">
        <f t="array" ref="R2:Y2">TRANSPOSE([1]Alfa!$G$18:$G$25)</f>
        <v>300.32488582814722</v>
      </c>
      <c r="S2" s="183">
        <v>437.07019270879135</v>
      </c>
      <c r="T2" s="183">
        <v>536.72345379696822</v>
      </c>
      <c r="U2" s="183">
        <v>597.52089955440192</v>
      </c>
      <c r="V2" s="183">
        <v>620.3720919912148</v>
      </c>
      <c r="W2" s="183">
        <v>666.05139592744251</v>
      </c>
      <c r="X2" s="183">
        <v>661.69766968030115</v>
      </c>
      <c r="Y2" s="183">
        <v>601.47280836708899</v>
      </c>
      <c r="Z2" s="183" cm="1">
        <f t="array" ref="Z2:AG2">TRANSPOSE([1]Alfa!$F$127:$F$134)</f>
        <v>0.1499496149721837</v>
      </c>
      <c r="AA2" s="183">
        <v>0.57198054921771724</v>
      </c>
      <c r="AB2" s="183">
        <v>1.5916348038634058E-2</v>
      </c>
      <c r="AC2" s="183">
        <v>0.45830488567419486</v>
      </c>
      <c r="AD2" s="183">
        <v>4.8012384330293263E-2</v>
      </c>
      <c r="AE2" s="183">
        <v>0.74120031013137899</v>
      </c>
      <c r="AF2" s="183">
        <v>3.3103323581372919E-2</v>
      </c>
      <c r="AG2" s="183">
        <v>0.77421394357866091</v>
      </c>
      <c r="AH2" s="35" cm="1">
        <f t="array" ref="AH2:AO2">TRANSPOSE('[1]Heat quantity'!$F$25:$F$32)</f>
        <v>196.77353761674829</v>
      </c>
      <c r="AI2" s="35">
        <v>264.20675740116059</v>
      </c>
      <c r="AJ2" s="35">
        <v>318.51578184601414</v>
      </c>
      <c r="AK2" s="35">
        <v>359.8299939952804</v>
      </c>
      <c r="AL2" s="35">
        <v>388.39407472676868</v>
      </c>
      <c r="AM2" s="35">
        <v>404.52663678457878</v>
      </c>
      <c r="AN2" s="35">
        <v>408.58084295271749</v>
      </c>
      <c r="AO2" s="35">
        <v>400.90918857926255</v>
      </c>
      <c r="AP2" s="313">
        <f>AQ2/AVERAGE(_xlfn.ANCHORARRAY(AH2))</f>
        <v>0.22594397897158455</v>
      </c>
      <c r="AQ2" s="35">
        <f>_xlfn.STDEV.S(_xlfn.ANCHORARRAY(AH2))</f>
        <v>77.434865628251586</v>
      </c>
      <c r="AR2" s="183" cm="1">
        <f t="array" ref="AR2:AY2">TRANSPOSE([1]Alfa!$E$127:$E$134)</f>
        <v>6.2724143098299906E-2</v>
      </c>
      <c r="AS2" s="183">
        <v>4.9537089681037538E-2</v>
      </c>
      <c r="AT2" s="183">
        <v>3.1069335487306924E-2</v>
      </c>
      <c r="AU2" s="183">
        <v>3.9831924485440817E-2</v>
      </c>
      <c r="AV2" s="183">
        <v>2.3554796728123412E-2</v>
      </c>
      <c r="AW2" s="183">
        <v>0.10729927406424705</v>
      </c>
      <c r="AX2" s="183">
        <v>-1.8710119573157487E-2</v>
      </c>
      <c r="AY2" s="183">
        <v>4.3261318137919669E-2</v>
      </c>
      <c r="AZ2" s="183">
        <f>(DB2*1000)/DA2</f>
        <v>297.70992366412213</v>
      </c>
      <c r="BA2" s="183">
        <f>'Su K. oro stendu'!P46</f>
        <v>71.072999999999993</v>
      </c>
      <c r="BB2" s="183">
        <f t="shared" ref="BB2:BB32" si="0">((DB2-(B2/4000))*1000)/DA2</f>
        <v>297.3854961832061</v>
      </c>
      <c r="BC2" s="145">
        <v>71.004000000000005</v>
      </c>
      <c r="BD2" s="183">
        <f t="shared" ref="BD2:BD32" si="1">((DB2-((B2+C2)/4000))*1000)/DA2</f>
        <v>296.14885496183206</v>
      </c>
      <c r="BE2" s="144">
        <v>70.738</v>
      </c>
      <c r="BF2" s="183">
        <f>((DB2-((B2+C2+D2)/1000))*1000)/DA2</f>
        <v>291.32824427480915</v>
      </c>
      <c r="BG2" s="144">
        <v>70.730999999999995</v>
      </c>
      <c r="BH2" s="183">
        <f>((DB2-((B2+C2+D2+E2)/1000))*1000)/DA2</f>
        <v>287.38167938931298</v>
      </c>
      <c r="BI2" s="144">
        <v>70.513999999999996</v>
      </c>
      <c r="BJ2" s="183">
        <f>((DB2-((B2+C2+D2+E2+F2)/1000))*1000)/DA2</f>
        <v>286.96946564885496</v>
      </c>
      <c r="BK2" s="144">
        <v>70.492000000000004</v>
      </c>
      <c r="BL2" s="183">
        <f>((DB2-((B2+C2+D2+E2+F2+G2)/1000))*1000)/DA2</f>
        <v>280.62595419847327</v>
      </c>
      <c r="BM2" s="144">
        <v>70.135999999999996</v>
      </c>
      <c r="BN2" s="183">
        <f>((DB2-((B2+C2+D2+E2+F2+G2+H2)/1000))*1000)/DA2</f>
        <v>280.3435114503817</v>
      </c>
      <c r="BO2" s="145">
        <v>70.12</v>
      </c>
      <c r="BP2" s="183">
        <f>((DB2-((B2+C2+D2+E2+F2+G2+H2+I2)/1000))*1000)/DA2</f>
        <v>273.75572519083971</v>
      </c>
      <c r="BQ2" s="144">
        <v>69.739999999999995</v>
      </c>
      <c r="BR2" s="183" cm="1">
        <f t="array" ref="BR2:BY2">TRANSPOSE('[1]Keithley Measurments'!$W$6:$W$13)</f>
        <v>49.995803045410419</v>
      </c>
      <c r="BS2" s="183">
        <v>51.309438193788587</v>
      </c>
      <c r="BT2" s="183">
        <v>48.553106797074555</v>
      </c>
      <c r="BU2" s="183">
        <v>44.21359779311198</v>
      </c>
      <c r="BV2" s="183">
        <v>42.362407103371879</v>
      </c>
      <c r="BW2" s="183">
        <v>40.647585109263403</v>
      </c>
      <c r="BX2" s="183">
        <v>36.551029259502847</v>
      </c>
      <c r="BY2" s="183">
        <v>33.350056661430557</v>
      </c>
      <c r="BZ2" s="183" cm="1">
        <f t="array" ref="BZ2:CH2">TRANSPOSE('[1]Keithley Measurments'!$V$5:$V$13)</f>
        <v>84.432413313316772</v>
      </c>
      <c r="CA2" s="183">
        <v>80.60120062807421</v>
      </c>
      <c r="CB2" s="183">
        <v>78.100023326811808</v>
      </c>
      <c r="CC2" s="183">
        <v>76.052694550269464</v>
      </c>
      <c r="CD2" s="183">
        <v>73.956439360273563</v>
      </c>
      <c r="CE2" s="183">
        <v>72.406710610917216</v>
      </c>
      <c r="CF2" s="183">
        <v>65.75132858466155</v>
      </c>
      <c r="CG2" s="183">
        <v>67.135520836961206</v>
      </c>
      <c r="CH2" s="183">
        <v>64.947327701930007</v>
      </c>
      <c r="CI2" s="183" cm="1">
        <f t="array" ref="CI2:CQ2">TRANSPOSE('[1]Heat quantity'!$B$24:$B$32)</f>
        <v>40.274244602552933</v>
      </c>
      <c r="CJ2" s="183">
        <v>38.259181070788657</v>
      </c>
      <c r="CK2" s="183">
        <v>35.541495744500772</v>
      </c>
      <c r="CL2" s="183">
        <v>32.246859198171279</v>
      </c>
      <c r="CM2" s="183">
        <v>28.500942006282195</v>
      </c>
      <c r="CN2" s="183">
        <v>24.429414743315498</v>
      </c>
      <c r="CO2" s="183">
        <v>20.157947983753203</v>
      </c>
      <c r="CP2" s="183">
        <v>15.812212302077313</v>
      </c>
      <c r="CQ2" s="183">
        <v>11.517878272769821</v>
      </c>
      <c r="CR2" s="183">
        <f>'Su K. oro stendu'!P46</f>
        <v>71.072999999999993</v>
      </c>
      <c r="CS2" s="183"/>
      <c r="CT2" s="183">
        <v>8284.6670129438262</v>
      </c>
      <c r="CU2" s="183">
        <f>[1]Alfa!$F$15</f>
        <v>900</v>
      </c>
      <c r="CV2" s="172">
        <f>'Su K. oro stendu'!J46</f>
        <v>2</v>
      </c>
      <c r="CW2" s="183">
        <f>'Su K. oro stendu'!D46</f>
        <v>3000</v>
      </c>
      <c r="CX2" s="183">
        <f>'Su K. oro stendu'!G46</f>
        <v>30</v>
      </c>
      <c r="CY2" s="183">
        <v>0.2092</v>
      </c>
      <c r="CZ2" s="183">
        <f>'Su K. oro stendu'!H46</f>
        <v>32.200000000000003</v>
      </c>
      <c r="DA2" s="183">
        <f>'Su K. oro stendu'!C46</f>
        <v>131</v>
      </c>
      <c r="DB2" s="183">
        <f>'Su K. oro stendu'!E46</f>
        <v>39</v>
      </c>
      <c r="DC2" s="183">
        <f>'Su K. oro stendu'!I46</f>
        <v>262</v>
      </c>
      <c r="DD2" s="183">
        <f>'Su K. oro stendu'!K46</f>
        <v>10</v>
      </c>
      <c r="DE2" s="183">
        <f>'Su K. oro stendu'!L46</f>
        <v>29</v>
      </c>
      <c r="DF2" s="183">
        <f>'Su K. oro stendu'!F46</f>
        <v>85</v>
      </c>
      <c r="DG2" s="253">
        <f>[1]Alfa!$D$29</f>
        <v>810.25784647105013</v>
      </c>
      <c r="DH2" s="254">
        <f>[1]Alfa!$D$26</f>
        <v>8284.6670129438262</v>
      </c>
      <c r="DI2" s="253">
        <f>[1]Alfa!$D$27</f>
        <v>8378.0440785733081</v>
      </c>
      <c r="DJ2" s="253">
        <f>DI2+DG2</f>
        <v>9188.3019250443576</v>
      </c>
      <c r="DK2" s="253">
        <f>(DJ2+DH2)/2</f>
        <v>8736.484468994091</v>
      </c>
      <c r="DL2" s="253">
        <f>ABS(DJ2-DH2)/DH2</f>
        <v>0.10907317224563247</v>
      </c>
      <c r="DM2" s="183">
        <f>New!AC2</f>
        <v>2.6913028165452136E-5</v>
      </c>
      <c r="DN2" s="183">
        <f t="shared" ref="DN2:DN33" si="2" xml:space="preserve"> (6.057 * (10^(-6)))
+ (4.055 * (10^(-8)) * (DF2 + 273))
+ (1.25 * (10^(-10)) * (DF2 + 273)^2)
- (3.367 * (10^(-14)) * (DF2 + 273)^3)</f>
        <v>3.5049529086959997E-5</v>
      </c>
      <c r="DO2" s="183">
        <f>DM2/DN2</f>
        <v>0.76785705447509123</v>
      </c>
      <c r="DP2" s="183">
        <f t="shared" ref="DP2:DP33" si="3">AVERAGE(_xlfn.ANCHORARRAY(R2))</f>
        <v>552.65417473179457</v>
      </c>
      <c r="DQ2" s="297">
        <f>DH2/((DA2/3600)*New!BV2*(Sheet3!BZ2-Sheet3!CP2)*1000)</f>
        <v>2.608965663850912</v>
      </c>
      <c r="DR2" s="166">
        <f>(DB2*0.018)/(0.011*New!IV2*3600)</f>
        <v>1507.2372652689894</v>
      </c>
      <c r="DS2" s="166">
        <f>(New!IV2*New!CE2*1000)/New!AU2</f>
        <v>0.86323913019559584</v>
      </c>
      <c r="DT2" s="166">
        <f>IF(DR2&gt;2300,0.023*((DR2^(4/5)*DS2^(1/3))/(1+12.7*(DS2^(2/3)-1)))*(New!IV2/DV2)^0.14, 0.943*(DR2*DS2*New!IV2/Sheet3!DV2)^0.4)</f>
        <v>17.507294058738953</v>
      </c>
      <c r="DU2" s="166">
        <f t="shared" ref="DU2:DU33" si="4">((2.85^0.05)*((3.7+28.7)-(2438+458.3)))/((AVERAGE(_xlfn.ANCHORARRAY(BZ2))-AVERAGE(_xlfn.ANCHORARRAY(BR2)))^0.25)</f>
        <v>-1285.9053983230863</v>
      </c>
      <c r="DV2" s="166">
        <f>_xlfn.FORECAST.LINEAR(AVERAGE(_xlfn.ANCHORARRAY(BR2)),Sheet2!$AK$2:$AK$69,Sheet2!$AJ$2:$AJ$69)</f>
        <v>1.0303972966266128E-5</v>
      </c>
    </row>
    <row r="3" spans="1:126" x14ac:dyDescent="0.3">
      <c r="A3" s="184" t="str">
        <f>'Su K. oro stendu'!B48</f>
        <v>2022.11.24-1</v>
      </c>
      <c r="B3" s="183">
        <v>11</v>
      </c>
      <c r="C3" s="183">
        <v>641</v>
      </c>
      <c r="D3" s="183">
        <v>12</v>
      </c>
      <c r="E3" s="183">
        <v>661</v>
      </c>
      <c r="F3" s="183">
        <v>13</v>
      </c>
      <c r="G3" s="183">
        <v>637</v>
      </c>
      <c r="H3" s="183">
        <v>12</v>
      </c>
      <c r="I3" s="183">
        <v>607</v>
      </c>
      <c r="J3" s="183" cm="1">
        <f t="array" ref="J3:Q3">TRANSPOSE('[2]Nu kitimas'!$J$4:$J$11)</f>
        <v>105.97556718282472</v>
      </c>
      <c r="K3" s="183">
        <v>125.08765841907814</v>
      </c>
      <c r="L3" s="183">
        <v>143.58582011311586</v>
      </c>
      <c r="M3" s="183">
        <v>160.41389230519036</v>
      </c>
      <c r="N3" s="183">
        <v>178.86947129972145</v>
      </c>
      <c r="O3" s="183">
        <v>197.28428967200841</v>
      </c>
      <c r="P3" s="183">
        <v>213.63059454008655</v>
      </c>
      <c r="Q3" s="250">
        <v>223.62406572600364</v>
      </c>
      <c r="R3" s="183" cm="1">
        <f t="array" ref="R3:Y3">TRANSPOSE([2]Alfa!$G$18:$G$25)</f>
        <v>173.36565163061681</v>
      </c>
      <c r="S3" s="183">
        <v>201.56891213826324</v>
      </c>
      <c r="T3" s="183">
        <v>229.54706115117571</v>
      </c>
      <c r="U3" s="183">
        <v>254.68674652221523</v>
      </c>
      <c r="V3" s="183">
        <v>281.37363391918927</v>
      </c>
      <c r="W3" s="183">
        <v>307.80978354410871</v>
      </c>
      <c r="X3" s="183">
        <v>329.97818201677171</v>
      </c>
      <c r="Y3" s="183">
        <v>342.52579173045336</v>
      </c>
      <c r="Z3" s="183" cm="1">
        <f t="array" ref="Z3:AG3">TRANSPOSE([2]Alfa!$F$127:$F$134)</f>
        <v>9.7744044781784504E-3</v>
      </c>
      <c r="AA3" s="183">
        <v>0.57203039096059938</v>
      </c>
      <c r="AB3" s="183">
        <v>1.0736500380114257E-2</v>
      </c>
      <c r="AC3" s="183">
        <v>0.59228442206307952</v>
      </c>
      <c r="AD3" s="183">
        <v>1.1660194584509412E-2</v>
      </c>
      <c r="AE3" s="183">
        <v>0.5719737989906829</v>
      </c>
      <c r="AF3" s="183">
        <v>1.07940353537511E-2</v>
      </c>
      <c r="AG3" s="183">
        <v>0.54763801437036796</v>
      </c>
      <c r="AH3" s="35" cm="1">
        <f t="array" ref="AH3:AO3">TRANSPOSE('[2]Silumos kiekio nustat.'!$F$25:$F$32)*3</f>
        <v>728.9981921531579</v>
      </c>
      <c r="AI3" s="35">
        <v>828.87396084923364</v>
      </c>
      <c r="AJ3" s="35">
        <v>916.4898553933748</v>
      </c>
      <c r="AK3" s="35">
        <v>991.93499191969067</v>
      </c>
      <c r="AL3" s="35">
        <v>1055.3371281677967</v>
      </c>
      <c r="AM3" s="35">
        <v>1106.8544450502973</v>
      </c>
      <c r="AN3" s="35">
        <v>1146.6674129162693</v>
      </c>
      <c r="AO3" s="35">
        <v>1174.9709301319281</v>
      </c>
      <c r="AP3" s="313">
        <f t="shared" ref="AP3:AP66" si="5">AQ3/AVERAGE(_xlfn.ANCHORARRAY(AH3))</f>
        <v>0.15958708727164914</v>
      </c>
      <c r="AQ3" s="35">
        <f t="shared" ref="AQ3:AQ66" si="6">_xlfn.STDEV.S(_xlfn.ANCHORARRAY(AH3))</f>
        <v>158.59219975715229</v>
      </c>
      <c r="AR3" s="183" cm="1">
        <f t="array" ref="AR3:AY3">TRANSPOSE([2]Alfa!$E$127:$E$134)*3</f>
        <v>0.37702892418051703</v>
      </c>
      <c r="AS3" s="183">
        <v>0.46865496927806716</v>
      </c>
      <c r="AT3" s="183">
        <v>0.19780428216004858</v>
      </c>
      <c r="AU3" s="183">
        <v>0.26621823573057746</v>
      </c>
      <c r="AV3" s="183">
        <v>0.2253061808299972</v>
      </c>
      <c r="AW3" s="183">
        <v>0.29100311514967936</v>
      </c>
      <c r="AX3" s="183">
        <v>0.23891298931631516</v>
      </c>
      <c r="AY3" s="183">
        <v>0.28767026189872513</v>
      </c>
      <c r="AZ3" s="183">
        <f t="shared" ref="AZ3:AZ49" si="7">(DB3*1000)/DA3</f>
        <v>200</v>
      </c>
      <c r="BA3" s="183">
        <f>'Su K. oro stendu'!P48</f>
        <v>64.569000000000003</v>
      </c>
      <c r="BB3" s="183">
        <f t="shared" si="0"/>
        <v>199.98625000000001</v>
      </c>
      <c r="BC3" s="255">
        <v>64.563999999999993</v>
      </c>
      <c r="BD3" s="183">
        <f t="shared" si="1"/>
        <v>199.185</v>
      </c>
      <c r="BE3" s="183">
        <v>64.290999999999997</v>
      </c>
      <c r="BF3" s="183">
        <f t="shared" ref="BF3:BF34" si="8">((DB3-((B3+C3+D3)/1000))*1000)/DA3</f>
        <v>196.68</v>
      </c>
      <c r="BG3" s="183">
        <v>64.286000000000001</v>
      </c>
      <c r="BH3" s="183">
        <f t="shared" ref="BH3:BH34" si="9">((DB3-((B3+C3+D3+E3)/1000))*1000)/DA3</f>
        <v>193.375</v>
      </c>
      <c r="BI3" s="183">
        <v>63.999000000000002</v>
      </c>
      <c r="BJ3" s="183">
        <f t="shared" ref="BJ3:BJ34" si="10">((DB3-((B3+C3+D3+E3+F3)/1000))*1000)/DA3</f>
        <v>193.31</v>
      </c>
      <c r="BK3" s="183">
        <v>63.993000000000002</v>
      </c>
      <c r="BL3" s="183">
        <f t="shared" ref="BL3:BL34" si="11">((DB3-((B3+C3+D3+E3+F3+G3)/1000))*1000)/DA3</f>
        <v>190.125</v>
      </c>
      <c r="BM3" s="183">
        <v>63.712000000000003</v>
      </c>
      <c r="BN3" s="183">
        <f t="shared" ref="BN3:BN34" si="12">((DB3-((B3+C3+D3+E3+F3+G3+H3)/1000))*1000)/DA3</f>
        <v>190.065</v>
      </c>
      <c r="BO3" s="183">
        <v>63.706000000000003</v>
      </c>
      <c r="BP3" s="183">
        <f t="shared" ref="BP3:BP34" si="13">((DB3-((B3+C3+D3+E3+F3+G3+H3+I3)/1000))*1000)/DA3</f>
        <v>187.03</v>
      </c>
      <c r="BQ3" s="183">
        <v>63.433</v>
      </c>
      <c r="BR3" s="183" cm="1">
        <f t="array" ref="BR3:BY3">TRANSPOSE('[3]Keithley Matavimai'!$W$6:$W$13)</f>
        <v>43.152355372794752</v>
      </c>
      <c r="BS3" s="183">
        <v>39.104120649667827</v>
      </c>
      <c r="BT3" s="183">
        <v>37.451917052761111</v>
      </c>
      <c r="BU3" s="183">
        <v>33.72065681962539</v>
      </c>
      <c r="BV3" s="183">
        <v>33.590042553793957</v>
      </c>
      <c r="BW3" s="183">
        <v>33.090341690060292</v>
      </c>
      <c r="BX3" s="183">
        <v>31.301956273371971</v>
      </c>
      <c r="BY3" s="183">
        <v>27.50593748776306</v>
      </c>
      <c r="BZ3" s="183" cm="1">
        <f t="array" ref="BZ3:CH3">TRANSPOSE('[2]Keithley Matavimai'!$V$5:$V$13)</f>
        <v>114.22680758272772</v>
      </c>
      <c r="CA3" s="183">
        <v>108.74420521621816</v>
      </c>
      <c r="CB3" s="183">
        <v>102.5648020526733</v>
      </c>
      <c r="CC3" s="183">
        <v>99.618817672663894</v>
      </c>
      <c r="CD3" s="183">
        <v>96.340907324448196</v>
      </c>
      <c r="CE3" s="183">
        <v>92.898864233727423</v>
      </c>
      <c r="CF3" s="183">
        <v>89.07540940850869</v>
      </c>
      <c r="CG3" s="183">
        <v>85.330894035056261</v>
      </c>
      <c r="CH3" s="183">
        <v>81.380037495214125</v>
      </c>
      <c r="CI3" s="183" cm="1">
        <f t="array" ref="CI3:CQ3">TRANSPOSE('[2]Silumos kiekio nustat.'!$B$24:$B$32)</f>
        <v>29.659280300718564</v>
      </c>
      <c r="CJ3" s="183">
        <v>28.019035250361636</v>
      </c>
      <c r="CK3" s="183">
        <v>26.148244761978972</v>
      </c>
      <c r="CL3" s="183">
        <v>24.072524198800021</v>
      </c>
      <c r="CM3" s="183">
        <v>21.817488924054242</v>
      </c>
      <c r="CN3" s="183">
        <v>19.408754300971093</v>
      </c>
      <c r="CO3" s="183">
        <v>16.871935692780028</v>
      </c>
      <c r="CP3" s="183">
        <v>14.232648462710504</v>
      </c>
      <c r="CQ3" s="183">
        <v>11.516507973991978</v>
      </c>
      <c r="CR3" s="183">
        <f>'Su K. oro stendu'!P48</f>
        <v>64.569000000000003</v>
      </c>
      <c r="CS3" s="183"/>
      <c r="CT3" s="183">
        <v>8059.5426190070111</v>
      </c>
      <c r="CU3" s="183">
        <f>[3]Alfa!$F$15</f>
        <v>900</v>
      </c>
      <c r="CV3" s="172">
        <f>'Su K. oro stendu'!J48</f>
        <v>2</v>
      </c>
      <c r="CW3" s="183">
        <f>'Su K. oro stendu'!D48</f>
        <v>5000</v>
      </c>
      <c r="CX3" s="183">
        <f>'Su K. oro stendu'!G48</f>
        <v>20</v>
      </c>
      <c r="CY3" s="183">
        <v>0.17293333333333336</v>
      </c>
      <c r="CZ3" s="183">
        <f>'Su K. oro stendu'!H48</f>
        <v>25.9</v>
      </c>
      <c r="DA3" s="183">
        <f>'Su K. oro stendu'!C48</f>
        <v>200</v>
      </c>
      <c r="DB3" s="183">
        <f>'Su K. oro stendu'!E48</f>
        <v>40</v>
      </c>
      <c r="DC3" s="183">
        <f>'Su K. oro stendu'!I48</f>
        <v>400</v>
      </c>
      <c r="DD3" s="183">
        <f>'Su K. oro stendu'!K48</f>
        <v>11</v>
      </c>
      <c r="DE3" s="183">
        <f>'Su K. oro stendu'!L48</f>
        <v>18.5</v>
      </c>
      <c r="DF3" s="183">
        <f>'Su K. oro stendu'!F48</f>
        <v>115</v>
      </c>
      <c r="DG3" s="253">
        <f>[3]Alfa!$D$29</f>
        <v>2050.161478362229</v>
      </c>
      <c r="DH3" s="35">
        <f>[3]Alfa!$D$26</f>
        <v>8059.5426190070111</v>
      </c>
      <c r="DI3" s="183">
        <f>[3]Alfa!$D$27</f>
        <v>6980.6752835438492</v>
      </c>
      <c r="DJ3" s="253">
        <f t="shared" ref="DJ3:DJ66" si="14">DI3+DG3</f>
        <v>9030.8367619060773</v>
      </c>
      <c r="DK3" s="253">
        <f t="shared" ref="DK3:DK4" si="15">(DJ3+DH3)/2</f>
        <v>8545.1896904565438</v>
      </c>
      <c r="DL3" s="253">
        <f t="shared" ref="DL3:DL66" si="16">ABS(DJ3-DH3)/DH3</f>
        <v>0.12051479703183653</v>
      </c>
      <c r="DM3" s="183">
        <f>New!AC3</f>
        <v>3.3705414018370223E-5</v>
      </c>
      <c r="DN3" s="183">
        <f t="shared" si="2"/>
        <v>3.864169920576E-5</v>
      </c>
      <c r="DO3" s="183">
        <f t="shared" ref="DO3:DO65" si="17">DM3/DN3</f>
        <v>0.87225496577919726</v>
      </c>
      <c r="DP3" s="183">
        <f t="shared" si="3"/>
        <v>265.10697033159926</v>
      </c>
      <c r="DQ3" s="297">
        <f>DH3/((DA3/3600)*New!BV3*(Sheet3!BZ3-Sheet3!CP3)*1000)</f>
        <v>1.2154018706536136</v>
      </c>
      <c r="DR3" s="166">
        <f>(DB3*0.018)/(0.011*New!IV3*3600)</f>
        <v>1419.1458173422741</v>
      </c>
      <c r="DS3" s="166">
        <f>(New!IV3*New!CE3*1000)/New!AU3</f>
        <v>0.72974402786439863</v>
      </c>
      <c r="DT3" s="166">
        <f>IF(DR3&gt;2300,0.023*((DR3^(4/5)*DS3^(1/3))/(1+12.7*(DS3^(2/3)-1)))*(New!IV3/DV3)^0.14, 0.943*(DR3*DS3*New!IV3/Sheet3!DV3)^0.4)</f>
        <v>16.731282594514528</v>
      </c>
      <c r="DU3" s="166">
        <f t="shared" si="4"/>
        <v>-1076.2525245637617</v>
      </c>
      <c r="DV3" s="166">
        <f>_xlfn.FORECAST.LINEAR(AVERAGE(_xlfn.ANCHORARRAY(BR3)),Sheet2!$AK$2:$AK$69,Sheet2!$AJ$2:$AJ$69)</f>
        <v>1.0006080795634557E-5</v>
      </c>
    </row>
    <row r="4" spans="1:126" x14ac:dyDescent="0.3">
      <c r="A4" s="184" t="str">
        <f>'Su K. oro stendu'!B49</f>
        <v>2022.11.24-2</v>
      </c>
      <c r="B4" s="183">
        <v>11</v>
      </c>
      <c r="C4" s="183">
        <v>624</v>
      </c>
      <c r="D4" s="183">
        <v>10</v>
      </c>
      <c r="E4" s="183">
        <v>652</v>
      </c>
      <c r="F4" s="183">
        <v>13</v>
      </c>
      <c r="G4" s="183">
        <v>636</v>
      </c>
      <c r="H4" s="183">
        <v>12</v>
      </c>
      <c r="I4" s="183">
        <v>607</v>
      </c>
      <c r="J4" s="183" cm="1">
        <f t="array" ref="J4:Q4">TRANSPOSE('[4]Nu kitimas'!$G$4:$G$11)</f>
        <v>88.249317879113377</v>
      </c>
      <c r="K4" s="183">
        <v>105.2372732760888</v>
      </c>
      <c r="L4" s="183">
        <v>124.02487500762776</v>
      </c>
      <c r="M4" s="183">
        <v>141.83017189568338</v>
      </c>
      <c r="N4" s="183">
        <v>160.46357160181267</v>
      </c>
      <c r="O4" s="183">
        <v>178.43365669005931</v>
      </c>
      <c r="P4" s="183">
        <v>192.99134568453366</v>
      </c>
      <c r="Q4" s="250">
        <v>202.61493517153767</v>
      </c>
      <c r="R4" s="183" cm="1">
        <f t="array" ref="R4:Y4">TRANSPOSE([4]Alfa!$G$18:$G$25)</f>
        <v>148.41380578024607</v>
      </c>
      <c r="S4" s="183">
        <v>174.82222126345764</v>
      </c>
      <c r="T4" s="183">
        <v>202.93064539444904</v>
      </c>
      <c r="U4" s="183">
        <v>230.44467678077422</v>
      </c>
      <c r="V4" s="183">
        <v>257.30250146702525</v>
      </c>
      <c r="W4" s="183">
        <v>283.74847360160413</v>
      </c>
      <c r="X4" s="183">
        <v>303.53420064643569</v>
      </c>
      <c r="Y4" s="183">
        <v>315.53215947363174</v>
      </c>
      <c r="Z4" s="183" cm="1">
        <f t="array" ref="Z4:AG4">TRANSPOSE([5]Alfa!$F$127:$F$134)</f>
        <v>9.7724851169187377E-3</v>
      </c>
      <c r="AA4" s="183">
        <v>0.57219681477848339</v>
      </c>
      <c r="AB4" s="183">
        <v>1.0738567965515937E-2</v>
      </c>
      <c r="AC4" s="183">
        <v>0.59219921041398216</v>
      </c>
      <c r="AD4" s="183">
        <v>1.1655732777865887E-2</v>
      </c>
      <c r="AE4" s="183">
        <v>0.5718647233519123</v>
      </c>
      <c r="AF4" s="183">
        <v>1.0802220513264177E-2</v>
      </c>
      <c r="AG4" s="183">
        <v>0.54915329867279272</v>
      </c>
      <c r="AH4" s="35" cm="1">
        <f t="array" ref="AH4:AO4">TRANSPOSE('[5]Heat quantity'!$F$25:$F$32)</f>
        <v>241.17233424614901</v>
      </c>
      <c r="AI4" s="35">
        <v>274.21394193508485</v>
      </c>
      <c r="AJ4" s="35">
        <v>303.1996514083346</v>
      </c>
      <c r="AK4" s="35">
        <v>328.15894469523596</v>
      </c>
      <c r="AL4" s="35">
        <v>349.1340875141583</v>
      </c>
      <c r="AM4" s="35">
        <v>366.17741039257959</v>
      </c>
      <c r="AN4" s="35">
        <v>379.34861780688612</v>
      </c>
      <c r="AO4" s="35">
        <v>388.71218741206638</v>
      </c>
      <c r="AP4" s="313">
        <f t="shared" si="5"/>
        <v>0.15958708727165599</v>
      </c>
      <c r="AQ4" s="35">
        <f t="shared" si="6"/>
        <v>52.466592400864492</v>
      </c>
      <c r="AR4" s="183" cm="1">
        <f t="array" ref="AR4:AY4">TRANSPOSE([5]Alfa!$E$127:$E$134)</f>
        <v>0.12359526794102525</v>
      </c>
      <c r="AS4" s="183">
        <v>0.15392395163466632</v>
      </c>
      <c r="AT4" s="183">
        <v>6.4823136489011349E-2</v>
      </c>
      <c r="AU4" s="183">
        <v>8.7549621950636272E-2</v>
      </c>
      <c r="AV4" s="183">
        <v>7.3807315563571355E-2</v>
      </c>
      <c r="AW4" s="183">
        <v>9.560949681804877E-2</v>
      </c>
      <c r="AX4" s="183">
        <v>7.8233751673806889E-2</v>
      </c>
      <c r="AY4" s="183">
        <v>9.4453391807528139E-2</v>
      </c>
      <c r="AZ4" s="183">
        <f t="shared" si="7"/>
        <v>200</v>
      </c>
      <c r="BA4" s="183">
        <f>'Su K. oro stendu'!P49</f>
        <v>64.569000000000003</v>
      </c>
      <c r="BB4" s="183">
        <f t="shared" si="0"/>
        <v>199.98625000000001</v>
      </c>
      <c r="BC4" s="143">
        <v>64.566999999999993</v>
      </c>
      <c r="BD4" s="183">
        <f t="shared" si="1"/>
        <v>199.20625000000001</v>
      </c>
      <c r="BE4" s="143">
        <v>64.501000000000005</v>
      </c>
      <c r="BF4" s="183">
        <f t="shared" si="8"/>
        <v>196.77500000000001</v>
      </c>
      <c r="BG4" s="143">
        <v>64.293999999999997</v>
      </c>
      <c r="BH4" s="183">
        <f t="shared" si="9"/>
        <v>193.51499999999999</v>
      </c>
      <c r="BI4" s="143">
        <v>64.010999999999996</v>
      </c>
      <c r="BJ4" s="183">
        <f t="shared" si="10"/>
        <v>193.45</v>
      </c>
      <c r="BK4" s="143">
        <v>64.006</v>
      </c>
      <c r="BL4" s="183">
        <f t="shared" si="11"/>
        <v>190.27</v>
      </c>
      <c r="BM4" s="143">
        <v>64.006</v>
      </c>
      <c r="BN4" s="183">
        <f t="shared" si="12"/>
        <v>190.21</v>
      </c>
      <c r="BO4" s="143">
        <v>63.719000000000001</v>
      </c>
      <c r="BP4" s="183">
        <f t="shared" si="13"/>
        <v>187.17500000000001</v>
      </c>
      <c r="BQ4" s="143">
        <v>63.445999999999998</v>
      </c>
      <c r="BR4" s="183" cm="1">
        <f t="array" ref="BR4:BY4">TRANSPOSE('[4]Keithley Matavimai'!$W$6:$W$13)</f>
        <v>43.344156813619072</v>
      </c>
      <c r="BS4" s="183">
        <v>39.080401060414822</v>
      </c>
      <c r="BT4" s="183">
        <v>37.921021321482705</v>
      </c>
      <c r="BU4" s="183">
        <v>33.897013569179308</v>
      </c>
      <c r="BV4" s="183">
        <v>33.772323998870633</v>
      </c>
      <c r="BW4" s="183">
        <v>33.420040179687625</v>
      </c>
      <c r="BX4" s="183">
        <v>31.421589721010491</v>
      </c>
      <c r="BY4" s="183">
        <v>27.509001764608666</v>
      </c>
      <c r="BZ4" s="183" cm="1">
        <f t="array" ref="BZ4:CH4">TRANSPOSE('[4]Keithley Matavimai'!$V$5:$V$13)</f>
        <v>125.102418487666</v>
      </c>
      <c r="CA4" s="183">
        <v>118.97897823996277</v>
      </c>
      <c r="CB4" s="183">
        <v>113.88177077367176</v>
      </c>
      <c r="CC4" s="183">
        <v>108.20675344340009</v>
      </c>
      <c r="CD4" s="183">
        <v>104.94718654219919</v>
      </c>
      <c r="CE4" s="183">
        <v>100.00001080691233</v>
      </c>
      <c r="CF4" s="183">
        <v>96.167074314991268</v>
      </c>
      <c r="CG4" s="183">
        <v>92.030283205486015</v>
      </c>
      <c r="CH4" s="183">
        <v>87.544690140939665</v>
      </c>
      <c r="CI4" s="183" cm="1">
        <f t="array" ref="CI4:CQ4">TRANSPOSE('[4]Silumos kiekio nustat.'!$B$24:$B$32)</f>
        <v>29.954523544792732</v>
      </c>
      <c r="CJ4" s="183">
        <v>28.336544970954925</v>
      </c>
      <c r="CK4" s="183">
        <v>26.45685896568186</v>
      </c>
      <c r="CL4" s="183">
        <v>24.346795566102113</v>
      </c>
      <c r="CM4" s="183">
        <v>22.037684809344263</v>
      </c>
      <c r="CN4" s="183">
        <v>19.560856732536891</v>
      </c>
      <c r="CO4" s="183">
        <v>16.947641372808569</v>
      </c>
      <c r="CP4" s="183">
        <v>14.22936876728787</v>
      </c>
      <c r="CQ4" s="183">
        <v>11.437368953103377</v>
      </c>
      <c r="CR4" s="183">
        <f>'Su K. oro stendu'!P49</f>
        <v>64.569000000000003</v>
      </c>
      <c r="CS4" s="183"/>
      <c r="CT4" s="183">
        <v>8200.0866042764628</v>
      </c>
      <c r="CU4" s="183">
        <f>[4]Alfa!$F$15</f>
        <v>900</v>
      </c>
      <c r="CV4" s="172">
        <f>'Su K. oro stendu'!J49</f>
        <v>2</v>
      </c>
      <c r="CW4" s="183">
        <f>'Su K. oro stendu'!D49</f>
        <v>5000</v>
      </c>
      <c r="CX4" s="183">
        <f>'Su K. oro stendu'!G49</f>
        <v>20</v>
      </c>
      <c r="CY4" s="183">
        <v>0.17100000000000001</v>
      </c>
      <c r="CZ4" s="183">
        <f>'Su K. oro stendu'!H49</f>
        <v>25.6</v>
      </c>
      <c r="DA4" s="183">
        <f>'Su K. oro stendu'!C49</f>
        <v>200</v>
      </c>
      <c r="DB4" s="183">
        <f>'Su K. oro stendu'!E49</f>
        <v>40</v>
      </c>
      <c r="DC4" s="183">
        <f>'Su K. oro stendu'!I49</f>
        <v>400</v>
      </c>
      <c r="DD4" s="183">
        <f>'Su K. oro stendu'!K49</f>
        <v>11</v>
      </c>
      <c r="DE4" s="183">
        <f>'Su K. oro stendu'!L49</f>
        <v>18.7</v>
      </c>
      <c r="DF4" s="183">
        <f>'Su K. oro stendu'!F49</f>
        <v>125</v>
      </c>
      <c r="DG4" s="253">
        <f>[4]Alfa!$D$29</f>
        <v>2345.7563164234243</v>
      </c>
      <c r="DH4" s="35">
        <f>[4]Alfa!$D$26</f>
        <v>8200.0866042764628</v>
      </c>
      <c r="DI4" s="183">
        <f>[4]Alfa!$D$27</f>
        <v>6901.7656485078332</v>
      </c>
      <c r="DJ4" s="253">
        <f t="shared" si="14"/>
        <v>9247.5219649312567</v>
      </c>
      <c r="DK4" s="253">
        <f t="shared" si="15"/>
        <v>8723.8042846038588</v>
      </c>
      <c r="DL4" s="253">
        <f t="shared" si="16"/>
        <v>0.12773467052269194</v>
      </c>
      <c r="DM4" s="183">
        <f>New!AC4</f>
        <v>3.5726215513215519E-5</v>
      </c>
      <c r="DN4" s="183">
        <f t="shared" si="2"/>
        <v>3.9873681853359998E-5</v>
      </c>
      <c r="DO4" s="183">
        <f t="shared" si="17"/>
        <v>0.89598486652430898</v>
      </c>
      <c r="DP4" s="183">
        <f t="shared" si="3"/>
        <v>239.59108555095295</v>
      </c>
      <c r="DQ4" s="297">
        <f>DH4/((DA4/3600)*New!BV4*(Sheet3!BZ4-Sheet3!CP4)*1000)</f>
        <v>1.1130141410765508</v>
      </c>
      <c r="DR4" s="166">
        <f>(DB4*0.018)/(0.011*New!IV4*3600)</f>
        <v>1381.3948292806513</v>
      </c>
      <c r="DS4" s="166">
        <f>(New!IV4*New!CE4*1000)/New!AU4</f>
        <v>0.69817342617776845</v>
      </c>
      <c r="DT4" s="166">
        <f>IF(DR4&gt;2300,0.023*((DR4^(4/5)*DS4^(1/3))/(1+12.7*(DS4^(2/3)-1)))*(New!IV4/DV4)^0.14, 0.943*(DR4*DS4*New!IV4/Sheet3!DV4)^0.4)</f>
        <v>16.433737164485507</v>
      </c>
      <c r="DU4" s="166">
        <f t="shared" si="4"/>
        <v>-1042.740723369973</v>
      </c>
      <c r="DV4" s="166">
        <f>_xlfn.FORECAST.LINEAR(AVERAGE(_xlfn.ANCHORARRAY(BR4)),Sheet2!$AK$2:$AK$69,Sheet2!$AJ$2:$AJ$69)</f>
        <v>1.0012418989201951E-5</v>
      </c>
    </row>
    <row r="5" spans="1:126" ht="15" thickBot="1" x14ac:dyDescent="0.35">
      <c r="A5" s="184">
        <f>'Su K. oro stendu'!B50</f>
        <v>44890</v>
      </c>
      <c r="B5" s="183">
        <v>10</v>
      </c>
      <c r="C5" s="183">
        <v>596</v>
      </c>
      <c r="D5" s="183">
        <v>20</v>
      </c>
      <c r="E5" s="183">
        <v>606</v>
      </c>
      <c r="F5" s="183">
        <v>8</v>
      </c>
      <c r="G5" s="183">
        <v>623</v>
      </c>
      <c r="H5" s="183">
        <v>9</v>
      </c>
      <c r="I5" s="183">
        <v>592</v>
      </c>
      <c r="J5" s="183" cm="1">
        <f t="array" ref="J5:Q5">TRANSPOSE('[6]Nu kitimas'!$I$4:$I$11)</f>
        <v>100.71575529145197</v>
      </c>
      <c r="K5" s="183">
        <v>111.41878996891244</v>
      </c>
      <c r="L5" s="183">
        <v>123.2670156181475</v>
      </c>
      <c r="M5" s="183">
        <v>132.97083407974662</v>
      </c>
      <c r="N5" s="183">
        <v>142.10804652203277</v>
      </c>
      <c r="O5" s="183">
        <v>151.23622875767384</v>
      </c>
      <c r="P5" s="183">
        <v>153.612599827276</v>
      </c>
      <c r="Q5" s="250">
        <v>149.63596146477946</v>
      </c>
      <c r="R5" s="183" cm="1">
        <f t="array" ref="R5:Y5">TRANSPOSE([6]Alfa!$G$18:$G$25)</f>
        <v>173.62557328411955</v>
      </c>
      <c r="S5" s="183">
        <v>189.39502286197884</v>
      </c>
      <c r="T5" s="183">
        <v>206.05219979171724</v>
      </c>
      <c r="U5" s="183">
        <v>220.49167057369397</v>
      </c>
      <c r="V5" s="183">
        <v>232.29370006518104</v>
      </c>
      <c r="W5" s="183">
        <v>243.95076862483097</v>
      </c>
      <c r="X5" s="183">
        <v>245.66990776655018</v>
      </c>
      <c r="Y5" s="183">
        <v>236.67314809844831</v>
      </c>
      <c r="Z5" s="183" cm="1">
        <f t="array" ref="Z5:AG5">TRANSPOSE([6]Alfa!$F$127:$F$134)</f>
        <v>8.8824636113224286E-3</v>
      </c>
      <c r="AA5" s="183">
        <v>0.53160388078526</v>
      </c>
      <c r="AB5" s="183">
        <v>1.7883699949217968E-2</v>
      </c>
      <c r="AC5" s="183">
        <v>0.54269319844934538</v>
      </c>
      <c r="AD5" s="183">
        <v>7.1725971182678913E-3</v>
      </c>
      <c r="AE5" s="183">
        <v>0.55937859794186806</v>
      </c>
      <c r="AF5" s="183">
        <v>8.1000882745369939E-3</v>
      </c>
      <c r="AG5" s="183">
        <v>0.53488246818290941</v>
      </c>
      <c r="AH5" s="35" cm="1">
        <f t="array" ref="AH5:AO5">TRANSPOSE('[6]Silumos kiekio nustat.'!$F$25:$F$32)</f>
        <v>313.78658016660455</v>
      </c>
      <c r="AI5" s="35">
        <v>334.22015668432556</v>
      </c>
      <c r="AJ5" s="35">
        <v>348.87787220548705</v>
      </c>
      <c r="AK5" s="35">
        <v>357.84766981441794</v>
      </c>
      <c r="AL5" s="35">
        <v>361.22250060056848</v>
      </c>
      <c r="AM5" s="35">
        <v>359.09585487282646</v>
      </c>
      <c r="AN5" s="35">
        <v>351.55776027633385</v>
      </c>
      <c r="AO5" s="35">
        <v>338.69129530514061</v>
      </c>
      <c r="AP5" s="313">
        <f t="shared" si="5"/>
        <v>4.6542163384607406E-2</v>
      </c>
      <c r="AQ5" s="35">
        <f t="shared" si="6"/>
        <v>16.087878746990793</v>
      </c>
      <c r="AR5" s="183" cm="1">
        <f t="array" ref="AR5:AY5">TRANSPOSE([6]Alfa!$E$127:$E$134)</f>
        <v>0.16386062417530339</v>
      </c>
      <c r="AS5" s="183">
        <v>0.15378916479656626</v>
      </c>
      <c r="AT5" s="183">
        <v>0.14836174765653787</v>
      </c>
      <c r="AU5" s="183">
        <v>0.10030639742331425</v>
      </c>
      <c r="AV5" s="183">
        <v>0.12349646773456313</v>
      </c>
      <c r="AW5" s="183">
        <v>0.14366862263378552</v>
      </c>
      <c r="AX5" s="183">
        <v>7.2208324582890351E-2</v>
      </c>
      <c r="AY5" s="183">
        <v>0.12189236293068927</v>
      </c>
      <c r="AZ5" s="183">
        <f t="shared" si="7"/>
        <v>200</v>
      </c>
      <c r="BA5" s="183">
        <f>'Su K. oro stendu'!P50</f>
        <v>64.569000000000003</v>
      </c>
      <c r="BB5" s="183">
        <f t="shared" si="0"/>
        <v>199.98750000000001</v>
      </c>
      <c r="BC5" s="143">
        <v>64.567999999999998</v>
      </c>
      <c r="BD5" s="183">
        <f t="shared" si="1"/>
        <v>199.24250000000001</v>
      </c>
      <c r="BE5" s="143">
        <v>64.504999999999995</v>
      </c>
      <c r="BF5" s="183">
        <f t="shared" si="8"/>
        <v>196.87</v>
      </c>
      <c r="BG5" s="143">
        <v>64.302000000000007</v>
      </c>
      <c r="BH5" s="183">
        <f t="shared" si="9"/>
        <v>193.84</v>
      </c>
      <c r="BI5" s="143">
        <v>64.040000000000006</v>
      </c>
      <c r="BJ5" s="183">
        <f t="shared" si="10"/>
        <v>193.8</v>
      </c>
      <c r="BK5" s="143">
        <v>64.036000000000001</v>
      </c>
      <c r="BL5" s="183">
        <f t="shared" si="11"/>
        <v>190.685</v>
      </c>
      <c r="BM5" s="304">
        <v>63.762</v>
      </c>
      <c r="BN5" s="183">
        <f t="shared" si="12"/>
        <v>190.64</v>
      </c>
      <c r="BO5" s="143">
        <v>63.758000000000003</v>
      </c>
      <c r="BP5" s="183">
        <f t="shared" si="13"/>
        <v>187.68</v>
      </c>
      <c r="BQ5" s="143">
        <v>63.491999999999997</v>
      </c>
      <c r="BR5" s="183" cm="1">
        <f t="array" ref="BR5:BY5">TRANSPOSE('[6]Keithley Matavimai'!$W$6:$W$13)</f>
        <v>43.658503068620462</v>
      </c>
      <c r="BS5" s="183">
        <v>39.33178688226554</v>
      </c>
      <c r="BT5" s="183">
        <v>38.237961008399516</v>
      </c>
      <c r="BU5" s="183">
        <v>34.113577253608788</v>
      </c>
      <c r="BV5" s="183">
        <v>34.099981102696916</v>
      </c>
      <c r="BW5" s="183">
        <v>33.693804510170246</v>
      </c>
      <c r="BX5" s="183">
        <v>29.949942876967828</v>
      </c>
      <c r="BY5" s="183">
        <v>26.254294901771857</v>
      </c>
      <c r="BZ5" s="183" cm="1">
        <f t="array" ref="BZ5:CH5">TRANSPOSE('[6]Keithley Matavimai'!$V$5:$V$13)</f>
        <v>134.99114930403169</v>
      </c>
      <c r="CA5" s="183">
        <v>128.16729777120568</v>
      </c>
      <c r="CB5" s="183">
        <v>122.46389969315562</v>
      </c>
      <c r="CC5" s="183">
        <v>116.13346084157376</v>
      </c>
      <c r="CD5" s="183">
        <v>112.55916516571186</v>
      </c>
      <c r="CE5" s="183">
        <v>107.14516642642776</v>
      </c>
      <c r="CF5" s="183">
        <v>101.49387116412269</v>
      </c>
      <c r="CG5" s="183">
        <v>98.251947419139427</v>
      </c>
      <c r="CH5" s="183">
        <v>93.368355876548819</v>
      </c>
      <c r="CI5" s="183" cm="1">
        <f t="array" ref="CI5:CQ5">TRANSPOSE('[6]Silumos kiekio nustat.'!$B$24:$B$32)</f>
        <v>30.943626226455638</v>
      </c>
      <c r="CJ5" s="183">
        <v>28.845345723957294</v>
      </c>
      <c r="CK5" s="183">
        <v>26.601745756039673</v>
      </c>
      <c r="CL5" s="183">
        <v>24.250254428083469</v>
      </c>
      <c r="CM5" s="183">
        <v>21.828299845469381</v>
      </c>
      <c r="CN5" s="183">
        <v>19.373310113578107</v>
      </c>
      <c r="CO5" s="183">
        <v>16.922713337790341</v>
      </c>
      <c r="CP5" s="183">
        <v>14.513937623486783</v>
      </c>
      <c r="CQ5" s="183">
        <v>12.184411076048129</v>
      </c>
      <c r="CR5" s="183">
        <f>'Su K. oro stendu'!P50</f>
        <v>64.569000000000003</v>
      </c>
      <c r="CS5" s="183"/>
      <c r="CT5" s="183">
        <v>8391.582635237708</v>
      </c>
      <c r="CU5" s="183">
        <f>[6]Alfa!$F$15</f>
        <v>900</v>
      </c>
      <c r="CV5" s="172">
        <f>'Su K. oro stendu'!J50</f>
        <v>2</v>
      </c>
      <c r="CW5" s="183">
        <f>'Su K. oro stendu'!D50</f>
        <v>5000</v>
      </c>
      <c r="CX5" s="183">
        <f>'Su K. oro stendu'!G50</f>
        <v>20</v>
      </c>
      <c r="CY5" s="183">
        <v>0.16426666666666664</v>
      </c>
      <c r="CZ5" s="183">
        <f>'Su K. oro stendu'!H50</f>
        <v>24</v>
      </c>
      <c r="DA5" s="183">
        <f>'Su K. oro stendu'!C50</f>
        <v>200</v>
      </c>
      <c r="DB5" s="183">
        <f>'Su K. oro stendu'!E50</f>
        <v>40</v>
      </c>
      <c r="DC5" s="183">
        <f>'Su K. oro stendu'!I50</f>
        <v>400</v>
      </c>
      <c r="DD5" s="183">
        <f>'Su K. oro stendu'!K50</f>
        <v>12</v>
      </c>
      <c r="DE5" s="183">
        <f>'Su K. oro stendu'!L50</f>
        <v>19</v>
      </c>
      <c r="DF5" s="183">
        <f>'Su K. oro stendu'!F50</f>
        <v>135</v>
      </c>
      <c r="DG5" s="253">
        <f>[6]Alfa!$D$29</f>
        <v>2593.1545616410358</v>
      </c>
      <c r="DH5" s="253">
        <f>[6]Alfa!$D$26</f>
        <v>8391.582635237708</v>
      </c>
      <c r="DI5" s="253">
        <f>[6]Alfa!$D$27</f>
        <v>6631.7909829381842</v>
      </c>
      <c r="DJ5" s="253">
        <f t="shared" si="14"/>
        <v>9224.9455445792191</v>
      </c>
      <c r="DK5" s="253">
        <f>(DJ5+DH5)/2</f>
        <v>8808.2640899084636</v>
      </c>
      <c r="DL5" s="253">
        <f t="shared" si="16"/>
        <v>9.9309384840241696E-2</v>
      </c>
      <c r="DM5" s="183">
        <f>New!AC5</f>
        <v>3.7795626838605138E-5</v>
      </c>
      <c r="DN5" s="183">
        <f t="shared" si="2"/>
        <v>4.1122624104959997E-5</v>
      </c>
      <c r="DO5" s="183">
        <f t="shared" si="17"/>
        <v>0.91909569637717803</v>
      </c>
      <c r="DP5" s="183">
        <f t="shared" si="3"/>
        <v>218.51899888331505</v>
      </c>
      <c r="DQ5" s="297">
        <f>DH5/((DA5/3600)*New!BV5*(Sheet3!BZ5-Sheet3!CP5)*1000)</f>
        <v>1.0460711073505771</v>
      </c>
      <c r="DR5" s="166">
        <f>(DB5*0.018)/(0.011*New!IV5*3600)</f>
        <v>1345.6002421038993</v>
      </c>
      <c r="DS5" s="166">
        <f>(New!IV5*New!CE5*1000)/New!AU5</f>
        <v>0.67092700404063232</v>
      </c>
      <c r="DT5" s="166">
        <f>IF(DR5&gt;2300,0.023*((DR5^(4/5)*DS5^(1/3))/(1+12.7*(DS5^(2/3)-1)))*(New!IV5/DV5)^0.14, 0.943*(DR5*DS5*New!IV5/Sheet3!DV5)^0.4)</f>
        <v>16.177038622910025</v>
      </c>
      <c r="DU5" s="166">
        <f t="shared" si="4"/>
        <v>-1016.1014137311087</v>
      </c>
      <c r="DV5" s="166">
        <f>_xlfn.FORECAST.LINEAR(AVERAGE(_xlfn.ANCHORARRAY(BR5)),Sheet2!$AK$2:$AK$69,Sheet2!$AJ$2:$AJ$69)</f>
        <v>1.0007929987089363E-5</v>
      </c>
    </row>
    <row r="6" spans="1:126" x14ac:dyDescent="0.3">
      <c r="A6" s="184">
        <f>'Su K. oro stendu'!B51</f>
        <v>44893</v>
      </c>
      <c r="B6" s="183">
        <v>9</v>
      </c>
      <c r="C6" s="183">
        <v>573</v>
      </c>
      <c r="D6" s="183">
        <v>7</v>
      </c>
      <c r="E6" s="183">
        <v>624</v>
      </c>
      <c r="F6" s="183">
        <v>8</v>
      </c>
      <c r="G6" s="183">
        <v>618</v>
      </c>
      <c r="H6" s="183">
        <v>8</v>
      </c>
      <c r="I6" s="183">
        <v>591</v>
      </c>
      <c r="J6" s="183" cm="1">
        <f t="array" ref="J6:Q6">TRANSPOSE('[7]Nu kitimas'!$G$4:$G$11)</f>
        <v>41.908318928539138</v>
      </c>
      <c r="K6" s="183">
        <v>67.04751357876755</v>
      </c>
      <c r="L6" s="183">
        <v>93.296713202177642</v>
      </c>
      <c r="M6" s="183">
        <v>118.27852718231621</v>
      </c>
      <c r="N6" s="183">
        <v>143.79558671010338</v>
      </c>
      <c r="O6" s="183">
        <v>168.78379798564589</v>
      </c>
      <c r="P6" s="183">
        <v>193.13980048812792</v>
      </c>
      <c r="Q6" s="250">
        <v>211.71730638517744</v>
      </c>
      <c r="R6" s="183" cm="1">
        <f t="array" ref="R6:Y6">TRANSPOSE([7]Alfa!$G$18:$G$25)</f>
        <v>74.421946607995636</v>
      </c>
      <c r="S6" s="183">
        <v>117.29310391591262</v>
      </c>
      <c r="T6" s="183">
        <v>160.08488556202107</v>
      </c>
      <c r="U6" s="183">
        <v>201.20287362340159</v>
      </c>
      <c r="V6" s="183">
        <v>240.56620461831807</v>
      </c>
      <c r="W6" s="183">
        <v>279.42016312562589</v>
      </c>
      <c r="X6" s="183">
        <v>314.44922785244069</v>
      </c>
      <c r="Y6" s="183">
        <v>341.38218166239301</v>
      </c>
      <c r="Z6" s="183" cm="1">
        <f t="array" ref="Z6:AG6">TRANSPOSE([7]Alfa!$F$127:$F$134)</f>
        <v>7.9862313863158316E-3</v>
      </c>
      <c r="AA6" s="183">
        <v>0.51060035736462084</v>
      </c>
      <c r="AB6" s="183">
        <v>6.2543093514454869E-3</v>
      </c>
      <c r="AC6" s="183">
        <v>0.55844665409891114</v>
      </c>
      <c r="AD6" s="183">
        <v>7.1678303456317845E-3</v>
      </c>
      <c r="AE6" s="183">
        <v>0.55435873365036448</v>
      </c>
      <c r="AF6" s="183">
        <v>7.1881514238709178E-3</v>
      </c>
      <c r="AG6" s="183">
        <v>0.53244036352301183</v>
      </c>
      <c r="AH6" s="35" cm="1">
        <f t="array" ref="AH6:AO6">TRANSPOSE('[7]Silumos kiekio nustat.'!$F$25:$F$32)*3</f>
        <v>445.82791312255722</v>
      </c>
      <c r="AI6" s="35">
        <v>684.4511112133664</v>
      </c>
      <c r="AJ6" s="35">
        <v>894.87840018314319</v>
      </c>
      <c r="AK6" s="35">
        <v>1076.9559252402485</v>
      </c>
      <c r="AL6" s="35">
        <v>1230.7589571691904</v>
      </c>
      <c r="AM6" s="35">
        <v>1356.5520656381777</v>
      </c>
      <c r="AN6" s="35">
        <v>1454.7465971329475</v>
      </c>
      <c r="AO6" s="35">
        <v>1525.8575448139954</v>
      </c>
      <c r="AP6" s="313">
        <f t="shared" si="5"/>
        <v>0.35415945441240837</v>
      </c>
      <c r="AQ6" s="35">
        <f t="shared" si="6"/>
        <v>383.82157105502114</v>
      </c>
      <c r="AR6" s="183" cm="1">
        <f t="array" ref="AR6:AY6">TRANSPOSE([7]Alfa!$E$127:$E$134)*3</f>
        <v>0.55108568616507059</v>
      </c>
      <c r="AS6" s="183">
        <v>0.4920837463515414</v>
      </c>
      <c r="AT6" s="183">
        <v>0.52693959282271219</v>
      </c>
      <c r="AU6" s="183">
        <v>0.32023677636538156</v>
      </c>
      <c r="AV6" s="183">
        <v>0.44164112146502499</v>
      </c>
      <c r="AW6" s="183">
        <v>0.36499872956978857</v>
      </c>
      <c r="AX6" s="183">
        <v>0.43017008978212556</v>
      </c>
      <c r="AY6" s="183">
        <v>0.33395492823177358</v>
      </c>
      <c r="AZ6" s="183">
        <f t="shared" si="7"/>
        <v>194.8356807511737</v>
      </c>
      <c r="BA6" s="183">
        <f>'Su K. oro stendu'!P51</f>
        <v>67.691999999999993</v>
      </c>
      <c r="BB6" s="183">
        <f t="shared" si="0"/>
        <v>194.82511737089203</v>
      </c>
      <c r="BC6" s="143">
        <v>64.126000000000005</v>
      </c>
      <c r="BD6" s="183">
        <f t="shared" si="1"/>
        <v>194.15258215962442</v>
      </c>
      <c r="BE6" s="143">
        <v>64.066999999999993</v>
      </c>
      <c r="BF6" s="183">
        <f t="shared" si="8"/>
        <v>192.07042253521126</v>
      </c>
      <c r="BG6" s="143">
        <v>63.884</v>
      </c>
      <c r="BH6" s="183">
        <f t="shared" si="9"/>
        <v>189.14084507042253</v>
      </c>
      <c r="BI6" s="143">
        <v>63.624000000000002</v>
      </c>
      <c r="BJ6" s="183">
        <f t="shared" si="10"/>
        <v>189.10328638497651</v>
      </c>
      <c r="BK6" s="143">
        <v>63.62</v>
      </c>
      <c r="BL6" s="183">
        <f t="shared" si="11"/>
        <v>186.20187793427229</v>
      </c>
      <c r="BM6" s="143">
        <v>63.356999999999999</v>
      </c>
      <c r="BN6" s="183">
        <f t="shared" si="12"/>
        <v>186.1643192488263</v>
      </c>
      <c r="BO6" s="143">
        <v>63.353999999999999</v>
      </c>
      <c r="BP6" s="183">
        <f t="shared" si="13"/>
        <v>183.38967136150234</v>
      </c>
      <c r="BQ6" s="183">
        <v>63.097999999999999</v>
      </c>
      <c r="BR6" s="183" cm="1">
        <f t="array" ref="BR6:BY6">TRANSPOSE('[8]Keithley Measurments'!$W$6:$W$13)</f>
        <v>44.562302913929251</v>
      </c>
      <c r="BS6" s="183">
        <v>40.462714326735799</v>
      </c>
      <c r="BT6" s="183">
        <v>39.032658613483555</v>
      </c>
      <c r="BU6" s="183">
        <v>34.876464131126113</v>
      </c>
      <c r="BV6" s="183">
        <v>34.662884699235526</v>
      </c>
      <c r="BW6" s="183">
        <v>34.213748163336028</v>
      </c>
      <c r="BX6" s="183">
        <v>32.498420855694953</v>
      </c>
      <c r="BY6" s="183">
        <v>25.279321403134823</v>
      </c>
      <c r="BZ6" s="183" cm="1">
        <f t="array" ref="BZ6:CH6">TRANSPOSE('[7]Keithley Matavimai'!$V$5:$V$13)</f>
        <v>145.54278565883115</v>
      </c>
      <c r="CA6" s="183">
        <v>138.04486950967672</v>
      </c>
      <c r="CB6" s="183">
        <v>132.06433978952856</v>
      </c>
      <c r="CC6" s="183">
        <v>124.70140756277419</v>
      </c>
      <c r="CD6" s="183">
        <v>121.0077243924469</v>
      </c>
      <c r="CE6" s="183">
        <v>114.67680030153161</v>
      </c>
      <c r="CF6" s="183">
        <v>110.15527458507347</v>
      </c>
      <c r="CG6" s="183">
        <v>103.8272900322283</v>
      </c>
      <c r="CH6" s="183">
        <v>99.550679828896065</v>
      </c>
      <c r="CI6" s="183" cm="1">
        <f t="array" ref="CI6:CQ6">TRANSPOSE('[7]Silumos kiekio nustat.'!$B$24:$B$32)</f>
        <v>29.35448633630082</v>
      </c>
      <c r="CJ6" s="183">
        <v>28.362595559576366</v>
      </c>
      <c r="CK6" s="183">
        <v>26.836393644153816</v>
      </c>
      <c r="CL6" s="183">
        <v>24.834763306436717</v>
      </c>
      <c r="CM6" s="183">
        <v>22.416587262828607</v>
      </c>
      <c r="CN6" s="183">
        <v>19.64074822973302</v>
      </c>
      <c r="CO6" s="183">
        <v>16.566128923553507</v>
      </c>
      <c r="CP6" s="183">
        <v>13.251612060693603</v>
      </c>
      <c r="CQ6" s="183">
        <v>9.7560803575568436</v>
      </c>
      <c r="CR6" s="183">
        <f>'Su K. oro stendu'!P51</f>
        <v>67.691999999999993</v>
      </c>
      <c r="CS6" s="183"/>
      <c r="CT6" s="183">
        <v>8770.746995210995</v>
      </c>
      <c r="CU6" s="183">
        <f>[7]Alfa!$F$15</f>
        <v>900</v>
      </c>
      <c r="CV6" s="172">
        <f>'Su K. oro stendu'!J51</f>
        <v>2</v>
      </c>
      <c r="CW6" s="183">
        <f>'Su K. oro stendu'!D51</f>
        <v>5000</v>
      </c>
      <c r="CX6" s="183">
        <f>'Su K. oro stendu'!G51</f>
        <v>20</v>
      </c>
      <c r="CY6" s="183">
        <v>0.16253333333333331</v>
      </c>
      <c r="CZ6" s="183">
        <f>'Su K. oro stendu'!H51</f>
        <v>23.5</v>
      </c>
      <c r="DA6" s="183">
        <f>'Su K. oro stendu'!C51</f>
        <v>213</v>
      </c>
      <c r="DB6" s="183">
        <f>'Su K. oro stendu'!E51</f>
        <v>41.5</v>
      </c>
      <c r="DC6" s="183">
        <f>'Su K. oro stendu'!I51</f>
        <v>403.5</v>
      </c>
      <c r="DD6" s="183">
        <f>'Su K. oro stendu'!K51</f>
        <v>8.84</v>
      </c>
      <c r="DE6" s="183">
        <f>'Su K. oro stendu'!L51</f>
        <v>19.82</v>
      </c>
      <c r="DF6" s="183">
        <f>'Su K. oro stendu'!F51</f>
        <v>145</v>
      </c>
      <c r="DG6" s="253">
        <f>[7]Alfa!$D$29</f>
        <v>2918.6487299853384</v>
      </c>
      <c r="DH6" s="253">
        <f>[7]Alfa!$D$26</f>
        <v>8770.746995210995</v>
      </c>
      <c r="DI6" s="253">
        <f>[7]Alfa!$D$27</f>
        <v>6553.3278934325181</v>
      </c>
      <c r="DJ6" s="253">
        <f t="shared" si="14"/>
        <v>9471.9766234178569</v>
      </c>
      <c r="DK6" s="253">
        <f t="shared" ref="DK6:DK7" si="18">(DJ6+DH6)/2</f>
        <v>9121.361809314425</v>
      </c>
      <c r="DL6" s="253">
        <f t="shared" si="16"/>
        <v>7.9950958406364639E-2</v>
      </c>
      <c r="DM6" s="183">
        <f>New!AC6</f>
        <v>3.9899948975904211E-5</v>
      </c>
      <c r="DN6" s="183">
        <f t="shared" si="2"/>
        <v>4.2388323940559999E-5</v>
      </c>
      <c r="DO6" s="183">
        <f t="shared" si="17"/>
        <v>0.94129574530606186</v>
      </c>
      <c r="DP6" s="183">
        <f t="shared" si="3"/>
        <v>216.10257337101359</v>
      </c>
      <c r="DQ6" s="297">
        <f>DH6/((DA6/3600)*New!BV6*(Sheet3!BZ6-Sheet3!CP6)*1000)</f>
        <v>0.93657064879995799</v>
      </c>
      <c r="DR6" s="166">
        <f>(DB6*0.018)/(0.011*New!IV6*3600)</f>
        <v>1360.7993327870911</v>
      </c>
      <c r="DS6" s="166">
        <f>(New!IV6*New!CE6*1000)/New!AU6</f>
        <v>0.64719895598215416</v>
      </c>
      <c r="DT6" s="166">
        <f>IF(DR6&gt;2300,0.023*((DR6^(4/5)*DS6^(1/3))/(1+12.7*(DS6^(2/3)-1)))*(New!IV6/DV6)^0.14, 0.943*(DR6*DS6*New!IV6/Sheet3!DV6)^0.4)</f>
        <v>16.164609878321713</v>
      </c>
      <c r="DU6" s="166">
        <f t="shared" si="4"/>
        <v>-992.8422716652849</v>
      </c>
      <c r="DV6" s="166">
        <f>_xlfn.FORECAST.LINEAR(AVERAGE(_xlfn.ANCHORARRAY(BR6)),Sheet2!$AK$2:$AK$69,Sheet2!$AJ$2:$AJ$69)</f>
        <v>1.0035277506351975E-5</v>
      </c>
    </row>
    <row r="7" spans="1:126" x14ac:dyDescent="0.3">
      <c r="A7" s="184">
        <f>'Su K. oro stendu'!B52</f>
        <v>44893</v>
      </c>
      <c r="B7" s="251">
        <v>5</v>
      </c>
      <c r="C7" s="251">
        <v>555</v>
      </c>
      <c r="D7" s="251">
        <v>7</v>
      </c>
      <c r="E7" s="251">
        <v>597</v>
      </c>
      <c r="F7" s="251">
        <v>6</v>
      </c>
      <c r="G7" s="251">
        <v>612</v>
      </c>
      <c r="H7" s="251">
        <v>8</v>
      </c>
      <c r="I7" s="251">
        <v>593</v>
      </c>
      <c r="J7" s="183" cm="1">
        <f t="array" ref="J7:Q7">TRANSPOSE('[9]Nu kitimas'!$G$4:$G$11)</f>
        <v>49.009225095799557</v>
      </c>
      <c r="K7" s="183">
        <v>66.418845053186246</v>
      </c>
      <c r="L7" s="183">
        <v>87.087391642521226</v>
      </c>
      <c r="M7" s="183">
        <v>107.84430130998675</v>
      </c>
      <c r="N7" s="183">
        <v>128.80792317510239</v>
      </c>
      <c r="O7" s="183">
        <v>151.69996489765705</v>
      </c>
      <c r="P7" s="183">
        <v>175.15123880437289</v>
      </c>
      <c r="Q7" s="250">
        <v>200.00439541351014</v>
      </c>
      <c r="R7" s="183" cm="1">
        <f t="array" ref="R7:Y7">TRANSPOSE([9]Alfa!$G$18:$G$25)</f>
        <v>88.639198055591223</v>
      </c>
      <c r="S7" s="183">
        <v>118.2276192996481</v>
      </c>
      <c r="T7" s="183">
        <v>151.53845148976583</v>
      </c>
      <c r="U7" s="183">
        <v>185.90712573669367</v>
      </c>
      <c r="V7" s="183">
        <v>218.9026985722538</v>
      </c>
      <c r="W7" s="183">
        <v>254.46119223836266</v>
      </c>
      <c r="X7" s="183">
        <v>289.50728973019483</v>
      </c>
      <c r="Y7" s="183">
        <v>324.70458162355095</v>
      </c>
      <c r="Z7" s="183" cm="1">
        <f t="array" ref="Z7:AG7">TRANSPOSE([9]Alfa!$F$127:$F$134)</f>
        <v>4.4357321459301217E-3</v>
      </c>
      <c r="AA7" s="183">
        <v>0.49452343878676541</v>
      </c>
      <c r="AB7" s="183">
        <v>6.2541269448450586E-3</v>
      </c>
      <c r="AC7" s="183">
        <v>0.53425434384517267</v>
      </c>
      <c r="AD7" s="183">
        <v>5.3753169560084605E-3</v>
      </c>
      <c r="AE7" s="183">
        <v>0.54890354391043872</v>
      </c>
      <c r="AF7" s="183">
        <v>7.1874424474459124E-3</v>
      </c>
      <c r="AG7" s="183">
        <v>0.53426509953824419</v>
      </c>
      <c r="AH7" s="35" cm="1">
        <f t="array" ref="AH7:AO7">TRANSPOSE('[9]Silumos kiekio nustat.'!$F$25:$F$32)</f>
        <v>190.07682084414606</v>
      </c>
      <c r="AI7" s="35">
        <v>249.54039120270673</v>
      </c>
      <c r="AJ7" s="35">
        <v>304.90031053091849</v>
      </c>
      <c r="AK7" s="35">
        <v>356.1082147430684</v>
      </c>
      <c r="AL7" s="35">
        <v>403.14534525842521</v>
      </c>
      <c r="AM7" s="35">
        <v>446.02024161529283</v>
      </c>
      <c r="AN7" s="35">
        <v>484.76598993263229</v>
      </c>
      <c r="AO7" s="35">
        <v>519.4371106132005</v>
      </c>
      <c r="AP7" s="313">
        <f t="shared" si="5"/>
        <v>0.31331211128772174</v>
      </c>
      <c r="AQ7" s="35">
        <f t="shared" si="6"/>
        <v>115.69027874344633</v>
      </c>
      <c r="AR7" s="183" cm="1">
        <f t="array" ref="AR7:AY7">TRANSPOSE([9]Alfa!$E$127:$E$134)</f>
        <v>0.14265334972928465</v>
      </c>
      <c r="AS7" s="183">
        <v>0.17624443232433404</v>
      </c>
      <c r="AT7" s="183">
        <v>0.21247204221657603</v>
      </c>
      <c r="AU7" s="183">
        <v>0.11493448771709548</v>
      </c>
      <c r="AV7" s="183">
        <v>0.13001419040425793</v>
      </c>
      <c r="AW7" s="183">
        <v>0.14707181696761903</v>
      </c>
      <c r="AX7" s="183">
        <v>0.13057608697723988</v>
      </c>
      <c r="AY7" s="183">
        <v>0.18570866015890944</v>
      </c>
      <c r="AZ7" s="183">
        <f t="shared" si="7"/>
        <v>191.2442396313364</v>
      </c>
      <c r="BA7" s="183">
        <f>'Su K. oro stendu'!P52</f>
        <v>63.811</v>
      </c>
      <c r="BB7" s="183">
        <f t="shared" si="0"/>
        <v>191.2384792626728</v>
      </c>
      <c r="BC7" s="143">
        <v>63.811</v>
      </c>
      <c r="BD7" s="183">
        <f t="shared" si="1"/>
        <v>190.59907834101384</v>
      </c>
      <c r="BE7" s="143">
        <v>63.753999999999998</v>
      </c>
      <c r="BF7" s="183">
        <f t="shared" si="8"/>
        <v>188.63133640552996</v>
      </c>
      <c r="BG7" s="143">
        <v>63.578000000000003</v>
      </c>
      <c r="BH7" s="183">
        <f t="shared" si="9"/>
        <v>185.88018433179724</v>
      </c>
      <c r="BI7" s="143">
        <v>63.328000000000003</v>
      </c>
      <c r="BJ7" s="183">
        <f t="shared" si="10"/>
        <v>185.85253456221199</v>
      </c>
      <c r="BK7" s="143">
        <v>63.325000000000003</v>
      </c>
      <c r="BL7" s="183">
        <f t="shared" si="11"/>
        <v>183.03225806451613</v>
      </c>
      <c r="BM7" s="143">
        <v>63.064999999999998</v>
      </c>
      <c r="BN7" s="183">
        <f t="shared" si="12"/>
        <v>182.99539170506912</v>
      </c>
      <c r="BO7" s="143">
        <v>63.061999999999998</v>
      </c>
      <c r="BP7" s="183">
        <f t="shared" si="13"/>
        <v>180.2626728110599</v>
      </c>
      <c r="BQ7" s="143">
        <v>62.805</v>
      </c>
      <c r="BR7" s="183" cm="1">
        <f t="array" ref="BR7:BY7">TRANSPOSE('[9]Keithley Matavimai'!$W$6:$W$13)</f>
        <v>44.798946742641029</v>
      </c>
      <c r="BS7" s="183">
        <v>40.491391159799036</v>
      </c>
      <c r="BT7" s="183">
        <v>39.208686718534722</v>
      </c>
      <c r="BU7" s="183">
        <v>34.839913096549488</v>
      </c>
      <c r="BV7" s="183">
        <v>34.704001956410714</v>
      </c>
      <c r="BW7" s="183">
        <v>34.392226275168071</v>
      </c>
      <c r="BX7" s="183">
        <v>32.514109013521313</v>
      </c>
      <c r="BY7" s="183">
        <v>28.946163382929218</v>
      </c>
      <c r="BZ7" s="183" cm="1">
        <f t="array" ref="BZ7:CH7">TRANSPOSE('[9]Keithley Matavimai'!$V$5:$V$13)</f>
        <v>152.06398941987877</v>
      </c>
      <c r="CA7" s="183">
        <v>146.34494698240852</v>
      </c>
      <c r="CB7" s="183">
        <v>140.00931677109506</v>
      </c>
      <c r="CC7" s="183">
        <v>131.27058269475924</v>
      </c>
      <c r="CD7" s="183">
        <v>127.31476805807459</v>
      </c>
      <c r="CE7" s="183">
        <v>121.83208489295335</v>
      </c>
      <c r="CF7" s="183">
        <v>116.34994770014184</v>
      </c>
      <c r="CG7" s="183">
        <v>110.70191343513194</v>
      </c>
      <c r="CH7" s="183">
        <v>103.26463330056873</v>
      </c>
      <c r="CI7" s="183" cm="1">
        <f t="array" ref="CI7:CQ7">TRANSPOSE('[9]Silumos kiekio nustat.'!$B$24:$B$32)</f>
        <v>29.715674256862517</v>
      </c>
      <c r="CJ7" s="183">
        <v>28.45221701855192</v>
      </c>
      <c r="CK7" s="183">
        <v>26.789172538327154</v>
      </c>
      <c r="CL7" s="183">
        <v>24.750546804750172</v>
      </c>
      <c r="CM7" s="183">
        <v>22.360345806382917</v>
      </c>
      <c r="CN7" s="183">
        <v>19.64257553178734</v>
      </c>
      <c r="CO7" s="183">
        <v>16.621241969525386</v>
      </c>
      <c r="CP7" s="183">
        <v>13.320351108159002</v>
      </c>
      <c r="CQ7" s="183">
        <v>9.7639089362501323</v>
      </c>
      <c r="CR7" s="183">
        <f>'Su K. oro stendu'!P52</f>
        <v>63.811</v>
      </c>
      <c r="CS7" s="183"/>
      <c r="CT7" s="183">
        <v>8983.0728051799724</v>
      </c>
      <c r="CU7" s="183">
        <f>[9]Alfa!$F$15</f>
        <v>900</v>
      </c>
      <c r="CV7" s="172">
        <f>'Su K. oro stendu'!J52</f>
        <v>2</v>
      </c>
      <c r="CW7" s="183">
        <f>'Su K. oro stendu'!D52</f>
        <v>5000</v>
      </c>
      <c r="CX7" s="183">
        <f>'Su K. oro stendu'!G52</f>
        <v>20</v>
      </c>
      <c r="CY7" s="183">
        <v>0.15886666666666666</v>
      </c>
      <c r="CZ7" s="183">
        <f>'Su K. oro stendu'!H52</f>
        <v>22.97</v>
      </c>
      <c r="DA7" s="183">
        <f>'Su K. oro stendu'!C52</f>
        <v>217</v>
      </c>
      <c r="DB7" s="183">
        <f>'Su K. oro stendu'!E52</f>
        <v>41.5</v>
      </c>
      <c r="DC7" s="183">
        <f>'Su K. oro stendu'!I52</f>
        <v>405</v>
      </c>
      <c r="DD7" s="183">
        <f>'Su K. oro stendu'!K52</f>
        <v>8.8800000000000008</v>
      </c>
      <c r="DE7" s="183">
        <f>'Su K. oro stendu'!L52</f>
        <v>20.21</v>
      </c>
      <c r="DF7" s="183">
        <f>'Su K. oro stendu'!F52</f>
        <v>155</v>
      </c>
      <c r="DG7" s="253">
        <f>[9]Alfa!$D$29</f>
        <v>3404.0221325323632</v>
      </c>
      <c r="DH7" s="253">
        <f>[9]Alfa!$D$26</f>
        <v>8983.0728051799724</v>
      </c>
      <c r="DI7" s="253">
        <f>[9]Alfa!$D$27</f>
        <v>6405.5971337245519</v>
      </c>
      <c r="DJ7" s="253">
        <f t="shared" si="14"/>
        <v>9809.6192662569156</v>
      </c>
      <c r="DK7" s="253">
        <f t="shared" si="18"/>
        <v>9396.3460357184449</v>
      </c>
      <c r="DL7" s="253">
        <f t="shared" si="16"/>
        <v>9.2011550947280071E-2</v>
      </c>
      <c r="DM7" s="183">
        <f>New!AC7</f>
        <v>4.2032682722188875E-5</v>
      </c>
      <c r="DN7" s="183">
        <f t="shared" si="2"/>
        <v>4.3670579340159999E-5</v>
      </c>
      <c r="DO7" s="183">
        <f t="shared" si="17"/>
        <v>0.96249427777879526</v>
      </c>
      <c r="DP7" s="183">
        <f t="shared" si="3"/>
        <v>203.98601959325762</v>
      </c>
      <c r="DQ7" s="297">
        <f>DH7/((DA7/3600)*New!BV7*(Sheet3!BZ7-Sheet3!CP7)*1000)</f>
        <v>0.89830449674005597</v>
      </c>
      <c r="DR7" s="166">
        <f>(DB7*0.018)/(0.011*New!IV7*3600)</f>
        <v>1327.2757356754346</v>
      </c>
      <c r="DS7" s="166">
        <f>(New!IV7*New!CE7*1000)/New!AU7</f>
        <v>0.62637165653847227</v>
      </c>
      <c r="DT7" s="166">
        <f>IF(DR7&gt;2300,0.023*((DR7^(4/5)*DS7^(1/3))/(1+12.7*(DS7^(2/3)-1)))*(New!IV7/DV7)^0.14, 0.943*(DR7*DS7*New!IV7/Sheet3!DV7)^0.4)</f>
        <v>15.942519348228304</v>
      </c>
      <c r="DU7" s="166">
        <f t="shared" si="4"/>
        <v>-975.90635693676245</v>
      </c>
      <c r="DV7" s="166">
        <f>_xlfn.FORECAST.LINEAR(AVERAGE(_xlfn.ANCHORARRAY(BR7)),Sheet2!$AK$2:$AK$69,Sheet2!$AJ$2:$AJ$69)</f>
        <v>1.0054126923702868E-5</v>
      </c>
    </row>
    <row r="8" spans="1:126" x14ac:dyDescent="0.3">
      <c r="A8" s="184" t="str">
        <f>'Su K. oro stendu'!B53</f>
        <v>30.11.2022</v>
      </c>
      <c r="B8" s="251">
        <v>4</v>
      </c>
      <c r="C8" s="251">
        <v>529</v>
      </c>
      <c r="D8" s="251">
        <v>5</v>
      </c>
      <c r="E8" s="251">
        <v>600</v>
      </c>
      <c r="F8" s="251">
        <v>6</v>
      </c>
      <c r="G8" s="251">
        <v>620</v>
      </c>
      <c r="H8" s="251">
        <v>7</v>
      </c>
      <c r="I8" s="251">
        <v>584</v>
      </c>
      <c r="J8" s="183" cm="1">
        <f t="array" ref="J8:Q8">TRANSPOSE('[10]Nu kitimas'!$H$4:$H$11)</f>
        <v>88.281677901219552</v>
      </c>
      <c r="K8" s="183">
        <v>94.222286619097886</v>
      </c>
      <c r="L8" s="183">
        <v>101.34817617079257</v>
      </c>
      <c r="M8" s="183">
        <v>107.23810155239501</v>
      </c>
      <c r="N8" s="183">
        <v>113.18223362987018</v>
      </c>
      <c r="O8" s="183">
        <v>118.02138295015899</v>
      </c>
      <c r="P8" s="183">
        <v>120.37351454148704</v>
      </c>
      <c r="Q8" s="250">
        <v>122.38259679649873</v>
      </c>
      <c r="R8" s="183" cm="1">
        <f t="array" ref="R8:Y8">TRANSPOSE([10]Alfa!$G$18:$G$25)</f>
        <v>162.97551350153793</v>
      </c>
      <c r="S8" s="183">
        <v>171.33961465657879</v>
      </c>
      <c r="T8" s="183">
        <v>180.34370915987216</v>
      </c>
      <c r="U8" s="183">
        <v>188.80819341472969</v>
      </c>
      <c r="V8" s="183">
        <v>195.68036134491823</v>
      </c>
      <c r="W8" s="183">
        <v>201.57804974198649</v>
      </c>
      <c r="X8" s="183">
        <v>202.54152121928777</v>
      </c>
      <c r="Y8" s="183">
        <v>201.75395401498577</v>
      </c>
      <c r="Z8" s="183" cm="1">
        <f t="array" ref="Z8:AG8">TRANSPOSE([10]Alfa!$F$127:$F$134)</f>
        <v>3.5481147370423484E-3</v>
      </c>
      <c r="AA8" s="183">
        <v>0.47136902340551784</v>
      </c>
      <c r="AB8" s="183">
        <v>4.4672136344432499E-3</v>
      </c>
      <c r="AC8" s="183">
        <v>0.53687195604376958</v>
      </c>
      <c r="AD8" s="183">
        <v>5.3740350088255376E-3</v>
      </c>
      <c r="AE8" s="183">
        <v>0.55594001779626601</v>
      </c>
      <c r="AF8" s="183">
        <v>6.2886126447607299E-3</v>
      </c>
      <c r="AG8" s="183">
        <v>0.5263718620414598</v>
      </c>
      <c r="AH8" s="35" cm="1">
        <f t="array" ref="AH8:AO8">TRANSPOSE('[10]Silumos kiekio nustat.'!$F$25:$F$32)</f>
        <v>382.07698207500516</v>
      </c>
      <c r="AI8" s="35">
        <v>390.18082569288765</v>
      </c>
      <c r="AJ8" s="35">
        <v>393.9509476393718</v>
      </c>
      <c r="AK8" s="35">
        <v>393.46755364641496</v>
      </c>
      <c r="AL8" s="35">
        <v>388.80847180706968</v>
      </c>
      <c r="AM8" s="35">
        <v>380.04690904053103</v>
      </c>
      <c r="AN8" s="35">
        <v>367.249533133608</v>
      </c>
      <c r="AO8" s="35">
        <v>350.47488286641277</v>
      </c>
      <c r="AP8" s="313">
        <f t="shared" si="5"/>
        <v>3.9591864577616528E-2</v>
      </c>
      <c r="AQ8" s="35">
        <f t="shared" si="6"/>
        <v>15.075869901697724</v>
      </c>
      <c r="AR8" s="183" cm="1">
        <f t="array" ref="AR8:AY8">TRANSPOSE([10]Alfa!$E$127:$E$134)</f>
        <v>0.24856402662621782</v>
      </c>
      <c r="AS8" s="183">
        <v>0.17331845399877213</v>
      </c>
      <c r="AT8" s="183">
        <v>0.21291583424144941</v>
      </c>
      <c r="AU8" s="183">
        <v>0.13050718427046684</v>
      </c>
      <c r="AV8" s="183">
        <v>0.17370272137775222</v>
      </c>
      <c r="AW8" s="183">
        <v>0.14407303217887141</v>
      </c>
      <c r="AX8" s="183">
        <v>0.13892707323665016</v>
      </c>
      <c r="AY8" s="183">
        <v>0.21508466412064864</v>
      </c>
      <c r="AZ8" s="183">
        <f t="shared" si="7"/>
        <v>200</v>
      </c>
      <c r="BA8" s="183">
        <f>'Su K. oro stendu'!P53</f>
        <v>64.569000000000003</v>
      </c>
      <c r="BB8" s="183">
        <f t="shared" si="0"/>
        <v>199.99555555555557</v>
      </c>
      <c r="BC8" s="143">
        <v>64.567999999999998</v>
      </c>
      <c r="BD8" s="183">
        <f t="shared" si="1"/>
        <v>199.40777777777777</v>
      </c>
      <c r="BE8" s="143">
        <v>64.519000000000005</v>
      </c>
      <c r="BF8" s="183">
        <f t="shared" si="8"/>
        <v>197.60888888888888</v>
      </c>
      <c r="BG8" s="143">
        <v>64.366</v>
      </c>
      <c r="BH8" s="183">
        <f t="shared" si="9"/>
        <v>194.94222222222223</v>
      </c>
      <c r="BI8" s="143">
        <v>64.135999999999996</v>
      </c>
      <c r="BJ8" s="183">
        <f t="shared" si="10"/>
        <v>194.91555555555556</v>
      </c>
      <c r="BK8" s="143">
        <v>64.132999999999996</v>
      </c>
      <c r="BL8" s="183">
        <f t="shared" si="11"/>
        <v>192.16</v>
      </c>
      <c r="BM8" s="143">
        <v>63.892000000000003</v>
      </c>
      <c r="BN8" s="183">
        <f t="shared" si="12"/>
        <v>192.12888888888889</v>
      </c>
      <c r="BO8" s="143">
        <v>63.89</v>
      </c>
      <c r="BP8" s="183">
        <f t="shared" si="13"/>
        <v>189.53333333333333</v>
      </c>
      <c r="BQ8" s="143">
        <v>63.658999999999999</v>
      </c>
      <c r="BR8" s="183" cm="1">
        <f t="array" ref="BR8:BY8">TRANSPOSE('[10]Keithley Matavimai'!$W$6:$W$13)</f>
        <v>44.920022588284361</v>
      </c>
      <c r="BS8" s="183">
        <v>40.425049386350906</v>
      </c>
      <c r="BT8" s="183">
        <v>39.437608643156466</v>
      </c>
      <c r="BU8" s="183">
        <v>34.680091724558459</v>
      </c>
      <c r="BV8" s="183">
        <v>35.045363310724575</v>
      </c>
      <c r="BW8" s="183">
        <v>34.672971192277785</v>
      </c>
      <c r="BX8" s="183">
        <v>32.586616784875332</v>
      </c>
      <c r="BY8" s="183">
        <v>28.505835500389626</v>
      </c>
      <c r="BZ8" s="183" cm="1">
        <f t="array" ref="BZ8:CH8">TRANSPOSE('[10]Keithley Matavimai'!$V$5:$V$13)</f>
        <v>163.87435886596691</v>
      </c>
      <c r="CA8" s="183">
        <v>154.24162727091422</v>
      </c>
      <c r="CB8" s="183">
        <v>148.25105414421364</v>
      </c>
      <c r="CC8" s="183">
        <v>139.79873350046176</v>
      </c>
      <c r="CD8" s="183">
        <v>135.41638723678594</v>
      </c>
      <c r="CE8" s="183">
        <v>128.34388473530223</v>
      </c>
      <c r="CF8" s="183">
        <v>123.23760628479494</v>
      </c>
      <c r="CG8" s="183">
        <v>117.43438311095247</v>
      </c>
      <c r="CH8" s="183">
        <v>109.03769734173493</v>
      </c>
      <c r="CI8" s="183" cm="1">
        <f t="array" ref="CI8:CQ8">TRANSPOSE('[10]Silumos kiekio nustat.'!$B$24:$B$32)</f>
        <v>31.688321285853458</v>
      </c>
      <c r="CJ8" s="183">
        <v>29.173387356036347</v>
      </c>
      <c r="CK8" s="183">
        <v>26.593377204506798</v>
      </c>
      <c r="CL8" s="183">
        <v>23.976489738718463</v>
      </c>
      <c r="CM8" s="183">
        <v>21.350923866124994</v>
      </c>
      <c r="CN8" s="183">
        <v>18.744878494180046</v>
      </c>
      <c r="CO8" s="183">
        <v>16.186552530337266</v>
      </c>
      <c r="CP8" s="183">
        <v>13.704144882050311</v>
      </c>
      <c r="CQ8" s="183">
        <v>11.325854456772827</v>
      </c>
      <c r="CR8" s="183">
        <f>'Su K. oro stendu'!P53</f>
        <v>64.569000000000003</v>
      </c>
      <c r="CS8" s="183"/>
      <c r="CT8" s="183">
        <v>9288.7498672158199</v>
      </c>
      <c r="CU8" s="183">
        <f>[10]Alfa!$F$15</f>
        <v>900</v>
      </c>
      <c r="CV8" s="172">
        <f>'Su K. oro stendu'!J53</f>
        <v>2</v>
      </c>
      <c r="CW8" s="183">
        <f>'Su K. oro stendu'!D53</f>
        <v>5000</v>
      </c>
      <c r="CX8" s="183">
        <f>'Su K. oro stendu'!G53</f>
        <v>20</v>
      </c>
      <c r="CY8" s="183">
        <v>0.157</v>
      </c>
      <c r="CZ8" s="183">
        <f>'Su K. oro stendu'!H53</f>
        <v>22.43</v>
      </c>
      <c r="DA8" s="183">
        <f>'Su K. oro stendu'!C53</f>
        <v>225</v>
      </c>
      <c r="DB8" s="183">
        <f>'Su K. oro stendu'!E53</f>
        <v>45</v>
      </c>
      <c r="DC8" s="183">
        <f>'Su K. oro stendu'!I53</f>
        <v>408</v>
      </c>
      <c r="DD8" s="183">
        <f>'Su K. oro stendu'!K53</f>
        <v>11.11</v>
      </c>
      <c r="DE8" s="183">
        <f>'Su K. oro stendu'!L53</f>
        <v>20.66</v>
      </c>
      <c r="DF8" s="183">
        <f>'Su K. oro stendu'!F53</f>
        <v>165</v>
      </c>
      <c r="DG8" s="253">
        <f>[10]Alfa!$D$29</f>
        <v>3953.8892943116462</v>
      </c>
      <c r="DH8" s="253">
        <f>[10]Alfa!$D$26</f>
        <v>9288.7498672158199</v>
      </c>
      <c r="DI8" s="253">
        <f>[10]Alfa!$D$27</f>
        <v>6330.6925059362547</v>
      </c>
      <c r="DJ8" s="253">
        <f t="shared" si="14"/>
        <v>10284.581800247901</v>
      </c>
      <c r="DK8" s="253">
        <f>(DJ8+DH8)/2</f>
        <v>9786.6658337318604</v>
      </c>
      <c r="DL8" s="253">
        <f t="shared" si="16"/>
        <v>0.10720839157773214</v>
      </c>
      <c r="DM8" s="183">
        <f>New!AC8</f>
        <v>4.4291443800653541E-5</v>
      </c>
      <c r="DN8" s="183">
        <f t="shared" si="2"/>
        <v>4.4969188283759998E-5</v>
      </c>
      <c r="DO8" s="183">
        <f t="shared" si="17"/>
        <v>0.98492869208957423</v>
      </c>
      <c r="DP8" s="183">
        <f t="shared" si="3"/>
        <v>188.12761463173709</v>
      </c>
      <c r="DQ8" s="297">
        <f>DH8/((DA8/3600)*New!BV8*(Sheet3!BZ8-Sheet3!CP8)*1000)</f>
        <v>0.82060411893183638</v>
      </c>
      <c r="DR8" s="166">
        <f>(DB8*0.018)/(0.011*New!IV8*3600)</f>
        <v>1404.6117278407728</v>
      </c>
      <c r="DS8" s="166">
        <f>(New!IV8*New!CE8*1000)/New!AU8</f>
        <v>0.60796365995078483</v>
      </c>
      <c r="DT8" s="166">
        <f>IF(DR8&gt;2300,0.023*((DR8^(4/5)*DS8^(1/3))/(1+12.7*(DS8^(2/3)-1)))*(New!IV8/DV8)^0.14, 0.943*(DR8*DS8*New!IV8/Sheet3!DV8)^0.4)</f>
        <v>16.270928554362225</v>
      </c>
      <c r="DU8" s="166">
        <f t="shared" si="4"/>
        <v>-956.17717996778265</v>
      </c>
      <c r="DV8" s="166">
        <f>_xlfn.FORECAST.LINEAR(AVERAGE(_xlfn.ANCHORARRAY(BR8)),Sheet2!$AK$2:$AK$69,Sheet2!$AJ$2:$AJ$69)</f>
        <v>1.0055781784050129E-5</v>
      </c>
    </row>
    <row r="9" spans="1:126" x14ac:dyDescent="0.3">
      <c r="A9" s="184" t="str">
        <f>'Su K. oro stendu'!B54</f>
        <v>30.11.2022</v>
      </c>
      <c r="B9" s="183">
        <v>4</v>
      </c>
      <c r="C9" s="183">
        <v>505</v>
      </c>
      <c r="D9" s="183">
        <v>3</v>
      </c>
      <c r="E9" s="183">
        <v>579</v>
      </c>
      <c r="F9" s="183">
        <v>5</v>
      </c>
      <c r="G9" s="183">
        <v>607</v>
      </c>
      <c r="H9" s="183">
        <v>7</v>
      </c>
      <c r="I9" s="183">
        <v>569</v>
      </c>
      <c r="J9" s="183" cm="1">
        <f t="array" ref="J9:Q9">TRANSPOSE('[11]Nu kitimas'!$I$4:$I$11)</f>
        <v>85.143193450486564</v>
      </c>
      <c r="K9" s="183">
        <v>88.274699650158482</v>
      </c>
      <c r="L9" s="183">
        <v>93.361659967479511</v>
      </c>
      <c r="M9" s="183">
        <v>97.17314147197483</v>
      </c>
      <c r="N9" s="183">
        <v>101.43621207641162</v>
      </c>
      <c r="O9" s="183">
        <v>104.8576886365923</v>
      </c>
      <c r="P9" s="183">
        <v>106.99399085425149</v>
      </c>
      <c r="Q9" s="250">
        <v>107.03884264355693</v>
      </c>
      <c r="R9" s="183" cm="1">
        <f t="array" ref="R9:Y9">TRANSPOSE([11]Alfa!$G$18:$G$25)</f>
        <v>160.96234720084496</v>
      </c>
      <c r="S9" s="183">
        <v>163.80068381745167</v>
      </c>
      <c r="T9" s="183">
        <v>169.26863784017308</v>
      </c>
      <c r="U9" s="183">
        <v>174.14545452706588</v>
      </c>
      <c r="V9" s="183">
        <v>178.21562919413333</v>
      </c>
      <c r="W9" s="183">
        <v>181.85950720964104</v>
      </c>
      <c r="X9" s="183">
        <v>182.25499258046023</v>
      </c>
      <c r="Y9" s="183">
        <v>179.47353882855336</v>
      </c>
      <c r="Z9" s="183" cm="1">
        <f t="array" ref="Z9:AG9">TRANSPOSE([11]Alfa!$F$127:$F$134)</f>
        <v>3.5504712047423562E-3</v>
      </c>
      <c r="AA9" s="183">
        <v>0.45023481396556736</v>
      </c>
      <c r="AB9" s="183">
        <v>2.6814434180748772E-3</v>
      </c>
      <c r="AC9" s="183">
        <v>0.51823193561016845</v>
      </c>
      <c r="AD9" s="183">
        <v>4.4794092089597603E-3</v>
      </c>
      <c r="AE9" s="183">
        <v>0.54444565170686932</v>
      </c>
      <c r="AF9" s="183">
        <v>6.2919840178666626E-3</v>
      </c>
      <c r="AG9" s="183">
        <v>0.51336152813506486</v>
      </c>
      <c r="AH9" s="35" cm="1">
        <f t="array" ref="AH9:AO9">TRANSPOSE('[11]Silumos kiekio nustat.'!$F$25:$F$32)</f>
        <v>408.14586514406278</v>
      </c>
      <c r="AI9" s="35">
        <v>403.99624117543868</v>
      </c>
      <c r="AJ9" s="35">
        <v>397.77433070429709</v>
      </c>
      <c r="AK9" s="35">
        <v>389.51755844708532</v>
      </c>
      <c r="AL9" s="35">
        <v>379.25987824330889</v>
      </c>
      <c r="AM9" s="35">
        <v>367.03141426643174</v>
      </c>
      <c r="AN9" s="35">
        <v>352.85818657678459</v>
      </c>
      <c r="AO9" s="35">
        <v>336.76191505602299</v>
      </c>
      <c r="AP9" s="313">
        <f t="shared" si="5"/>
        <v>6.717127244463536E-2</v>
      </c>
      <c r="AQ9" s="35">
        <f t="shared" si="6"/>
        <v>25.486001516161469</v>
      </c>
      <c r="AR9" s="183" cm="1">
        <f t="array" ref="AR9:AY9">TRANSPOSE([11]Alfa!$E$127:$E$134)</f>
        <v>0.21435608718467389</v>
      </c>
      <c r="AS9" s="183">
        <v>0.20927571147314461</v>
      </c>
      <c r="AT9" s="183">
        <v>0.23042141142564784</v>
      </c>
      <c r="AU9" s="183">
        <v>0.13985447299467405</v>
      </c>
      <c r="AV9" s="183">
        <v>0.19148159674983303</v>
      </c>
      <c r="AW9" s="183">
        <v>0.15161387814040053</v>
      </c>
      <c r="AX9" s="183">
        <v>0.16868094047407597</v>
      </c>
      <c r="AY9" s="183">
        <v>0.17333332648812452</v>
      </c>
      <c r="AZ9" s="183">
        <f t="shared" si="7"/>
        <v>200</v>
      </c>
      <c r="BA9" s="183">
        <f>'Su K. oro stendu'!P54</f>
        <v>64.569000000000003</v>
      </c>
      <c r="BB9" s="183">
        <f t="shared" si="0"/>
        <v>199.99555555555557</v>
      </c>
      <c r="BC9" s="143">
        <v>64.567999999999998</v>
      </c>
      <c r="BD9" s="183">
        <f t="shared" si="1"/>
        <v>199.43444444444444</v>
      </c>
      <c r="BE9" s="143">
        <v>64.521000000000001</v>
      </c>
      <c r="BF9" s="183">
        <f t="shared" si="8"/>
        <v>197.72444444444446</v>
      </c>
      <c r="BG9" s="143">
        <v>64.375</v>
      </c>
      <c r="BH9" s="183">
        <f t="shared" si="9"/>
        <v>195.15111111111111</v>
      </c>
      <c r="BI9" s="143">
        <v>64.153999999999996</v>
      </c>
      <c r="BJ9" s="183">
        <f t="shared" si="10"/>
        <v>195.12888888888889</v>
      </c>
      <c r="BK9" s="143">
        <v>64.152000000000001</v>
      </c>
      <c r="BL9" s="183">
        <f t="shared" si="11"/>
        <v>192.43111111111111</v>
      </c>
      <c r="BM9" s="143">
        <v>63.915999999999997</v>
      </c>
      <c r="BN9" s="183">
        <f t="shared" si="12"/>
        <v>192.4</v>
      </c>
      <c r="BO9" s="143">
        <v>63.915999999999997</v>
      </c>
      <c r="BP9" s="183">
        <f t="shared" si="13"/>
        <v>189.87111111111111</v>
      </c>
      <c r="BQ9" s="143">
        <v>63.689</v>
      </c>
      <c r="BR9" s="183" cm="1">
        <f t="array" ref="BR9:BY9">TRANSPOSE('[11]Keithley Matavimai'!$W$6:$W$13)</f>
        <v>44.18414259892549</v>
      </c>
      <c r="BS9" s="183">
        <v>40.060880679600785</v>
      </c>
      <c r="BT9" s="183">
        <v>38.867730365858385</v>
      </c>
      <c r="BU9" s="183">
        <v>34.399420158716772</v>
      </c>
      <c r="BV9" s="183">
        <v>34.761057395787681</v>
      </c>
      <c r="BW9" s="183">
        <v>34.400363617313268</v>
      </c>
      <c r="BX9" s="183">
        <v>32.075902851873415</v>
      </c>
      <c r="BY9" s="183">
        <v>27.438237892273008</v>
      </c>
      <c r="BZ9" s="183" cm="1">
        <f t="array" ref="BZ9:CH9">TRANSPOSE('[11]Keithley Matavimai'!$V$5:$V$13)</f>
        <v>171.8290512206917</v>
      </c>
      <c r="CA9" s="183">
        <v>163.55594740428973</v>
      </c>
      <c r="CB9" s="183">
        <v>156.19683693585353</v>
      </c>
      <c r="CC9" s="183">
        <v>147.09593550748954</v>
      </c>
      <c r="CD9" s="183">
        <v>142.37786141275765</v>
      </c>
      <c r="CE9" s="183">
        <v>134.62382079315248</v>
      </c>
      <c r="CF9" s="183">
        <v>129.25919091357312</v>
      </c>
      <c r="CG9" s="183">
        <v>122.2478973566438</v>
      </c>
      <c r="CH9" s="183">
        <v>115.68594898602555</v>
      </c>
      <c r="CI9" s="183" cm="1">
        <f t="array" ref="CI9:CQ9">TRANSPOSE('[11]Silumos kiekio nustat.'!$B$24:$B$32)</f>
        <v>31.719851692395054</v>
      </c>
      <c r="CJ9" s="183">
        <v>29.033061798105756</v>
      </c>
      <c r="CK9" s="183">
        <v>26.360815367338724</v>
      </c>
      <c r="CL9" s="183">
        <v>23.717396639592046</v>
      </c>
      <c r="CM9" s="183">
        <v>21.117089854363812</v>
      </c>
      <c r="CN9" s="183">
        <v>18.574179251152113</v>
      </c>
      <c r="CO9" s="183">
        <v>16.102949069455036</v>
      </c>
      <c r="CP9" s="183">
        <v>13.717683548770665</v>
      </c>
      <c r="CQ9" s="183">
        <v>11.432666928597097</v>
      </c>
      <c r="CR9" s="183">
        <f>'Su K. oro stendu'!P54</f>
        <v>64.569000000000003</v>
      </c>
      <c r="CS9" s="183"/>
      <c r="CT9" s="183">
        <v>9221.9819070964677</v>
      </c>
      <c r="CU9" s="183">
        <f>[11]Alfa!$F$15</f>
        <v>900</v>
      </c>
      <c r="CV9" s="172">
        <f>'Su K. oro stendu'!J54</f>
        <v>2</v>
      </c>
      <c r="CW9" s="183">
        <f>'Su K. oro stendu'!D54</f>
        <v>5000</v>
      </c>
      <c r="CX9" s="183">
        <f>'Su K. oro stendu'!G54</f>
        <v>20</v>
      </c>
      <c r="CY9" s="183">
        <v>0.15193333333333334</v>
      </c>
      <c r="CZ9" s="183">
        <f>'Su K. oro stendu'!H54</f>
        <v>22.43</v>
      </c>
      <c r="DA9" s="183">
        <f>'Su K. oro stendu'!C54</f>
        <v>225</v>
      </c>
      <c r="DB9" s="183">
        <f>'Su K. oro stendu'!E54</f>
        <v>45</v>
      </c>
      <c r="DC9" s="183">
        <f>'Su K. oro stendu'!I54</f>
        <v>408</v>
      </c>
      <c r="DD9" s="183">
        <f>'Su K. oro stendu'!K54</f>
        <v>11.11</v>
      </c>
      <c r="DE9" s="183">
        <f>'Su K. oro stendu'!L54</f>
        <v>20.66</v>
      </c>
      <c r="DF9" s="183">
        <f>'Su K. oro stendu'!F54</f>
        <v>165</v>
      </c>
      <c r="DG9" s="253">
        <f>[11]Alfa!$D$29</f>
        <v>4068.6585964833075</v>
      </c>
      <c r="DH9" s="253">
        <f>[11]Alfa!$D$26</f>
        <v>9221.9819070964677</v>
      </c>
      <c r="DI9" s="253">
        <f>[11]Alfa!$D$27</f>
        <v>6129.8317118019413</v>
      </c>
      <c r="DJ9" s="253">
        <f t="shared" si="14"/>
        <v>10198.490308285249</v>
      </c>
      <c r="DK9" s="253">
        <f t="shared" ref="DK9:DK10" si="19">(DJ9+DH9)/2</f>
        <v>9710.2361076908583</v>
      </c>
      <c r="DL9" s="253">
        <f t="shared" si="16"/>
        <v>0.10588921243028483</v>
      </c>
      <c r="DM9" s="183">
        <f>New!AC9</f>
        <v>4.4291443800653541E-5</v>
      </c>
      <c r="DN9" s="183">
        <f t="shared" si="2"/>
        <v>4.4969188283759998E-5</v>
      </c>
      <c r="DO9" s="183">
        <f t="shared" si="17"/>
        <v>0.98492869208957423</v>
      </c>
      <c r="DP9" s="183">
        <f t="shared" si="3"/>
        <v>173.7475988997904</v>
      </c>
      <c r="DQ9" s="297">
        <f>DH9/((DA9/3600)*New!BV9*(Sheet3!BZ9-Sheet3!CP9)*1000)</f>
        <v>0.77378693838608692</v>
      </c>
      <c r="DR9" s="166">
        <f>(DB9*0.018)/(0.011*New!IV9*3600)</f>
        <v>1404.6117278407728</v>
      </c>
      <c r="DS9" s="166">
        <f>(New!IV9*New!CE9*1000)/New!AU9</f>
        <v>0.60796365995078483</v>
      </c>
      <c r="DT9" s="166">
        <f>IF(DR9&gt;2300,0.023*((DR9^(4/5)*DS9^(1/3))/(1+12.7*(DS9^(2/3)-1)))*(New!IV9/DV9)^0.14, 0.943*(DR9*DS9*New!IV9/Sheet3!DV9)^0.4)</f>
        <v>16.282516539554653</v>
      </c>
      <c r="DU9" s="166">
        <f t="shared" si="4"/>
        <v>-938.83634935070165</v>
      </c>
      <c r="DV9" s="166">
        <f>_xlfn.FORECAST.LINEAR(AVERAGE(_xlfn.ANCHORARRAY(BR9)),Sheet2!$AK$2:$AK$69,Sheet2!$AJ$2:$AJ$69)</f>
        <v>1.0037900018012854E-5</v>
      </c>
    </row>
    <row r="10" spans="1:126" x14ac:dyDescent="0.3">
      <c r="A10" s="184" t="str">
        <f>'Su K. oro stendu'!B55</f>
        <v>01.12.2022</v>
      </c>
      <c r="B10" s="183">
        <v>3</v>
      </c>
      <c r="C10" s="183">
        <v>557</v>
      </c>
      <c r="D10" s="183">
        <v>33</v>
      </c>
      <c r="E10" s="183">
        <v>568</v>
      </c>
      <c r="F10" s="183">
        <v>7</v>
      </c>
      <c r="G10" s="183">
        <v>681</v>
      </c>
      <c r="H10" s="183">
        <v>7</v>
      </c>
      <c r="I10" s="183">
        <v>651</v>
      </c>
      <c r="J10" s="183" cm="1">
        <f t="array" ref="J10:Q10">TRANSPOSE('[12]Nu kitimas'!$G$4:$G$11)</f>
        <v>57.495828879087952</v>
      </c>
      <c r="K10" s="183">
        <v>72.080053530098439</v>
      </c>
      <c r="L10" s="183">
        <v>86.798479112649446</v>
      </c>
      <c r="M10" s="183">
        <v>99.097324042665534</v>
      </c>
      <c r="N10" s="183">
        <v>109.62341242927765</v>
      </c>
      <c r="O10" s="183">
        <v>118.54618676319669</v>
      </c>
      <c r="P10" s="183">
        <v>123.26738697280348</v>
      </c>
      <c r="Q10" s="250">
        <v>122.05162187314824</v>
      </c>
      <c r="R10" s="183" cm="1">
        <f t="array" ref="R10:Y10">TRANSPOSE([12]Alfa!$G$18:$G$25)</f>
        <v>112.06696341875501</v>
      </c>
      <c r="S10" s="183">
        <v>137.69183219050535</v>
      </c>
      <c r="T10" s="183">
        <v>161.80581632219619</v>
      </c>
      <c r="U10" s="183">
        <v>182.40476581175622</v>
      </c>
      <c r="V10" s="183">
        <v>198.04167771332462</v>
      </c>
      <c r="W10" s="183">
        <v>210.50449565482285</v>
      </c>
      <c r="X10" s="183">
        <v>215.18287824064495</v>
      </c>
      <c r="Y10" s="183">
        <v>209.68903978929541</v>
      </c>
      <c r="Z10" s="183" cm="1">
        <f t="array" ref="Z10:AG10">TRANSPOSE([12]Alfa!$F$127:$F$134)</f>
        <v>2.6528339164000902E-3</v>
      </c>
      <c r="AA10" s="183">
        <v>0.49481562248825633</v>
      </c>
      <c r="AB10" s="183">
        <v>2.9394823269890388E-2</v>
      </c>
      <c r="AC10" s="183">
        <v>0.50673280897545958</v>
      </c>
      <c r="AD10" s="183">
        <v>6.2521651089691667E-3</v>
      </c>
      <c r="AE10" s="183">
        <v>0.60915246186764949</v>
      </c>
      <c r="AF10" s="183">
        <v>6.2773931704827391E-3</v>
      </c>
      <c r="AG10" s="183">
        <v>0.58630003659806118</v>
      </c>
      <c r="AH10" s="35" cm="1">
        <f t="array" ref="AH10:AO10">TRANSPOSE('[12]Silumos kiekio nustat.'!$F$25:$F$32)</f>
        <v>306.07761861608674</v>
      </c>
      <c r="AI10" s="35">
        <v>362.80985413459081</v>
      </c>
      <c r="AJ10" s="35">
        <v>406.00407503240154</v>
      </c>
      <c r="AK10" s="35">
        <v>435.84460114675824</v>
      </c>
      <c r="AL10" s="35">
        <v>452.56682360133527</v>
      </c>
      <c r="AM10" s="35">
        <v>456.43181159717653</v>
      </c>
      <c r="AN10" s="35">
        <v>447.70326215067729</v>
      </c>
      <c r="AO10" s="35">
        <v>426.62749322704053</v>
      </c>
      <c r="AP10" s="313">
        <f t="shared" si="5"/>
        <v>0.12769371386732836</v>
      </c>
      <c r="AQ10" s="35">
        <f t="shared" si="6"/>
        <v>52.578932807739292</v>
      </c>
      <c r="AR10" s="183" cm="1">
        <f t="array" ref="AR10:AY10">TRANSPOSE([12]Alfa!$E$127:$E$134)</f>
        <v>0.27449810767221061</v>
      </c>
      <c r="AS10" s="183">
        <v>0.22846882376837399</v>
      </c>
      <c r="AT10" s="183">
        <v>0.24737952747632797</v>
      </c>
      <c r="AU10" s="183">
        <v>0.15058795688438173</v>
      </c>
      <c r="AV10" s="183">
        <v>0.18324266317727125</v>
      </c>
      <c r="AW10" s="183">
        <v>0.19613040070048904</v>
      </c>
      <c r="AX10" s="183">
        <v>0.16170807692196459</v>
      </c>
      <c r="AY10" s="183">
        <v>0.17838812768940662</v>
      </c>
      <c r="AZ10" s="183">
        <f t="shared" si="7"/>
        <v>188.34080717488789</v>
      </c>
      <c r="BA10" s="183">
        <f>'Su K. oro stendu'!P55</f>
        <v>63.552</v>
      </c>
      <c r="BB10" s="183">
        <f t="shared" si="0"/>
        <v>188.33744394618833</v>
      </c>
      <c r="BC10" s="143">
        <v>63.551000000000002</v>
      </c>
      <c r="BD10" s="183">
        <f t="shared" si="1"/>
        <v>187.71300448430495</v>
      </c>
      <c r="BE10" s="143">
        <v>63.494999999999997</v>
      </c>
      <c r="BF10" s="183">
        <f t="shared" si="8"/>
        <v>185.68161434977577</v>
      </c>
      <c r="BG10" s="143">
        <v>63.31</v>
      </c>
      <c r="BH10" s="183">
        <f t="shared" si="9"/>
        <v>183.13452914798205</v>
      </c>
      <c r="BI10" s="143">
        <v>63.075000000000003</v>
      </c>
      <c r="BJ10" s="183">
        <f t="shared" si="10"/>
        <v>183.1031390134529</v>
      </c>
      <c r="BK10" s="143">
        <v>63.072000000000003</v>
      </c>
      <c r="BL10" s="183">
        <f t="shared" si="11"/>
        <v>180.0493273542601</v>
      </c>
      <c r="BM10" s="143">
        <v>62.784999999999997</v>
      </c>
      <c r="BN10" s="183">
        <f t="shared" si="12"/>
        <v>180.01793721973095</v>
      </c>
      <c r="BO10" s="143">
        <v>62.781999999999996</v>
      </c>
      <c r="BP10" s="183">
        <f t="shared" si="13"/>
        <v>177.09865470852017</v>
      </c>
      <c r="BQ10" s="143">
        <v>62.502000000000002</v>
      </c>
      <c r="BR10" s="183" cm="1">
        <f t="array" ref="BR10:BY10">TRANSPOSE('[12]Keithley Matavimai'!$W$6:$W$13)</f>
        <v>47.866766249184103</v>
      </c>
      <c r="BS10" s="183">
        <v>43.811022429272448</v>
      </c>
      <c r="BT10" s="183">
        <v>42.406330262584078</v>
      </c>
      <c r="BU10" s="183">
        <v>37.471795605560565</v>
      </c>
      <c r="BV10" s="183">
        <v>37.826497140607344</v>
      </c>
      <c r="BW10" s="183">
        <v>37.523172996536658</v>
      </c>
      <c r="BX10" s="183">
        <v>34.259881559626066</v>
      </c>
      <c r="BY10" s="183">
        <v>29.333603898546311</v>
      </c>
      <c r="BZ10" s="183" cm="1">
        <f t="array" ref="BZ10:CH10">TRANSPOSE('[12]Keithley Matavimai'!$V$5:$V$13)</f>
        <v>186.2380172239954</v>
      </c>
      <c r="CA10" s="183">
        <v>175.65212780561896</v>
      </c>
      <c r="CB10" s="183">
        <v>167.71545224247788</v>
      </c>
      <c r="CC10" s="183">
        <v>158.0179761923786</v>
      </c>
      <c r="CD10" s="183">
        <v>152.93435045030964</v>
      </c>
      <c r="CE10" s="183">
        <v>145.54034428448551</v>
      </c>
      <c r="CF10" s="183">
        <v>138.53330648767749</v>
      </c>
      <c r="CG10" s="183">
        <v>131.81217657349018</v>
      </c>
      <c r="CH10" s="183">
        <v>125.21035319077566</v>
      </c>
      <c r="CI10" s="183" cm="1">
        <f t="array" ref="CI10:CQ10">TRANSPOSE('[12]Silumos kiekio nustat.'!$B$24:$B$32)</f>
        <v>33.448426219973719</v>
      </c>
      <c r="CJ10" s="183">
        <v>31.441086936501318</v>
      </c>
      <c r="CK10" s="183">
        <v>29.052181468233503</v>
      </c>
      <c r="CL10" s="183">
        <v>26.366713732447572</v>
      </c>
      <c r="CM10" s="183">
        <v>23.469687646420823</v>
      </c>
      <c r="CN10" s="183">
        <v>20.446107127430565</v>
      </c>
      <c r="CO10" s="183">
        <v>17.380976092754096</v>
      </c>
      <c r="CP10" s="183">
        <v>14.359298459668729</v>
      </c>
      <c r="CQ10" s="183">
        <v>11.466078145451746</v>
      </c>
      <c r="CR10" s="183">
        <f>'Su K. oro stendu'!P55</f>
        <v>63.552</v>
      </c>
      <c r="CS10" s="183"/>
      <c r="CT10" s="183">
        <v>9949.0681331985015</v>
      </c>
      <c r="CU10" s="183">
        <f>[12]Alfa!$F$15</f>
        <v>900</v>
      </c>
      <c r="CV10" s="172">
        <f>'Su K. oro stendu'!J55</f>
        <v>2</v>
      </c>
      <c r="CW10" s="183">
        <f>'Su K. oro stendu'!D55</f>
        <v>5000</v>
      </c>
      <c r="CX10" s="183">
        <f>'Su K. oro stendu'!G55</f>
        <v>20</v>
      </c>
      <c r="CY10" s="183">
        <v>0.16713333333333333</v>
      </c>
      <c r="CZ10" s="183">
        <f>'Su K. oro stendu'!H55</f>
        <v>23.88</v>
      </c>
      <c r="DA10" s="183">
        <f>'Su K. oro stendu'!C55</f>
        <v>223</v>
      </c>
      <c r="DB10" s="183">
        <f>'Su K. oro stendu'!E55</f>
        <v>42</v>
      </c>
      <c r="DC10" s="183">
        <f>'Su K. oro stendu'!I55</f>
        <v>408</v>
      </c>
      <c r="DD10" s="183">
        <f>'Su K. oro stendu'!K55</f>
        <v>11.05</v>
      </c>
      <c r="DE10" s="183">
        <f>'Su K. oro stendu'!L55</f>
        <v>22.1</v>
      </c>
      <c r="DF10" s="183">
        <f>'Su K. oro stendu'!F55</f>
        <v>185</v>
      </c>
      <c r="DG10" s="253">
        <f>[12]Alfa!$D$29</f>
        <v>4453.1426588119502</v>
      </c>
      <c r="DH10" s="253">
        <f>[12]Alfa!$D$26</f>
        <v>9949.0681331985015</v>
      </c>
      <c r="DI10" s="253">
        <f>[12]Alfa!$D$27</f>
        <v>6724.7344361855066</v>
      </c>
      <c r="DJ10" s="253">
        <f t="shared" si="14"/>
        <v>11177.877094997457</v>
      </c>
      <c r="DK10" s="253">
        <f t="shared" si="19"/>
        <v>10563.47261409798</v>
      </c>
      <c r="DL10" s="253">
        <f t="shared" si="16"/>
        <v>0.12350995543980746</v>
      </c>
      <c r="DM10" s="183">
        <f>New!AC10</f>
        <v>4.8696404384221898E-5</v>
      </c>
      <c r="DN10" s="183">
        <f t="shared" si="2"/>
        <v>4.7614658722960003E-5</v>
      </c>
      <c r="DO10" s="183">
        <f t="shared" si="17"/>
        <v>1.0227187528016508</v>
      </c>
      <c r="DP10" s="183">
        <f t="shared" si="3"/>
        <v>178.42343364266253</v>
      </c>
      <c r="DQ10" s="297">
        <f>DH10/((DA10/3600)*New!BV10*(Sheet3!BZ10-Sheet3!CP10)*1000)</f>
        <v>0.77827549926175399</v>
      </c>
      <c r="DR10" s="166">
        <f>(DB10*0.018)/(0.011*New!IV10*3600)</f>
        <v>1250.8240179849693</v>
      </c>
      <c r="DS10" s="166">
        <f>(New!IV10*New!CE10*1000)/New!AU10</f>
        <v>0.57695737813038461</v>
      </c>
      <c r="DT10" s="166">
        <f>IF(DR10&gt;2300,0.023*((DR10^(4/5)*DS10^(1/3))/(1+12.7*(DS10^(2/3)-1)))*(New!IV10/DV10)^0.14, 0.943*(DR10*DS10*New!IV10/Sheet3!DV10)^0.4)</f>
        <v>15.445821218112538</v>
      </c>
      <c r="DU10" s="166">
        <f t="shared" si="4"/>
        <v>-922.15675571977954</v>
      </c>
      <c r="DV10" s="166">
        <f>_xlfn.FORECAST.LINEAR(AVERAGE(_xlfn.ANCHORARRAY(BR10)),Sheet2!$AK$2:$AK$69,Sheet2!$AJ$2:$AJ$69)</f>
        <v>1.0144299520968622E-5</v>
      </c>
    </row>
    <row r="11" spans="1:126" x14ac:dyDescent="0.3">
      <c r="A11" s="184" t="str">
        <f>'Su K. oro stendu'!B56</f>
        <v>02.12.2022</v>
      </c>
      <c r="B11" s="183">
        <v>3</v>
      </c>
      <c r="C11" s="183">
        <v>550</v>
      </c>
      <c r="D11" s="183">
        <v>3</v>
      </c>
      <c r="E11" s="183">
        <v>640</v>
      </c>
      <c r="F11" s="183">
        <v>5</v>
      </c>
      <c r="G11" s="183">
        <v>661</v>
      </c>
      <c r="H11" s="183">
        <v>9</v>
      </c>
      <c r="I11" s="183">
        <v>633</v>
      </c>
      <c r="J11" s="183" cm="1">
        <f t="array" ref="J11:Q11">TRANSPOSE('[13]Nu kitimas'!$H$4:$H$11)</f>
        <v>74.024870029322372</v>
      </c>
      <c r="K11" s="183">
        <v>82.700632840324573</v>
      </c>
      <c r="L11" s="183">
        <v>92.495541560405755</v>
      </c>
      <c r="M11" s="183">
        <v>101.072629450446</v>
      </c>
      <c r="N11" s="183">
        <v>109.87854036142963</v>
      </c>
      <c r="O11" s="183">
        <v>117.41280187441173</v>
      </c>
      <c r="P11" s="183">
        <v>122.27115298807156</v>
      </c>
      <c r="Q11" s="183">
        <v>123.77307850101506</v>
      </c>
      <c r="R11" s="183" cm="1">
        <f t="array" ref="R11:Y11">TRANSPOSE([13]Alfa!$G$18:$G$25)</f>
        <v>138.54297375017694</v>
      </c>
      <c r="S11" s="183">
        <v>151.96335224134469</v>
      </c>
      <c r="T11" s="183">
        <v>165.78449999983633</v>
      </c>
      <c r="U11" s="183">
        <v>178.88335772319559</v>
      </c>
      <c r="V11" s="183">
        <v>190.38298630540081</v>
      </c>
      <c r="W11" s="183">
        <v>200.53548898792118</v>
      </c>
      <c r="X11" s="183">
        <v>205.15513616357768</v>
      </c>
      <c r="Y11" s="183">
        <v>204.18238075602653</v>
      </c>
      <c r="Z11" s="183" cm="1">
        <f t="array" ref="Z11:AG11">TRANSPOSE([13]Alfa!$F$127:$F$134)</f>
        <v>2.6555308488789274E-3</v>
      </c>
      <c r="AA11" s="183">
        <v>0.48931488621050917</v>
      </c>
      <c r="AB11" s="183">
        <v>2.6764430019641252E-3</v>
      </c>
      <c r="AC11" s="183">
        <v>0.57179135612843712</v>
      </c>
      <c r="AD11" s="183">
        <v>4.4713266431521482E-3</v>
      </c>
      <c r="AE11" s="183">
        <v>0.59188302951857019</v>
      </c>
      <c r="AF11" s="183">
        <v>8.0792213834497608E-3</v>
      </c>
      <c r="AG11" s="183">
        <v>0.57081965911488175</v>
      </c>
      <c r="AH11" s="35" cm="1">
        <f t="array" ref="AH11:AO11">TRANSPOSE('[13]Silumos kiekio nustat.'!$F$25:$F$32)</f>
        <v>382.36807373760485</v>
      </c>
      <c r="AI11" s="35">
        <v>406.13499054507162</v>
      </c>
      <c r="AJ11" s="35">
        <v>423.72623684412514</v>
      </c>
      <c r="AK11" s="35">
        <v>435.24861705958375</v>
      </c>
      <c r="AL11" s="35">
        <v>440.81493095393608</v>
      </c>
      <c r="AM11" s="35">
        <v>440.53895178611964</v>
      </c>
      <c r="AN11" s="35">
        <v>434.53093193428225</v>
      </c>
      <c r="AO11" s="35">
        <v>422.89370656472164</v>
      </c>
      <c r="AP11" s="313">
        <f t="shared" si="5"/>
        <v>4.7613439234533809E-2</v>
      </c>
      <c r="AQ11" s="35">
        <f t="shared" si="6"/>
        <v>20.153914401391528</v>
      </c>
      <c r="AR11" s="183" cm="1">
        <f t="array" ref="AR11:AY11">TRANSPOSE([13]Alfa!$E$127:$E$134)</f>
        <v>0.30125189882831699</v>
      </c>
      <c r="AS11" s="183">
        <v>0.21142622549888557</v>
      </c>
      <c r="AT11" s="183">
        <v>0.25351026928223086</v>
      </c>
      <c r="AU11" s="183">
        <v>0.15416299382525073</v>
      </c>
      <c r="AV11" s="183">
        <v>0.20994433038521076</v>
      </c>
      <c r="AW11" s="183">
        <v>0.17000664368653154</v>
      </c>
      <c r="AX11" s="183">
        <v>0.17054938419229304</v>
      </c>
      <c r="AY11" s="183">
        <v>0.19019833674209774</v>
      </c>
      <c r="AZ11" s="183">
        <f t="shared" si="7"/>
        <v>194.69026548672565</v>
      </c>
      <c r="BA11" s="183">
        <f>'Su K. oro stendu'!P56</f>
        <v>64.114000000000004</v>
      </c>
      <c r="BB11" s="183">
        <f t="shared" si="0"/>
        <v>194.68694690265488</v>
      </c>
      <c r="BC11" s="143">
        <v>64.114000000000004</v>
      </c>
      <c r="BD11" s="183">
        <f t="shared" si="1"/>
        <v>194.07853982300884</v>
      </c>
      <c r="BE11" s="143">
        <v>64.061000000000007</v>
      </c>
      <c r="BF11" s="183">
        <f t="shared" si="8"/>
        <v>192.23008849557522</v>
      </c>
      <c r="BG11" s="143">
        <v>63.899000000000001</v>
      </c>
      <c r="BH11" s="183">
        <f t="shared" si="9"/>
        <v>189.39823008849558</v>
      </c>
      <c r="BI11" s="143">
        <v>63.646999999999998</v>
      </c>
      <c r="BJ11" s="183">
        <f t="shared" si="10"/>
        <v>189.37610619469027</v>
      </c>
      <c r="BK11" s="143">
        <v>63.645000000000003</v>
      </c>
      <c r="BL11" s="183">
        <f t="shared" si="11"/>
        <v>186.45132743362831</v>
      </c>
      <c r="BM11" s="143">
        <v>63.38</v>
      </c>
      <c r="BN11" s="183">
        <f t="shared" si="12"/>
        <v>186.41150442477877</v>
      </c>
      <c r="BO11" s="143">
        <v>63.377000000000002</v>
      </c>
      <c r="BP11" s="183">
        <f t="shared" si="13"/>
        <v>183.61061946902655</v>
      </c>
      <c r="BQ11" s="143">
        <v>63.119</v>
      </c>
      <c r="BR11" s="183" cm="1">
        <f t="array" ref="BR11:BY11">TRANSPOSE('[12]Keithley Matavimai'!$W$6:$W$13)</f>
        <v>47.866766249184103</v>
      </c>
      <c r="BS11" s="183">
        <v>43.811022429272448</v>
      </c>
      <c r="BT11" s="183">
        <v>42.406330262584078</v>
      </c>
      <c r="BU11" s="183">
        <v>37.471795605560565</v>
      </c>
      <c r="BV11" s="183">
        <v>37.826497140607344</v>
      </c>
      <c r="BW11" s="183">
        <v>37.523172996536658</v>
      </c>
      <c r="BX11" s="183">
        <v>34.259881559626066</v>
      </c>
      <c r="BY11" s="183">
        <v>29.333603898546311</v>
      </c>
      <c r="BZ11" s="183" cm="1">
        <f t="array" ref="BZ11:CH11">TRANSPOSE('[12]Keithley Matavimai'!$V$5:$V$13)</f>
        <v>186.2380172239954</v>
      </c>
      <c r="CA11" s="183">
        <v>175.65212780561896</v>
      </c>
      <c r="CB11" s="183">
        <v>167.71545224247788</v>
      </c>
      <c r="CC11" s="183">
        <v>158.0179761923786</v>
      </c>
      <c r="CD11" s="183">
        <v>152.93435045030964</v>
      </c>
      <c r="CE11" s="183">
        <v>145.54034428448551</v>
      </c>
      <c r="CF11" s="183">
        <v>138.53330648767749</v>
      </c>
      <c r="CG11" s="183">
        <v>131.81217657349018</v>
      </c>
      <c r="CH11" s="183">
        <v>125.21035319077566</v>
      </c>
      <c r="CI11" s="183" cm="1">
        <f t="array" ref="CI11:CQ11">TRANSPOSE('[12]Silumos kiekio nustat.'!$B$24:$B$32)</f>
        <v>33.448426219973719</v>
      </c>
      <c r="CJ11" s="183">
        <v>31.441086936501318</v>
      </c>
      <c r="CK11" s="183">
        <v>29.052181468233503</v>
      </c>
      <c r="CL11" s="183">
        <v>26.366713732447572</v>
      </c>
      <c r="CM11" s="183">
        <v>23.469687646420823</v>
      </c>
      <c r="CN11" s="183">
        <v>20.446107127430565</v>
      </c>
      <c r="CO11" s="183">
        <v>17.380976092754096</v>
      </c>
      <c r="CP11" s="183">
        <v>14.359298459668729</v>
      </c>
      <c r="CQ11" s="183">
        <v>11.466078145451746</v>
      </c>
      <c r="CR11" s="183">
        <f>'Su K. oro stendu'!P56</f>
        <v>64.114000000000004</v>
      </c>
      <c r="CS11" s="183"/>
      <c r="CT11" s="183">
        <v>10288.436746639441</v>
      </c>
      <c r="CU11" s="183">
        <f>[13]Alfa!$F$15</f>
        <v>900</v>
      </c>
      <c r="CV11" s="172">
        <f>'Su K. oro stendu'!J56</f>
        <v>2</v>
      </c>
      <c r="CW11" s="183">
        <f>'Su K. oro stendu'!D56</f>
        <v>5000</v>
      </c>
      <c r="CX11" s="183">
        <f>'Su K. oro stendu'!G56</f>
        <v>20</v>
      </c>
      <c r="CY11" s="183">
        <v>0.16693333333333332</v>
      </c>
      <c r="CZ11" s="183">
        <f>'Su K. oro stendu'!H56</f>
        <v>22.76</v>
      </c>
      <c r="DA11" s="183">
        <f>'Su K. oro stendu'!C56</f>
        <v>226</v>
      </c>
      <c r="DB11" s="183">
        <f>'Su K. oro stendu'!E56</f>
        <v>44</v>
      </c>
      <c r="DC11" s="183">
        <f>'Su K. oro stendu'!I56</f>
        <v>432</v>
      </c>
      <c r="DD11" s="183">
        <f>'Su K. oro stendu'!K56</f>
        <v>10.85</v>
      </c>
      <c r="DE11" s="183">
        <f>'Su K. oro stendu'!L56</f>
        <v>21.6</v>
      </c>
      <c r="DF11" s="183">
        <f>'Su K. oro stendu'!F56</f>
        <v>185</v>
      </c>
      <c r="DG11" s="253">
        <f>[13]Alfa!$D$29</f>
        <v>4568.7139092331299</v>
      </c>
      <c r="DH11" s="253">
        <f>[13]Alfa!$D$26</f>
        <v>10288.436746639441</v>
      </c>
      <c r="DI11" s="253">
        <f>[13]Alfa!$D$27</f>
        <v>6725.0743585495302</v>
      </c>
      <c r="DJ11" s="253">
        <f t="shared" si="14"/>
        <v>11293.78826778266</v>
      </c>
      <c r="DK11" s="253">
        <f>(DJ11+DH11)/2</f>
        <v>10791.112507211052</v>
      </c>
      <c r="DL11" s="253">
        <f t="shared" si="16"/>
        <v>9.7716644996782537E-2</v>
      </c>
      <c r="DM11" s="183">
        <f>New!AC11</f>
        <v>4.878473109324642E-5</v>
      </c>
      <c r="DN11" s="183">
        <f t="shared" si="2"/>
        <v>4.7614658722960003E-5</v>
      </c>
      <c r="DO11" s="183">
        <f t="shared" si="17"/>
        <v>1.0245737846635494</v>
      </c>
      <c r="DP11" s="183">
        <f t="shared" si="3"/>
        <v>179.42877199093496</v>
      </c>
      <c r="DQ11" s="297">
        <f>DH11/((DA11/3600)*New!BV11*(Sheet3!BZ11-Sheet3!CP11)*1000)</f>
        <v>0.7903812489310198</v>
      </c>
      <c r="DR11" s="166">
        <f>(DB11*0.018)/(0.011*New!IV11*3600)</f>
        <v>1310.387066460444</v>
      </c>
      <c r="DS11" s="166">
        <f>(New!IV11*New!CE11*1000)/New!AU11</f>
        <v>0.57695737813038461</v>
      </c>
      <c r="DT11" s="166">
        <f>IF(DR11&gt;2300,0.023*((DR11^(4/5)*DS11^(1/3))/(1+12.7*(DS11^(2/3)-1)))*(New!IV11/DV11)^0.14, 0.943*(DR11*DS11*New!IV11/Sheet3!DV11)^0.4)</f>
        <v>15.73592793884325</v>
      </c>
      <c r="DU11" s="166">
        <f t="shared" si="4"/>
        <v>-922.15675571977954</v>
      </c>
      <c r="DV11" s="166">
        <f>_xlfn.FORECAST.LINEAR(AVERAGE(_xlfn.ANCHORARRAY(BR11)),Sheet2!$AK$2:$AK$69,Sheet2!$AJ$2:$AJ$69)</f>
        <v>1.0144299520968622E-5</v>
      </c>
    </row>
    <row r="12" spans="1:126" x14ac:dyDescent="0.3">
      <c r="A12" s="184" t="str">
        <f>'Su K. oro stendu'!B57</f>
        <v>05.12.2022</v>
      </c>
      <c r="B12" s="251">
        <v>3</v>
      </c>
      <c r="C12" s="251">
        <v>574</v>
      </c>
      <c r="D12" s="251">
        <v>4</v>
      </c>
      <c r="E12" s="251">
        <v>674</v>
      </c>
      <c r="F12" s="251">
        <v>5</v>
      </c>
      <c r="G12" s="251">
        <v>700</v>
      </c>
      <c r="H12" s="251">
        <v>6</v>
      </c>
      <c r="I12" s="251">
        <v>671</v>
      </c>
      <c r="J12" s="183" cm="1">
        <f t="array" ref="J12:Q12">TRANSPOSE('[14]Nu kitimas'!$I$4:$I$11)</f>
        <v>63.889510515399657</v>
      </c>
      <c r="K12" s="183">
        <v>74.258501465160109</v>
      </c>
      <c r="L12" s="183">
        <v>85.386370130888608</v>
      </c>
      <c r="M12" s="183">
        <v>95.276788991551015</v>
      </c>
      <c r="N12" s="183">
        <v>103.72526749594878</v>
      </c>
      <c r="O12" s="183">
        <v>111.66027290437756</v>
      </c>
      <c r="P12" s="183">
        <v>118.09542685071044</v>
      </c>
      <c r="Q12" s="183">
        <v>120.07506091626688</v>
      </c>
      <c r="R12" s="183" cm="1">
        <f t="array" ref="R12:Y12">TRANSPOSE([14]Alfa!$G$18:$G$25)</f>
        <v>128.17071107606117</v>
      </c>
      <c r="S12" s="183">
        <v>145.84152186536178</v>
      </c>
      <c r="T12" s="183">
        <v>163.45958520196052</v>
      </c>
      <c r="U12" s="183">
        <v>179.63874093458514</v>
      </c>
      <c r="V12" s="183">
        <v>192.15963938042873</v>
      </c>
      <c r="W12" s="183">
        <v>202.96789736934616</v>
      </c>
      <c r="X12" s="183">
        <v>210.12185797286594</v>
      </c>
      <c r="Y12" s="183">
        <v>209.70731106489674</v>
      </c>
      <c r="Z12" s="183" cm="1">
        <f t="array" ref="Z12:AG12">TRANSPOSE([14]Alfa!$F$127:$F$134)</f>
        <v>2.654804364183071E-3</v>
      </c>
      <c r="AA12" s="183">
        <v>0.51059112572868814</v>
      </c>
      <c r="AB12" s="183">
        <v>3.568304935727499E-3</v>
      </c>
      <c r="AC12" s="183">
        <v>0.60212655466215537</v>
      </c>
      <c r="AD12" s="183">
        <v>4.4708157850343695E-3</v>
      </c>
      <c r="AE12" s="183">
        <v>0.62666795146479459</v>
      </c>
      <c r="AF12" s="183">
        <v>5.3840908685315386E-3</v>
      </c>
      <c r="AG12" s="183">
        <v>0.60472299961642395</v>
      </c>
      <c r="AH12" s="35" cm="1">
        <f t="array" ref="AH12:AO12">TRANSPOSE('[14]Silumos kiekio nustat.'!$F$25:$F$32)</f>
        <v>375.5892037498179</v>
      </c>
      <c r="AI12" s="35">
        <v>413.74755486495235</v>
      </c>
      <c r="AJ12" s="35">
        <v>442.4185570990802</v>
      </c>
      <c r="AK12" s="35">
        <v>461.75220307731638</v>
      </c>
      <c r="AL12" s="35">
        <v>471.9168444843213</v>
      </c>
      <c r="AM12" s="35">
        <v>473.08798411945565</v>
      </c>
      <c r="AN12" s="35">
        <v>465.4381963412003</v>
      </c>
      <c r="AO12" s="35">
        <v>449.1283854269833</v>
      </c>
      <c r="AP12" s="313">
        <f t="shared" si="5"/>
        <v>7.6231473145441014E-2</v>
      </c>
      <c r="AQ12" s="35">
        <f t="shared" si="6"/>
        <v>33.857055121516403</v>
      </c>
      <c r="AR12" s="183" cm="1">
        <f t="array" ref="AR12:AY12">TRANSPOSE([14]Alfa!$E$127:$E$134)</f>
        <v>0.29925730992607408</v>
      </c>
      <c r="AS12" s="183">
        <v>0.24765948634320178</v>
      </c>
      <c r="AT12" s="183">
        <v>0.26842406015908044</v>
      </c>
      <c r="AU12" s="183">
        <v>0.18530261786683752</v>
      </c>
      <c r="AV12" s="183">
        <v>0.17930820917782742</v>
      </c>
      <c r="AW12" s="183">
        <v>0.22135646205482587</v>
      </c>
      <c r="AX12" s="183">
        <v>0.21088919318572519</v>
      </c>
      <c r="AY12" s="183">
        <v>0.21145185792101276</v>
      </c>
      <c r="AZ12" s="183">
        <f t="shared" si="7"/>
        <v>194.80519480519482</v>
      </c>
      <c r="BA12" s="183">
        <f>'Su K. oro stendu'!P57</f>
        <v>64.123999999999995</v>
      </c>
      <c r="BB12" s="183">
        <f t="shared" si="0"/>
        <v>194.80194805194805</v>
      </c>
      <c r="BC12" s="143">
        <v>64.123999999999995</v>
      </c>
      <c r="BD12" s="183">
        <f t="shared" si="1"/>
        <v>194.18073593073592</v>
      </c>
      <c r="BE12" s="143">
        <v>64.069999999999993</v>
      </c>
      <c r="BF12" s="183">
        <f t="shared" si="8"/>
        <v>192.29004329004329</v>
      </c>
      <c r="BG12" s="143">
        <v>63.904000000000003</v>
      </c>
      <c r="BH12" s="183">
        <f t="shared" si="9"/>
        <v>189.37229437229436</v>
      </c>
      <c r="BI12" s="143">
        <v>63.643999999999998</v>
      </c>
      <c r="BJ12" s="183">
        <f t="shared" si="10"/>
        <v>189.35064935064935</v>
      </c>
      <c r="BK12" s="143">
        <v>63.643000000000001</v>
      </c>
      <c r="BL12" s="183">
        <f t="shared" si="11"/>
        <v>186.32034632034632</v>
      </c>
      <c r="BM12" s="143">
        <v>63.368000000000002</v>
      </c>
      <c r="BN12" s="183">
        <f t="shared" si="12"/>
        <v>186.29437229437229</v>
      </c>
      <c r="BO12" s="143">
        <v>63.366</v>
      </c>
      <c r="BP12" s="183">
        <f t="shared" si="13"/>
        <v>183.3896103896104</v>
      </c>
      <c r="BQ12" s="143">
        <v>63.097999999999999</v>
      </c>
      <c r="BR12" s="183" cm="1">
        <f t="array" ref="BR12:BY12">TRANSPOSE('[14]Keithley Matavimai'!$W$6:$W$13)</f>
        <v>47.431540114444012</v>
      </c>
      <c r="BS12" s="183">
        <v>41.712746135814484</v>
      </c>
      <c r="BT12" s="183">
        <v>41.264867259670872</v>
      </c>
      <c r="BU12" s="183">
        <v>36.43026504210156</v>
      </c>
      <c r="BV12" s="183">
        <v>36.64900001143581</v>
      </c>
      <c r="BW12" s="183">
        <v>36.377281733775128</v>
      </c>
      <c r="BX12" s="183">
        <v>33.639010348521502</v>
      </c>
      <c r="BY12" s="183">
        <v>28.681064549722535</v>
      </c>
      <c r="BZ12" s="183" cm="1">
        <f t="array" ref="BZ12:CH12">TRANSPOSE('[14]Keithley Matavimai'!$V$5:$V$13)</f>
        <v>195.46008555598746</v>
      </c>
      <c r="CA12" s="183">
        <v>184.32272667313327</v>
      </c>
      <c r="CB12" s="183">
        <v>176.03583669114821</v>
      </c>
      <c r="CC12" s="183">
        <v>165.88239769453375</v>
      </c>
      <c r="CD12" s="183">
        <v>159.87412043097217</v>
      </c>
      <c r="CE12" s="183">
        <v>152.91831114242777</v>
      </c>
      <c r="CF12" s="183">
        <v>145.26255906498116</v>
      </c>
      <c r="CG12" s="183">
        <v>136.83320382415124</v>
      </c>
      <c r="CH12" s="183">
        <v>129.18700866151494</v>
      </c>
      <c r="CI12" s="183" cm="1">
        <f t="array" ref="CI12:CQ12">TRANSPOSE('[14]Silumos kiekio nustat.'!$B$24:$B$32)</f>
        <v>32.223434300639099</v>
      </c>
      <c r="CJ12" s="183">
        <v>29.999527071994585</v>
      </c>
      <c r="CK12" s="183">
        <v>27.539342093631763</v>
      </c>
      <c r="CL12" s="183">
        <v>24.896761235035349</v>
      </c>
      <c r="CM12" s="183">
        <v>22.125666365690062</v>
      </c>
      <c r="CN12" s="183">
        <v>19.279939355080629</v>
      </c>
      <c r="CO12" s="183">
        <v>16.413462072691765</v>
      </c>
      <c r="CP12" s="183">
        <v>13.5801163880082</v>
      </c>
      <c r="CQ12" s="183">
        <v>10.833784170514644</v>
      </c>
      <c r="CR12" s="183">
        <f>'Su K. oro stendu'!P57</f>
        <v>64.123999999999995</v>
      </c>
      <c r="CS12" s="183"/>
      <c r="CT12" s="183">
        <v>10758.783327504958</v>
      </c>
      <c r="CU12" s="183">
        <f>[14]Alfa!$F$15</f>
        <v>900</v>
      </c>
      <c r="CV12" s="172">
        <f>'Su K. oro stendu'!J57</f>
        <v>2</v>
      </c>
      <c r="CW12" s="183">
        <f>'Su K. oro stendu'!D57</f>
        <v>5000</v>
      </c>
      <c r="CX12" s="183">
        <f>'Su K. oro stendu'!G57</f>
        <v>20</v>
      </c>
      <c r="CY12" s="183">
        <v>0.17580000000000001</v>
      </c>
      <c r="CZ12" s="183">
        <f>'Su K. oro stendu'!H57</f>
        <v>23.44</v>
      </c>
      <c r="DA12" s="183">
        <f>'Su K. oro stendu'!C57</f>
        <v>231</v>
      </c>
      <c r="DB12" s="183">
        <f>'Su K. oro stendu'!E57</f>
        <v>45</v>
      </c>
      <c r="DC12" s="183">
        <f>'Su K. oro stendu'!I57</f>
        <v>453</v>
      </c>
      <c r="DD12" s="183">
        <f>'Su K. oro stendu'!K57</f>
        <v>10.44</v>
      </c>
      <c r="DE12" s="183">
        <f>'Su K. oro stendu'!L57</f>
        <v>21.56</v>
      </c>
      <c r="DF12" s="183">
        <f>'Su K. oro stendu'!F57</f>
        <v>195</v>
      </c>
      <c r="DG12" s="253">
        <f>[14]Alfa!$D$29</f>
        <v>5027.9921499676284</v>
      </c>
      <c r="DH12" s="253">
        <f>[14]Alfa!$D$26</f>
        <v>10758.783327504958</v>
      </c>
      <c r="DI12" s="253">
        <f>[14]Alfa!$D$27</f>
        <v>7080.5599422766163</v>
      </c>
      <c r="DJ12" s="253">
        <f t="shared" si="14"/>
        <v>12108.552092244245</v>
      </c>
      <c r="DK12" s="253">
        <f>(DJ12+DH12)/2</f>
        <v>11433.6677098746</v>
      </c>
      <c r="DL12" s="253">
        <f t="shared" si="16"/>
        <v>0.12545737967308876</v>
      </c>
      <c r="DM12" s="183">
        <f>New!AC12</f>
        <v>5.1123457552020454E-5</v>
      </c>
      <c r="DN12" s="183">
        <f t="shared" si="2"/>
        <v>4.8961116178559998E-5</v>
      </c>
      <c r="DO12" s="183">
        <f t="shared" si="17"/>
        <v>1.0441644623781543</v>
      </c>
      <c r="DP12" s="183">
        <f t="shared" si="3"/>
        <v>179.00840810818826</v>
      </c>
      <c r="DQ12" s="297">
        <f>DH12/((DA12/3600)*New!BV12*(Sheet3!BZ12-Sheet3!CP12)*1000)</f>
        <v>0.76246926804821558</v>
      </c>
      <c r="DR12" s="166">
        <f>(DB12*0.018)/(0.011*New!IV12*3600)</f>
        <v>1310.1147673004989</v>
      </c>
      <c r="DS12" s="166">
        <f>(New!IV12*New!CE12*1000)/New!AU12</f>
        <v>0.56380586509729269</v>
      </c>
      <c r="DT12" s="166">
        <f>IF(DR12&gt;2300,0.023*((DR12^(4/5)*DS12^(1/3))/(1+12.7*(DS12^(2/3)-1)))*(New!IV12/DV12)^0.14, 0.943*(DR12*DS12*New!IV12/Sheet3!DV12)^0.4)</f>
        <v>15.754869527608118</v>
      </c>
      <c r="DU12" s="166">
        <f t="shared" si="4"/>
        <v>-906.44170593658691</v>
      </c>
      <c r="DV12" s="166">
        <f>_xlfn.FORECAST.LINEAR(AVERAGE(_xlfn.ANCHORARRAY(BR12)),Sheet2!$AK$2:$AK$69,Sheet2!$AJ$2:$AJ$69)</f>
        <v>1.0107916061753034E-5</v>
      </c>
    </row>
    <row r="13" spans="1:126" x14ac:dyDescent="0.3">
      <c r="A13" s="184" t="str">
        <f>'Su K. oro stendu'!B58</f>
        <v>06.12.2022</v>
      </c>
      <c r="B13" s="183">
        <v>2</v>
      </c>
      <c r="C13" s="183">
        <v>558</v>
      </c>
      <c r="D13" s="183">
        <v>4</v>
      </c>
      <c r="E13" s="183">
        <v>669</v>
      </c>
      <c r="F13" s="183">
        <v>3</v>
      </c>
      <c r="G13" s="183">
        <v>699</v>
      </c>
      <c r="H13" s="183">
        <v>4</v>
      </c>
      <c r="I13" s="183">
        <v>680</v>
      </c>
      <c r="J13" s="183" cm="1">
        <f t="array" ref="J13:Q13">TRANSPOSE('[15]Nu kitimas'!$H$4:$H$11)</f>
        <v>60.753095478754481</v>
      </c>
      <c r="K13" s="183">
        <v>70.451810212936067</v>
      </c>
      <c r="L13" s="183">
        <v>81.038052228620785</v>
      </c>
      <c r="M13" s="183">
        <v>90.084888918986039</v>
      </c>
      <c r="N13" s="183">
        <v>98.14488282865851</v>
      </c>
      <c r="O13" s="183">
        <v>105.16519823266725</v>
      </c>
      <c r="P13" s="183">
        <v>110.02729867525616</v>
      </c>
      <c r="Q13" s="183">
        <v>109.71974685605322</v>
      </c>
      <c r="R13" s="183" cm="1">
        <f t="array" ref="R13:Y13">TRANSPOSE([15]Alfa!$G$18:$G$25)</f>
        <v>124.87799948499705</v>
      </c>
      <c r="S13" s="183">
        <v>141.65875433505485</v>
      </c>
      <c r="T13" s="183">
        <v>158.60308515019568</v>
      </c>
      <c r="U13" s="183">
        <v>173.7707698068408</v>
      </c>
      <c r="V13" s="183">
        <v>185.54637127369915</v>
      </c>
      <c r="W13" s="183">
        <v>195.20593573481662</v>
      </c>
      <c r="X13" s="183">
        <v>199.83941139133506</v>
      </c>
      <c r="Y13" s="183">
        <v>195.96751029759986</v>
      </c>
      <c r="Z13" s="183" cm="1">
        <f t="array" ref="Z13:AG13">TRANSPOSE([15]Alfa!$F$127:$F$134)</f>
        <v>1.7704187652342544E-3</v>
      </c>
      <c r="AA13" s="183">
        <v>0.49654928502991158</v>
      </c>
      <c r="AB13" s="183">
        <v>3.56926331211334E-3</v>
      </c>
      <c r="AC13" s="183">
        <v>0.59772435683920722</v>
      </c>
      <c r="AD13" s="183">
        <v>2.6826058750701117E-3</v>
      </c>
      <c r="AE13" s="183">
        <v>0.62590695400660312</v>
      </c>
      <c r="AF13" s="183">
        <v>3.5921116061091835E-3</v>
      </c>
      <c r="AG13" s="183">
        <v>0.61393201323326607</v>
      </c>
      <c r="AH13" s="35" cm="1">
        <f t="array" ref="AH13:AO13">TRANSPOSE('[15]Silumos kiekio nustat.'!$F$25:$F$32)*3</f>
        <v>1180.6465268634954</v>
      </c>
      <c r="AI13" s="35">
        <v>1296.5693932239535</v>
      </c>
      <c r="AJ13" s="35">
        <v>1382.6253942261028</v>
      </c>
      <c r="AK13" s="35">
        <v>1439.2976058028503</v>
      </c>
      <c r="AL13" s="35">
        <v>1467.1230806869171</v>
      </c>
      <c r="AM13" s="35">
        <v>1466.6573445732056</v>
      </c>
      <c r="AN13" s="35">
        <v>1438.4426196342051</v>
      </c>
      <c r="AO13" s="35">
        <v>1382.9804060338076</v>
      </c>
      <c r="AP13" s="313">
        <f t="shared" si="5"/>
        <v>7.1707227082682123E-2</v>
      </c>
      <c r="AQ13" s="35">
        <f t="shared" si="6"/>
        <v>99.084529831275674</v>
      </c>
      <c r="AR13" s="183" cm="1">
        <f t="array" ref="AR13:AY13">TRANSPOSE([15]Alfa!$E$127:$E$134)</f>
        <v>0.32250442567284926</v>
      </c>
      <c r="AS13" s="183">
        <v>0.26937831419616726</v>
      </c>
      <c r="AT13" s="183">
        <v>0.30300068823021709</v>
      </c>
      <c r="AU13" s="183">
        <v>0.18749533229383922</v>
      </c>
      <c r="AV13" s="183">
        <v>0.21998792611948106</v>
      </c>
      <c r="AW13" s="183">
        <v>0.22745981991047179</v>
      </c>
      <c r="AX13" s="183">
        <v>0.22993255289580605</v>
      </c>
      <c r="AY13" s="183">
        <v>0.20566691828654091</v>
      </c>
      <c r="AZ13" s="183">
        <f t="shared" si="7"/>
        <v>185.18518518518519</v>
      </c>
      <c r="BA13" s="183">
        <f>'Su K. oro stendu'!P58</f>
        <v>99.866</v>
      </c>
      <c r="BB13" s="183">
        <f t="shared" si="0"/>
        <v>185.18312757201647</v>
      </c>
      <c r="BC13" s="143">
        <v>63.264000000000003</v>
      </c>
      <c r="BD13" s="183">
        <f t="shared" si="1"/>
        <v>184.6090534979424</v>
      </c>
      <c r="BE13" s="143">
        <v>63.210999999999999</v>
      </c>
      <c r="BF13" s="183">
        <f t="shared" si="8"/>
        <v>182.8641975308642</v>
      </c>
      <c r="BG13" s="143">
        <v>63.048999999999999</v>
      </c>
      <c r="BH13" s="183">
        <f t="shared" si="9"/>
        <v>180.11111111111111</v>
      </c>
      <c r="BI13" s="143">
        <v>62.790999999999997</v>
      </c>
      <c r="BJ13" s="183">
        <f t="shared" si="10"/>
        <v>180.09876543209876</v>
      </c>
      <c r="BK13" s="143">
        <v>62.789000000000001</v>
      </c>
      <c r="BL13" s="183">
        <f t="shared" si="11"/>
        <v>177.22222222222223</v>
      </c>
      <c r="BM13" s="143">
        <v>62.514000000000003</v>
      </c>
      <c r="BN13" s="183">
        <f t="shared" si="12"/>
        <v>177.20576131687244</v>
      </c>
      <c r="BO13" s="143">
        <v>62.512999999999998</v>
      </c>
      <c r="BP13" s="183">
        <f t="shared" si="13"/>
        <v>174.40740740740742</v>
      </c>
      <c r="BQ13" s="183">
        <v>62.24</v>
      </c>
      <c r="BR13" s="183" cm="1">
        <f t="array" ref="BR13:BY13">TRANSPOSE('[15]Keithley Matavimai'!$W$6:$W$13)</f>
        <v>47.151707248621982</v>
      </c>
      <c r="BS13" s="183">
        <v>41.356578742531532</v>
      </c>
      <c r="BT13" s="183">
        <v>40.859763695054056</v>
      </c>
      <c r="BU13" s="183">
        <v>36.215723948666799</v>
      </c>
      <c r="BV13" s="183">
        <v>36.776844440213999</v>
      </c>
      <c r="BW13" s="183">
        <v>36.562128032296904</v>
      </c>
      <c r="BX13" s="183">
        <v>32.240562035618673</v>
      </c>
      <c r="BY13" s="183">
        <v>27.029999657621989</v>
      </c>
      <c r="BZ13" s="183" cm="1">
        <f t="array" ref="BZ13:CH13">TRANSPOSE('[15]Keithley Matavimai'!$V$5:$V$13)</f>
        <v>206.12267488533556</v>
      </c>
      <c r="CA13" s="183">
        <v>194.53726073763335</v>
      </c>
      <c r="CB13" s="183">
        <v>185.8480412113347</v>
      </c>
      <c r="CC13" s="183">
        <v>174.89521987211594</v>
      </c>
      <c r="CD13" s="183">
        <v>169.15690016865642</v>
      </c>
      <c r="CE13" s="183">
        <v>161.02818783646046</v>
      </c>
      <c r="CF13" s="183">
        <v>153.59077165936438</v>
      </c>
      <c r="CG13" s="183">
        <v>144.85478833293794</v>
      </c>
      <c r="CH13" s="183">
        <v>137.90509479583056</v>
      </c>
      <c r="CI13" s="183" cm="1">
        <f t="array" ref="CI13:CQ13">TRANSPOSE('[15]Silumos kiekio nustat.'!$B$24:$B$32)</f>
        <v>32.228973318872072</v>
      </c>
      <c r="CJ13" s="183">
        <v>29.973370332176337</v>
      </c>
      <c r="CK13" s="183">
        <v>27.485715571118938</v>
      </c>
      <c r="CL13" s="183">
        <v>24.820821209604539</v>
      </c>
      <c r="CM13" s="183">
        <v>22.033499421537805</v>
      </c>
      <c r="CN13" s="183">
        <v>19.178562380823408</v>
      </c>
      <c r="CO13" s="183">
        <v>16.31082226136601</v>
      </c>
      <c r="CP13" s="183">
        <v>13.485091237070286</v>
      </c>
      <c r="CQ13" s="183">
        <v>10.756181481840898</v>
      </c>
      <c r="CR13" s="183">
        <f>'Su K. oro stendu'!P58</f>
        <v>99.866</v>
      </c>
      <c r="CS13" s="183"/>
      <c r="CT13" s="183">
        <v>11213.385118142874</v>
      </c>
      <c r="CU13" s="183">
        <f>[15]Alfa!$F$15</f>
        <v>900</v>
      </c>
      <c r="CV13" s="172">
        <f>'Su K. oro stendu'!J58</f>
        <v>2</v>
      </c>
      <c r="CW13" s="183">
        <f>'Su K. oro stendu'!D58</f>
        <v>5000</v>
      </c>
      <c r="CX13" s="183">
        <f>'Su K. oro stendu'!G58</f>
        <v>20</v>
      </c>
      <c r="CY13" s="183">
        <v>0.17460000000000001</v>
      </c>
      <c r="CZ13" s="183">
        <f>'Su K. oro stendu'!H58</f>
        <v>23.28</v>
      </c>
      <c r="DA13" s="183">
        <f>'Su K. oro stendu'!C58</f>
        <v>243</v>
      </c>
      <c r="DB13" s="183">
        <f>'Su K. oro stendu'!E58</f>
        <v>45</v>
      </c>
      <c r="DC13" s="183">
        <f>'Su K. oro stendu'!I58</f>
        <v>468</v>
      </c>
      <c r="DD13" s="183">
        <f>'Su K. oro stendu'!K58</f>
        <v>10.42</v>
      </c>
      <c r="DE13" s="183">
        <f>'Su K. oro stendu'!L58</f>
        <v>21.74</v>
      </c>
      <c r="DF13" s="183">
        <f>'Su K. oro stendu'!F58</f>
        <v>205</v>
      </c>
      <c r="DG13" s="253">
        <f>[15]Alfa!$D$29</f>
        <v>5351.4165784153502</v>
      </c>
      <c r="DH13" s="253">
        <f>[15]Alfa!$D$26</f>
        <v>11213.385118142874</v>
      </c>
      <c r="DI13" s="253">
        <f>[15]Alfa!$D$27</f>
        <v>7037.1810260025441</v>
      </c>
      <c r="DJ13" s="253">
        <f t="shared" si="14"/>
        <v>12388.597604417893</v>
      </c>
      <c r="DK13" s="253">
        <f t="shared" ref="DK13:DK76" si="20">(DJ13+DH13)/2</f>
        <v>11800.991361280383</v>
      </c>
      <c r="DL13" s="253">
        <f t="shared" si="16"/>
        <v>0.10480443451224779</v>
      </c>
      <c r="DM13" s="183">
        <f>New!AC13</f>
        <v>5.331206657601462E-5</v>
      </c>
      <c r="DN13" s="183">
        <f t="shared" si="2"/>
        <v>5.0323119098159997E-5</v>
      </c>
      <c r="DO13" s="183">
        <f t="shared" si="17"/>
        <v>1.0593951156331227</v>
      </c>
      <c r="DP13" s="183">
        <f t="shared" si="3"/>
        <v>171.93372968431737</v>
      </c>
      <c r="DQ13" s="297">
        <f>DH13/((DA13/3600)*New!BV13*(Sheet3!BZ13-Sheet3!CP13)*1000)</f>
        <v>0.71689237015209162</v>
      </c>
      <c r="DR13" s="166">
        <f>(DB13*0.018)/(0.011*New!IV13*3600)</f>
        <v>1281.3793171705825</v>
      </c>
      <c r="DS13" s="166">
        <f>(New!IV13*New!CE13*1000)/New!AU13</f>
        <v>0.55193626425495013</v>
      </c>
      <c r="DT13" s="166">
        <f>IF(DR13&gt;2300,0.023*((DR13^(4/5)*DS13^(1/3))/(1+12.7*(DS13^(2/3)-1)))*(New!IV13/DV13)^0.14, 0.943*(DR13*DS13*New!IV13/Sheet3!DV13)^0.4)</f>
        <v>15.632164142802624</v>
      </c>
      <c r="DU13" s="166">
        <f t="shared" si="4"/>
        <v>-889.50566977768108</v>
      </c>
      <c r="DV13" s="166">
        <f>_xlfn.FORECAST.LINEAR(AVERAGE(_xlfn.ANCHORARRAY(BR13)),Sheet2!$AK$2:$AK$69,Sheet2!$AJ$2:$AJ$69)</f>
        <v>1.0090442872654551E-5</v>
      </c>
    </row>
    <row r="14" spans="1:126" ht="15" thickBot="1" x14ac:dyDescent="0.35">
      <c r="A14" s="184" t="str">
        <f>'Su K. oro stendu'!B59</f>
        <v>06.12.2022</v>
      </c>
      <c r="B14" s="251">
        <v>0</v>
      </c>
      <c r="C14" s="251">
        <v>539</v>
      </c>
      <c r="D14" s="251">
        <v>0</v>
      </c>
      <c r="E14" s="251">
        <v>658</v>
      </c>
      <c r="F14" s="251">
        <v>2</v>
      </c>
      <c r="G14" s="251">
        <v>704</v>
      </c>
      <c r="H14" s="251">
        <v>4</v>
      </c>
      <c r="I14" s="251">
        <v>695</v>
      </c>
      <c r="J14" s="183" cm="1">
        <f t="array" ref="J14:Q14">TRANSPOSE('[16]Nu kitimas'!$F$4:$F$11)</f>
        <v>63.384450574750709</v>
      </c>
      <c r="K14" s="183">
        <v>70.690318274423177</v>
      </c>
      <c r="L14" s="183">
        <v>79.255663147694605</v>
      </c>
      <c r="M14" s="183">
        <v>87.0761322915275</v>
      </c>
      <c r="N14" s="183">
        <v>94.619918671999585</v>
      </c>
      <c r="O14" s="183">
        <v>102.06257827787138</v>
      </c>
      <c r="P14" s="183">
        <v>107.78411486420211</v>
      </c>
      <c r="Q14" s="183">
        <v>109.73297624767068</v>
      </c>
      <c r="R14" s="183" cm="1">
        <f t="array" ref="R14:Y14">TRANSPOSE([16]Alfa!$G$18:$G$25)</f>
        <v>131.43395843941596</v>
      </c>
      <c r="S14" s="183">
        <v>143.66055706866584</v>
      </c>
      <c r="T14" s="183">
        <v>156.58708433679723</v>
      </c>
      <c r="U14" s="183">
        <v>169.46033147270725</v>
      </c>
      <c r="V14" s="183">
        <v>180.32806373490408</v>
      </c>
      <c r="W14" s="183">
        <v>190.77429377675386</v>
      </c>
      <c r="X14" s="183">
        <v>197.39168730525887</v>
      </c>
      <c r="Y14" s="183">
        <v>197.44956334191463</v>
      </c>
      <c r="Z14" s="183" cm="1">
        <f t="array" ref="Z14:AG14">TRANSPOSE([16]Alfa!$F$127:$F$134)</f>
        <v>0</v>
      </c>
      <c r="AA14" s="183">
        <v>0.47920483639246392</v>
      </c>
      <c r="AB14" s="183">
        <v>0</v>
      </c>
      <c r="AC14" s="183">
        <v>0.58743331325004211</v>
      </c>
      <c r="AD14" s="183">
        <v>1.7870873587297915E-3</v>
      </c>
      <c r="AE14" s="183">
        <v>0.62997150004308888</v>
      </c>
      <c r="AF14" s="183">
        <v>3.5902559143141739E-3</v>
      </c>
      <c r="AG14" s="183">
        <v>0.62728659149073129</v>
      </c>
      <c r="AH14" s="183" cm="1">
        <f t="array" ref="AH14:AO14">TRANSPOSE('[16]Silumos kiekio nustat.'!$F$25:$F$32)</f>
        <v>430.65753882392221</v>
      </c>
      <c r="AI14" s="183">
        <v>455.08535569159659</v>
      </c>
      <c r="AJ14" s="183">
        <v>473.85773531303806</v>
      </c>
      <c r="AK14" s="183">
        <v>487.07591776309266</v>
      </c>
      <c r="AL14" s="183">
        <v>494.84675213674359</v>
      </c>
      <c r="AM14" s="183">
        <v>497.27858526049062</v>
      </c>
      <c r="AN14" s="183">
        <v>494.47754279178577</v>
      </c>
      <c r="AO14" s="183">
        <v>486.5442657588182</v>
      </c>
      <c r="AP14" s="313">
        <f t="shared" si="5"/>
        <v>4.9204075803341414E-2</v>
      </c>
      <c r="AQ14" s="35">
        <f t="shared" si="6"/>
        <v>23.493861821539564</v>
      </c>
      <c r="AR14" s="183" cm="1">
        <f t="array" ref="AR14:AY14">TRANSPOSE([16]Alfa!$E$127:$E$134)</f>
        <v>0.36936792017041314</v>
      </c>
      <c r="AS14" s="183">
        <v>0.24773999340521125</v>
      </c>
      <c r="AT14" s="183">
        <v>0.31852653507353351</v>
      </c>
      <c r="AU14" s="183">
        <v>0.19420184028080109</v>
      </c>
      <c r="AV14" s="183">
        <v>0.23085831727203768</v>
      </c>
      <c r="AW14" s="183">
        <v>0.24036436547360265</v>
      </c>
      <c r="AX14" s="183">
        <v>0.21853679769389336</v>
      </c>
      <c r="AY14" s="183">
        <v>0.21671975166429849</v>
      </c>
      <c r="AZ14" s="183">
        <f t="shared" si="7"/>
        <v>185.18518518518519</v>
      </c>
      <c r="BA14" s="183">
        <f>'Su K. oro stendu'!P59</f>
        <v>99.866</v>
      </c>
      <c r="BB14" s="183">
        <f t="shared" si="0"/>
        <v>185.18518518518519</v>
      </c>
      <c r="BC14" s="143">
        <v>63.264000000000003</v>
      </c>
      <c r="BD14" s="183">
        <f t="shared" si="1"/>
        <v>184.63065843621399</v>
      </c>
      <c r="BE14" s="304">
        <v>63.213000000000001</v>
      </c>
      <c r="BF14" s="183">
        <f t="shared" si="8"/>
        <v>182.96707818930042</v>
      </c>
      <c r="BG14" s="143">
        <v>63.058999999999997</v>
      </c>
      <c r="BH14" s="183">
        <f t="shared" si="9"/>
        <v>180.25925925925927</v>
      </c>
      <c r="BI14" s="143">
        <v>62.805</v>
      </c>
      <c r="BJ14" s="183">
        <f t="shared" si="10"/>
        <v>180.25102880658437</v>
      </c>
      <c r="BK14" s="143">
        <v>62.804000000000002</v>
      </c>
      <c r="BL14" s="183">
        <f t="shared" si="11"/>
        <v>177.35390946502056</v>
      </c>
      <c r="BM14" s="143">
        <v>62.527000000000001</v>
      </c>
      <c r="BN14" s="183">
        <f t="shared" si="12"/>
        <v>177.33744855967078</v>
      </c>
      <c r="BO14" s="143">
        <v>62.524999999999999</v>
      </c>
      <c r="BP14" s="183">
        <f t="shared" si="13"/>
        <v>174.47736625514403</v>
      </c>
      <c r="BQ14" s="304">
        <v>62.247</v>
      </c>
      <c r="BR14" s="183" cm="1">
        <f t="array" ref="BR14:BY14">TRANSPOSE('[16]Keithley Matavimai'!$W$6:$W$13)</f>
        <v>48.159264232769225</v>
      </c>
      <c r="BS14" s="183">
        <v>42.191040291928665</v>
      </c>
      <c r="BT14" s="183">
        <v>42.048125221779692</v>
      </c>
      <c r="BU14" s="183">
        <v>36.86334786069073</v>
      </c>
      <c r="BV14" s="183">
        <v>37.23103433490413</v>
      </c>
      <c r="BW14" s="183">
        <v>37.37500267212846</v>
      </c>
      <c r="BX14" s="183">
        <v>32.947490528782858</v>
      </c>
      <c r="BY14" s="183">
        <v>27.242166046354708</v>
      </c>
      <c r="BZ14" s="183" cm="1">
        <f t="array" ref="BZ14:CH14">TRANSPOSE('[16]Keithley Matavimai'!$V$5:$V$13)</f>
        <v>214.13847609191831</v>
      </c>
      <c r="CA14" s="183">
        <v>200.75186509440462</v>
      </c>
      <c r="CB14" s="183">
        <v>192.82554000668168</v>
      </c>
      <c r="CC14" s="183">
        <v>181.30929066598551</v>
      </c>
      <c r="CD14" s="183">
        <v>175.36521234124419</v>
      </c>
      <c r="CE14" s="183">
        <v>166.86515457015585</v>
      </c>
      <c r="CF14" s="183">
        <v>159.02599846723655</v>
      </c>
      <c r="CG14" s="183">
        <v>150.76386645407953</v>
      </c>
      <c r="CH14" s="183">
        <v>143.48754711707906</v>
      </c>
      <c r="CI14" s="183" cm="1">
        <f t="array" ref="CI14:CQ14">TRANSPOSE('[16]Silumos kiekio nustat.'!$B$24:$B$32)</f>
        <v>33.053972115962594</v>
      </c>
      <c r="CJ14" s="183">
        <v>30.588905835587539</v>
      </c>
      <c r="CK14" s="183">
        <v>27.972044631979859</v>
      </c>
      <c r="CL14" s="183">
        <v>25.234248807004853</v>
      </c>
      <c r="CM14" s="183">
        <v>22.406378662527828</v>
      </c>
      <c r="CN14" s="183">
        <v>19.519294500414087</v>
      </c>
      <c r="CO14" s="183">
        <v>16.603856622528937</v>
      </c>
      <c r="CP14" s="183">
        <v>13.690925330737684</v>
      </c>
      <c r="CQ14" s="183">
        <v>10.811360926905632</v>
      </c>
      <c r="CR14" s="183">
        <f>'Su K. oro stendu'!P59</f>
        <v>99.866</v>
      </c>
      <c r="CS14" s="183"/>
      <c r="CT14" s="183">
        <v>11611.539879496386</v>
      </c>
      <c r="CU14" s="183">
        <f>[16]Alfa!$F$15</f>
        <v>900</v>
      </c>
      <c r="CV14" s="172">
        <f>'Su K. oro stendu'!J59</f>
        <v>2</v>
      </c>
      <c r="CW14" s="183">
        <f>'Su K. oro stendu'!D59</f>
        <v>5000</v>
      </c>
      <c r="CX14" s="183">
        <f>'Su K. oro stendu'!G59</f>
        <v>20</v>
      </c>
      <c r="CY14" s="183">
        <v>0.17346666666666669</v>
      </c>
      <c r="CZ14" s="183">
        <f>'Su K. oro stendu'!H59</f>
        <v>23.13</v>
      </c>
      <c r="DA14" s="183">
        <f>'Su K. oro stendu'!C59</f>
        <v>243</v>
      </c>
      <c r="DB14" s="183">
        <f>'Su K. oro stendu'!E59</f>
        <v>45</v>
      </c>
      <c r="DC14" s="183">
        <f>'Su K. oro stendu'!I59</f>
        <v>468</v>
      </c>
      <c r="DD14" s="183">
        <f>'Su K. oro stendu'!K59</f>
        <v>10.45</v>
      </c>
      <c r="DE14" s="183">
        <f>'Su K. oro stendu'!L59</f>
        <v>22.5</v>
      </c>
      <c r="DF14" s="183">
        <f>'Su K. oro stendu'!F59</f>
        <v>215</v>
      </c>
      <c r="DG14" s="253">
        <f>[16]Alfa!$D$29</f>
        <v>5543.8294495843911</v>
      </c>
      <c r="DH14" s="253">
        <f>[16]Alfa!$D$26</f>
        <v>11611.539879496386</v>
      </c>
      <c r="DI14" s="253">
        <f>[16]Alfa!$D$27</f>
        <v>6987.82075334811</v>
      </c>
      <c r="DJ14" s="253">
        <f t="shared" si="14"/>
        <v>12531.650202932502</v>
      </c>
      <c r="DK14" s="253">
        <f t="shared" si="20"/>
        <v>12071.595041214445</v>
      </c>
      <c r="DL14" s="253">
        <f t="shared" si="16"/>
        <v>7.9241025134043047E-2</v>
      </c>
      <c r="DM14" s="183">
        <f>New!AC14</f>
        <v>5.5708753191019092E-5</v>
      </c>
      <c r="DN14" s="183">
        <f t="shared" si="2"/>
        <v>5.1700465461759999E-5</v>
      </c>
      <c r="DO14" s="183">
        <f t="shared" si="17"/>
        <v>1.0775290453085729</v>
      </c>
      <c r="DP14" s="183">
        <f t="shared" si="3"/>
        <v>170.88569243455223</v>
      </c>
      <c r="DQ14" s="297">
        <f>DH14/((DA14/3600)*New!BV14*(Sheet3!BZ14-Sheet3!CP14)*1000)</f>
        <v>0.71190552371985139</v>
      </c>
      <c r="DR14" s="166">
        <f>(DB14*0.018)/(0.011*New!IV14*3600)</f>
        <v>1253.8773524349526</v>
      </c>
      <c r="DS14" s="166">
        <f>(New!IV14*New!CE14*1000)/New!AU14</f>
        <v>0.54118026109881434</v>
      </c>
      <c r="DT14" s="166">
        <f>IF(DR14&gt;2300,0.023*((DR14^(4/5)*DS14^(1/3))/(1+12.7*(DS14^(2/3)-1)))*(New!IV14/DV14)^0.14, 0.943*(DR14*DS14*New!IV14/Sheet3!DV14)^0.4)</f>
        <v>15.49383864384086</v>
      </c>
      <c r="DU14" s="166">
        <f t="shared" si="4"/>
        <v>-880.41896876123656</v>
      </c>
      <c r="DV14" s="166">
        <f>_xlfn.FORECAST.LINEAR(AVERAGE(_xlfn.ANCHORARRAY(BR14)),Sheet2!$AK$2:$AK$69,Sheet2!$AJ$2:$AJ$69)</f>
        <v>1.011610761219063E-5</v>
      </c>
    </row>
    <row r="15" spans="1:126" s="176" customFormat="1" ht="15" thickBot="1" x14ac:dyDescent="0.35">
      <c r="A15" s="240" t="str">
        <f>'Su K. oro stendu'!B60</f>
        <v>07.12.2022</v>
      </c>
      <c r="B15" s="306">
        <v>14</v>
      </c>
      <c r="C15" s="306">
        <v>695</v>
      </c>
      <c r="D15" s="306">
        <v>40</v>
      </c>
      <c r="E15" s="306">
        <v>666</v>
      </c>
      <c r="F15" s="306">
        <v>14</v>
      </c>
      <c r="G15" s="306">
        <v>650</v>
      </c>
      <c r="H15" s="306">
        <v>13</v>
      </c>
      <c r="I15" s="306">
        <v>676</v>
      </c>
      <c r="J15" s="252" cm="1">
        <f t="array" ref="J15:Q15">TRANSPOSE('[17]Nu kitimas'!$I$4:$I$11)</f>
        <v>220.23159200113037</v>
      </c>
      <c r="K15" s="252">
        <v>229.30051485251383</v>
      </c>
      <c r="L15" s="252">
        <v>243.40856415755403</v>
      </c>
      <c r="M15" s="252">
        <v>255.25431813754057</v>
      </c>
      <c r="N15" s="252">
        <v>265.25902573808361</v>
      </c>
      <c r="O15" s="252">
        <v>271.17854075325096</v>
      </c>
      <c r="P15" s="252">
        <v>267.59765119521921</v>
      </c>
      <c r="Q15" s="252">
        <v>273.36710480243181</v>
      </c>
      <c r="R15" s="252" cm="1">
        <f t="array" ref="R15:Y15">TRANSPOSE([17]Alfa!$G$18:$G$25)</f>
        <v>337.65088883955065</v>
      </c>
      <c r="S15" s="252">
        <v>349.86250204469229</v>
      </c>
      <c r="T15" s="252">
        <v>368.018788084123</v>
      </c>
      <c r="U15" s="252">
        <v>384.96770767681733</v>
      </c>
      <c r="V15" s="252">
        <v>396.99358215951798</v>
      </c>
      <c r="W15" s="252">
        <v>404.12407975286334</v>
      </c>
      <c r="X15" s="252">
        <v>396.02286898568514</v>
      </c>
      <c r="Y15" s="252">
        <v>402.39157582598915</v>
      </c>
      <c r="Z15" s="252" cm="1">
        <f t="array" ref="Z15:AG15">TRANSPOSE([17]Alfa!$F$127:$F$134)</f>
        <v>1.2462624417623943E-2</v>
      </c>
      <c r="AA15" s="252">
        <v>0.62101493962644827</v>
      </c>
      <c r="AB15" s="252">
        <v>3.5828719040147311E-2</v>
      </c>
      <c r="AC15" s="252">
        <v>0.59753523446228929</v>
      </c>
      <c r="AD15" s="252">
        <v>1.2578734956120122E-2</v>
      </c>
      <c r="AE15" s="252">
        <v>0.5850279535025128</v>
      </c>
      <c r="AF15" s="252">
        <v>1.1730695833228074E-2</v>
      </c>
      <c r="AG15" s="252">
        <v>0.61238787006586837</v>
      </c>
      <c r="AH15" s="252" cm="1">
        <f t="array" ref="AH15:AO15">TRANSPOSE('[17]Silumos kiekio nustat.'!$F$25:$F$32)*3</f>
        <v>882.61043069271523</v>
      </c>
      <c r="AI15" s="252">
        <v>935.42144511941206</v>
      </c>
      <c r="AJ15" s="252">
        <v>974.20075736509386</v>
      </c>
      <c r="AK15" s="252">
        <v>999.14889364481098</v>
      </c>
      <c r="AL15" s="252">
        <v>1010.4772836812771</v>
      </c>
      <c r="AM15" s="252">
        <v>1008.3992601927648</v>
      </c>
      <c r="AN15" s="252">
        <v>993.12194740259338</v>
      </c>
      <c r="AO15" s="252">
        <v>964.839135131077</v>
      </c>
      <c r="AP15" s="313">
        <f t="shared" si="5"/>
        <v>4.5000203193879304E-2</v>
      </c>
      <c r="AQ15" s="35">
        <f t="shared" si="6"/>
        <v>43.696430043740435</v>
      </c>
      <c r="AR15" s="252" cm="1">
        <f t="array" ref="AR15:AY15">TRANSPOSE([17]Alfa!$E$127:$E$134)*3</f>
        <v>0.20587417445894063</v>
      </c>
      <c r="AS15" s="252">
        <v>0.20328339748784663</v>
      </c>
      <c r="AT15" s="252">
        <v>0.20988385042295279</v>
      </c>
      <c r="AU15" s="252">
        <v>0.14916450018593552</v>
      </c>
      <c r="AV15" s="252">
        <v>0.17205661318205723</v>
      </c>
      <c r="AW15" s="252">
        <v>0.18288263837943108</v>
      </c>
      <c r="AX15" s="252">
        <v>0.15213298230760894</v>
      </c>
      <c r="AY15" s="252">
        <v>0.20215643924021737</v>
      </c>
      <c r="AZ15" s="183">
        <f t="shared" si="7"/>
        <v>195.8762886597938</v>
      </c>
      <c r="BA15" s="183">
        <f>'Su K. oro stendu'!P60</f>
        <v>85.003</v>
      </c>
      <c r="BB15" s="183">
        <f t="shared" si="0"/>
        <v>195.85824742268042</v>
      </c>
      <c r="BC15" s="143">
        <v>64.215000000000003</v>
      </c>
      <c r="BD15" s="183">
        <f t="shared" si="1"/>
        <v>194.96262886597938</v>
      </c>
      <c r="BE15" s="143">
        <v>64.138000000000005</v>
      </c>
      <c r="BF15" s="183">
        <f t="shared" si="8"/>
        <v>192.01546391752578</v>
      </c>
      <c r="BG15" s="143">
        <v>63.88</v>
      </c>
      <c r="BH15" s="183">
        <f t="shared" si="9"/>
        <v>188.58247422680412</v>
      </c>
      <c r="BI15" s="143">
        <v>63.573</v>
      </c>
      <c r="BJ15" s="183">
        <f t="shared" si="10"/>
        <v>188.51030927835052</v>
      </c>
      <c r="BK15" s="304">
        <v>63.567</v>
      </c>
      <c r="BL15" s="183">
        <f t="shared" si="11"/>
        <v>185.15979381443299</v>
      </c>
      <c r="BM15" s="143">
        <v>63.262</v>
      </c>
      <c r="BN15" s="183">
        <f t="shared" si="12"/>
        <v>185.09278350515464</v>
      </c>
      <c r="BO15" s="143">
        <v>63.256</v>
      </c>
      <c r="BP15" s="183">
        <f t="shared" si="13"/>
        <v>181.60824742268042</v>
      </c>
      <c r="BQ15" s="252">
        <v>62.932000000000002</v>
      </c>
      <c r="BR15" s="252" cm="1">
        <f t="array" ref="BR15:BY15">TRANSPOSE('[17]Keithley Matavimai'!$W$6:$W$13)</f>
        <v>41.272829149791271</v>
      </c>
      <c r="BS15" s="252">
        <v>37.939021776979303</v>
      </c>
      <c r="BT15" s="252">
        <v>36.296782927172622</v>
      </c>
      <c r="BU15" s="252">
        <v>32.366304177383569</v>
      </c>
      <c r="BV15" s="252">
        <v>31.521789581525386</v>
      </c>
      <c r="BW15" s="252">
        <v>31.047280571380401</v>
      </c>
      <c r="BX15" s="252">
        <v>27.833309756519224</v>
      </c>
      <c r="BY15" s="252">
        <v>23.216041660251452</v>
      </c>
      <c r="BZ15" s="252" cm="1">
        <f t="array" ref="BZ15:CH15">TRANSPOSE('[17]Keithley Matavimai'!$V$5:$V$13)</f>
        <v>85.481480805378922</v>
      </c>
      <c r="CA15" s="252">
        <v>82.306727415931476</v>
      </c>
      <c r="CB15" s="252">
        <v>79.788070641350316</v>
      </c>
      <c r="CC15" s="252">
        <v>76.4886721794213</v>
      </c>
      <c r="CD15" s="252">
        <v>74.714485233044911</v>
      </c>
      <c r="CE15" s="252">
        <v>71.921206264049843</v>
      </c>
      <c r="CF15" s="252">
        <v>69.491851237866186</v>
      </c>
      <c r="CG15" s="252">
        <v>66.95950860296152</v>
      </c>
      <c r="CH15" s="252">
        <v>64.122392500694204</v>
      </c>
      <c r="CI15" s="252" cm="1">
        <f t="array" ref="CI15:CQ15">TRANSPOSE('[17]Silumos kiekio nustat.'!$B$24:$B$32)</f>
        <v>28.44061025226631</v>
      </c>
      <c r="CJ15" s="252">
        <v>26.434700024205707</v>
      </c>
      <c r="CK15" s="252">
        <v>24.301011489099821</v>
      </c>
      <c r="CL15" s="252">
        <v>22.070438785626742</v>
      </c>
      <c r="CM15" s="252">
        <v>19.773876052464555</v>
      </c>
      <c r="CN15" s="252">
        <v>17.442217428291347</v>
      </c>
      <c r="CO15" s="252">
        <v>15.10635705178521</v>
      </c>
      <c r="CP15" s="252">
        <v>12.797189061624231</v>
      </c>
      <c r="CQ15" s="252">
        <v>10.545607596486498</v>
      </c>
      <c r="CR15" s="252">
        <f>'Su K. oro stendu'!P60</f>
        <v>85.003</v>
      </c>
      <c r="CS15" s="252"/>
      <c r="CT15" s="252">
        <v>7883.2367133114858</v>
      </c>
      <c r="CU15" s="252">
        <f>[17]Alfa!$F$15</f>
        <v>900</v>
      </c>
      <c r="CV15" s="172">
        <f>'Su K. oro stendu'!J60</f>
        <v>2</v>
      </c>
      <c r="CW15" s="183">
        <f>'Su K. oro stendu'!D60</f>
        <v>5000</v>
      </c>
      <c r="CX15" s="252">
        <f>'Su K. oro stendu'!G60</f>
        <v>20</v>
      </c>
      <c r="CY15" s="252">
        <v>0.18453333333333335</v>
      </c>
      <c r="CZ15" s="252">
        <f>'Su K. oro stendu'!H60</f>
        <v>29.14</v>
      </c>
      <c r="DA15" s="252">
        <f>'Su K. oro stendu'!C60</f>
        <v>194</v>
      </c>
      <c r="DB15" s="252">
        <f>'Su K. oro stendu'!E60</f>
        <v>38</v>
      </c>
      <c r="DC15" s="252">
        <f>'Su K. oro stendu'!I60</f>
        <v>396</v>
      </c>
      <c r="DD15" s="252">
        <f>'Su K. oro stendu'!K60</f>
        <v>10.220000000000001</v>
      </c>
      <c r="DE15" s="252">
        <f>'Su K. oro stendu'!L60</f>
        <v>18.14</v>
      </c>
      <c r="DF15" s="252">
        <f>'Su K. oro stendu'!F60</f>
        <v>85</v>
      </c>
      <c r="DG15" s="307">
        <f>[17]Alfa!$D$29</f>
        <v>1520.7699574293915</v>
      </c>
      <c r="DH15" s="307">
        <f>[17]Alfa!$D$26</f>
        <v>7883.2367133114858</v>
      </c>
      <c r="DI15" s="307">
        <f>[17]Alfa!$D$27</f>
        <v>7465.7003157127147</v>
      </c>
      <c r="DJ15" s="253">
        <f t="shared" si="14"/>
        <v>8986.4702731421057</v>
      </c>
      <c r="DK15" s="253">
        <f t="shared" si="20"/>
        <v>8434.8534932267958</v>
      </c>
      <c r="DL15" s="253">
        <f t="shared" si="16"/>
        <v>0.13994677566483832</v>
      </c>
      <c r="DM15" s="183">
        <f>New!AC15</f>
        <v>2.7985469042277173E-5</v>
      </c>
      <c r="DN15" s="183">
        <f t="shared" si="2"/>
        <v>3.5049529086959997E-5</v>
      </c>
      <c r="DO15" s="183">
        <f t="shared" si="17"/>
        <v>0.79845492282773711</v>
      </c>
      <c r="DP15" s="183">
        <f t="shared" si="3"/>
        <v>380.00399917115487</v>
      </c>
      <c r="DQ15" s="297">
        <f>DH15/((DA15/3600)*New!BV15*(Sheet3!BZ15-Sheet3!CP15)*1000)</f>
        <v>1.7011776669547456</v>
      </c>
      <c r="DR15" s="166">
        <f>(DB15*0.018)/(0.011*New!IV15*3600)</f>
        <v>1468.5901559031179</v>
      </c>
      <c r="DS15" s="166">
        <f>(New!IV15*New!CE15*1000)/New!AU15</f>
        <v>0.86323913019559584</v>
      </c>
      <c r="DT15" s="166">
        <f>IF(DR15&gt;2300,0.023*((DR15^(4/5)*DS15^(1/3))/(1+12.7*(DS15^(2/3)-1)))*(New!IV15/DV15)^0.14, 0.943*(DR15*DS15*New!IV15/Sheet3!DV15)^0.4)</f>
        <v>17.584575308200236</v>
      </c>
      <c r="DU15" s="166">
        <f t="shared" si="4"/>
        <v>-1186.1734773426977</v>
      </c>
      <c r="DV15" s="166">
        <f>_xlfn.FORECAST.LINEAR(AVERAGE(_xlfn.ANCHORARRAY(BR15)),Sheet2!$AK$2:$AK$69,Sheet2!$AJ$2:$AJ$69)</f>
        <v>9.9298241195441129E-6</v>
      </c>
    </row>
    <row r="16" spans="1:126" ht="15" thickBot="1" x14ac:dyDescent="0.35">
      <c r="A16" s="184" t="str">
        <f>'Su K. oro stendu'!B61</f>
        <v>07.12.2022</v>
      </c>
      <c r="B16" s="183">
        <v>14</v>
      </c>
      <c r="C16" s="183">
        <v>678</v>
      </c>
      <c r="D16" s="183">
        <v>32</v>
      </c>
      <c r="E16" s="183">
        <v>659</v>
      </c>
      <c r="F16" s="183">
        <v>16</v>
      </c>
      <c r="G16" s="183">
        <v>640</v>
      </c>
      <c r="H16" s="183">
        <v>11</v>
      </c>
      <c r="I16" s="183">
        <v>659</v>
      </c>
      <c r="J16" s="183" cm="1">
        <f t="array" ref="J16:Q16">TRANSPOSE('[18]Nu kitimas'!$I$4:$I$11)</f>
        <v>183.64775593713625</v>
      </c>
      <c r="K16" s="183">
        <v>191.804747082478</v>
      </c>
      <c r="L16" s="183">
        <v>201.9650603857587</v>
      </c>
      <c r="M16" s="183">
        <v>211.6151447526735</v>
      </c>
      <c r="N16" s="183">
        <v>220.86735788251951</v>
      </c>
      <c r="O16" s="183">
        <v>225.72857466024686</v>
      </c>
      <c r="P16" s="183">
        <v>223.72072554502904</v>
      </c>
      <c r="Q16" s="183">
        <v>229.66166901480432</v>
      </c>
      <c r="R16" s="183" cm="1">
        <f t="array" ref="R16:Y16">TRANSPOSE([18]Alfa!$G$18:$G$25)</f>
        <v>289.92653596550417</v>
      </c>
      <c r="S16" s="183">
        <v>300.19469638843935</v>
      </c>
      <c r="T16" s="183">
        <v>313.50667991933432</v>
      </c>
      <c r="U16" s="183">
        <v>326.58367825626846</v>
      </c>
      <c r="V16" s="183">
        <v>338.21990919617747</v>
      </c>
      <c r="W16" s="183">
        <v>343.89356369859235</v>
      </c>
      <c r="X16" s="183">
        <v>338.40376567765782</v>
      </c>
      <c r="Y16" s="183">
        <v>345.6169771072386</v>
      </c>
      <c r="Z16" s="183" cm="1">
        <f t="array" ref="Z16:AG16">TRANSPOSE([18]Alfa!$F$127:$F$134)</f>
        <v>1.2466154197087105E-2</v>
      </c>
      <c r="AA16" s="183">
        <v>0.60608499540536387</v>
      </c>
      <c r="AB16" s="183">
        <v>2.8675349377439721E-2</v>
      </c>
      <c r="AC16" s="183">
        <v>0.59146150056782865</v>
      </c>
      <c r="AD16" s="183">
        <v>1.437916461221616E-2</v>
      </c>
      <c r="AE16" s="183">
        <v>0.57612200335994579</v>
      </c>
      <c r="AF16" s="183">
        <v>9.9277054313872837E-3</v>
      </c>
      <c r="AG16" s="183">
        <v>0.59718248426924436</v>
      </c>
      <c r="AH16" s="35" cm="1">
        <f t="array" ref="AH16:AO16">TRANSPOSE('[18]Silumos kiekio nustat.'!$F$25:$F$32)</f>
        <v>310.60962182877569</v>
      </c>
      <c r="AI16" s="35">
        <v>321.55538143521164</v>
      </c>
      <c r="AJ16" s="35">
        <v>329.08379391405498</v>
      </c>
      <c r="AK16" s="35">
        <v>333.24659863564483</v>
      </c>
      <c r="AL16" s="35">
        <v>334.09610369962002</v>
      </c>
      <c r="AM16" s="35">
        <v>331.68363656010138</v>
      </c>
      <c r="AN16" s="35">
        <v>326.05816136843123</v>
      </c>
      <c r="AO16" s="35">
        <v>317.26507379585632</v>
      </c>
      <c r="AP16" s="313">
        <f t="shared" si="5"/>
        <v>2.5717575776469437E-2</v>
      </c>
      <c r="AQ16" s="35">
        <f t="shared" si="6"/>
        <v>8.369779800474733</v>
      </c>
      <c r="AR16" s="183" cm="1">
        <f t="array" ref="AR16:AY16">TRANSPOSE([18]Alfa!$E$127:$E$134)</f>
        <v>8.6361357558779536E-2</v>
      </c>
      <c r="AS16" s="183">
        <v>0.10126042030787663</v>
      </c>
      <c r="AT16" s="183">
        <v>6.549881122084926E-2</v>
      </c>
      <c r="AU16" s="183">
        <v>7.7355668074627473E-2</v>
      </c>
      <c r="AV16" s="183">
        <v>5.9632585662868158E-2</v>
      </c>
      <c r="AW16" s="183">
        <v>7.0865805972671544E-2</v>
      </c>
      <c r="AX16" s="183">
        <v>5.3552354560767318E-2</v>
      </c>
      <c r="AY16" s="183">
        <v>7.1349849484769773E-2</v>
      </c>
      <c r="AZ16" s="183">
        <f t="shared" si="7"/>
        <v>193.87755102040816</v>
      </c>
      <c r="BA16" s="183">
        <f>'Su K. oro stendu'!P61</f>
        <v>95.003</v>
      </c>
      <c r="BB16" s="183">
        <f t="shared" si="0"/>
        <v>193.85969387755102</v>
      </c>
      <c r="BC16" s="143">
        <v>64.042000000000002</v>
      </c>
      <c r="BD16" s="183">
        <f t="shared" si="1"/>
        <v>192.99489795918367</v>
      </c>
      <c r="BE16" s="304">
        <v>63.966000000000001</v>
      </c>
      <c r="BF16" s="183">
        <f t="shared" si="8"/>
        <v>190.18367346938774</v>
      </c>
      <c r="BG16" s="143">
        <v>63.716999999999999</v>
      </c>
      <c r="BH16" s="183">
        <f t="shared" si="9"/>
        <v>186.82142857142858</v>
      </c>
      <c r="BI16" s="143">
        <v>63.414000000000001</v>
      </c>
      <c r="BJ16" s="183">
        <f t="shared" si="10"/>
        <v>186.73979591836735</v>
      </c>
      <c r="BK16" s="143">
        <v>63.406999999999996</v>
      </c>
      <c r="BL16" s="183">
        <f t="shared" si="11"/>
        <v>183.47448979591837</v>
      </c>
      <c r="BM16" s="143">
        <v>63.106000000000002</v>
      </c>
      <c r="BN16" s="183">
        <f t="shared" si="12"/>
        <v>183.41836734693877</v>
      </c>
      <c r="BO16" s="143">
        <v>63.100999999999999</v>
      </c>
      <c r="BP16" s="183">
        <f t="shared" si="13"/>
        <v>180.05612244897958</v>
      </c>
      <c r="BQ16" s="304">
        <v>62.784999999999997</v>
      </c>
      <c r="BR16" s="183" cm="1">
        <f t="array" ref="BR16:BY16">TRANSPOSE('[18]Keithley Matavimai'!$W$6:$W$13)</f>
        <v>41.012551693163388</v>
      </c>
      <c r="BS16" s="183">
        <v>37.404030857574448</v>
      </c>
      <c r="BT16" s="183">
        <v>35.992450753951019</v>
      </c>
      <c r="BU16" s="183">
        <v>31.920384520515483</v>
      </c>
      <c r="BV16" s="183">
        <v>31.300812862882093</v>
      </c>
      <c r="BW16" s="183">
        <v>30.856301179815556</v>
      </c>
      <c r="BX16" s="183">
        <v>27.666379327386554</v>
      </c>
      <c r="BY16" s="183">
        <v>22.866315107980736</v>
      </c>
      <c r="BZ16" s="183" cm="1">
        <f t="array" ref="BZ16:CH16">TRANSPOSE('[18]Keithley Matavimai'!$V$5:$V$13)</f>
        <v>95.305148415016518</v>
      </c>
      <c r="CA16" s="183">
        <v>91.356410213611923</v>
      </c>
      <c r="CB16" s="183">
        <v>87.354571161940626</v>
      </c>
      <c r="CC16" s="183">
        <v>84.301005561373131</v>
      </c>
      <c r="CD16" s="183">
        <v>81.275914455481384</v>
      </c>
      <c r="CE16" s="183">
        <v>78.409122787028863</v>
      </c>
      <c r="CF16" s="183">
        <v>75.56692817271589</v>
      </c>
      <c r="CG16" s="183">
        <v>72.923981133972262</v>
      </c>
      <c r="CH16" s="183">
        <v>69.962503744414974</v>
      </c>
      <c r="CI16" s="183" cm="1">
        <f t="array" ref="CI16:CQ16">TRANSPOSE('[18]Silumos kiekio nustat.'!$B$24:$B$32)</f>
        <v>28.454228416118255</v>
      </c>
      <c r="CJ16" s="183">
        <v>26.360141551361821</v>
      </c>
      <c r="CK16" s="183">
        <v>24.184105762674108</v>
      </c>
      <c r="CL16" s="183">
        <v>21.948590714617566</v>
      </c>
      <c r="CM16" s="183">
        <v>19.676066071754647</v>
      </c>
      <c r="CN16" s="183">
        <v>17.389001498647815</v>
      </c>
      <c r="CO16" s="183">
        <v>15.109866659859515</v>
      </c>
      <c r="CP16" s="183">
        <v>12.861131219952206</v>
      </c>
      <c r="CQ16" s="183">
        <v>10.665264843488345</v>
      </c>
      <c r="CR16" s="183">
        <f>'Su K. oro stendu'!P61</f>
        <v>95.003</v>
      </c>
      <c r="CS16" s="183"/>
      <c r="CT16" s="183">
        <v>7901.2570771146502</v>
      </c>
      <c r="CU16" s="183">
        <f>[18]Alfa!$F$15</f>
        <v>900</v>
      </c>
      <c r="CV16" s="172">
        <f>'Su K. oro stendu'!J61</f>
        <v>2</v>
      </c>
      <c r="CW16" s="183">
        <f>'Su K. oro stendu'!D61</f>
        <v>5000</v>
      </c>
      <c r="CX16" s="183">
        <f>'Su K. oro stendu'!G61</f>
        <v>20</v>
      </c>
      <c r="CY16" s="183">
        <v>0.18059999999999998</v>
      </c>
      <c r="CZ16" s="183">
        <f>'Su K. oro stendu'!H61</f>
        <v>28.52</v>
      </c>
      <c r="DA16" s="183">
        <f>'Su K. oro stendu'!C61</f>
        <v>196</v>
      </c>
      <c r="DB16" s="183">
        <f>'Su K. oro stendu'!E61</f>
        <v>38</v>
      </c>
      <c r="DC16" s="183">
        <f>'Su K. oro stendu'!I61</f>
        <v>400.5</v>
      </c>
      <c r="DD16" s="183">
        <f>'Su K. oro stendu'!K61</f>
        <v>10.35</v>
      </c>
      <c r="DE16" s="183">
        <f>'Su K. oro stendu'!L61</f>
        <v>17.97</v>
      </c>
      <c r="DF16" s="183">
        <f>'Su K. oro stendu'!F61</f>
        <v>95</v>
      </c>
      <c r="DG16" s="253">
        <f>[18]Alfa!$D$29</f>
        <v>1757.6305585296291</v>
      </c>
      <c r="DH16" s="253">
        <f>[18]Alfa!$D$26</f>
        <v>7901.2570771146502</v>
      </c>
      <c r="DI16" s="253">
        <f>[18]Alfa!$D$27</f>
        <v>7308.8980716615388</v>
      </c>
      <c r="DJ16" s="253">
        <f t="shared" si="14"/>
        <v>9066.5286301911674</v>
      </c>
      <c r="DK16" s="253">
        <f t="shared" si="20"/>
        <v>8483.8928536529093</v>
      </c>
      <c r="DL16" s="253">
        <f t="shared" si="16"/>
        <v>0.14747926079403639</v>
      </c>
      <c r="DM16" s="183">
        <f>New!AC16</f>
        <v>2.9867860214290374E-5</v>
      </c>
      <c r="DN16" s="183">
        <f t="shared" si="2"/>
        <v>3.6229420802560001E-5</v>
      </c>
      <c r="DO16" s="183">
        <f t="shared" si="17"/>
        <v>0.82440899005981039</v>
      </c>
      <c r="DP16" s="183">
        <f t="shared" si="3"/>
        <v>324.54322577615159</v>
      </c>
      <c r="DQ16" s="297">
        <f>DH16/((DA16/3600)*New!BV16*(Sheet3!BZ16-Sheet3!CP16)*1000)</f>
        <v>1.4871962932239144</v>
      </c>
      <c r="DR16" s="166">
        <f>(DB16*0.018)/(0.011*New!IV16*3600)</f>
        <v>1426.1358846289702</v>
      </c>
      <c r="DS16" s="166">
        <f>(New!IV16*New!CE16*1000)/New!AU16</f>
        <v>0.81053075568543465</v>
      </c>
      <c r="DT16" s="166">
        <f>IF(DR16&gt;2300,0.023*((DR16^(4/5)*DS16^(1/3))/(1+12.7*(DS16^(2/3)-1)))*(New!IV16/DV16)^0.14, 0.943*(DR16*DS16*New!IV16/Sheet3!DV16)^0.4)</f>
        <v>17.154448992794016</v>
      </c>
      <c r="DU16" s="166">
        <f t="shared" si="4"/>
        <v>-1138.0368728273281</v>
      </c>
      <c r="DV16" s="166">
        <f>_xlfn.FORECAST.LINEAR(AVERAGE(_xlfn.ANCHORARRAY(BR16)),Sheet2!$AK$2:$AK$69,Sheet2!$AJ$2:$AJ$69)</f>
        <v>9.9189959787753704E-6</v>
      </c>
    </row>
    <row r="17" spans="1:126" x14ac:dyDescent="0.3">
      <c r="A17" s="184" t="str">
        <f>'Su K. oro stendu'!B62</f>
        <v>08.12.2022</v>
      </c>
      <c r="B17" s="183">
        <v>11</v>
      </c>
      <c r="C17" s="183">
        <v>646</v>
      </c>
      <c r="D17" s="183">
        <v>10</v>
      </c>
      <c r="E17" s="183">
        <v>662</v>
      </c>
      <c r="F17" s="183">
        <v>10</v>
      </c>
      <c r="G17" s="183">
        <v>629</v>
      </c>
      <c r="H17" s="183">
        <v>10</v>
      </c>
      <c r="I17" s="183">
        <v>601</v>
      </c>
      <c r="J17" s="183" cm="1">
        <f t="array" ref="J17:Q17">TRANSPOSE('[19]Nu kitimas'!$H$4:$H$11)</f>
        <v>146.18230584834254</v>
      </c>
      <c r="K17" s="183">
        <v>157.80021525897732</v>
      </c>
      <c r="L17" s="183">
        <v>171.847405084684</v>
      </c>
      <c r="M17" s="183">
        <v>184.43351064441381</v>
      </c>
      <c r="N17" s="183">
        <v>193.07707342693195</v>
      </c>
      <c r="O17" s="183">
        <v>197.39960274576075</v>
      </c>
      <c r="P17" s="183">
        <v>195.10477869269545</v>
      </c>
      <c r="Q17" s="183">
        <v>181.67524632068987</v>
      </c>
      <c r="R17" s="183" cm="1">
        <f t="array" ref="R17:Y17">TRANSPOSE([19]Alfa!$G$18:$G$25)</f>
        <v>237.31486598846672</v>
      </c>
      <c r="S17" s="183">
        <v>254.10443646106378</v>
      </c>
      <c r="T17" s="183">
        <v>273.30994105931148</v>
      </c>
      <c r="U17" s="183">
        <v>291.57613671843575</v>
      </c>
      <c r="V17" s="183">
        <v>302.79379290827177</v>
      </c>
      <c r="W17" s="183">
        <v>307.41908722136753</v>
      </c>
      <c r="X17" s="183">
        <v>300.93944354444568</v>
      </c>
      <c r="Y17" s="183">
        <v>278.27578911869699</v>
      </c>
      <c r="Z17" s="183" cm="1">
        <f t="array" ref="Z17:AG17">TRANSPOSE([19]Alfa!$F$127:$F$134)</f>
        <v>9.8037611967069262E-3</v>
      </c>
      <c r="AA17" s="183">
        <v>0.57812103532987191</v>
      </c>
      <c r="AB17" s="183">
        <v>8.9700475293894404E-3</v>
      </c>
      <c r="AC17" s="183">
        <v>0.59459541732849219</v>
      </c>
      <c r="AD17" s="183">
        <v>8.9912403997211565E-3</v>
      </c>
      <c r="AE17" s="183">
        <v>0.56641549177115935</v>
      </c>
      <c r="AF17" s="183">
        <v>9.0297038212756083E-3</v>
      </c>
      <c r="AG17" s="183">
        <v>0.54520842708027906</v>
      </c>
      <c r="AH17" s="35" cm="1">
        <f t="array" ref="AH17:AO17">TRANSPOSE('[19]Silumos kiekio nustat.'!$F$25:$F$32)</f>
        <v>304.36341951882451</v>
      </c>
      <c r="AI17" s="35">
        <v>325.69994933179186</v>
      </c>
      <c r="AJ17" s="35">
        <v>340.34465834057448</v>
      </c>
      <c r="AK17" s="35">
        <v>348.39037690005267</v>
      </c>
      <c r="AL17" s="35">
        <v>349.9350329451413</v>
      </c>
      <c r="AM17" s="35">
        <v>345.07628254055408</v>
      </c>
      <c r="AN17" s="35">
        <v>333.90672504058898</v>
      </c>
      <c r="AO17" s="35">
        <v>316.50974428329141</v>
      </c>
      <c r="AP17" s="313">
        <f t="shared" si="5"/>
        <v>4.9072243035075E-2</v>
      </c>
      <c r="AQ17" s="35">
        <f t="shared" si="6"/>
        <v>16.342444380269082</v>
      </c>
      <c r="AR17" s="183" cm="1">
        <f t="array" ref="AR17:AY17">TRANSPOSE([19]Alfa!$E$127:$E$134)</f>
        <v>0.11122833764469936</v>
      </c>
      <c r="AS17" s="183">
        <v>0.10153641449286059</v>
      </c>
      <c r="AT17" s="183">
        <v>0.10563958791518162</v>
      </c>
      <c r="AU17" s="183">
        <v>8.2790186401290197E-2</v>
      </c>
      <c r="AV17" s="183">
        <v>6.6962653223433269E-2</v>
      </c>
      <c r="AW17" s="183">
        <v>8.8916205339371723E-2</v>
      </c>
      <c r="AX17" s="183">
        <v>7.7891197839925916E-2</v>
      </c>
      <c r="AY17" s="183">
        <v>8.795975474003509E-2</v>
      </c>
      <c r="AZ17" s="183">
        <f t="shared" si="7"/>
        <v>190.47619047619048</v>
      </c>
      <c r="BA17" s="183">
        <f>'Su K. oro stendu'!P62</f>
        <v>99.866</v>
      </c>
      <c r="BB17" s="183">
        <f t="shared" si="0"/>
        <v>190.46309523809524</v>
      </c>
      <c r="BC17" s="143">
        <v>63.741999999999997</v>
      </c>
      <c r="BD17" s="183">
        <f t="shared" si="1"/>
        <v>189.69404761904761</v>
      </c>
      <c r="BE17" s="143">
        <v>63.673000000000002</v>
      </c>
      <c r="BF17" s="183">
        <f t="shared" si="8"/>
        <v>187.3</v>
      </c>
      <c r="BG17" s="143">
        <v>63.457000000000001</v>
      </c>
      <c r="BH17" s="183">
        <f t="shared" si="9"/>
        <v>184.14761904761906</v>
      </c>
      <c r="BI17" s="143">
        <v>63.168999999999997</v>
      </c>
      <c r="BJ17" s="183">
        <f t="shared" si="10"/>
        <v>184.1</v>
      </c>
      <c r="BK17" s="143">
        <v>63.164000000000001</v>
      </c>
      <c r="BL17" s="183">
        <f t="shared" si="11"/>
        <v>181.10476190476192</v>
      </c>
      <c r="BM17" s="143">
        <v>62.884</v>
      </c>
      <c r="BN17" s="183">
        <f t="shared" si="12"/>
        <v>181.05714285714285</v>
      </c>
      <c r="BO17" s="143">
        <v>62.88</v>
      </c>
      <c r="BP17" s="183">
        <f t="shared" si="13"/>
        <v>178.1952380952381</v>
      </c>
      <c r="BQ17" s="143">
        <v>62.607999999999997</v>
      </c>
      <c r="BR17" s="183" cm="1">
        <f t="array" ref="BR17:BY17">TRANSPOSE('[19]Keithley Matavimai'!$W$6:$W$13)</f>
        <v>40.071345243435921</v>
      </c>
      <c r="BS17" s="183">
        <v>36.344794636548947</v>
      </c>
      <c r="BT17" s="183">
        <v>34.926633055152998</v>
      </c>
      <c r="BU17" s="183">
        <v>31.02396317478447</v>
      </c>
      <c r="BV17" s="183">
        <v>30.940069997287839</v>
      </c>
      <c r="BW17" s="183">
        <v>30.565515945591006</v>
      </c>
      <c r="BX17" s="183">
        <v>27.009931296737523</v>
      </c>
      <c r="BY17" s="183">
        <v>21.770978324962169</v>
      </c>
      <c r="BZ17" s="183" cm="1">
        <f t="array" ref="BZ17:CH17">TRANSPOSE('[19]Keithley Matavimai'!$V$5:$V$13)</f>
        <v>105.04815866626802</v>
      </c>
      <c r="CA17" s="183">
        <v>100.30513274836956</v>
      </c>
      <c r="CB17" s="183">
        <v>96.611198173389468</v>
      </c>
      <c r="CC17" s="183">
        <v>91.994270892176488</v>
      </c>
      <c r="CD17" s="183">
        <v>89.009041071436968</v>
      </c>
      <c r="CE17" s="183">
        <v>86.014304100895359</v>
      </c>
      <c r="CF17" s="183">
        <v>82.603008314567091</v>
      </c>
      <c r="CG17" s="183">
        <v>79.035075641662772</v>
      </c>
      <c r="CH17" s="183">
        <v>75.513374180854143</v>
      </c>
      <c r="CI17" s="183" cm="1">
        <f t="array" ref="CI17:CQ17">TRANSPOSE('[19]Silumos kiekio nustat.'!$B$24:$B$32)</f>
        <v>27.517033713842046</v>
      </c>
      <c r="CJ17" s="183">
        <v>25.584969036347939</v>
      </c>
      <c r="CK17" s="183">
        <v>23.51020322504057</v>
      </c>
      <c r="CL17" s="183">
        <v>21.334180777378556</v>
      </c>
      <c r="CM17" s="183">
        <v>19.098346190820521</v>
      </c>
      <c r="CN17" s="183">
        <v>16.844143962825093</v>
      </c>
      <c r="CO17" s="183">
        <v>14.613018590850885</v>
      </c>
      <c r="CP17" s="183">
        <v>12.446414572356527</v>
      </c>
      <c r="CQ17" s="183">
        <v>10.385776404800637</v>
      </c>
      <c r="CR17" s="183">
        <f>'Su K. oro stendu'!P62</f>
        <v>99.866</v>
      </c>
      <c r="CS17" s="183"/>
      <c r="CT17" s="183">
        <v>8082.7935362092585</v>
      </c>
      <c r="CU17" s="183">
        <f>[19]Alfa!$F$15</f>
        <v>900</v>
      </c>
      <c r="CV17" s="172">
        <f>'Su K. oro stendu'!J62</f>
        <v>2</v>
      </c>
      <c r="CW17" s="183">
        <f>'Su K. oro stendu'!D62</f>
        <v>5000</v>
      </c>
      <c r="CX17" s="183">
        <f>'Su K. oro stendu'!G62</f>
        <v>20</v>
      </c>
      <c r="CY17" s="183">
        <v>0.17193333333333333</v>
      </c>
      <c r="CZ17" s="183">
        <f>'Su K. oro stendu'!H62</f>
        <v>25.79</v>
      </c>
      <c r="DA17" s="183">
        <f>'Su K. oro stendu'!C62</f>
        <v>210</v>
      </c>
      <c r="DB17" s="183">
        <f>'Su K. oro stendu'!E62</f>
        <v>40</v>
      </c>
      <c r="DC17" s="183">
        <f>'Su K. oro stendu'!I62</f>
        <v>426</v>
      </c>
      <c r="DD17" s="183">
        <f>'Su K. oro stendu'!K62</f>
        <v>10.11</v>
      </c>
      <c r="DE17" s="183">
        <f>'Su K. oro stendu'!L62</f>
        <v>17.3</v>
      </c>
      <c r="DF17" s="183">
        <f>'Su K. oro stendu'!F62</f>
        <v>105</v>
      </c>
      <c r="DG17" s="253">
        <f>[19]Alfa!$D$29</f>
        <v>2168.7730127903933</v>
      </c>
      <c r="DH17" s="253">
        <f>[19]Alfa!$D$26</f>
        <v>8082.7935362092585</v>
      </c>
      <c r="DI17" s="253">
        <f>[19]Alfa!$D$27</f>
        <v>6963.405373370686</v>
      </c>
      <c r="DJ17" s="253">
        <f t="shared" si="14"/>
        <v>9132.1783861610784</v>
      </c>
      <c r="DK17" s="253">
        <f t="shared" si="20"/>
        <v>8607.485961185168</v>
      </c>
      <c r="DL17" s="253">
        <f t="shared" si="16"/>
        <v>0.12982947606552003</v>
      </c>
      <c r="DM17" s="183">
        <f>New!AC17</f>
        <v>3.1801123823623022E-5</v>
      </c>
      <c r="DN17" s="183">
        <f t="shared" si="2"/>
        <v>3.7426878182159997E-5</v>
      </c>
      <c r="DO17" s="183">
        <f t="shared" si="17"/>
        <v>0.8496867857597975</v>
      </c>
      <c r="DP17" s="183">
        <f t="shared" si="3"/>
        <v>280.7166866275075</v>
      </c>
      <c r="DQ17" s="297">
        <f>DH17/((DA17/3600)*New!BV17*(Sheet3!BZ17-Sheet3!CP17)*1000)</f>
        <v>1.2648810549731719</v>
      </c>
      <c r="DR17" s="166">
        <f>(DB17*0.018)/(0.011*New!IV17*3600)</f>
        <v>1459.0181072785599</v>
      </c>
      <c r="DS17" s="166">
        <f>(New!IV17*New!CE17*1000)/New!AU17</f>
        <v>0.76671059267676178</v>
      </c>
      <c r="DT17" s="166">
        <f>IF(DR17&gt;2300,0.023*((DR17^(4/5)*DS17^(1/3))/(1+12.7*(DS17^(2/3)-1)))*(New!IV17/DV17)^0.14, 0.943*(DR17*DS17*New!IV17/Sheet3!DV17)^0.4)</f>
        <v>17.144339227842895</v>
      </c>
      <c r="DU17" s="166">
        <f t="shared" si="4"/>
        <v>-1093.6142753297745</v>
      </c>
      <c r="DV17" s="166">
        <f>_xlfn.FORECAST.LINEAR(AVERAGE(_xlfn.ANCHORARRAY(BR17)),Sheet2!$AK$2:$AK$69,Sheet2!$AJ$2:$AJ$69)</f>
        <v>9.8911349552660504E-6</v>
      </c>
    </row>
    <row r="18" spans="1:126" x14ac:dyDescent="0.3">
      <c r="A18" s="184" t="str">
        <f>'Su K. oro stendu'!B63</f>
        <v>08.12.2022</v>
      </c>
      <c r="B18" s="183">
        <v>9</v>
      </c>
      <c r="C18" s="183">
        <v>634</v>
      </c>
      <c r="D18" s="183">
        <v>7</v>
      </c>
      <c r="E18" s="183">
        <v>652</v>
      </c>
      <c r="F18" s="183">
        <v>8</v>
      </c>
      <c r="G18" s="183">
        <v>627</v>
      </c>
      <c r="H18" s="183">
        <v>9</v>
      </c>
      <c r="I18" s="183">
        <v>592</v>
      </c>
      <c r="J18" s="183" cm="1">
        <f t="array" ref="J18:Q18">TRANSPOSE('[20]Nu kitimas'!$H$4:$H$11)</f>
        <v>132.69263897784393</v>
      </c>
      <c r="K18" s="183">
        <v>143.14399159009054</v>
      </c>
      <c r="L18" s="183">
        <v>154.44367281027027</v>
      </c>
      <c r="M18" s="183">
        <v>163.07208346407933</v>
      </c>
      <c r="N18" s="183">
        <v>171.52134855560328</v>
      </c>
      <c r="O18" s="183">
        <v>178.00457437578964</v>
      </c>
      <c r="P18" s="183">
        <v>178.994233928444</v>
      </c>
      <c r="Q18" s="183">
        <v>170.84769759835066</v>
      </c>
      <c r="R18" s="183" cm="1">
        <f t="array" ref="R18:Y18">TRANSPOSE([20]Alfa!$G$18:$G$25)</f>
        <v>220.39501636633364</v>
      </c>
      <c r="S18" s="183">
        <v>234.68847862885499</v>
      </c>
      <c r="T18" s="183">
        <v>250.47372571865867</v>
      </c>
      <c r="U18" s="183">
        <v>263.00431593736465</v>
      </c>
      <c r="V18" s="183">
        <v>273.74197860648542</v>
      </c>
      <c r="W18" s="183">
        <v>281.71238944176019</v>
      </c>
      <c r="X18" s="183">
        <v>280.24595379312893</v>
      </c>
      <c r="Y18" s="183">
        <v>265.24450159489874</v>
      </c>
      <c r="Z18" s="183" cm="1">
        <f t="array" ref="Z18:AG18">TRANSPOSE([20]Alfa!$F$127:$F$134)</f>
        <v>8.0170988353727834E-3</v>
      </c>
      <c r="AA18" s="183">
        <v>0.56719276062556945</v>
      </c>
      <c r="AB18" s="183">
        <v>6.2771444405944283E-3</v>
      </c>
      <c r="AC18" s="183">
        <v>0.58540262847702318</v>
      </c>
      <c r="AD18" s="183">
        <v>7.1897250866493727E-3</v>
      </c>
      <c r="AE18" s="183">
        <v>0.56431777008207684</v>
      </c>
      <c r="AF18" s="183">
        <v>8.1225272466304548E-3</v>
      </c>
      <c r="AG18" s="183">
        <v>0.53684158054001496</v>
      </c>
      <c r="AH18" s="35" cm="1">
        <f t="array" ref="AH18:AO18">TRANSPOSE('[20]Silumos kiekio nustat.'!$F$25:$F$32)</f>
        <v>321.63508811642021</v>
      </c>
      <c r="AI18" s="35">
        <v>337.3316975887675</v>
      </c>
      <c r="AJ18" s="35">
        <v>348.14292869179116</v>
      </c>
      <c r="AK18" s="35">
        <v>354.139471777339</v>
      </c>
      <c r="AL18" s="35">
        <v>355.394041803665</v>
      </c>
      <c r="AM18" s="35">
        <v>351.97850474028888</v>
      </c>
      <c r="AN18" s="35">
        <v>343.96131369742864</v>
      </c>
      <c r="AO18" s="35">
        <v>331.40527571422933</v>
      </c>
      <c r="AP18" s="313">
        <f t="shared" si="5"/>
        <v>3.4997963923619813E-2</v>
      </c>
      <c r="AQ18" s="35">
        <f t="shared" si="6"/>
        <v>12.004250538092167</v>
      </c>
      <c r="AR18" s="183" cm="1">
        <f t="array" ref="AR18:AY18">TRANSPOSE([20]Alfa!$E$127:$E$134)</f>
        <v>0.12978014562354573</v>
      </c>
      <c r="AS18" s="183">
        <v>0.14306134363465187</v>
      </c>
      <c r="AT18" s="183">
        <v>9.3479237749533192E-2</v>
      </c>
      <c r="AU18" s="183">
        <v>7.9461920321425003E-2</v>
      </c>
      <c r="AV18" s="183">
        <v>8.8316200174506476E-2</v>
      </c>
      <c r="AW18" s="183">
        <v>0.10093141266268858</v>
      </c>
      <c r="AX18" s="183">
        <v>8.84132403254861E-2</v>
      </c>
      <c r="AY18" s="183">
        <v>9.833849952093987E-2</v>
      </c>
      <c r="AZ18" s="183">
        <f t="shared" si="7"/>
        <v>194.31279620853081</v>
      </c>
      <c r="BA18" s="183">
        <f>'Su K. oro stendu'!P63</f>
        <v>99.866</v>
      </c>
      <c r="BB18" s="183">
        <f t="shared" si="0"/>
        <v>194.30213270142181</v>
      </c>
      <c r="BC18" s="143">
        <v>64.08</v>
      </c>
      <c r="BD18" s="183">
        <f t="shared" si="1"/>
        <v>193.55094786729859</v>
      </c>
      <c r="BE18" s="143">
        <v>64.015000000000001</v>
      </c>
      <c r="BF18" s="183">
        <f t="shared" si="8"/>
        <v>191.23222748815166</v>
      </c>
      <c r="BG18" s="143">
        <v>63.81</v>
      </c>
      <c r="BH18" s="183">
        <f t="shared" si="9"/>
        <v>188.14218009478674</v>
      </c>
      <c r="BI18" s="143">
        <v>63.533999999999999</v>
      </c>
      <c r="BJ18" s="183">
        <f t="shared" si="10"/>
        <v>188.10426540284359</v>
      </c>
      <c r="BK18" s="143">
        <v>63.53</v>
      </c>
      <c r="BL18" s="183">
        <f t="shared" si="11"/>
        <v>185.13270142180096</v>
      </c>
      <c r="BM18" s="143">
        <v>63.259</v>
      </c>
      <c r="BN18" s="183">
        <f t="shared" si="12"/>
        <v>185.09004739336493</v>
      </c>
      <c r="BO18" s="143">
        <v>63.255000000000003</v>
      </c>
      <c r="BP18" s="183">
        <f t="shared" si="13"/>
        <v>182.28436018957345</v>
      </c>
      <c r="BQ18" s="143">
        <v>62.994999999999997</v>
      </c>
      <c r="BR18" s="183" cm="1">
        <f t="array" ref="BR18:BY18">TRANSPOSE('[20]Keithley Matavimai'!$W$6:$W$13)</f>
        <v>40.574960925697575</v>
      </c>
      <c r="BS18" s="183">
        <v>36.639241647333193</v>
      </c>
      <c r="BT18" s="183">
        <v>35.419388483432229</v>
      </c>
      <c r="BU18" s="183">
        <v>31.378869112746571</v>
      </c>
      <c r="BV18" s="183">
        <v>31.285724760977931</v>
      </c>
      <c r="BW18" s="183">
        <v>30.879209682392883</v>
      </c>
      <c r="BX18" s="183">
        <v>27.965403373059015</v>
      </c>
      <c r="BY18" s="183">
        <v>22.016736196516494</v>
      </c>
      <c r="BZ18" s="183" cm="1">
        <f t="array" ref="BZ18:CH18">TRANSPOSE('[20]Keithley Matavimai'!$V$5:$V$13)</f>
        <v>114.53071499996919</v>
      </c>
      <c r="CA18" s="183">
        <v>109.06051801448602</v>
      </c>
      <c r="CB18" s="183">
        <v>103.6641373315634</v>
      </c>
      <c r="CC18" s="183">
        <v>99.623994085810935</v>
      </c>
      <c r="CD18" s="183">
        <v>96.867139650560048</v>
      </c>
      <c r="CE18" s="183">
        <v>92.95903673802745</v>
      </c>
      <c r="CF18" s="183">
        <v>89.090824053575389</v>
      </c>
      <c r="CG18" s="183">
        <v>85.084916644588972</v>
      </c>
      <c r="CH18" s="183">
        <v>81.155844510654006</v>
      </c>
      <c r="CI18" s="183" cm="1">
        <f t="array" ref="CI18:CQ18">TRANSPOSE('[20]Silumos kiekio nustat.'!$B$24:$B$32)</f>
        <v>27.934206581592626</v>
      </c>
      <c r="CJ18" s="183">
        <v>25.922198646124578</v>
      </c>
      <c r="CK18" s="183">
        <v>23.804345449201247</v>
      </c>
      <c r="CL18" s="183">
        <v>21.610452580380617</v>
      </c>
      <c r="CM18" s="183">
        <v>19.370325629220673</v>
      </c>
      <c r="CN18" s="183">
        <v>17.11377018527941</v>
      </c>
      <c r="CO18" s="183">
        <v>14.870591838114809</v>
      </c>
      <c r="CP18" s="183">
        <v>12.670596177284857</v>
      </c>
      <c r="CQ18" s="183">
        <v>10.543588792347546</v>
      </c>
      <c r="CR18" s="183">
        <f>'Su K. oro stendu'!P63</f>
        <v>99.866</v>
      </c>
      <c r="CS18" s="183"/>
      <c r="CT18" s="183">
        <v>8335.4942405081856</v>
      </c>
      <c r="CU18" s="183">
        <f>[20]Alfa!$F$15</f>
        <v>900</v>
      </c>
      <c r="CV18" s="172">
        <f>'Su K. oro stendu'!J63</f>
        <v>2</v>
      </c>
      <c r="CW18" s="183">
        <f>'Su K. oro stendu'!D63</f>
        <v>5000</v>
      </c>
      <c r="CX18" s="183">
        <f>'Su K. oro stendu'!G63</f>
        <v>20</v>
      </c>
      <c r="CY18" s="183">
        <v>0.16919999999999999</v>
      </c>
      <c r="CZ18" s="183">
        <f>'Su K. oro stendu'!H63</f>
        <v>24.76</v>
      </c>
      <c r="DA18" s="183">
        <f>'Su K. oro stendu'!C63</f>
        <v>211</v>
      </c>
      <c r="DB18" s="183">
        <f>'Su K. oro stendu'!E63</f>
        <v>41</v>
      </c>
      <c r="DC18" s="183">
        <f>'Su K. oro stendu'!I63</f>
        <v>432</v>
      </c>
      <c r="DD18" s="183">
        <f>'Su K. oro stendu'!K63</f>
        <v>10.26</v>
      </c>
      <c r="DE18" s="183">
        <f>'Su K. oro stendu'!L63</f>
        <v>17.59</v>
      </c>
      <c r="DF18" s="183">
        <f>'Su K. oro stendu'!F63</f>
        <v>115</v>
      </c>
      <c r="DG18" s="253">
        <f>[20]Alfa!$D$29</f>
        <v>2465.3460000383307</v>
      </c>
      <c r="DH18" s="253">
        <f>[20]Alfa!$D$26</f>
        <v>8335.4942405081856</v>
      </c>
      <c r="DI18" s="253">
        <f>[20]Alfa!$D$27</f>
        <v>6850.0837060017957</v>
      </c>
      <c r="DJ18" s="253">
        <f t="shared" si="14"/>
        <v>9315.4297060401259</v>
      </c>
      <c r="DK18" s="253">
        <f t="shared" si="20"/>
        <v>8825.4619732741558</v>
      </c>
      <c r="DL18" s="253">
        <f t="shared" si="16"/>
        <v>0.11756177105488554</v>
      </c>
      <c r="DM18" s="183">
        <f>New!AC18</f>
        <v>3.3732757249571467E-5</v>
      </c>
      <c r="DN18" s="183">
        <f t="shared" si="2"/>
        <v>3.864169920576E-5</v>
      </c>
      <c r="DO18" s="183">
        <f t="shared" si="17"/>
        <v>0.87296257522089515</v>
      </c>
      <c r="DP18" s="183">
        <f t="shared" si="3"/>
        <v>258.68829501093569</v>
      </c>
      <c r="DQ18" s="297">
        <f>DH18/((DA18/3600)*New!BV18*(Sheet3!BZ18-Sheet3!CP18)*1000)</f>
        <v>1.1745670627629143</v>
      </c>
      <c r="DR18" s="166">
        <f>(DB18*0.018)/(0.011*New!IV18*3600)</f>
        <v>1454.624462775831</v>
      </c>
      <c r="DS18" s="166">
        <f>(New!IV18*New!CE18*1000)/New!AU18</f>
        <v>0.72974402786439863</v>
      </c>
      <c r="DT18" s="166">
        <f>IF(DR18&gt;2300,0.023*((DR18^(4/5)*DS18^(1/3))/(1+12.7*(DS18^(2/3)-1)))*(New!IV18/DV18)^0.14, 0.943*(DR18*DS18*New!IV18/Sheet3!DV18)^0.4)</f>
        <v>16.965107995557776</v>
      </c>
      <c r="DU18" s="166">
        <f t="shared" si="4"/>
        <v>-1063.3689528278974</v>
      </c>
      <c r="DV18" s="166">
        <f>_xlfn.FORECAST.LINEAR(AVERAGE(_xlfn.ANCHORARRAY(BR18)),Sheet2!$AK$2:$AK$69,Sheet2!$AJ$2:$AJ$69)</f>
        <v>9.9064804247948964E-6</v>
      </c>
    </row>
    <row r="19" spans="1:126" ht="15" thickBot="1" x14ac:dyDescent="0.35">
      <c r="A19" s="184" t="str">
        <f>'Su K. oro stendu'!B64</f>
        <v>09.12.2022</v>
      </c>
      <c r="B19" s="183">
        <v>17</v>
      </c>
      <c r="C19" s="183">
        <v>752</v>
      </c>
      <c r="D19" s="183">
        <v>12</v>
      </c>
      <c r="E19" s="183">
        <v>747</v>
      </c>
      <c r="F19" s="183">
        <v>11</v>
      </c>
      <c r="G19" s="183">
        <v>715</v>
      </c>
      <c r="H19" s="183">
        <v>48</v>
      </c>
      <c r="I19" s="183">
        <v>796</v>
      </c>
      <c r="J19" s="183" cm="1">
        <f t="array" ref="J19:Q19">TRANSPOSE('[21]Nu kitimas'!$K$4:$K$11)</f>
        <v>350.92706894575394</v>
      </c>
      <c r="K19" s="183">
        <v>339.53121783232854</v>
      </c>
      <c r="L19" s="183">
        <v>348.41747931052601</v>
      </c>
      <c r="M19" s="183">
        <v>364.9975331424136</v>
      </c>
      <c r="N19" s="183">
        <v>382.61685629896886</v>
      </c>
      <c r="O19" s="183">
        <v>441.0532211053</v>
      </c>
      <c r="P19" s="183">
        <v>417.84196927427013</v>
      </c>
      <c r="Q19" s="183">
        <v>341.36297259693811</v>
      </c>
      <c r="R19" s="183" cm="1">
        <f t="array" ref="R19:Y19">TRANSPOSE([21]Alfa!$G$18:$G$25)</f>
        <v>537.13288032874902</v>
      </c>
      <c r="S19" s="183">
        <v>518.06135229282609</v>
      </c>
      <c r="T19" s="183">
        <v>528.07619419784373</v>
      </c>
      <c r="U19" s="183">
        <v>551.95860535615293</v>
      </c>
      <c r="V19" s="183">
        <v>575.57614667177097</v>
      </c>
      <c r="W19" s="183">
        <v>646.33584114454675</v>
      </c>
      <c r="X19" s="183">
        <v>623.42171313524545</v>
      </c>
      <c r="Y19" s="183">
        <v>507.76814794583305</v>
      </c>
      <c r="Z19" s="183" cm="1">
        <f t="array" ref="Z19:AG19">TRANSPOSE([21]Alfa!$F$127:$F$134)</f>
        <v>2.2811848666889359E-2</v>
      </c>
      <c r="AA19" s="183">
        <v>1.014296377356869</v>
      </c>
      <c r="AB19" s="183">
        <v>1.6219600788386798E-2</v>
      </c>
      <c r="AC19" s="183">
        <v>1.0100375098193006</v>
      </c>
      <c r="AD19" s="183">
        <v>1.487175746811987E-2</v>
      </c>
      <c r="AE19" s="183">
        <v>0.96731535958326464</v>
      </c>
      <c r="AF19" s="183">
        <v>6.5114006089090556E-2</v>
      </c>
      <c r="AG19" s="183">
        <v>1.0861936176534521</v>
      </c>
      <c r="AH19" s="35" cm="1">
        <f t="array" ref="AH19:AO19">TRANSPOSE('[21]Silumos kiekio nustat.'!$F$25:$F$32)</f>
        <v>519.66822415720389</v>
      </c>
      <c r="AI19" s="35">
        <v>535.57143500381744</v>
      </c>
      <c r="AJ19" s="35">
        <v>546.68976922194349</v>
      </c>
      <c r="AK19" s="35">
        <v>553.08045859185142</v>
      </c>
      <c r="AL19" s="35">
        <v>554.80138646070031</v>
      </c>
      <c r="AM19" s="35">
        <v>551.90966368809404</v>
      </c>
      <c r="AN19" s="35">
        <v>544.4603354055813</v>
      </c>
      <c r="AO19" s="35">
        <v>532.50522571637566</v>
      </c>
      <c r="AP19" s="313">
        <f t="shared" si="5"/>
        <v>2.2498568178865141E-2</v>
      </c>
      <c r="AQ19" s="35">
        <f t="shared" si="6"/>
        <v>12.201779248437443</v>
      </c>
      <c r="AR19" s="183" cm="1">
        <f t="array" ref="AR19:AY19">TRANSPOSE([21]Alfa!$E$127:$E$134)</f>
        <v>0.10517831682617899</v>
      </c>
      <c r="AS19" s="183">
        <v>0.10427515075310217</v>
      </c>
      <c r="AT19" s="183">
        <v>0.10646196174493165</v>
      </c>
      <c r="AU19" s="183">
        <v>9.131448408536412E-2</v>
      </c>
      <c r="AV19" s="183">
        <v>8.2333146059493906E-2</v>
      </c>
      <c r="AW19" s="183">
        <v>0.45367403070719603</v>
      </c>
      <c r="AX19" s="183">
        <v>-0.27100946449883229</v>
      </c>
      <c r="AY19" s="183">
        <v>0.10212677773770862</v>
      </c>
      <c r="AZ19" s="183">
        <f t="shared" si="7"/>
        <v>203.47394540942929</v>
      </c>
      <c r="BA19" s="183">
        <f>'Su K. oro stendu'!P64</f>
        <v>85.003</v>
      </c>
      <c r="BB19" s="183">
        <f t="shared" si="0"/>
        <v>203.46339950372209</v>
      </c>
      <c r="BC19" s="304">
        <v>64.858000000000004</v>
      </c>
      <c r="BD19" s="183">
        <f t="shared" si="1"/>
        <v>202.9968982630273</v>
      </c>
      <c r="BE19" s="143">
        <v>64.819000000000003</v>
      </c>
      <c r="BF19" s="183">
        <f t="shared" si="8"/>
        <v>201.53598014888337</v>
      </c>
      <c r="BG19" s="143">
        <v>64.697999999999993</v>
      </c>
      <c r="BH19" s="183">
        <f t="shared" si="9"/>
        <v>199.68238213399505</v>
      </c>
      <c r="BI19" s="143">
        <v>64.542000000000002</v>
      </c>
      <c r="BJ19" s="183">
        <f t="shared" si="10"/>
        <v>199.65508684863525</v>
      </c>
      <c r="BK19" s="143">
        <v>64.539000000000001</v>
      </c>
      <c r="BL19" s="183">
        <f t="shared" si="11"/>
        <v>197.88089330024815</v>
      </c>
      <c r="BM19" s="143">
        <v>64.388999999999996</v>
      </c>
      <c r="BN19" s="183">
        <f t="shared" si="12"/>
        <v>197.76178660049627</v>
      </c>
      <c r="BO19" s="143">
        <v>64.379000000000005</v>
      </c>
      <c r="BP19" s="183">
        <f t="shared" si="13"/>
        <v>195.78660049627791</v>
      </c>
      <c r="BQ19" s="304">
        <v>64.209000000000003</v>
      </c>
      <c r="BR19" s="183" cm="1">
        <f t="array" ref="BR19:BY19">TRANSPOSE('[21]Keithley Matavimai'!$W$6:$W$13)</f>
        <v>36.587635392517228</v>
      </c>
      <c r="BS19" s="183">
        <v>30.156220762038618</v>
      </c>
      <c r="BT19" s="183">
        <v>31.839922914810717</v>
      </c>
      <c r="BU19" s="183">
        <v>27.079184625735394</v>
      </c>
      <c r="BV19" s="183">
        <v>27.995292887080552</v>
      </c>
      <c r="BW19" s="183">
        <v>28.033893562125069</v>
      </c>
      <c r="BX19" s="183">
        <v>26.690666968403928</v>
      </c>
      <c r="BY19" s="183">
        <v>18.347977003722775</v>
      </c>
      <c r="BZ19" s="183" cm="1">
        <f t="array" ref="BZ19:CH19">TRANSPOSE('[21]Keithley Matavimai'!$V$5:$V$13)</f>
        <v>84.735509713067401</v>
      </c>
      <c r="CA19" s="183">
        <v>82.410399089433497</v>
      </c>
      <c r="CB19" s="183">
        <v>80.591180924859358</v>
      </c>
      <c r="CC19" s="183">
        <v>78.186240337540312</v>
      </c>
      <c r="CD19" s="183">
        <v>76.603271698692723</v>
      </c>
      <c r="CE19" s="183">
        <v>74.707105907287215</v>
      </c>
      <c r="CF19" s="183">
        <v>64.50328430066152</v>
      </c>
      <c r="CG19" s="183">
        <v>70.936598108605196</v>
      </c>
      <c r="CH19" s="183">
        <v>69.018677699678094</v>
      </c>
      <c r="CI19" s="183" cm="1">
        <f t="array" ref="CI19:CQ19">TRANSPOSE('[21]Silumos kiekio nustat.'!$B$24:$B$32)</f>
        <v>24.665974927837247</v>
      </c>
      <c r="CJ19" s="183">
        <v>22.966805285101398</v>
      </c>
      <c r="CK19" s="183">
        <v>21.210425759599051</v>
      </c>
      <c r="CL19" s="183">
        <v>19.412162035364616</v>
      </c>
      <c r="CM19" s="183">
        <v>17.587339796432502</v>
      </c>
      <c r="CN19" s="183">
        <v>15.75128472683712</v>
      </c>
      <c r="CO19" s="183">
        <v>13.919322510612876</v>
      </c>
      <c r="CP19" s="183">
        <v>12.106778831794182</v>
      </c>
      <c r="CQ19" s="183">
        <v>10.328979374415445</v>
      </c>
      <c r="CR19" s="183">
        <f>'Su K. oro stendu'!P64</f>
        <v>85.003</v>
      </c>
      <c r="CS19" s="183"/>
      <c r="CT19" s="183">
        <v>13126.745272903605</v>
      </c>
      <c r="CU19" s="183">
        <f>[21]Alfa!$F$15</f>
        <v>600</v>
      </c>
      <c r="CV19" s="172">
        <f>'Su K. oro stendu'!J64</f>
        <v>2</v>
      </c>
      <c r="CW19" s="183">
        <f>'Su K. oro stendu'!D64</f>
        <v>10000</v>
      </c>
      <c r="CX19" s="183">
        <f>'Su K. oro stendu'!G64</f>
        <v>20</v>
      </c>
      <c r="CY19" s="183">
        <v>0.30980000000000002</v>
      </c>
      <c r="CZ19" s="183">
        <f>'Su K. oro stendu'!H64</f>
        <v>22.67</v>
      </c>
      <c r="DA19" s="183">
        <f>'Su K. oro stendu'!C64</f>
        <v>403</v>
      </c>
      <c r="DB19" s="183">
        <f>'Su K. oro stendu'!E64</f>
        <v>82</v>
      </c>
      <c r="DC19" s="183">
        <f>'Su K. oro stendu'!I64</f>
        <v>831</v>
      </c>
      <c r="DD19" s="183">
        <f>'Su K. oro stendu'!K64</f>
        <v>10.130000000000001</v>
      </c>
      <c r="DE19" s="183">
        <f>'Su K. oro stendu'!L64</f>
        <v>24.57</v>
      </c>
      <c r="DF19" s="183">
        <f>'Su K. oro stendu'!F64</f>
        <v>85</v>
      </c>
      <c r="DG19" s="253">
        <f>[21]Alfa!$D$29</f>
        <v>2130.8744796615456</v>
      </c>
      <c r="DH19" s="253">
        <f>[21]Alfa!$D$26</f>
        <v>13126.745272903605</v>
      </c>
      <c r="DI19" s="253">
        <f>[21]Alfa!$D$27</f>
        <v>12590.580232276119</v>
      </c>
      <c r="DJ19" s="253">
        <f t="shared" si="14"/>
        <v>14721.454711937666</v>
      </c>
      <c r="DK19" s="253">
        <f t="shared" si="20"/>
        <v>13924.099992420635</v>
      </c>
      <c r="DL19" s="253">
        <f t="shared" si="16"/>
        <v>0.12148551723067867</v>
      </c>
      <c r="DM19" s="183">
        <f>New!AC19</f>
        <v>2.7900102097098154E-5</v>
      </c>
      <c r="DN19" s="183">
        <f t="shared" si="2"/>
        <v>3.5049529086959997E-5</v>
      </c>
      <c r="DO19" s="183">
        <f t="shared" si="17"/>
        <v>0.79601931392220182</v>
      </c>
      <c r="DP19" s="183">
        <f t="shared" si="3"/>
        <v>561.04136013412096</v>
      </c>
      <c r="DQ19" s="297">
        <f>DH19/((DA19/3600)*New!BV19*(Sheet3!BZ19-Sheet3!CP19)*1000)</f>
        <v>1.3570960177053646</v>
      </c>
      <c r="DR19" s="166">
        <f>(DB19*0.018)/(0.011*New!IV19*3600)</f>
        <v>3169.0629680014649</v>
      </c>
      <c r="DS19" s="166">
        <f>(New!IV19*New!CE19*1000)/New!AU19</f>
        <v>0.86323913019559584</v>
      </c>
      <c r="DT19" s="166">
        <f>IF(DR19&gt;2300,0.023*((DR19^(4/5)*DS19^(1/3))/(1+12.7*(DS19^(2/3)-1)))*(New!IV19/DV19)^0.14, 0.943*(DR19*DS19*New!IV19/Sheet3!DV19)^0.4)</f>
        <v>-76.347094824542395</v>
      </c>
      <c r="DU19" s="166">
        <f t="shared" si="4"/>
        <v>-1150.1391460512352</v>
      </c>
      <c r="DV19" s="166">
        <f>_xlfn.FORECAST.LINEAR(AVERAGE(_xlfn.ANCHORARRAY(BR19)),Sheet2!$AK$2:$AK$69,Sheet2!$AJ$2:$AJ$69)</f>
        <v>9.7776843973657349E-6</v>
      </c>
    </row>
    <row r="20" spans="1:126" ht="15" thickBot="1" x14ac:dyDescent="0.35">
      <c r="A20" s="184" t="str">
        <f>'Su K. oro stendu'!B65</f>
        <v>12.12.2022</v>
      </c>
      <c r="B20" s="183">
        <v>13</v>
      </c>
      <c r="C20" s="183">
        <v>730</v>
      </c>
      <c r="D20" s="183">
        <v>5</v>
      </c>
      <c r="E20" s="183">
        <v>769</v>
      </c>
      <c r="F20" s="183">
        <v>9</v>
      </c>
      <c r="G20" s="183">
        <v>748</v>
      </c>
      <c r="H20" s="183">
        <v>9</v>
      </c>
      <c r="I20" s="183">
        <v>727</v>
      </c>
      <c r="J20" s="183" cm="1">
        <f t="array" ref="J20:Q20">TRANSPOSE('[22]Nu kitimas'!$K$4:$K$11)</f>
        <v>213.51402866557413</v>
      </c>
      <c r="K20" s="183">
        <v>219.21787028016897</v>
      </c>
      <c r="L20" s="183">
        <v>233.52248653225462</v>
      </c>
      <c r="M20" s="183">
        <v>250.05618751570196</v>
      </c>
      <c r="N20" s="183">
        <v>267.42683139177933</v>
      </c>
      <c r="O20" s="183">
        <v>279.69637363623355</v>
      </c>
      <c r="P20" s="183">
        <v>279.66020545921725</v>
      </c>
      <c r="Q20" s="183">
        <v>263.64050232020372</v>
      </c>
      <c r="R20" s="183" cm="1">
        <f t="array" ref="R20:Y20">TRANSPOSE([22]Alfa!$G$18:$G$25)</f>
        <v>351.3116555312385</v>
      </c>
      <c r="S20" s="183">
        <v>358.20305161206204</v>
      </c>
      <c r="T20" s="183">
        <v>377.62150390725765</v>
      </c>
      <c r="U20" s="183">
        <v>402.40500504911927</v>
      </c>
      <c r="V20" s="183">
        <v>426.55300574238083</v>
      </c>
      <c r="W20" s="183">
        <v>443.66137188185564</v>
      </c>
      <c r="X20" s="183">
        <v>440.33633435164813</v>
      </c>
      <c r="Y20" s="183">
        <v>412.32150978932594</v>
      </c>
      <c r="Z20" s="183" cm="1">
        <f t="array" ref="Z20:AG20">TRANSPOSE([22]Alfa!$F$127:$F$134)</f>
        <v>1.741693732721138E-2</v>
      </c>
      <c r="AA20" s="183">
        <v>0.9833781139898603</v>
      </c>
      <c r="AB20" s="183">
        <v>6.7501603619255128E-3</v>
      </c>
      <c r="AC20" s="183">
        <v>1.0385199724222873</v>
      </c>
      <c r="AD20" s="183">
        <v>1.2152639385544237E-2</v>
      </c>
      <c r="AE20" s="183">
        <v>1.0107826198883307</v>
      </c>
      <c r="AF20" s="183">
        <v>1.2198351517056031E-2</v>
      </c>
      <c r="AG20" s="183">
        <v>0.99179526509021698</v>
      </c>
      <c r="AH20" s="35" cm="1">
        <f t="array" ref="AH20:AO20">TRANSPOSE('[22]Silumos kiekio nustat.'!$F$25:$F$32)</f>
        <v>538.80636847936546</v>
      </c>
      <c r="AI20" s="35">
        <v>565.81830140325621</v>
      </c>
      <c r="AJ20" s="35">
        <v>587.12558771139061</v>
      </c>
      <c r="AK20" s="35">
        <v>602.7970021845191</v>
      </c>
      <c r="AL20" s="35">
        <v>612.90521489840478</v>
      </c>
      <c r="AM20" s="35">
        <v>617.52457281859904</v>
      </c>
      <c r="AN20" s="35">
        <v>616.7290516106317</v>
      </c>
      <c r="AO20" s="35">
        <v>610.59040014457776</v>
      </c>
      <c r="AP20" s="313">
        <f t="shared" si="5"/>
        <v>4.7901193470629412E-2</v>
      </c>
      <c r="AQ20" s="35">
        <f t="shared" si="6"/>
        <v>28.4550842550506</v>
      </c>
      <c r="AR20" s="183" cm="1">
        <f t="array" ref="AR20:AY20">TRANSPOSE([22]Alfa!$E$127:$E$134)</f>
        <v>0.17253072810624295</v>
      </c>
      <c r="AS20" s="183">
        <v>0.17244289389692335</v>
      </c>
      <c r="AT20" s="183">
        <v>0.17820053887270296</v>
      </c>
      <c r="AU20" s="183">
        <v>0.13724534585497242</v>
      </c>
      <c r="AV20" s="183">
        <v>0.14923843577618551</v>
      </c>
      <c r="AW20" s="183">
        <v>0.14584131833762701</v>
      </c>
      <c r="AX20" s="183">
        <v>0.12338349952894062</v>
      </c>
      <c r="AY20" s="183">
        <v>0.16677926938613832</v>
      </c>
      <c r="AZ20" s="183">
        <f t="shared" si="7"/>
        <v>196.64268585131896</v>
      </c>
      <c r="BA20" s="183">
        <f>'Su K. oro stendu'!P65</f>
        <v>99.866</v>
      </c>
      <c r="BB20" s="183">
        <f t="shared" si="0"/>
        <v>196.63489208633092</v>
      </c>
      <c r="BC20" s="143">
        <v>64.281999999999996</v>
      </c>
      <c r="BD20" s="183">
        <f t="shared" si="1"/>
        <v>196.19724220623502</v>
      </c>
      <c r="BE20" s="143">
        <v>64.244</v>
      </c>
      <c r="BF20" s="183">
        <f t="shared" si="8"/>
        <v>194.84892086330936</v>
      </c>
      <c r="BG20" s="304">
        <v>64.128</v>
      </c>
      <c r="BH20" s="183">
        <f t="shared" si="9"/>
        <v>193.00479616306956</v>
      </c>
      <c r="BI20" s="143">
        <v>63.966999999999999</v>
      </c>
      <c r="BJ20" s="183">
        <f t="shared" si="10"/>
        <v>192.98321342925661</v>
      </c>
      <c r="BK20" s="143">
        <v>63.965000000000003</v>
      </c>
      <c r="BL20" s="183">
        <f t="shared" si="11"/>
        <v>191.18944844124701</v>
      </c>
      <c r="BM20" s="143">
        <v>63.805999999999997</v>
      </c>
      <c r="BN20" s="183">
        <f t="shared" si="12"/>
        <v>191.16786570743406</v>
      </c>
      <c r="BO20" s="143">
        <v>63.805</v>
      </c>
      <c r="BP20" s="183">
        <f t="shared" si="13"/>
        <v>189.42446043165467</v>
      </c>
      <c r="BQ20" s="143">
        <v>63.649000000000001</v>
      </c>
      <c r="BR20" s="183" cm="1">
        <f t="array" ref="BR20:BY20">TRANSPOSE('[22]Keithley Matavimai'!$W$6:$W$13)</f>
        <v>38.233810418302461</v>
      </c>
      <c r="BS20" s="183">
        <v>31.357395903826514</v>
      </c>
      <c r="BT20" s="183">
        <v>33.191043073186641</v>
      </c>
      <c r="BU20" s="183">
        <v>28.176217384134819</v>
      </c>
      <c r="BV20" s="183">
        <v>29.435367097917194</v>
      </c>
      <c r="BW20" s="183">
        <v>29.376587505114202</v>
      </c>
      <c r="BX20" s="183">
        <v>27.356235451391679</v>
      </c>
      <c r="BY20" s="183">
        <v>18.701528652870785</v>
      </c>
      <c r="BZ20" s="183" cm="1">
        <f t="array" ref="BZ20:CH20">TRANSPOSE('[22]Keithley Matavimai'!$V$5:$V$13)</f>
        <v>114.52931654887868</v>
      </c>
      <c r="CA20" s="183">
        <v>110.86601380344844</v>
      </c>
      <c r="CB20" s="183">
        <v>107.81198586508951</v>
      </c>
      <c r="CC20" s="183">
        <v>103.94042404216778</v>
      </c>
      <c r="CD20" s="183">
        <v>101.597566212974</v>
      </c>
      <c r="CE20" s="183">
        <v>98.289335217663691</v>
      </c>
      <c r="CF20" s="183">
        <v>95.650934256926647</v>
      </c>
      <c r="CG20" s="183">
        <v>92.859157319771441</v>
      </c>
      <c r="CH20" s="183">
        <v>89.63205555957768</v>
      </c>
      <c r="CI20" s="183" cm="1">
        <f t="array" ref="CI20:CQ20">TRANSPOSE('[22]Silumos kiekio nustat.'!$B$24:$B$32)</f>
        <v>25.604672425613842</v>
      </c>
      <c r="CJ20" s="183">
        <v>23.852038866070874</v>
      </c>
      <c r="CK20" s="183">
        <v>22.00580279502018</v>
      </c>
      <c r="CL20" s="183">
        <v>20.083865936126365</v>
      </c>
      <c r="CM20" s="183">
        <v>18.104130013054046</v>
      </c>
      <c r="CN20" s="183">
        <v>16.084496749467839</v>
      </c>
      <c r="CO20" s="183">
        <v>14.042867869032342</v>
      </c>
      <c r="CP20" s="183">
        <v>11.997145095412179</v>
      </c>
      <c r="CQ20" s="183">
        <v>9.9652301522719569</v>
      </c>
      <c r="CR20" s="183">
        <f>'Su K. oro stendu'!P65</f>
        <v>99.866</v>
      </c>
      <c r="CS20" s="183"/>
      <c r="CT20" s="183">
        <v>14373.346835346383</v>
      </c>
      <c r="CU20" s="183">
        <f>[22]Alfa!$F$15</f>
        <v>600</v>
      </c>
      <c r="CV20" s="172">
        <f>'Su K. oro stendu'!J65</f>
        <v>2</v>
      </c>
      <c r="CW20" s="183">
        <f>'Su K. oro stendu'!D65</f>
        <v>10000</v>
      </c>
      <c r="CX20" s="183">
        <f>'Su K. oro stendu'!G65</f>
        <v>20</v>
      </c>
      <c r="CY20" s="183">
        <v>0.30099999999999993</v>
      </c>
      <c r="CZ20" s="183">
        <f>'Su K. oro stendu'!H65</f>
        <v>22.02</v>
      </c>
      <c r="DA20" s="183">
        <f>'Su K. oro stendu'!C65</f>
        <v>417</v>
      </c>
      <c r="DB20" s="183">
        <f>'Su K. oro stendu'!E65</f>
        <v>82</v>
      </c>
      <c r="DC20" s="183">
        <f>'Su K. oro stendu'!I65</f>
        <v>834</v>
      </c>
      <c r="DD20" s="183">
        <f>'Su K. oro stendu'!K65</f>
        <v>9.7200000000000006</v>
      </c>
      <c r="DE20" s="183">
        <f>'Su K. oro stendu'!L65</f>
        <v>15.75</v>
      </c>
      <c r="DF20" s="183">
        <f>'Su K. oro stendu'!F65</f>
        <v>115</v>
      </c>
      <c r="DG20" s="253">
        <f>[22]Alfa!$D$29</f>
        <v>3438.0935305240446</v>
      </c>
      <c r="DH20" s="253">
        <f>[22]Alfa!$D$26</f>
        <v>14373.346835346383</v>
      </c>
      <c r="DI20" s="253">
        <f>[22]Alfa!$D$27</f>
        <v>12218.982179947297</v>
      </c>
      <c r="DJ20" s="253">
        <f t="shared" si="14"/>
        <v>15657.075710471341</v>
      </c>
      <c r="DK20" s="253">
        <f t="shared" si="20"/>
        <v>15015.211272908862</v>
      </c>
      <c r="DL20" s="253">
        <f t="shared" si="16"/>
        <v>8.9313149528129465E-2</v>
      </c>
      <c r="DM20" s="183">
        <f>New!AC20</f>
        <v>3.3721535563460643E-5</v>
      </c>
      <c r="DN20" s="183">
        <f t="shared" si="2"/>
        <v>3.864169920576E-5</v>
      </c>
      <c r="DO20" s="183">
        <f t="shared" si="17"/>
        <v>0.87267217168426303</v>
      </c>
      <c r="DP20" s="183">
        <f t="shared" si="3"/>
        <v>401.55167973311097</v>
      </c>
      <c r="DQ20" s="297">
        <f>DH20/((DA20/3600)*New!BV20*(Sheet3!BZ20-Sheet3!CP20)*1000)</f>
        <v>1.0163626365331473</v>
      </c>
      <c r="DR20" s="166">
        <f>(DB20*0.018)/(0.011*New!IV20*3600)</f>
        <v>2909.2489255516621</v>
      </c>
      <c r="DS20" s="166">
        <f>(New!IV20*New!CE20*1000)/New!AU20</f>
        <v>0.72974402786439863</v>
      </c>
      <c r="DT20" s="166">
        <f>IF(DR20&gt;2300,0.023*((DR20^(4/5)*DS20^(1/3))/(1+12.7*(DS20^(2/3)-1)))*(New!IV20/DV20)^0.14, 0.943*(DR20*DS20*New!IV20/Sheet3!DV20)^0.4)</f>
        <v>-9.0228172179510118</v>
      </c>
      <c r="DU20" s="166">
        <f t="shared" si="4"/>
        <v>-1035.2710844639405</v>
      </c>
      <c r="DV20" s="166">
        <f>_xlfn.FORECAST.LINEAR(AVERAGE(_xlfn.ANCHORARRAY(BR20)),Sheet2!$AK$2:$AK$69,Sheet2!$AJ$2:$AJ$69)</f>
        <v>9.8174994851284976E-6</v>
      </c>
    </row>
    <row r="21" spans="1:126" ht="15" thickBot="1" x14ac:dyDescent="0.35">
      <c r="A21" s="184" t="str">
        <f>'Su K. oro stendu'!B66</f>
        <v>12.12.2022</v>
      </c>
      <c r="B21" s="251">
        <v>7</v>
      </c>
      <c r="C21" s="251">
        <v>659</v>
      </c>
      <c r="D21" s="251">
        <v>0</v>
      </c>
      <c r="E21" s="251">
        <v>716</v>
      </c>
      <c r="F21" s="251">
        <v>7</v>
      </c>
      <c r="G21" s="251">
        <v>713</v>
      </c>
      <c r="H21" s="251">
        <v>7</v>
      </c>
      <c r="I21" s="251">
        <v>705</v>
      </c>
      <c r="J21" s="183" cm="1">
        <f t="array" ref="J21:Q21">TRANSPOSE('[23]Nu kitimas'!$I$4:$I$11)</f>
        <v>148.27350773311909</v>
      </c>
      <c r="K21" s="183">
        <v>157.78125650198888</v>
      </c>
      <c r="L21" s="183">
        <v>171.41809781834911</v>
      </c>
      <c r="M21" s="183">
        <v>185.35786895265261</v>
      </c>
      <c r="N21" s="183">
        <v>200.3512301030371</v>
      </c>
      <c r="O21" s="183">
        <v>209.57824988420535</v>
      </c>
      <c r="P21" s="183">
        <v>210.35821036835895</v>
      </c>
      <c r="Q21" s="183">
        <v>201.57291940642875</v>
      </c>
      <c r="R21" s="183" cm="1">
        <f t="array" ref="R21:Y21">TRANSPOSE([23]Alfa!$G$18:$G$25)</f>
        <v>263.02344932343885</v>
      </c>
      <c r="S21" s="183">
        <v>276.9681119014827</v>
      </c>
      <c r="T21" s="183">
        <v>296.57191225498218</v>
      </c>
      <c r="U21" s="183">
        <v>318.05895259622844</v>
      </c>
      <c r="V21" s="183">
        <v>338.88739450512639</v>
      </c>
      <c r="W21" s="183">
        <v>352.33647751132128</v>
      </c>
      <c r="X21" s="183">
        <v>349.96173463438902</v>
      </c>
      <c r="Y21" s="183">
        <v>332.13622569835184</v>
      </c>
      <c r="Z21" s="183" cm="1">
        <f t="array" ref="Z21:AG21">TRANSPOSE([23]Alfa!$F$127:$F$134)</f>
        <v>9.3714925560428822E-3</v>
      </c>
      <c r="AA21" s="183">
        <v>0.88710983660951459</v>
      </c>
      <c r="AB21" s="183">
        <v>0</v>
      </c>
      <c r="AC21" s="183">
        <v>0.96644115357151739</v>
      </c>
      <c r="AD21" s="183">
        <v>9.4483189323528987E-3</v>
      </c>
      <c r="AE21" s="183">
        <v>0.9632280363776885</v>
      </c>
      <c r="AF21" s="183">
        <v>9.4860993784788E-3</v>
      </c>
      <c r="AG21" s="183">
        <v>0.96170015485268789</v>
      </c>
      <c r="AH21" s="35" cm="1">
        <f t="array" ref="AH21:AO21">TRANSPOSE('[23]Silumos kiekio nustat.'!$F$25:$F$32)</f>
        <v>555.89815509722689</v>
      </c>
      <c r="AI21" s="35">
        <v>590.25390788701225</v>
      </c>
      <c r="AJ21" s="35">
        <v>616.49407875132499</v>
      </c>
      <c r="AK21" s="35">
        <v>634.71735843695205</v>
      </c>
      <c r="AL21" s="35">
        <v>645.02922314322973</v>
      </c>
      <c r="AM21" s="35">
        <v>647.53772898909119</v>
      </c>
      <c r="AN21" s="35">
        <v>642.34966316754765</v>
      </c>
      <c r="AO21" s="35">
        <v>629.56709695418499</v>
      </c>
      <c r="AP21" s="313">
        <f t="shared" si="5"/>
        <v>5.1702143887926245E-2</v>
      </c>
      <c r="AQ21" s="35">
        <f t="shared" si="6"/>
        <v>32.067267315848035</v>
      </c>
      <c r="AR21" s="183" cm="1">
        <f t="array" ref="AR21:AY21">TRANSPOSE([23]Alfa!$E$127:$E$134)</f>
        <v>0.26207235521251981</v>
      </c>
      <c r="AS21" s="183">
        <v>0.2417367330239274</v>
      </c>
      <c r="AT21" s="183">
        <v>0.26863704659451104</v>
      </c>
      <c r="AU21" s="183">
        <v>0.20171684648035468</v>
      </c>
      <c r="AV21" s="183">
        <v>0.26032239818186403</v>
      </c>
      <c r="AW21" s="183">
        <v>0.16161256479088154</v>
      </c>
      <c r="AX21" s="183">
        <v>0.18633459126581184</v>
      </c>
      <c r="AY21" s="183">
        <v>0.22117549913464851</v>
      </c>
      <c r="AZ21" s="183">
        <f t="shared" si="7"/>
        <v>196.64268585131896</v>
      </c>
      <c r="BA21" s="183">
        <f>'Su K. oro stendu'!P66</f>
        <v>99.866</v>
      </c>
      <c r="BB21" s="183">
        <f t="shared" si="0"/>
        <v>196.6384892086331</v>
      </c>
      <c r="BC21" s="143">
        <v>64.281999999999996</v>
      </c>
      <c r="BD21" s="183">
        <f t="shared" si="1"/>
        <v>196.24340527577937</v>
      </c>
      <c r="BE21" s="143">
        <v>64.248000000000005</v>
      </c>
      <c r="BF21" s="183">
        <f t="shared" si="8"/>
        <v>195.04556354916068</v>
      </c>
      <c r="BG21" s="143">
        <v>64.144999999999996</v>
      </c>
      <c r="BH21" s="183">
        <f t="shared" si="9"/>
        <v>193.32853717026379</v>
      </c>
      <c r="BI21" s="143">
        <v>63.994999999999997</v>
      </c>
      <c r="BJ21" s="183">
        <f t="shared" si="10"/>
        <v>193.31175059952039</v>
      </c>
      <c r="BK21" s="143">
        <v>63.994</v>
      </c>
      <c r="BL21" s="183">
        <f t="shared" si="11"/>
        <v>191.60191846522781</v>
      </c>
      <c r="BM21" s="304">
        <v>63.843000000000004</v>
      </c>
      <c r="BN21" s="183">
        <f t="shared" si="12"/>
        <v>191.58513189448442</v>
      </c>
      <c r="BO21" s="143">
        <v>63.841999999999999</v>
      </c>
      <c r="BP21" s="183">
        <f t="shared" si="13"/>
        <v>189.89448441247004</v>
      </c>
      <c r="BQ21" s="143">
        <v>63.691000000000003</v>
      </c>
      <c r="BR21" s="183" cm="1">
        <f t="array" ref="BR21:BY21">TRANSPOSE('[23]Keithley Matavimai'!$W$6:$W$13)</f>
        <v>38.947820142586231</v>
      </c>
      <c r="BS21" s="183">
        <v>32.156179989223453</v>
      </c>
      <c r="BT21" s="183">
        <v>33.804842744263645</v>
      </c>
      <c r="BU21" s="183">
        <v>28.710249504978012</v>
      </c>
      <c r="BV21" s="183">
        <v>29.825672611781712</v>
      </c>
      <c r="BW21" s="183">
        <v>29.667024166607465</v>
      </c>
      <c r="BX21" s="183">
        <v>27.551527921936287</v>
      </c>
      <c r="BY21" s="183">
        <v>18.776112610862199</v>
      </c>
      <c r="BZ21" s="183" cm="1">
        <f t="array" ref="BZ21:CH21">TRANSPOSE('[23]Keithley Matavimai'!$V$5:$V$13)</f>
        <v>144.26288077611062</v>
      </c>
      <c r="CA21" s="183">
        <v>138.98238417685775</v>
      </c>
      <c r="CB21" s="183">
        <v>134.76336346606234</v>
      </c>
      <c r="CC21" s="183">
        <v>129.22762216373999</v>
      </c>
      <c r="CD21" s="183">
        <v>125.76702892892803</v>
      </c>
      <c r="CE21" s="183">
        <v>120.29043641968211</v>
      </c>
      <c r="CF21" s="183">
        <v>117.56194450990175</v>
      </c>
      <c r="CG21" s="183">
        <v>113.56008316487623</v>
      </c>
      <c r="CH21" s="183">
        <v>109.42332351596743</v>
      </c>
      <c r="CI21" s="183" cm="1">
        <f t="array" ref="CI21:CQ21">TRANSPOSE('[23]Silumos kiekio nustat.'!$B$24:$B$32)</f>
        <v>25.813425099806192</v>
      </c>
      <c r="CJ21" s="183">
        <v>24.053325390350768</v>
      </c>
      <c r="CK21" s="183">
        <v>22.17855513913544</v>
      </c>
      <c r="CL21" s="183">
        <v>20.214000952772206</v>
      </c>
      <c r="CM21" s="183">
        <v>18.184549437873063</v>
      </c>
      <c r="CN21" s="183">
        <v>16.115087201050009</v>
      </c>
      <c r="CO21" s="183">
        <v>14.03050084891505</v>
      </c>
      <c r="CP21" s="183">
        <v>11.955676988080176</v>
      </c>
      <c r="CQ21" s="183">
        <v>9.9155022251573897</v>
      </c>
      <c r="CR21" s="183">
        <f>'Su K. oro stendu'!P66</f>
        <v>99.866</v>
      </c>
      <c r="CS21" s="183"/>
      <c r="CT21" s="183">
        <v>15009.800471546016</v>
      </c>
      <c r="CU21" s="183">
        <f>[23]Alfa!$F$15</f>
        <v>600</v>
      </c>
      <c r="CV21" s="172">
        <f>'Su K. oro stendu'!J66</f>
        <v>2</v>
      </c>
      <c r="CW21" s="183">
        <f>'Su K. oro stendu'!D66</f>
        <v>10000</v>
      </c>
      <c r="CX21" s="183">
        <f>'Su K. oro stendu'!G66</f>
        <v>20</v>
      </c>
      <c r="CY21" s="183">
        <v>0.28139999999999998</v>
      </c>
      <c r="CZ21" s="183">
        <f>'Su K. oro stendu'!H66</f>
        <v>20.100000000000001</v>
      </c>
      <c r="DA21" s="183">
        <f>'Su K. oro stendu'!C66</f>
        <v>417</v>
      </c>
      <c r="DB21" s="183">
        <f>'Su K. oro stendu'!E66</f>
        <v>82</v>
      </c>
      <c r="DC21" s="183">
        <f>'Su K. oro stendu'!I66</f>
        <v>856.5</v>
      </c>
      <c r="DD21" s="183">
        <f>'Su K. oro stendu'!K66</f>
        <v>9.66</v>
      </c>
      <c r="DE21" s="183">
        <f>'Su K. oro stendu'!L66</f>
        <v>16.010000000000002</v>
      </c>
      <c r="DF21" s="183">
        <f>'Su K. oro stendu'!F66</f>
        <v>145</v>
      </c>
      <c r="DG21" s="253">
        <f>[23]Alfa!$D$29</f>
        <v>4992.4440321006059</v>
      </c>
      <c r="DH21" s="253">
        <f>[23]Alfa!$D$26</f>
        <v>15009.800471546016</v>
      </c>
      <c r="DI21" s="253">
        <f>[23]Alfa!$D$27</f>
        <v>11420.355276834851</v>
      </c>
      <c r="DJ21" s="253">
        <f t="shared" si="14"/>
        <v>16412.799308935457</v>
      </c>
      <c r="DK21" s="253">
        <f t="shared" si="20"/>
        <v>15711.299890240736</v>
      </c>
      <c r="DL21" s="253">
        <f t="shared" si="16"/>
        <v>9.3472184393729771E-2</v>
      </c>
      <c r="DM21" s="183">
        <f>New!AC21</f>
        <v>3.9904618084018133E-5</v>
      </c>
      <c r="DN21" s="183">
        <f t="shared" si="2"/>
        <v>4.2388323940559999E-5</v>
      </c>
      <c r="DO21" s="183">
        <f t="shared" si="17"/>
        <v>0.94140589611363967</v>
      </c>
      <c r="DP21" s="183">
        <f t="shared" si="3"/>
        <v>315.99303230316502</v>
      </c>
      <c r="DQ21" s="297">
        <f>DH21/((DA21/3600)*New!BV21*(Sheet3!BZ21-Sheet3!CP21)*1000)</f>
        <v>0.81750264281263785</v>
      </c>
      <c r="DR21" s="166">
        <f>(DB21*0.018)/(0.011*New!IV21*3600)</f>
        <v>2688.8083202058187</v>
      </c>
      <c r="DS21" s="166">
        <f>(New!IV21*New!CE21*1000)/New!AU21</f>
        <v>0.64719895598215416</v>
      </c>
      <c r="DT21" s="166">
        <f>IF(DR21&gt;2300,0.023*((DR21^(4/5)*DS21^(1/3))/(1+12.7*(DS21^(2/3)-1)))*(New!IV21/DV21)^0.14, 0.943*(DR21*DS21*New!IV21/Sheet3!DV21)^0.4)</f>
        <v>-5.2637975869790319</v>
      </c>
      <c r="DU21" s="166">
        <f t="shared" si="4"/>
        <v>-963.9916559886758</v>
      </c>
      <c r="DV21" s="166">
        <f>_xlfn.FORECAST.LINEAR(AVERAGE(_xlfn.ANCHORARRAY(BR21)),Sheet2!$AK$2:$AK$69,Sheet2!$AJ$2:$AJ$69)</f>
        <v>9.8333042360864262E-6</v>
      </c>
    </row>
    <row r="22" spans="1:126" ht="15" thickBot="1" x14ac:dyDescent="0.35">
      <c r="A22" s="184" t="str">
        <f>'Su K. oro stendu'!B67</f>
        <v>13.12.2022</v>
      </c>
      <c r="B22" s="183">
        <v>3</v>
      </c>
      <c r="C22" s="183">
        <v>645</v>
      </c>
      <c r="D22" s="183">
        <v>0</v>
      </c>
      <c r="E22" s="183">
        <v>750</v>
      </c>
      <c r="F22" s="183">
        <v>4</v>
      </c>
      <c r="G22" s="183">
        <v>735</v>
      </c>
      <c r="H22" s="183">
        <v>6</v>
      </c>
      <c r="I22" s="183">
        <v>742</v>
      </c>
      <c r="J22" s="183" cm="1">
        <f t="array" ref="J22:Q22">TRANSPOSE('[24]Nu kitimas'!$H$4:$H$11)</f>
        <v>123.88262480176873</v>
      </c>
      <c r="K22" s="183">
        <v>131.4371413208973</v>
      </c>
      <c r="L22" s="183">
        <v>142.52024742889435</v>
      </c>
      <c r="M22" s="183">
        <v>153.94989039668698</v>
      </c>
      <c r="N22" s="183">
        <v>166.06158259247479</v>
      </c>
      <c r="O22" s="183">
        <v>175.97357448756875</v>
      </c>
      <c r="P22" s="183">
        <v>180.76178749563465</v>
      </c>
      <c r="Q22" s="183">
        <v>181.60593014380467</v>
      </c>
      <c r="R22" s="183" cm="1">
        <f t="array" ref="R22:Y22">TRANSPOSE([24]Alfa!$G$18:$G$25)</f>
        <v>236.74483114544648</v>
      </c>
      <c r="S22" s="183">
        <v>247.73539516418731</v>
      </c>
      <c r="T22" s="183">
        <v>263.92166115925181</v>
      </c>
      <c r="U22" s="183">
        <v>282.06543070204884</v>
      </c>
      <c r="V22" s="183">
        <v>299.66136473305892</v>
      </c>
      <c r="W22" s="183">
        <v>314.19225629178874</v>
      </c>
      <c r="X22" s="183">
        <v>318.91922934349753</v>
      </c>
      <c r="Y22" s="183">
        <v>314.89767653677723</v>
      </c>
      <c r="Z22" s="183" cm="1">
        <f t="array" ref="Z22:AG22">TRANSPOSE([24]Alfa!$F$127:$F$134)</f>
        <v>4.0135749281792763E-3</v>
      </c>
      <c r="AA22" s="183">
        <v>0.8676187218949325</v>
      </c>
      <c r="AB22" s="183">
        <v>0</v>
      </c>
      <c r="AC22" s="183">
        <v>1.0116343341349636</v>
      </c>
      <c r="AD22" s="183">
        <v>5.3957595370070213E-3</v>
      </c>
      <c r="AE22" s="183">
        <v>0.9924533170194022</v>
      </c>
      <c r="AF22" s="183">
        <v>8.1278735790173764E-3</v>
      </c>
      <c r="AG22" s="183">
        <v>1.0119135116103173</v>
      </c>
      <c r="AH22" s="35" cm="1">
        <f t="array" ref="AH22:AO22">TRANSPOSE('[24]Silumos kiekio nustat.'!$F$25:$F$32)</f>
        <v>636.90187069126682</v>
      </c>
      <c r="AI22" s="35">
        <v>664.52554585025814</v>
      </c>
      <c r="AJ22" s="35">
        <v>687.22656684044989</v>
      </c>
      <c r="AK22" s="35">
        <v>705.06764119715638</v>
      </c>
      <c r="AL22" s="35">
        <v>718.1147381415625</v>
      </c>
      <c r="AM22" s="35">
        <v>726.43548937382752</v>
      </c>
      <c r="AN22" s="35">
        <v>730.09769662030192</v>
      </c>
      <c r="AO22" s="35">
        <v>729.16796257462659</v>
      </c>
      <c r="AP22" s="313">
        <f t="shared" si="5"/>
        <v>4.8950326181257338E-2</v>
      </c>
      <c r="AQ22" s="35">
        <f t="shared" si="6"/>
        <v>34.250160873680244</v>
      </c>
      <c r="AR22" s="183" cm="1">
        <f t="array" ref="AR22:AY22">TRANSPOSE([24]Alfa!$E$127:$E$134)</f>
        <v>0.34544870991061566</v>
      </c>
      <c r="AS22" s="183">
        <v>0.32625727894268486</v>
      </c>
      <c r="AT22" s="183">
        <v>0.36191615977050323</v>
      </c>
      <c r="AU22" s="183">
        <v>0.2647486396309004</v>
      </c>
      <c r="AV22" s="183">
        <v>0.30468155138185443</v>
      </c>
      <c r="AW22" s="183">
        <v>0.26008491509844861</v>
      </c>
      <c r="AX22" s="183">
        <v>0.23325012282869939</v>
      </c>
      <c r="AY22" s="183">
        <v>0.38585422683649684</v>
      </c>
      <c r="AZ22" s="183">
        <f t="shared" si="7"/>
        <v>196.07843137254903</v>
      </c>
      <c r="BA22" s="183">
        <f>'Su K. oro stendu'!P67</f>
        <v>99.866</v>
      </c>
      <c r="BB22" s="183">
        <f t="shared" si="0"/>
        <v>196.07679738562092</v>
      </c>
      <c r="BC22" s="143">
        <v>64.233999999999995</v>
      </c>
      <c r="BD22" s="183">
        <f t="shared" si="1"/>
        <v>195.72549019607843</v>
      </c>
      <c r="BE22" s="304">
        <v>64.203999999999994</v>
      </c>
      <c r="BF22" s="183">
        <f t="shared" si="8"/>
        <v>194.66666666666666</v>
      </c>
      <c r="BG22" s="143">
        <v>64.111999999999995</v>
      </c>
      <c r="BH22" s="183">
        <f t="shared" si="9"/>
        <v>193.03267973856208</v>
      </c>
      <c r="BI22" s="143">
        <v>63.969000000000001</v>
      </c>
      <c r="BJ22" s="183">
        <f t="shared" si="10"/>
        <v>193.02396514161219</v>
      </c>
      <c r="BK22" s="143">
        <v>63.968000000000004</v>
      </c>
      <c r="BL22" s="183">
        <f t="shared" si="11"/>
        <v>191.42265795206973</v>
      </c>
      <c r="BM22" s="143">
        <v>63.826999999999998</v>
      </c>
      <c r="BN22" s="183">
        <f t="shared" si="12"/>
        <v>191.40958605664488</v>
      </c>
      <c r="BO22" s="143">
        <v>63.826000000000001</v>
      </c>
      <c r="BP22" s="183">
        <f t="shared" si="13"/>
        <v>189.79302832244008</v>
      </c>
      <c r="BQ22" s="304">
        <v>63.682000000000002</v>
      </c>
      <c r="BR22" s="183" cm="1">
        <f t="array" ref="BR22:BY22">TRANSPOSE('[24]Keithley Matavimai'!$W$6:$W$13)</f>
        <v>39.723044650081384</v>
      </c>
      <c r="BS22" s="183">
        <v>32.66962222875501</v>
      </c>
      <c r="BT22" s="183">
        <v>34.784193800199922</v>
      </c>
      <c r="BU22" s="183">
        <v>29.559974590043666</v>
      </c>
      <c r="BV22" s="183">
        <v>30.249931836776891</v>
      </c>
      <c r="BW22" s="183">
        <v>30.104500218246866</v>
      </c>
      <c r="BX22" s="183">
        <v>28.127139098522676</v>
      </c>
      <c r="BY22" s="183">
        <v>18.99064400888809</v>
      </c>
      <c r="BZ22" s="183" cm="1">
        <f t="array" ref="BZ22:CH22">TRANSPOSE('[24]Keithley Matavimai'!$V$5:$V$13)</f>
        <v>173.58971632859024</v>
      </c>
      <c r="CA22" s="183">
        <v>167.12710620354923</v>
      </c>
      <c r="CB22" s="183">
        <v>161.74017114360254</v>
      </c>
      <c r="CC22" s="183">
        <v>154.83630362285984</v>
      </c>
      <c r="CD22" s="183">
        <v>150.5938329001078</v>
      </c>
      <c r="CE22" s="183">
        <v>144.65545129118331</v>
      </c>
      <c r="CF22" s="183">
        <v>140.33770731498302</v>
      </c>
      <c r="CG22" s="183">
        <v>135.69258689722719</v>
      </c>
      <c r="CH22" s="183">
        <v>128.67415829970389</v>
      </c>
      <c r="CI22" s="183" cm="1">
        <f t="array" ref="CI22:CQ22">TRANSPOSE('[24]Silumos kiekio nustat.'!$B$24:$B$32)</f>
        <v>26.351803238936142</v>
      </c>
      <c r="CJ22" s="183">
        <v>24.499184491665698</v>
      </c>
      <c r="CK22" s="183">
        <v>22.559836599263722</v>
      </c>
      <c r="CL22" s="183">
        <v>20.547430916923307</v>
      </c>
      <c r="CM22" s="183">
        <v>18.475638799837547</v>
      </c>
      <c r="CN22" s="183">
        <v>16.358131603199539</v>
      </c>
      <c r="CO22" s="183">
        <v>14.208580682202371</v>
      </c>
      <c r="CP22" s="183">
        <v>12.040657392039137</v>
      </c>
      <c r="CQ22" s="183">
        <v>9.8680330879029334</v>
      </c>
      <c r="CR22" s="183">
        <f>'Su K. oro stendu'!P67</f>
        <v>99.866</v>
      </c>
      <c r="CS22" s="183"/>
      <c r="CT22" s="183">
        <v>16946.695177311845</v>
      </c>
      <c r="CU22" s="183">
        <f>[24]Alfa!$F$15</f>
        <v>600</v>
      </c>
      <c r="CV22" s="172">
        <f>'Su K. oro stendu'!J67</f>
        <v>2</v>
      </c>
      <c r="CW22" s="183">
        <f>'Su K. oro stendu'!D67</f>
        <v>10000</v>
      </c>
      <c r="CX22" s="183">
        <f>'Su K. oro stendu'!G67</f>
        <v>20</v>
      </c>
      <c r="CY22" s="183">
        <v>0.28849999999999998</v>
      </c>
      <c r="CZ22" s="183">
        <f>'Su K. oro stendu'!H67</f>
        <v>19.23</v>
      </c>
      <c r="DA22" s="183">
        <f>'Su K. oro stendu'!C67</f>
        <v>459</v>
      </c>
      <c r="DB22" s="183">
        <f>'Su K. oro stendu'!E67</f>
        <v>90</v>
      </c>
      <c r="DC22" s="183">
        <f>'Su K. oro stendu'!I67</f>
        <v>931.5</v>
      </c>
      <c r="DD22" s="183">
        <f>'Su K. oro stendu'!K67</f>
        <v>9.56</v>
      </c>
      <c r="DE22" s="183">
        <f>'Su K. oro stendu'!L67</f>
        <v>16.62</v>
      </c>
      <c r="DF22" s="183">
        <f>'Su K. oro stendu'!F67</f>
        <v>175</v>
      </c>
      <c r="DG22" s="253">
        <f>[24]Alfa!$D$29</f>
        <v>6909.7681198349746</v>
      </c>
      <c r="DH22" s="253">
        <f>[24]Alfa!$D$26</f>
        <v>16946.695177311845</v>
      </c>
      <c r="DI22" s="253">
        <f>[24]Alfa!$D$27</f>
        <v>11703.471278111456</v>
      </c>
      <c r="DJ22" s="253">
        <f t="shared" si="14"/>
        <v>18613.239397946432</v>
      </c>
      <c r="DK22" s="253">
        <f t="shared" si="20"/>
        <v>17779.967287629137</v>
      </c>
      <c r="DL22" s="253">
        <f t="shared" si="16"/>
        <v>9.8340366850154265E-2</v>
      </c>
      <c r="DM22" s="183">
        <f>New!AC22</f>
        <v>4.6508888690987203E-5</v>
      </c>
      <c r="DN22" s="183">
        <f t="shared" si="2"/>
        <v>4.6283948751360004E-5</v>
      </c>
      <c r="DO22" s="183">
        <f t="shared" si="17"/>
        <v>1.004859998891529</v>
      </c>
      <c r="DP22" s="183">
        <f t="shared" si="3"/>
        <v>284.76723063450709</v>
      </c>
      <c r="DQ22" s="297">
        <f>DH22/((DA22/3600)*New!BV22*(Sheet3!BZ22-Sheet3!CP22)*1000)</f>
        <v>0.68274301982892305</v>
      </c>
      <c r="DR22" s="166">
        <f>(DB22*0.018)/(0.011*New!IV22*3600)</f>
        <v>2743.2672947473129</v>
      </c>
      <c r="DS22" s="166">
        <f>(New!IV22*New!CE22*1000)/New!AU22</f>
        <v>0.59159404006173677</v>
      </c>
      <c r="DT22" s="166">
        <f>IF(DR22&gt;2300,0.023*((DR22^(4/5)*DS22^(1/3))/(1+12.7*(DS22^(2/3)-1)))*(New!IV22/DV22)^0.14, 0.943*(DR22*DS22*New!IV22/Sheet3!DV22)^0.4)</f>
        <v>-4.1898329594005013</v>
      </c>
      <c r="DU22" s="166">
        <f t="shared" si="4"/>
        <v>-911.28150227194578</v>
      </c>
      <c r="DV22" s="166">
        <f>_xlfn.FORECAST.LINEAR(AVERAGE(_xlfn.ANCHORARRAY(BR22)),Sheet2!$AK$2:$AK$69,Sheet2!$AJ$2:$AJ$69)</f>
        <v>9.8541786670743138E-6</v>
      </c>
    </row>
    <row r="23" spans="1:126" ht="15" thickBot="1" x14ac:dyDescent="0.35">
      <c r="A23" s="184" t="str">
        <f>'Su K. oro stendu'!B68</f>
        <v>13.12.2022</v>
      </c>
      <c r="B23" s="183">
        <v>2</v>
      </c>
      <c r="C23" s="183">
        <v>631</v>
      </c>
      <c r="D23" s="183">
        <v>0</v>
      </c>
      <c r="E23" s="183">
        <v>719</v>
      </c>
      <c r="F23" s="183">
        <v>4</v>
      </c>
      <c r="G23" s="183">
        <v>742</v>
      </c>
      <c r="H23" s="183">
        <v>6</v>
      </c>
      <c r="I23" s="183">
        <v>755</v>
      </c>
      <c r="J23" s="183" cm="1">
        <f t="array" ref="J23:Q23">TRANSPOSE('[25]Nu kitimas'!$G$4:$G$11)</f>
        <v>101.93631719009387</v>
      </c>
      <c r="K23" s="183">
        <v>108.95815320687021</v>
      </c>
      <c r="L23" s="183">
        <v>118.91672127520587</v>
      </c>
      <c r="M23" s="183">
        <v>131.51942716369985</v>
      </c>
      <c r="N23" s="183">
        <v>140.82468915231274</v>
      </c>
      <c r="O23" s="183">
        <v>148.83497255426943</v>
      </c>
      <c r="P23" s="183">
        <v>155.71629343810508</v>
      </c>
      <c r="Q23" s="183">
        <v>157.52462077510339</v>
      </c>
      <c r="R23" s="183" cm="1">
        <f t="array" ref="R23:Y23">TRANSPOSE([25]Alfa!$G$18:$G$25)</f>
        <v>209.96401288928874</v>
      </c>
      <c r="S23" s="183">
        <v>220.62174694819797</v>
      </c>
      <c r="T23" s="183">
        <v>235.6885057586382</v>
      </c>
      <c r="U23" s="183">
        <v>255.19313403022326</v>
      </c>
      <c r="V23" s="183">
        <v>271.09817434942778</v>
      </c>
      <c r="W23" s="183">
        <v>282.32378481152523</v>
      </c>
      <c r="X23" s="183">
        <v>290.86183717594969</v>
      </c>
      <c r="Y23" s="183">
        <v>290.05237114478325</v>
      </c>
      <c r="Z23" s="183" cm="1">
        <f t="array" ref="Z23:AG23">TRANSPOSE([25]Alfa!$F$127:$F$134)</f>
        <v>2.6690865255721637E-3</v>
      </c>
      <c r="AA23" s="183">
        <v>0.84681318914377501</v>
      </c>
      <c r="AB23" s="183">
        <v>0</v>
      </c>
      <c r="AC23" s="183">
        <v>0.96790799554135376</v>
      </c>
      <c r="AD23" s="183">
        <v>5.3863563232571564E-3</v>
      </c>
      <c r="AE23" s="183">
        <v>1.0004380585477974</v>
      </c>
      <c r="AF23" s="183">
        <v>8.1186791071324298E-3</v>
      </c>
      <c r="AG23" s="183">
        <v>1.0288760059782485</v>
      </c>
      <c r="AH23" s="35" cm="1">
        <f t="array" ref="AH23:AO23">TRANSPOSE('[25]Silumos kiekio nustat.'!$F$25:$F$32)</f>
        <v>686.91839129395908</v>
      </c>
      <c r="AI23" s="35">
        <v>714.77069535110388</v>
      </c>
      <c r="AJ23" s="35">
        <v>739.05249254562716</v>
      </c>
      <c r="AK23" s="35">
        <v>759.81214208296478</v>
      </c>
      <c r="AL23" s="35">
        <v>777.10095225011389</v>
      </c>
      <c r="AM23" s="35">
        <v>790.97219751806369</v>
      </c>
      <c r="AN23" s="35">
        <v>801.48017723722569</v>
      </c>
      <c r="AO23" s="35">
        <v>808.6793262784746</v>
      </c>
      <c r="AP23" s="313">
        <f t="shared" si="5"/>
        <v>5.7078405013549709E-2</v>
      </c>
      <c r="AQ23" s="35">
        <f t="shared" si="6"/>
        <v>43.370928834730293</v>
      </c>
      <c r="AR23" s="183" cm="1">
        <f t="array" ref="AR23:AY23">TRANSPOSE([25]Alfa!$E$127:$E$134)</f>
        <v>0.42277919969292826</v>
      </c>
      <c r="AS23" s="183">
        <v>0.40006007970307661</v>
      </c>
      <c r="AT23" s="183">
        <v>0.45637344180614597</v>
      </c>
      <c r="AU23" s="183">
        <v>0.48834478145187138</v>
      </c>
      <c r="AV23" s="183">
        <v>0.16540701241433994</v>
      </c>
      <c r="AW23" s="183">
        <v>0.35095671579497023</v>
      </c>
      <c r="AX23" s="183">
        <v>0.31576582787304491</v>
      </c>
      <c r="AY23" s="183">
        <v>0.33882800089451143</v>
      </c>
      <c r="AZ23" s="183">
        <f t="shared" si="7"/>
        <v>203.02375809935205</v>
      </c>
      <c r="BA23" s="183">
        <f>'Su K. oro stendu'!P68</f>
        <v>99.866</v>
      </c>
      <c r="BB23" s="183">
        <f t="shared" si="0"/>
        <v>203.02267818574515</v>
      </c>
      <c r="BC23" s="143">
        <v>64.820999999999998</v>
      </c>
      <c r="BD23" s="183">
        <f t="shared" si="1"/>
        <v>202.68196544276458</v>
      </c>
      <c r="BE23" s="143">
        <v>64.793000000000006</v>
      </c>
      <c r="BF23" s="183">
        <f t="shared" si="8"/>
        <v>201.65658747300216</v>
      </c>
      <c r="BG23" s="143">
        <v>64.707999999999998</v>
      </c>
      <c r="BH23" s="183">
        <f t="shared" si="9"/>
        <v>200.1036717062635</v>
      </c>
      <c r="BI23" s="143">
        <v>64.576999999999998</v>
      </c>
      <c r="BJ23" s="183">
        <f t="shared" si="10"/>
        <v>200.0950323974082</v>
      </c>
      <c r="BK23" s="143">
        <v>64.576999999999998</v>
      </c>
      <c r="BL23" s="183">
        <f t="shared" si="11"/>
        <v>198.49244060475161</v>
      </c>
      <c r="BM23" s="304">
        <v>64.441000000000003</v>
      </c>
      <c r="BN23" s="183">
        <f t="shared" si="12"/>
        <v>198.47948164146868</v>
      </c>
      <c r="BO23" s="143">
        <v>64.44</v>
      </c>
      <c r="BP23" s="183">
        <f t="shared" si="13"/>
        <v>196.8488120950324</v>
      </c>
      <c r="BQ23" s="143">
        <v>64.3</v>
      </c>
      <c r="BR23" s="183" cm="1">
        <f t="array" ref="BR23:BY23">TRANSPOSE('[25]Keithley Matavimai'!$W$6:$W$13)</f>
        <v>42.208121738616342</v>
      </c>
      <c r="BS23" s="183">
        <v>35.039694748950446</v>
      </c>
      <c r="BT23" s="183">
        <v>37.226822260855862</v>
      </c>
      <c r="BU23" s="183">
        <v>31.324070069737214</v>
      </c>
      <c r="BV23" s="183">
        <v>32.032488937354287</v>
      </c>
      <c r="BW23" s="183">
        <v>31.874465225522567</v>
      </c>
      <c r="BX23" s="183">
        <v>29.155655312098997</v>
      </c>
      <c r="BY23" s="183">
        <v>19.815408688493001</v>
      </c>
      <c r="BZ23" s="183" cm="1">
        <f t="array" ref="BZ23:CH23">TRANSPOSE('[25]Keithley Matavimai'!$V$5:$V$13)</f>
        <v>205.04684869774783</v>
      </c>
      <c r="CA23" s="183">
        <v>197.19338827966976</v>
      </c>
      <c r="CB23" s="183">
        <v>190.63262540608241</v>
      </c>
      <c r="CC23" s="183">
        <v>182.10825705015816</v>
      </c>
      <c r="CD23" s="183">
        <v>173.84409981530371</v>
      </c>
      <c r="CE23" s="183">
        <v>170.709747015749</v>
      </c>
      <c r="CF23" s="183">
        <v>164.91734967933292</v>
      </c>
      <c r="CG23" s="183">
        <v>158.81002624353812</v>
      </c>
      <c r="CH23" s="183">
        <v>153.07961706238299</v>
      </c>
      <c r="CI23" s="183" cm="1">
        <f t="array" ref="CI23:CQ23">TRANSPOSE('[25]Silumos kiekio nustat.'!$B$24:$B$32)</f>
        <v>27.723567938627557</v>
      </c>
      <c r="CJ23" s="183">
        <v>25.726799375510826</v>
      </c>
      <c r="CK23" s="183">
        <v>23.641628736682392</v>
      </c>
      <c r="CL23" s="183">
        <v>21.477694683173056</v>
      </c>
      <c r="CM23" s="183">
        <v>19.244635876013632</v>
      </c>
      <c r="CN23" s="183">
        <v>16.952090976234921</v>
      </c>
      <c r="CO23" s="183">
        <v>14.609698644867729</v>
      </c>
      <c r="CP23" s="183">
        <v>12.227097542942865</v>
      </c>
      <c r="CQ23" s="183">
        <v>9.8139263314911354</v>
      </c>
      <c r="CR23" s="183">
        <f>'Su K. oro stendu'!P68</f>
        <v>99.866</v>
      </c>
      <c r="CS23" s="183"/>
      <c r="CT23" s="183">
        <v>18416.074066361933</v>
      </c>
      <c r="CU23" s="183">
        <f>[25]Alfa!$F$15</f>
        <v>600</v>
      </c>
      <c r="CV23" s="172">
        <f>'Su K. oro stendu'!J68</f>
        <v>2</v>
      </c>
      <c r="CW23" s="183">
        <f>'Su K. oro stendu'!D68</f>
        <v>10000</v>
      </c>
      <c r="CX23" s="183">
        <f>'Su K. oro stendu'!G68</f>
        <v>20</v>
      </c>
      <c r="CY23" s="183">
        <v>0.28589999999999999</v>
      </c>
      <c r="CZ23" s="183">
        <f>'Su K. oro stendu'!H68</f>
        <v>18.25</v>
      </c>
      <c r="DA23" s="183">
        <f>'Su K. oro stendu'!C68</f>
        <v>463</v>
      </c>
      <c r="DB23" s="183">
        <f>'Su K. oro stendu'!E68</f>
        <v>94</v>
      </c>
      <c r="DC23" s="183">
        <f>'Su K. oro stendu'!I68</f>
        <v>930</v>
      </c>
      <c r="DD23" s="183">
        <f>'Su K. oro stendu'!K68</f>
        <v>9.5</v>
      </c>
      <c r="DE23" s="183">
        <f>'Su K. oro stendu'!L68</f>
        <v>18.07</v>
      </c>
      <c r="DF23" s="183">
        <f>'Su K. oro stendu'!F68</f>
        <v>205</v>
      </c>
      <c r="DG23" s="253">
        <f>[25]Alfa!$D$29</f>
        <v>8179.6654538765888</v>
      </c>
      <c r="DH23" s="253">
        <f>[25]Alfa!$D$26</f>
        <v>18416.074066361933</v>
      </c>
      <c r="DI23" s="253">
        <f>[25]Alfa!$D$27</f>
        <v>11580.628113501409</v>
      </c>
      <c r="DJ23" s="253">
        <f t="shared" si="14"/>
        <v>19760.293567377998</v>
      </c>
      <c r="DK23" s="253">
        <f t="shared" si="20"/>
        <v>19088.183816869965</v>
      </c>
      <c r="DL23" s="253">
        <f t="shared" si="16"/>
        <v>7.2991642853531019E-2</v>
      </c>
      <c r="DM23" s="183">
        <f>New!AC23</f>
        <v>5.3669455032558038E-5</v>
      </c>
      <c r="DN23" s="183">
        <f t="shared" si="2"/>
        <v>5.0323119098159997E-5</v>
      </c>
      <c r="DO23" s="183">
        <f t="shared" si="17"/>
        <v>1.0664969897408525</v>
      </c>
      <c r="DP23" s="183">
        <f t="shared" si="3"/>
        <v>256.97544588850428</v>
      </c>
      <c r="DQ23" s="297">
        <f>DH23/((DA23/3600)*New!BV23*(Sheet3!BZ23-Sheet3!CP23)*1000)</f>
        <v>0.60915849950755652</v>
      </c>
      <c r="DR23" s="166">
        <f>(DB23*0.018)/(0.011*New!IV23*3600)</f>
        <v>2676.6590180896615</v>
      </c>
      <c r="DS23" s="166">
        <f>(New!IV23*New!CE23*1000)/New!AU23</f>
        <v>0.55193626425495013</v>
      </c>
      <c r="DT23" s="166">
        <f>IF(DR23&gt;2300,0.023*((DR23^(4/5)*DS23^(1/3))/(1+12.7*(DS23^(2/3)-1)))*(New!IV23/DV23)^0.14, 0.943*(DR23*DS23*New!IV23/Sheet3!DV23)^0.4)</f>
        <v>-3.5298234623830713</v>
      </c>
      <c r="DU23" s="166">
        <f t="shared" si="4"/>
        <v>-869.62213710725666</v>
      </c>
      <c r="DV23" s="166">
        <f>_xlfn.FORECAST.LINEAR(AVERAGE(_xlfn.ANCHORARRAY(BR23)),Sheet2!$AK$2:$AK$69,Sheet2!$AJ$2:$AJ$69)</f>
        <v>9.9174970171505787E-6</v>
      </c>
    </row>
    <row r="24" spans="1:126" ht="15" thickBot="1" x14ac:dyDescent="0.35">
      <c r="A24" s="184" t="str">
        <f>'Su K. oro stendu'!B69</f>
        <v>14.12.2022</v>
      </c>
      <c r="B24" s="183">
        <v>524</v>
      </c>
      <c r="C24" s="183">
        <v>107</v>
      </c>
      <c r="D24" s="183">
        <v>84</v>
      </c>
      <c r="E24" s="183">
        <v>446</v>
      </c>
      <c r="F24" s="183">
        <v>193</v>
      </c>
      <c r="G24" s="183">
        <v>224</v>
      </c>
      <c r="H24" s="183">
        <v>33</v>
      </c>
      <c r="I24" s="183">
        <v>729</v>
      </c>
      <c r="J24" s="183" cm="1">
        <f t="array" ref="J24:Q24">TRANSPOSE('[26]Nu kitimas'!$R$4:$R$11)</f>
        <v>245.7203252525872</v>
      </c>
      <c r="K24" s="183">
        <v>236.72293307664415</v>
      </c>
      <c r="L24" s="183">
        <v>234.55791687033633</v>
      </c>
      <c r="M24" s="183">
        <v>237.18168195600558</v>
      </c>
      <c r="N24" s="183">
        <v>242.37561131991535</v>
      </c>
      <c r="O24" s="183">
        <v>249.99953903744139</v>
      </c>
      <c r="P24" s="183">
        <v>261.00066615627003</v>
      </c>
      <c r="Q24" s="183">
        <v>293.92549364745031</v>
      </c>
      <c r="R24" s="183" cm="1">
        <f t="array" ref="R24:Y24">TRANSPOSE([26]Alfa!$G$18:$G$25)</f>
        <v>375.51936455632699</v>
      </c>
      <c r="S24" s="183">
        <v>359.52638746564077</v>
      </c>
      <c r="T24" s="183">
        <v>353.22607742449935</v>
      </c>
      <c r="U24" s="183">
        <v>355.71017151026979</v>
      </c>
      <c r="V24" s="183">
        <v>361.39833520461144</v>
      </c>
      <c r="W24" s="183">
        <v>370.92228970820224</v>
      </c>
      <c r="X24" s="183">
        <v>384.3759669669779</v>
      </c>
      <c r="Y24" s="183">
        <v>432.38224195357731</v>
      </c>
      <c r="Z24" s="183" cm="1">
        <f t="array" ref="Z24:AG24">TRANSPOSE([26]Alfa!$F$127:$F$134)</f>
        <v>0.45197058008777757</v>
      </c>
      <c r="AA24" s="183">
        <v>9.3227298515555015E-2</v>
      </c>
      <c r="AB24" s="183">
        <v>7.7491943575903E-2</v>
      </c>
      <c r="AC24" s="183">
        <v>0.3867309286616834</v>
      </c>
      <c r="AD24" s="183">
        <v>0.11818349957766699</v>
      </c>
      <c r="AE24" s="183">
        <v>0.29525307780774435</v>
      </c>
      <c r="AF24" s="183">
        <v>2.698749553425599E-2</v>
      </c>
      <c r="AG24" s="183">
        <v>0.61964003477890484</v>
      </c>
      <c r="AH24" s="35" cm="1">
        <f t="array" ref="AH24:AO24">TRANSPOSE('[26]Silumos kiekio nustat.'!$F$25:$F$32)</f>
        <v>265.24337900797673</v>
      </c>
      <c r="AI24" s="35">
        <v>260.09413724502718</v>
      </c>
      <c r="AJ24" s="35">
        <v>257.84648347241233</v>
      </c>
      <c r="AK24" s="35">
        <v>258.44161192170282</v>
      </c>
      <c r="AL24" s="35">
        <v>261.82379846997748</v>
      </c>
      <c r="AM24" s="35">
        <v>267.93908377537457</v>
      </c>
      <c r="AN24" s="35">
        <v>276.73422868742682</v>
      </c>
      <c r="AO24" s="35">
        <v>288.15597313405556</v>
      </c>
      <c r="AP24" s="313">
        <f t="shared" si="5"/>
        <v>3.9474666517183427E-2</v>
      </c>
      <c r="AQ24" s="35">
        <f t="shared" si="6"/>
        <v>10.541111137633985</v>
      </c>
      <c r="AR24" s="183" cm="1">
        <f t="array" ref="AR24:AY24">TRANSPOSE([26]Alfa!$E$127:$E$134)</f>
        <v>5.5816252526408199E-2</v>
      </c>
      <c r="AS24" s="183">
        <v>3.4111744865371788E-2</v>
      </c>
      <c r="AT24" s="183">
        <v>4.3307822803730335E-2</v>
      </c>
      <c r="AU24" s="183">
        <v>4.062967058581704E-2</v>
      </c>
      <c r="AV24" s="183">
        <v>3.4556574922709936E-2</v>
      </c>
      <c r="AW24" s="183">
        <v>3.513395375470818E-2</v>
      </c>
      <c r="AX24" s="183">
        <v>3.4093554384880785E-2</v>
      </c>
      <c r="AY24" s="183">
        <v>4.1115856266839383E-2</v>
      </c>
      <c r="AZ24" s="183">
        <f t="shared" si="7"/>
        <v>193.27731092436974</v>
      </c>
      <c r="BA24" s="183">
        <f>'Su K. oro stendu'!P69</f>
        <v>85.003</v>
      </c>
      <c r="BB24" s="183">
        <f t="shared" si="0"/>
        <v>192.1764705882353</v>
      </c>
      <c r="BC24" s="145">
        <v>63.6</v>
      </c>
      <c r="BD24" s="183">
        <f t="shared" si="1"/>
        <v>191.95168067226891</v>
      </c>
      <c r="BE24" s="256">
        <v>63.518999999999998</v>
      </c>
      <c r="BF24" s="183">
        <f t="shared" si="8"/>
        <v>187.26890756302521</v>
      </c>
      <c r="BG24" s="145">
        <v>63.454999999999998</v>
      </c>
      <c r="BH24" s="183">
        <f t="shared" si="9"/>
        <v>183.52100840336135</v>
      </c>
      <c r="BI24" s="256">
        <v>63.11</v>
      </c>
      <c r="BJ24" s="183">
        <f t="shared" si="10"/>
        <v>181.89915966386553</v>
      </c>
      <c r="BK24" s="256">
        <v>62.965000000000003</v>
      </c>
      <c r="BL24" s="183">
        <f t="shared" si="11"/>
        <v>180.01680672268907</v>
      </c>
      <c r="BM24" s="145">
        <v>62.781999999999996</v>
      </c>
      <c r="BN24" s="183">
        <f t="shared" si="12"/>
        <v>179.73949579831933</v>
      </c>
      <c r="BO24" s="143">
        <v>62.755000000000003</v>
      </c>
      <c r="BP24" s="183">
        <f t="shared" si="13"/>
        <v>173.61344537815125</v>
      </c>
      <c r="BQ24" s="183">
        <v>62.755000000000003</v>
      </c>
      <c r="BR24" s="183" cm="1">
        <f t="array" ref="BR24:BY24">TRANSPOSE('[26]Keithley Matavimai'!$W$6:$W$13)</f>
        <v>47.532524291466302</v>
      </c>
      <c r="BS24" s="183">
        <v>45.003145775045596</v>
      </c>
      <c r="BT24" s="183">
        <v>41.314117656901566</v>
      </c>
      <c r="BU24" s="183">
        <v>36.715683570538012</v>
      </c>
      <c r="BV24" s="183">
        <v>35.826958935392064</v>
      </c>
      <c r="BW24" s="183">
        <v>34.237895058666531</v>
      </c>
      <c r="BX24" s="183">
        <v>30.440073337680616</v>
      </c>
      <c r="BY24" s="183">
        <v>28.03738465876549</v>
      </c>
      <c r="BZ24" s="183" cm="1">
        <f t="array" ref="BZ24:CH24">TRANSPOSE('[26]Keithley Matavimai'!$V$5:$V$13)</f>
        <v>84.028525760878992</v>
      </c>
      <c r="CA24" s="183">
        <v>80.559682810403203</v>
      </c>
      <c r="CB24" s="183">
        <v>78.064250353752143</v>
      </c>
      <c r="CC24" s="183">
        <v>74.795197345333904</v>
      </c>
      <c r="CD24" s="183">
        <v>72.210175619359006</v>
      </c>
      <c r="CE24" s="183">
        <v>69.604304691139831</v>
      </c>
      <c r="CF24" s="183">
        <v>67.200703275216526</v>
      </c>
      <c r="CG24" s="183">
        <v>64.405115163146618</v>
      </c>
      <c r="CH24" s="183">
        <v>61.888009230063005</v>
      </c>
      <c r="CI24" s="183" cm="1">
        <f t="array" ref="CI24:CQ24">TRANSPOSE('[26]Silumos kiekio nustat.'!$B$24:$B$32)</f>
        <v>34.856563715956149</v>
      </c>
      <c r="CJ24" s="183">
        <v>31.922793416651281</v>
      </c>
      <c r="CK24" s="183">
        <v>29.030692993472073</v>
      </c>
      <c r="CL24" s="183">
        <v>26.148746039351721</v>
      </c>
      <c r="CM24" s="183">
        <v>23.245436147223423</v>
      </c>
      <c r="CN24" s="183">
        <v>20.289246910020378</v>
      </c>
      <c r="CO24" s="183">
        <v>17.248661920675779</v>
      </c>
      <c r="CP24" s="183">
        <v>14.092164772122825</v>
      </c>
      <c r="CQ24" s="183">
        <v>10.78823905729471</v>
      </c>
      <c r="CR24" s="183">
        <f>'Su K. oro stendu'!P69</f>
        <v>85.003</v>
      </c>
      <c r="CS24" s="183"/>
      <c r="CT24" s="183">
        <v>6584.8177612567024</v>
      </c>
      <c r="CU24" s="183">
        <f>[26]Alfa!$F$15</f>
        <v>900</v>
      </c>
      <c r="CV24" s="172">
        <f>'Su K. oro stendu'!J69</f>
        <v>2</v>
      </c>
      <c r="CW24" s="183">
        <f>'Su K. oro stendu'!D69</f>
        <v>3000</v>
      </c>
      <c r="CX24" s="183">
        <f>'Su K. oro stendu'!G69</f>
        <v>20</v>
      </c>
      <c r="CY24" s="183">
        <v>0.15426666666666666</v>
      </c>
      <c r="CZ24" s="183">
        <f>'Su K. oro stendu'!H69</f>
        <v>40.24</v>
      </c>
      <c r="DA24" s="183">
        <f>'Su K. oro stendu'!C69</f>
        <v>119</v>
      </c>
      <c r="DB24" s="183">
        <f>'Su K. oro stendu'!E69</f>
        <v>23</v>
      </c>
      <c r="DC24" s="183">
        <f>'Su K. oro stendu'!I69</f>
        <v>241.5</v>
      </c>
      <c r="DD24" s="183">
        <f>'Su K. oro stendu'!K69</f>
        <v>10.1</v>
      </c>
      <c r="DE24" s="183">
        <f>'Su K. oro stendu'!L69</f>
        <v>24.69</v>
      </c>
      <c r="DF24" s="183">
        <f>'Su K. oro stendu'!F69</f>
        <v>85</v>
      </c>
      <c r="DG24" s="253">
        <f>[26]Alfa!$D$29</f>
        <v>921.29629033139702</v>
      </c>
      <c r="DH24" s="253">
        <f>[26]Alfa!$D$26</f>
        <v>6584.8177612567024</v>
      </c>
      <c r="DI24" s="253">
        <f>[26]Alfa!$D$27</f>
        <v>6208.4545756184743</v>
      </c>
      <c r="DJ24" s="253">
        <f t="shared" si="14"/>
        <v>7129.7508659498717</v>
      </c>
      <c r="DK24" s="253">
        <f t="shared" si="20"/>
        <v>6857.284313603287</v>
      </c>
      <c r="DL24" s="253">
        <f t="shared" si="16"/>
        <v>8.2755988768498531E-2</v>
      </c>
      <c r="DM24" s="183">
        <f>New!AC24</f>
        <v>2.80148839669975E-5</v>
      </c>
      <c r="DN24" s="183">
        <f t="shared" si="2"/>
        <v>3.5049529086959997E-5</v>
      </c>
      <c r="DO24" s="183">
        <f t="shared" si="17"/>
        <v>0.79929416162741829</v>
      </c>
      <c r="DP24" s="183">
        <f t="shared" si="3"/>
        <v>374.13260434876327</v>
      </c>
      <c r="DQ24" s="297">
        <f>DH24/((DA24/3600)*New!BV24*(Sheet3!BZ24-Sheet3!CP24)*1000)</f>
        <v>2.4121939605948572</v>
      </c>
      <c r="DR24" s="166">
        <f>(DB24*0.018)/(0.011*New!IV24*3600)</f>
        <v>888.88351541504505</v>
      </c>
      <c r="DS24" s="166">
        <f>(New!IV24*New!CE24*1000)/New!AU24</f>
        <v>0.86323913019559584</v>
      </c>
      <c r="DT24" s="166">
        <f>IF(DR24&gt;2300,0.023*((DR24^(4/5)*DS24^(1/3))/(1+12.7*(DS24^(2/3)-1)))*(New!IV24/DV24)^0.14, 0.943*(DR24*DS24*New!IV24/Sheet3!DV24)^0.4)</f>
        <v>14.290690771544186</v>
      </c>
      <c r="DU24" s="166">
        <f t="shared" si="4"/>
        <v>-1239.5091966268533</v>
      </c>
      <c r="DV24" s="166">
        <f>_xlfn.FORECAST.LINEAR(AVERAGE(_xlfn.ANCHORARRAY(BR24)),Sheet2!$AK$2:$AK$69,Sheet2!$AJ$2:$AJ$69)</f>
        <v>1.0094445110237121E-5</v>
      </c>
    </row>
    <row r="25" spans="1:126" x14ac:dyDescent="0.3">
      <c r="A25" s="184" t="str">
        <f>'Su K. oro stendu'!B70</f>
        <v>15.12.2022</v>
      </c>
      <c r="B25" s="183">
        <v>14</v>
      </c>
      <c r="C25" s="183">
        <v>650</v>
      </c>
      <c r="D25" s="183">
        <v>16</v>
      </c>
      <c r="E25" s="183">
        <v>424</v>
      </c>
      <c r="F25" s="183">
        <v>11</v>
      </c>
      <c r="G25" s="183">
        <v>742</v>
      </c>
      <c r="H25" s="183">
        <v>8</v>
      </c>
      <c r="I25" s="183">
        <v>573</v>
      </c>
      <c r="J25" s="183" cm="1">
        <f t="array" ref="J25:Q25">TRANSPOSE('[27]Nu kitimas'!$H$4:$H$11)</f>
        <v>124.36535284306495</v>
      </c>
      <c r="K25" s="183">
        <v>140.9477797926107</v>
      </c>
      <c r="L25" s="183">
        <v>159.43879627072727</v>
      </c>
      <c r="M25" s="183">
        <v>171.08196031406834</v>
      </c>
      <c r="N25" s="183">
        <v>179.64569076409475</v>
      </c>
      <c r="O25" s="183">
        <v>190.57103449073239</v>
      </c>
      <c r="P25" s="183">
        <v>198.68751867431203</v>
      </c>
      <c r="Q25" s="183">
        <v>216.67692426940837</v>
      </c>
      <c r="R25" s="183" cm="1">
        <f t="array" ref="R25:Y25">TRANSPOSE([27]Alfa!$G$18:$G$25)</f>
        <v>206.1198977470701</v>
      </c>
      <c r="S25" s="183">
        <v>230.78351389112927</v>
      </c>
      <c r="T25" s="183">
        <v>256.73479275513125</v>
      </c>
      <c r="U25" s="183">
        <v>274.56107262918971</v>
      </c>
      <c r="V25" s="183">
        <v>284.99712072583708</v>
      </c>
      <c r="W25" s="183">
        <v>299.48110872573216</v>
      </c>
      <c r="X25" s="183">
        <v>308.63769974358325</v>
      </c>
      <c r="Y25" s="183">
        <v>333.74547666197742</v>
      </c>
      <c r="Z25" s="183" cm="1">
        <f t="array" ref="Z25:AG25">TRANSPOSE([27]Alfa!$F$127:$F$134)</f>
        <v>1.2356643004262683E-2</v>
      </c>
      <c r="AA25" s="183">
        <v>0.57590279830875291</v>
      </c>
      <c r="AB25" s="183">
        <v>1.4219319905599867E-2</v>
      </c>
      <c r="AC25" s="183">
        <v>0.37777759522114263</v>
      </c>
      <c r="AD25" s="183">
        <v>9.8239728362624415E-3</v>
      </c>
      <c r="AE25" s="183">
        <v>0.66428696408542398</v>
      </c>
      <c r="AF25" s="183">
        <v>7.182070670312222E-3</v>
      </c>
      <c r="AG25" s="183">
        <v>0.51616187448033191</v>
      </c>
      <c r="AH25" s="35" cm="1">
        <f t="array" ref="AH25:AO25">TRANSPOSE('[27]Silumos kiekio nustat.'!$F$25:$F$32)</f>
        <v>263.53089387198747</v>
      </c>
      <c r="AI25" s="35">
        <v>285.77231447931348</v>
      </c>
      <c r="AJ25" s="35">
        <v>302.95859923999058</v>
      </c>
      <c r="AK25" s="35">
        <v>315.18792474523678</v>
      </c>
      <c r="AL25" s="35">
        <v>322.56844600226657</v>
      </c>
      <c r="AM25" s="35">
        <v>325.21230430448759</v>
      </c>
      <c r="AN25" s="35">
        <v>323.23021408627744</v>
      </c>
      <c r="AO25" s="35">
        <v>316.72676103374499</v>
      </c>
      <c r="AP25" s="313">
        <f t="shared" si="5"/>
        <v>7.134098670244976E-2</v>
      </c>
      <c r="AQ25" s="35">
        <f t="shared" si="6"/>
        <v>21.89443697203917</v>
      </c>
      <c r="AR25" s="183" cm="1">
        <f t="array" ref="AR25:AY25">TRANSPOSE([27]Alfa!$E$127:$E$134)</f>
        <v>8.6614152427054628E-2</v>
      </c>
      <c r="AS25" s="183">
        <v>9.4885480474860673E-2</v>
      </c>
      <c r="AT25" s="183">
        <v>8.6746464909177076E-2</v>
      </c>
      <c r="AU25" s="183">
        <v>3.8324365427809516E-2</v>
      </c>
      <c r="AV25" s="183">
        <v>5.8487679787689324E-2</v>
      </c>
      <c r="AW25" s="183">
        <v>8.4164330562907397E-2</v>
      </c>
      <c r="AX25" s="183">
        <v>5.64022003748062E-2</v>
      </c>
      <c r="AY25" s="183">
        <v>6.9855802080900448E-2</v>
      </c>
      <c r="AZ25" s="183">
        <f t="shared" si="7"/>
        <v>195.3125</v>
      </c>
      <c r="BA25" s="183">
        <f>'Su K. oro stendu'!P70</f>
        <v>64.168000000000006</v>
      </c>
      <c r="BB25" s="183">
        <f t="shared" si="0"/>
        <v>195.28515625</v>
      </c>
      <c r="BC25" s="183">
        <v>64.158000000000001</v>
      </c>
      <c r="BD25" s="183">
        <f t="shared" si="1"/>
        <v>194.015625</v>
      </c>
      <c r="BE25" s="183">
        <v>63.712000000000003</v>
      </c>
      <c r="BF25" s="183">
        <f t="shared" si="8"/>
        <v>190</v>
      </c>
      <c r="BG25" s="183">
        <v>63.701000000000001</v>
      </c>
      <c r="BH25" s="183">
        <f t="shared" si="9"/>
        <v>186.6875</v>
      </c>
      <c r="BI25" s="183">
        <v>63.402000000000001</v>
      </c>
      <c r="BJ25" s="183">
        <f t="shared" si="10"/>
        <v>186.6015625</v>
      </c>
      <c r="BK25" s="183">
        <v>63.393999999999998</v>
      </c>
      <c r="BL25" s="183">
        <f t="shared" si="11"/>
        <v>180.8046875</v>
      </c>
      <c r="BM25" s="143">
        <v>62.856000000000002</v>
      </c>
      <c r="BN25" s="183">
        <f t="shared" si="12"/>
        <v>180.7421875</v>
      </c>
      <c r="BO25" s="143">
        <v>62.85</v>
      </c>
      <c r="BP25" s="183">
        <f t="shared" si="13"/>
        <v>176.265625</v>
      </c>
      <c r="BQ25" s="143">
        <v>62.421999999999997</v>
      </c>
      <c r="BR25" s="183" cm="1">
        <f t="array" ref="BR25:BY25">TRANSPOSE('[27]Keithley Matavimai'!$W$6:$W$13)</f>
        <v>49.650528254808684</v>
      </c>
      <c r="BS25" s="183">
        <v>46.829955453901341</v>
      </c>
      <c r="BT25" s="183">
        <v>43.903338225759008</v>
      </c>
      <c r="BU25" s="183">
        <v>39.604274203975983</v>
      </c>
      <c r="BV25" s="183">
        <v>37.81120569301661</v>
      </c>
      <c r="BW25" s="183">
        <v>36.063761426424769</v>
      </c>
      <c r="BX25" s="183">
        <v>33.635493083753921</v>
      </c>
      <c r="BY25" s="183">
        <v>28.975025610487297</v>
      </c>
      <c r="BZ25" s="183" cm="1">
        <f t="array" ref="BZ25:CH25">TRANSPOSE('[27]Keithley Matavimai'!$V$5:$V$13)</f>
        <v>115.18600689907623</v>
      </c>
      <c r="CA25" s="183">
        <v>109.19384217115852</v>
      </c>
      <c r="CB25" s="183">
        <v>103.69471987061293</v>
      </c>
      <c r="CC25" s="183">
        <v>97.44985055162347</v>
      </c>
      <c r="CD25" s="183">
        <v>95.425836908225747</v>
      </c>
      <c r="CE25" s="183">
        <v>91.102419260850354</v>
      </c>
      <c r="CF25" s="183">
        <v>85.995937093538487</v>
      </c>
      <c r="CG25" s="183">
        <v>81.630628208557951</v>
      </c>
      <c r="CH25" s="183">
        <v>77.056588519749198</v>
      </c>
      <c r="CI25" s="183" cm="1">
        <f t="array" ref="CI25:CQ25">TRANSPOSE('[27]Silumos kiekio nustat.'!$B$24:$B$32)</f>
        <v>36.08885432302349</v>
      </c>
      <c r="CJ25" s="183">
        <v>33.398515208756834</v>
      </c>
      <c r="CK25" s="183">
        <v>30.466038786346747</v>
      </c>
      <c r="CL25" s="183">
        <v>27.340177969343777</v>
      </c>
      <c r="CM25" s="183">
        <v>24.069685671298451</v>
      </c>
      <c r="CN25" s="183">
        <v>20.703314805761309</v>
      </c>
      <c r="CO25" s="183">
        <v>17.28981828628288</v>
      </c>
      <c r="CP25" s="183">
        <v>13.877949026413706</v>
      </c>
      <c r="CQ25" s="183">
        <v>10.516459939704319</v>
      </c>
      <c r="CR25" s="183">
        <f>'Su K. oro stendu'!P70</f>
        <v>64.168000000000006</v>
      </c>
      <c r="CS25" s="183"/>
      <c r="CT25" s="183">
        <v>7510.7682478832367</v>
      </c>
      <c r="CU25" s="183">
        <f>[27]Alfa!$F$15</f>
        <v>900</v>
      </c>
      <c r="CV25" s="172">
        <f>'Su K. oro stendu'!J70</f>
        <v>2</v>
      </c>
      <c r="CW25" s="183">
        <f>'Su K. oro stendu'!D70</f>
        <v>3000</v>
      </c>
      <c r="CX25" s="183">
        <f>'Su K. oro stendu'!G70</f>
        <v>20</v>
      </c>
      <c r="CY25" s="183">
        <v>0.16253333333333334</v>
      </c>
      <c r="CZ25" s="183">
        <f>'Su K. oro stendu'!H70</f>
        <v>39.01</v>
      </c>
      <c r="DA25" s="183">
        <f>'Su K. oro stendu'!C70</f>
        <v>128</v>
      </c>
      <c r="DB25" s="183">
        <f>'Su K. oro stendu'!E70</f>
        <v>25</v>
      </c>
      <c r="DC25" s="183">
        <f>'Su K. oro stendu'!I70</f>
        <v>261</v>
      </c>
      <c r="DD25" s="183">
        <f>'Su K. oro stendu'!K70</f>
        <v>9.75</v>
      </c>
      <c r="DE25" s="183">
        <f>'Su K. oro stendu'!L70</f>
        <v>35.79</v>
      </c>
      <c r="DF25" s="183">
        <f>'Su K. oro stendu'!F70</f>
        <v>115</v>
      </c>
      <c r="DG25" s="253">
        <f>[27]Alfa!$D$29</f>
        <v>1691.4414281356162</v>
      </c>
      <c r="DH25" s="253">
        <f>[27]Alfa!$D$26</f>
        <v>7510.7682478832367</v>
      </c>
      <c r="DI25" s="253">
        <f>[27]Alfa!$D$27</f>
        <v>6533.1337155362662</v>
      </c>
      <c r="DJ25" s="253">
        <f t="shared" si="14"/>
        <v>8224.575143671882</v>
      </c>
      <c r="DK25" s="253">
        <f t="shared" si="20"/>
        <v>7867.6716957775589</v>
      </c>
      <c r="DL25" s="253">
        <f t="shared" si="16"/>
        <v>9.5037800692335014E-2</v>
      </c>
      <c r="DM25" s="183">
        <f>New!AC25</f>
        <v>3.3727938879114933E-5</v>
      </c>
      <c r="DN25" s="183">
        <f t="shared" si="2"/>
        <v>3.864169920576E-5</v>
      </c>
      <c r="DO25" s="183">
        <f t="shared" si="17"/>
        <v>0.87283788167595344</v>
      </c>
      <c r="DP25" s="183">
        <f t="shared" si="3"/>
        <v>274.38258535995629</v>
      </c>
      <c r="DQ25" s="297">
        <f>DH25/((DA25/3600)*New!BV25*(Sheet3!BZ25-Sheet3!CP25)*1000)</f>
        <v>1.7528437573739228</v>
      </c>
      <c r="DR25" s="166">
        <f>(DB25*0.018)/(0.011*New!IV25*3600)</f>
        <v>886.96613583892133</v>
      </c>
      <c r="DS25" s="166">
        <f>(New!IV25*New!CE25*1000)/New!AU25</f>
        <v>0.72974402786439863</v>
      </c>
      <c r="DT25" s="166">
        <f>IF(DR25&gt;2300,0.023*((DR25^(4/5)*DS25^(1/3))/(1+12.7*(DS25^(2/3)-1)))*(New!IV25/DV25)^0.14, 0.943*(DR25*DS25*New!IV25/Sheet3!DV25)^0.4)</f>
        <v>13.773706477509169</v>
      </c>
      <c r="DU25" s="166">
        <f t="shared" si="4"/>
        <v>-1105.0086066298575</v>
      </c>
      <c r="DV25" s="166">
        <f>_xlfn.FORECAST.LINEAR(AVERAGE(_xlfn.ANCHORARRAY(BR25)),Sheet2!$AK$2:$AK$69,Sheet2!$AJ$2:$AJ$69)</f>
        <v>1.0170447204670513E-5</v>
      </c>
    </row>
    <row r="26" spans="1:126" x14ac:dyDescent="0.3">
      <c r="A26" s="184" t="str">
        <f>'Su K. oro stendu'!B71</f>
        <v>15.12.2022</v>
      </c>
      <c r="B26" s="183">
        <v>10</v>
      </c>
      <c r="C26" s="183">
        <v>638</v>
      </c>
      <c r="D26" s="183">
        <v>16</v>
      </c>
      <c r="E26" s="183">
        <v>386</v>
      </c>
      <c r="F26" s="183">
        <v>11</v>
      </c>
      <c r="G26" s="183">
        <v>773</v>
      </c>
      <c r="H26" s="183">
        <v>8</v>
      </c>
      <c r="I26" s="183">
        <v>603</v>
      </c>
      <c r="J26" s="183" cm="1">
        <f t="array" ref="J26:Q26">TRANSPOSE('[28]Nu kitimas'!$H$4:$H$11)</f>
        <v>95.112246451876985</v>
      </c>
      <c r="K26" s="183">
        <v>104.62252045057851</v>
      </c>
      <c r="L26" s="183">
        <v>116.00867551534391</v>
      </c>
      <c r="M26" s="183">
        <v>125.43655902017525</v>
      </c>
      <c r="N26" s="183">
        <v>135.89143748341451</v>
      </c>
      <c r="O26" s="183">
        <v>145.90773013601523</v>
      </c>
      <c r="P26" s="183">
        <v>153.00779345383185</v>
      </c>
      <c r="Q26" s="183">
        <v>172.28025720681322</v>
      </c>
      <c r="R26" s="183" cm="1">
        <f t="array" ref="R26:Y26">TRANSPOSE([28]Alfa!$G$18:$G$25)</f>
        <v>167.51526494865169</v>
      </c>
      <c r="S26" s="183">
        <v>181.26371583565904</v>
      </c>
      <c r="T26" s="183">
        <v>196.73000369964535</v>
      </c>
      <c r="U26" s="183">
        <v>210.71739743047766</v>
      </c>
      <c r="V26" s="183">
        <v>224.03612013108625</v>
      </c>
      <c r="W26" s="183">
        <v>238.23834970452177</v>
      </c>
      <c r="X26" s="183">
        <v>246.74092314773682</v>
      </c>
      <c r="Y26" s="183">
        <v>274.42253330827339</v>
      </c>
      <c r="Z26" s="183" cm="1">
        <f t="array" ref="Z26:AG26">TRANSPOSE([28]Alfa!$F$127:$F$134)</f>
        <v>8.8195236375621568E-3</v>
      </c>
      <c r="AA26" s="183">
        <v>0.56483322060837915</v>
      </c>
      <c r="AB26" s="183">
        <v>1.4207167006570343E-2</v>
      </c>
      <c r="AC26" s="183">
        <v>0.34359385473634102</v>
      </c>
      <c r="AD26" s="183">
        <v>9.8140400511147075E-3</v>
      </c>
      <c r="AE26" s="183">
        <v>0.69135018069209664</v>
      </c>
      <c r="AF26" s="183">
        <v>7.175867569252036E-3</v>
      </c>
      <c r="AG26" s="183">
        <v>0.54287631062140074</v>
      </c>
      <c r="AH26" s="35" cm="1">
        <f t="array" ref="AH26:AO26">TRANSPOSE('[28]Silumos kiekio nustat.'!$F$25:$F$32)</f>
        <v>309.86425922413036</v>
      </c>
      <c r="AI26" s="35">
        <v>320.4644363160379</v>
      </c>
      <c r="AJ26" s="35">
        <v>329.51871299422515</v>
      </c>
      <c r="AK26" s="35">
        <v>337.06220965276094</v>
      </c>
      <c r="AL26" s="35">
        <v>343.13137919798783</v>
      </c>
      <c r="AM26" s="35">
        <v>347.76329009584452</v>
      </c>
      <c r="AN26" s="35">
        <v>350.99494280564602</v>
      </c>
      <c r="AO26" s="35">
        <v>352.8626297780163</v>
      </c>
      <c r="AP26" s="313">
        <f t="shared" si="5"/>
        <v>4.5828815131072391E-2</v>
      </c>
      <c r="AQ26" s="35">
        <f t="shared" si="6"/>
        <v>15.419459222532655</v>
      </c>
      <c r="AR26" s="183" cm="1">
        <f t="array" ref="AR26:AY26">TRANSPOSE([28]Alfa!$E$127:$E$134)</f>
        <v>0.13705448731497358</v>
      </c>
      <c r="AS26" s="183">
        <v>0.12536959578735704</v>
      </c>
      <c r="AT26" s="183">
        <v>0.12381574334287752</v>
      </c>
      <c r="AU26" s="183">
        <v>7.2837195617309294E-2</v>
      </c>
      <c r="AV26" s="183">
        <v>0.10533670217838824</v>
      </c>
      <c r="AW26" s="183">
        <v>9.0656576695927971E-2</v>
      </c>
      <c r="AX26" s="183">
        <v>6.7278340261884728E-2</v>
      </c>
      <c r="AY26" s="183">
        <v>9.5034944343301397E-2</v>
      </c>
      <c r="AZ26" s="183">
        <f t="shared" si="7"/>
        <v>197.08029197080293</v>
      </c>
      <c r="BA26" s="183">
        <f>'Su K. oro stendu'!P71</f>
        <v>64.319999999999993</v>
      </c>
      <c r="BB26" s="183">
        <f t="shared" si="0"/>
        <v>197.06204379562044</v>
      </c>
      <c r="BC26" s="143">
        <v>64.319000000000003</v>
      </c>
      <c r="BD26" s="183">
        <f t="shared" si="1"/>
        <v>195.89781021897809</v>
      </c>
      <c r="BE26" s="143">
        <v>64.218999999999994</v>
      </c>
      <c r="BF26" s="183">
        <f t="shared" si="8"/>
        <v>192.23357664233578</v>
      </c>
      <c r="BG26" s="143">
        <v>63.899000000000001</v>
      </c>
      <c r="BH26" s="183">
        <f t="shared" si="9"/>
        <v>189.41605839416059</v>
      </c>
      <c r="BI26" s="143">
        <v>63.648000000000003</v>
      </c>
      <c r="BJ26" s="183">
        <f t="shared" si="10"/>
        <v>189.33576642335765</v>
      </c>
      <c r="BK26" s="143">
        <v>63.640999999999998</v>
      </c>
      <c r="BL26" s="183">
        <f t="shared" si="11"/>
        <v>183.69343065693431</v>
      </c>
      <c r="BM26" s="143">
        <v>63.127000000000002</v>
      </c>
      <c r="BN26" s="183">
        <f t="shared" si="12"/>
        <v>183.63503649635035</v>
      </c>
      <c r="BO26" s="143">
        <v>63.121000000000002</v>
      </c>
      <c r="BP26" s="183">
        <f t="shared" si="13"/>
        <v>179.23357664233578</v>
      </c>
      <c r="BQ26" s="183">
        <v>62.707000000000001</v>
      </c>
      <c r="BR26" s="183" cm="1">
        <f t="array" ref="BR26:BY26">TRANSPOSE('[28]Keithley Matavimai'!$W$6:$W$13)</f>
        <v>50.452827236812453</v>
      </c>
      <c r="BS26" s="183">
        <v>47.445495026517641</v>
      </c>
      <c r="BT26" s="183">
        <v>44.89468236463091</v>
      </c>
      <c r="BU26" s="183">
        <v>40.440292699082711</v>
      </c>
      <c r="BV26" s="183">
        <v>38.897852467572797</v>
      </c>
      <c r="BW26" s="183">
        <v>37.297442450429607</v>
      </c>
      <c r="BX26" s="183">
        <v>34.220600844349633</v>
      </c>
      <c r="BY26" s="183">
        <v>29.678526926819803</v>
      </c>
      <c r="BZ26" s="183" cm="1">
        <f t="array" ref="BZ26:CH26">TRANSPOSE('[28]Keithley Matavimai'!$V$5:$V$13)</f>
        <v>145.05215013387746</v>
      </c>
      <c r="CA26" s="183">
        <v>136.34134619631524</v>
      </c>
      <c r="CB26" s="183">
        <v>129.57710308983994</v>
      </c>
      <c r="CC26" s="183">
        <v>121.39448133239375</v>
      </c>
      <c r="CD26" s="183">
        <v>117.29979411033757</v>
      </c>
      <c r="CE26" s="183">
        <v>110.14411682451292</v>
      </c>
      <c r="CF26" s="183">
        <v>105.33267797411588</v>
      </c>
      <c r="CG26" s="183">
        <v>100.55318455007109</v>
      </c>
      <c r="CH26" s="183">
        <v>94.777151568774698</v>
      </c>
      <c r="CI26" s="183" cm="1">
        <f t="array" ref="CI26:CQ26">TRANSPOSE('[28]Silumos kiekio nustat.'!$B$24:$B$32)</f>
        <v>36.924312909100841</v>
      </c>
      <c r="CJ26" s="183">
        <v>33.936687454190164</v>
      </c>
      <c r="CK26" s="183">
        <v>30.82948867863028</v>
      </c>
      <c r="CL26" s="183">
        <v>27.61620168348626</v>
      </c>
      <c r="CM26" s="183">
        <v>24.310311569823167</v>
      </c>
      <c r="CN26" s="183">
        <v>20.925303438706067</v>
      </c>
      <c r="CO26" s="183">
        <v>17.474662391200017</v>
      </c>
      <c r="CP26" s="183">
        <v>13.971873528370089</v>
      </c>
      <c r="CQ26" s="183">
        <v>10.430421951281346</v>
      </c>
      <c r="CR26" s="183">
        <f>'Su K. oro stendu'!P71</f>
        <v>64.319999999999993</v>
      </c>
      <c r="CS26" s="183"/>
      <c r="CT26" s="183">
        <v>8268.8000703751095</v>
      </c>
      <c r="CU26" s="183">
        <f>[28]Alfa!$F$15</f>
        <v>900</v>
      </c>
      <c r="CV26" s="172">
        <f>'Su K. oro stendu'!J71</f>
        <v>2</v>
      </c>
      <c r="CW26" s="183">
        <f>'Su K. oro stendu'!D71</f>
        <v>3000</v>
      </c>
      <c r="CX26" s="183">
        <f>'Su K. oro stendu'!G71</f>
        <v>20</v>
      </c>
      <c r="CY26" s="183">
        <v>0.16300000000000001</v>
      </c>
      <c r="CZ26" s="183">
        <f>'Su K. oro stendu'!H71</f>
        <v>36.22</v>
      </c>
      <c r="DA26" s="183">
        <f>'Su K. oro stendu'!C71</f>
        <v>137</v>
      </c>
      <c r="DB26" s="183">
        <f>'Su K. oro stendu'!E71</f>
        <v>27</v>
      </c>
      <c r="DC26" s="183">
        <f>'Su K. oro stendu'!I71</f>
        <v>276</v>
      </c>
      <c r="DD26" s="183">
        <f>'Su K. oro stendu'!K71</f>
        <v>9.7200000000000006</v>
      </c>
      <c r="DE26" s="183">
        <f>'Su K. oro stendu'!L71</f>
        <v>27.08</v>
      </c>
      <c r="DF26" s="183">
        <f>'Su K. oro stendu'!F71</f>
        <v>145</v>
      </c>
      <c r="DG26" s="253">
        <f>[28]Alfa!$D$29</f>
        <v>2417.1507566260593</v>
      </c>
      <c r="DH26" s="253">
        <f>[28]Alfa!$D$26</f>
        <v>8268.8000703751095</v>
      </c>
      <c r="DI26" s="253">
        <f>[28]Alfa!$D$27</f>
        <v>6548.0104947681511</v>
      </c>
      <c r="DJ26" s="253">
        <f t="shared" si="14"/>
        <v>8965.1612513942109</v>
      </c>
      <c r="DK26" s="253">
        <f t="shared" si="20"/>
        <v>8616.9806608846593</v>
      </c>
      <c r="DL26" s="253">
        <f t="shared" si="16"/>
        <v>8.4215505888693157E-2</v>
      </c>
      <c r="DM26" s="183">
        <f>New!AC26</f>
        <v>3.990574540569451E-5</v>
      </c>
      <c r="DN26" s="183">
        <f t="shared" si="2"/>
        <v>4.2388323940559999E-5</v>
      </c>
      <c r="DO26" s="183">
        <f t="shared" si="17"/>
        <v>0.94143249121275141</v>
      </c>
      <c r="DP26" s="183">
        <f t="shared" si="3"/>
        <v>217.45803852575648</v>
      </c>
      <c r="DQ26" s="297">
        <f>DH26/((DA26/3600)*New!BV26*(Sheet3!BZ26-Sheet3!CP26)*1000)</f>
        <v>1.383177351466276</v>
      </c>
      <c r="DR26" s="166">
        <f>(DB26*0.018)/(0.011*New!IV26*3600)</f>
        <v>885.33932494581825</v>
      </c>
      <c r="DS26" s="166">
        <f>(New!IV26*New!CE26*1000)/New!AU26</f>
        <v>0.64719895598215416</v>
      </c>
      <c r="DT26" s="166">
        <f>IF(DR26&gt;2300,0.023*((DR26^(4/5)*DS26^(1/3))/(1+12.7*(DS26^(2/3)-1)))*(New!IV26/DV26)^0.14, 0.943*(DR26*DS26*New!IV26/Sheet3!DV26)^0.4)</f>
        <v>13.522456983461835</v>
      </c>
      <c r="DU26" s="166">
        <f t="shared" si="4"/>
        <v>-1017.407310208202</v>
      </c>
      <c r="DV26" s="166">
        <f>_xlfn.FORECAST.LINEAR(AVERAGE(_xlfn.ANCHORARRAY(BR26)),Sheet2!$AK$2:$AK$69,Sheet2!$AJ$2:$AJ$69)</f>
        <v>1.0200444606942375E-5</v>
      </c>
    </row>
    <row r="27" spans="1:126" ht="15" thickBot="1" x14ac:dyDescent="0.35">
      <c r="A27" s="184" t="str">
        <f>'Su K. oro stendu'!B72</f>
        <v>16.12.2022</v>
      </c>
      <c r="B27" s="183">
        <v>10</v>
      </c>
      <c r="C27" s="183">
        <v>517</v>
      </c>
      <c r="D27" s="183">
        <v>9</v>
      </c>
      <c r="E27" s="183">
        <v>608</v>
      </c>
      <c r="F27" s="183">
        <v>11</v>
      </c>
      <c r="G27" s="183">
        <v>633</v>
      </c>
      <c r="H27" s="183">
        <v>8</v>
      </c>
      <c r="I27" s="183">
        <v>589</v>
      </c>
      <c r="J27" s="183" cm="1">
        <f t="array" ref="J27:Q27">TRANSPOSE('[29]Nu kitimas'!$G$4:$G$11)</f>
        <v>71.323168821892224</v>
      </c>
      <c r="K27" s="183">
        <v>80.069601498205159</v>
      </c>
      <c r="L27" s="183">
        <v>89.756252518724239</v>
      </c>
      <c r="M27" s="183">
        <v>98.741802210685051</v>
      </c>
      <c r="N27" s="183">
        <v>107.96963856425754</v>
      </c>
      <c r="O27" s="183">
        <v>117.88380816506297</v>
      </c>
      <c r="P27" s="183">
        <v>126.8148665108482</v>
      </c>
      <c r="Q27" s="183">
        <v>144.72578753758759</v>
      </c>
      <c r="R27" s="183" cm="1">
        <f t="array" ref="R27:Y27">TRANSPOSE([29]Alfa!$G$18:$G$25)</f>
        <v>134.56773136668099</v>
      </c>
      <c r="S27" s="183">
        <v>148.23451724159403</v>
      </c>
      <c r="T27" s="183">
        <v>162.13884528672602</v>
      </c>
      <c r="U27" s="183">
        <v>175.94213513345389</v>
      </c>
      <c r="V27" s="183">
        <v>188.6259735425385</v>
      </c>
      <c r="W27" s="183">
        <v>202.59902135497794</v>
      </c>
      <c r="X27" s="183">
        <v>214.18217554617013</v>
      </c>
      <c r="Y27" s="183">
        <v>240.6647606662508</v>
      </c>
      <c r="Z27" s="183" cm="1">
        <f t="array" ref="Z27:AG27">TRANSPOSE([29]Alfa!$F$127:$F$134)</f>
        <v>8.8022493157828442E-3</v>
      </c>
      <c r="AA27" s="183">
        <v>0.45700630711131712</v>
      </c>
      <c r="AB27" s="183">
        <v>7.9800218021526103E-3</v>
      </c>
      <c r="AC27" s="183">
        <v>0.5403749272815026</v>
      </c>
      <c r="AD27" s="183">
        <v>9.7974899081195981E-3</v>
      </c>
      <c r="AE27" s="183">
        <v>0.56513462174137752</v>
      </c>
      <c r="AF27" s="183">
        <v>7.1639007243063301E-3</v>
      </c>
      <c r="AG27" s="183">
        <v>0.5296069615180975</v>
      </c>
      <c r="AH27" s="35" cm="1">
        <f t="array" ref="AH27:AO27">TRANSPOSE('[29]Silumos kiekio nustat.'!$F$25:$F$32)</f>
        <v>321.29548162406127</v>
      </c>
      <c r="AI27" s="35">
        <v>336.93988007688466</v>
      </c>
      <c r="AJ27" s="35">
        <v>350.21449691380366</v>
      </c>
      <c r="AK27" s="35">
        <v>361.17173476217079</v>
      </c>
      <c r="AL27" s="35">
        <v>369.86752768219668</v>
      </c>
      <c r="AM27" s="35">
        <v>376.35978976188483</v>
      </c>
      <c r="AN27" s="35">
        <v>380.70693745258251</v>
      </c>
      <c r="AO27" s="35">
        <v>382.9665134058007</v>
      </c>
      <c r="AP27" s="313">
        <f t="shared" si="5"/>
        <v>6.1661502581877504E-2</v>
      </c>
      <c r="AQ27" s="35">
        <f t="shared" si="6"/>
        <v>22.19445944240843</v>
      </c>
      <c r="AR27" s="183" cm="1">
        <f t="array" ref="AR27:AY27">TRANSPOSE([29]Alfa!$E$127:$E$134)</f>
        <v>0.19940244146265809</v>
      </c>
      <c r="AS27" s="183">
        <v>0.14263430380623141</v>
      </c>
      <c r="AT27" s="183">
        <v>0.15453437076395032</v>
      </c>
      <c r="AU27" s="183">
        <v>0.10994664694144102</v>
      </c>
      <c r="AV27" s="183">
        <v>0.11930004857456113</v>
      </c>
      <c r="AW27" s="183">
        <v>0.12898499583605619</v>
      </c>
      <c r="AX27" s="183">
        <v>0.10170741564422692</v>
      </c>
      <c r="AY27" s="183">
        <v>0.11831419066160066</v>
      </c>
      <c r="AZ27" s="183">
        <f t="shared" si="7"/>
        <v>197.18309859154928</v>
      </c>
      <c r="BA27" s="183">
        <f>'Su K. oro stendu'!P72</f>
        <v>64.328999999999994</v>
      </c>
      <c r="BB27" s="183">
        <f t="shared" si="0"/>
        <v>197.16549295774647</v>
      </c>
      <c r="BC27" s="304">
        <v>64.328000000000003</v>
      </c>
      <c r="BD27" s="183">
        <f t="shared" si="1"/>
        <v>196.25528169014083</v>
      </c>
      <c r="BE27" s="143">
        <v>64.248999999999995</v>
      </c>
      <c r="BF27" s="183">
        <f t="shared" si="8"/>
        <v>193.40845070422534</v>
      </c>
      <c r="BG27" s="143">
        <v>64.001999999999995</v>
      </c>
      <c r="BH27" s="183">
        <f t="shared" si="9"/>
        <v>189.12676056338029</v>
      </c>
      <c r="BI27" s="143">
        <v>63.622</v>
      </c>
      <c r="BJ27" s="183">
        <f t="shared" si="10"/>
        <v>189.04929577464787</v>
      </c>
      <c r="BK27" s="304">
        <v>63.615000000000002</v>
      </c>
      <c r="BL27" s="183">
        <f t="shared" si="11"/>
        <v>184.59154929577466</v>
      </c>
      <c r="BM27" s="143">
        <v>63.21</v>
      </c>
      <c r="BN27" s="183">
        <f t="shared" si="12"/>
        <v>184.53521126760563</v>
      </c>
      <c r="BO27" s="143">
        <v>63.204000000000001</v>
      </c>
      <c r="BP27" s="183">
        <f t="shared" si="13"/>
        <v>180.38732394366201</v>
      </c>
      <c r="BQ27" s="143">
        <v>62.817</v>
      </c>
      <c r="BR27" s="183" cm="1">
        <f t="array" ref="BR27:BY27">TRANSPOSE('[29]Keithley Matavimai'!$W$6:$W$13)</f>
        <v>52.293734855676917</v>
      </c>
      <c r="BS27" s="183">
        <v>49.115790452520777</v>
      </c>
      <c r="BT27" s="183">
        <v>46.329946829634082</v>
      </c>
      <c r="BU27" s="183">
        <v>41.980565165691587</v>
      </c>
      <c r="BV27" s="183">
        <v>40.478409042098754</v>
      </c>
      <c r="BW27" s="183">
        <v>38.986209584826042</v>
      </c>
      <c r="BX27" s="183">
        <v>36.244783313892462</v>
      </c>
      <c r="BY27" s="183">
        <v>30.852092057543846</v>
      </c>
      <c r="BZ27" s="183" cm="1">
        <f t="array" ref="BZ27:CH27">TRANSPOSE('[29]Keithley Matavimai'!$V$5:$V$13)</f>
        <v>174.75870483962413</v>
      </c>
      <c r="CA27" s="183">
        <v>162.76109167826493</v>
      </c>
      <c r="CB27" s="183">
        <v>155.30288431176012</v>
      </c>
      <c r="CC27" s="183">
        <v>145.6938573913344</v>
      </c>
      <c r="CD27" s="183">
        <v>140.14167080444327</v>
      </c>
      <c r="CE27" s="183">
        <v>132.44592728706431</v>
      </c>
      <c r="CF27" s="183">
        <v>125.3269575776108</v>
      </c>
      <c r="CG27" s="183">
        <v>118.4934790575753</v>
      </c>
      <c r="CH27" s="183">
        <v>111.5956575989574</v>
      </c>
      <c r="CI27" s="183" cm="1">
        <f t="array" ref="CI27:CQ27">TRANSPOSE('[29]Silumos kiekio nustat.'!$B$24:$B$32)</f>
        <v>37.994846648700126</v>
      </c>
      <c r="CJ27" s="183">
        <v>34.968839820676294</v>
      </c>
      <c r="CK27" s="183">
        <v>31.777189607579803</v>
      </c>
      <c r="CL27" s="183">
        <v>28.440060433899141</v>
      </c>
      <c r="CM27" s="183">
        <v>24.977616724122779</v>
      </c>
      <c r="CN27" s="183">
        <v>21.410022902739186</v>
      </c>
      <c r="CO27" s="183">
        <v>17.757443394236844</v>
      </c>
      <c r="CP27" s="183">
        <v>14.040042623104224</v>
      </c>
      <c r="CQ27" s="183">
        <v>10.277985013829799</v>
      </c>
      <c r="CR27" s="183">
        <f>'Su K. oro stendu'!P72</f>
        <v>64.328999999999994</v>
      </c>
      <c r="CS27" s="183"/>
      <c r="CT27" s="183">
        <v>8805.124470296174</v>
      </c>
      <c r="CU27" s="183">
        <f>[29]Alfa!$F$15</f>
        <v>900</v>
      </c>
      <c r="CV27" s="172">
        <f>'Su K. oro stendu'!J72</f>
        <v>2</v>
      </c>
      <c r="CW27" s="183">
        <f>'Su K. oro stendu'!D72</f>
        <v>3000</v>
      </c>
      <c r="CX27" s="183">
        <f>'Su K. oro stendu'!G72</f>
        <v>20</v>
      </c>
      <c r="CY27" s="183">
        <v>0.159</v>
      </c>
      <c r="CZ27" s="183">
        <f>'Su K. oro stendu'!H72</f>
        <v>34.07</v>
      </c>
      <c r="DA27" s="183">
        <f>'Su K. oro stendu'!C72</f>
        <v>142</v>
      </c>
      <c r="DB27" s="183">
        <f>'Su K. oro stendu'!E72</f>
        <v>28</v>
      </c>
      <c r="DC27" s="183">
        <f>'Su K. oro stendu'!I72</f>
        <v>282</v>
      </c>
      <c r="DD27" s="183">
        <f>'Su K. oro stendu'!K72</f>
        <v>9.5500000000000007</v>
      </c>
      <c r="DE27" s="183">
        <f>'Su K. oro stendu'!L72</f>
        <v>28.2</v>
      </c>
      <c r="DF27" s="183">
        <f>'Su K. oro stendu'!F72</f>
        <v>175</v>
      </c>
      <c r="DG27" s="253">
        <f>[29]Alfa!$D$29</f>
        <v>3189.4732410721767</v>
      </c>
      <c r="DH27" s="253">
        <f>[29]Alfa!$D$26</f>
        <v>8805.124470296174</v>
      </c>
      <c r="DI27" s="253">
        <f>[29]Alfa!$D$27</f>
        <v>6377.599438207968</v>
      </c>
      <c r="DJ27" s="253">
        <f t="shared" si="14"/>
        <v>9567.0726792801452</v>
      </c>
      <c r="DK27" s="253">
        <f t="shared" si="20"/>
        <v>9186.0985747881605</v>
      </c>
      <c r="DL27" s="253">
        <f t="shared" si="16"/>
        <v>8.6534632367138126E-2</v>
      </c>
      <c r="DM27" s="183">
        <f>New!AC27</f>
        <v>4.6520864706962211E-5</v>
      </c>
      <c r="DN27" s="183">
        <f t="shared" si="2"/>
        <v>4.6283948751360004E-5</v>
      </c>
      <c r="DO27" s="183">
        <f t="shared" si="17"/>
        <v>1.0051187498472729</v>
      </c>
      <c r="DP27" s="183">
        <f t="shared" si="3"/>
        <v>183.36939501729904</v>
      </c>
      <c r="DQ27" s="297">
        <f>DH27/((DA27/3600)*New!BV27*(Sheet3!BZ27-Sheet3!CP27)*1000)</f>
        <v>1.1516321935658866</v>
      </c>
      <c r="DR27" s="166">
        <f>(DB27*0.018)/(0.011*New!IV27*3600)</f>
        <v>853.46093614360848</v>
      </c>
      <c r="DS27" s="166">
        <f>(New!IV27*New!CE27*1000)/New!AU27</f>
        <v>0.59159404006173677</v>
      </c>
      <c r="DT27" s="166">
        <f>IF(DR27&gt;2300,0.023*((DR27^(4/5)*DS27^(1/3))/(1+12.7*(DS27^(2/3)-1)))*(New!IV27/DV27)^0.14, 0.943*(DR27*DS27*New!IV27/Sheet3!DV27)^0.4)</f>
        <v>13.207021309943604</v>
      </c>
      <c r="DU27" s="166">
        <f t="shared" si="4"/>
        <v>-957.48636645335921</v>
      </c>
      <c r="DV27" s="166">
        <f>_xlfn.FORECAST.LINEAR(AVERAGE(_xlfn.ANCHORARRAY(BR27)),Sheet2!$AK$2:$AK$69,Sheet2!$AJ$2:$AJ$69)</f>
        <v>1.0257137466709231E-5</v>
      </c>
    </row>
    <row r="28" spans="1:126" x14ac:dyDescent="0.3">
      <c r="A28" s="184" t="str">
        <f>'Su K. oro stendu'!B73</f>
        <v>16.12.2022</v>
      </c>
      <c r="B28" s="183">
        <v>8</v>
      </c>
      <c r="C28" s="183">
        <v>495</v>
      </c>
      <c r="D28" s="183">
        <v>6</v>
      </c>
      <c r="E28" s="183">
        <v>617</v>
      </c>
      <c r="F28" s="183">
        <v>10</v>
      </c>
      <c r="G28" s="183">
        <v>658</v>
      </c>
      <c r="H28" s="183">
        <v>8</v>
      </c>
      <c r="I28" s="183">
        <v>626</v>
      </c>
      <c r="J28" s="183" cm="1">
        <f t="array" ref="J28:Q28">TRANSPOSE('[30]Nu kitimas'!$F$4:$F$11)</f>
        <v>58.986965974228944</v>
      </c>
      <c r="K28" s="183">
        <v>67.65609577349278</v>
      </c>
      <c r="L28" s="183">
        <v>77.289293614527224</v>
      </c>
      <c r="M28" s="183">
        <v>86.0512210534188</v>
      </c>
      <c r="N28" s="183">
        <v>95.160648641181751</v>
      </c>
      <c r="O28" s="183">
        <v>104.43798844318599</v>
      </c>
      <c r="P28" s="183">
        <v>113.45655420698805</v>
      </c>
      <c r="Q28" s="183">
        <v>130.02237528738152</v>
      </c>
      <c r="R28" s="183" cm="1">
        <f t="array" ref="R28:Y28">TRANSPOSE([30]Alfa!$G$18:$G$25)</f>
        <v>119.40661965825733</v>
      </c>
      <c r="S28" s="183">
        <v>133.45201530529283</v>
      </c>
      <c r="T28" s="183">
        <v>148.10191703223097</v>
      </c>
      <c r="U28" s="183">
        <v>162.24814730819548</v>
      </c>
      <c r="V28" s="183">
        <v>175.38961525652812</v>
      </c>
      <c r="W28" s="183">
        <v>188.99226090184612</v>
      </c>
      <c r="X28" s="183">
        <v>200.7277345214325</v>
      </c>
      <c r="Y28" s="183">
        <v>225.95729465925729</v>
      </c>
      <c r="Z28" s="183" cm="1">
        <f t="array" ref="Z28:AG28">TRANSPOSE([30]Alfa!$F$127:$F$134)</f>
        <v>7.0208919709135792E-3</v>
      </c>
      <c r="AA28" s="183">
        <v>0.43667806926839331</v>
      </c>
      <c r="AB28" s="183">
        <v>5.3108971822470319E-3</v>
      </c>
      <c r="AC28" s="183">
        <v>0.54738583697771281</v>
      </c>
      <c r="AD28" s="183">
        <v>8.8887761228335898E-3</v>
      </c>
      <c r="AE28" s="183">
        <v>0.58619989588822763</v>
      </c>
      <c r="AF28" s="183">
        <v>7.1503378697746903E-3</v>
      </c>
      <c r="AG28" s="183">
        <v>0.56227352312821599</v>
      </c>
      <c r="AH28" s="35" cm="1">
        <f t="array" ref="AH28:AO28">TRANSPOSE('[30]Silumos kiekio nustat.'!$F$25:$F$32)</f>
        <v>349.07518845654226</v>
      </c>
      <c r="AI28" s="35">
        <v>370.2556041231511</v>
      </c>
      <c r="AJ28" s="35">
        <v>388.23953251005207</v>
      </c>
      <c r="AK28" s="35">
        <v>403.09778239642964</v>
      </c>
      <c r="AL28" s="35">
        <v>414.90794197349214</v>
      </c>
      <c r="AM28" s="35">
        <v>423.75173032618414</v>
      </c>
      <c r="AN28" s="35">
        <v>429.71246159332617</v>
      </c>
      <c r="AO28" s="35">
        <v>432.87267747305373</v>
      </c>
      <c r="AP28" s="313">
        <f t="shared" si="5"/>
        <v>7.5065382138522763E-2</v>
      </c>
      <c r="AQ28" s="35">
        <f t="shared" si="6"/>
        <v>30.137933831162595</v>
      </c>
      <c r="AR28" s="183" cm="1">
        <f t="array" ref="AR28:AY28">TRANSPOSE([30]Alfa!$E$127:$E$134)</f>
        <v>0.25492406711905091</v>
      </c>
      <c r="AS28" s="183">
        <v>0.19672238247093565</v>
      </c>
      <c r="AT28" s="183">
        <v>0.19754880170011127</v>
      </c>
      <c r="AU28" s="183">
        <v>0.13358278085818401</v>
      </c>
      <c r="AV28" s="183">
        <v>0.15019754001372704</v>
      </c>
      <c r="AW28" s="183">
        <v>0.14735478548561304</v>
      </c>
      <c r="AX28" s="183">
        <v>0.14320222059329352</v>
      </c>
      <c r="AY28" s="183">
        <v>0.14001771275494188</v>
      </c>
      <c r="AZ28" s="183">
        <f t="shared" si="7"/>
        <v>200</v>
      </c>
      <c r="BA28" s="183">
        <f>'Su K. oro stendu'!P73</f>
        <v>68.986999999999995</v>
      </c>
      <c r="BB28" s="183">
        <f t="shared" si="0"/>
        <v>199.98666666666668</v>
      </c>
      <c r="BC28" s="143">
        <v>64.566999999999993</v>
      </c>
      <c r="BD28" s="183">
        <f t="shared" si="1"/>
        <v>199.16166666666666</v>
      </c>
      <c r="BE28" s="143">
        <v>64.498000000000005</v>
      </c>
      <c r="BF28" s="183">
        <f t="shared" si="8"/>
        <v>196.60666666666665</v>
      </c>
      <c r="BG28" s="143">
        <v>64.28</v>
      </c>
      <c r="BH28" s="183">
        <f t="shared" si="9"/>
        <v>192.49333333333334</v>
      </c>
      <c r="BI28" s="143">
        <v>63.921999999999997</v>
      </c>
      <c r="BJ28" s="183">
        <f t="shared" si="10"/>
        <v>192.42666666666668</v>
      </c>
      <c r="BK28" s="143">
        <v>63.915999999999997</v>
      </c>
      <c r="BL28" s="183">
        <f t="shared" si="11"/>
        <v>188.04</v>
      </c>
      <c r="BM28" s="143">
        <v>63.524999999999999</v>
      </c>
      <c r="BN28" s="183">
        <f t="shared" si="12"/>
        <v>187.98666666666668</v>
      </c>
      <c r="BO28" s="143">
        <v>63.52</v>
      </c>
      <c r="BP28" s="183">
        <f t="shared" si="13"/>
        <v>183.81333333333333</v>
      </c>
      <c r="BQ28" s="183">
        <v>63.137999999999998</v>
      </c>
      <c r="BR28" s="183" cm="1">
        <f t="array" ref="BR28:BY28">TRANSPOSE('[30]Keithley Matavimai'!$W$6:$W$13)</f>
        <v>55.412313098788083</v>
      </c>
      <c r="BS28" s="183">
        <v>50.386997290466155</v>
      </c>
      <c r="BT28" s="183">
        <v>48.756940220774339</v>
      </c>
      <c r="BU28" s="183">
        <v>43.589427368356191</v>
      </c>
      <c r="BV28" s="183">
        <v>42.495160804909801</v>
      </c>
      <c r="BW28" s="183">
        <v>41.16532814329441</v>
      </c>
      <c r="BX28" s="183">
        <v>38.103255333685532</v>
      </c>
      <c r="BY28" s="183">
        <v>32.008148553133346</v>
      </c>
      <c r="BZ28" s="183" cm="1">
        <f t="array" ref="BZ28:CH28">TRANSPOSE('[30]Keithley Matavimai'!$V$5:$V$13)</f>
        <v>204.03931947679385</v>
      </c>
      <c r="CA28" s="183">
        <v>190.39351651049478</v>
      </c>
      <c r="CB28" s="183">
        <v>180.38893379063839</v>
      </c>
      <c r="CC28" s="183">
        <v>168.87890780616303</v>
      </c>
      <c r="CD28" s="183">
        <v>162.52874671897624</v>
      </c>
      <c r="CE28" s="183">
        <v>153.48727009802161</v>
      </c>
      <c r="CF28" s="183">
        <v>145.9936477851447</v>
      </c>
      <c r="CG28" s="183">
        <v>137.01411599192218</v>
      </c>
      <c r="CH28" s="183">
        <v>129.44273162186713</v>
      </c>
      <c r="CI28" s="183" cm="1">
        <f t="array" ref="CI28:CQ28">TRANSPOSE('[30]Silumos kiekio nustat.'!$B$24:$B$32)</f>
        <v>39.494601574564733</v>
      </c>
      <c r="CJ28" s="183">
        <v>36.381504376961075</v>
      </c>
      <c r="CK28" s="183">
        <v>33.059656233820945</v>
      </c>
      <c r="CL28" s="183">
        <v>29.554630587603683</v>
      </c>
      <c r="CM28" s="183">
        <v>25.892000880768631</v>
      </c>
      <c r="CN28" s="183">
        <v>22.097340555775137</v>
      </c>
      <c r="CO28" s="183">
        <v>18.196223055082537</v>
      </c>
      <c r="CP28" s="183">
        <v>14.214221821150176</v>
      </c>
      <c r="CQ28" s="183">
        <v>10.176910296437384</v>
      </c>
      <c r="CR28" s="183">
        <f>'Su K. oro stendu'!P73</f>
        <v>68.986999999999995</v>
      </c>
      <c r="CS28" s="183"/>
      <c r="CT28" s="183">
        <v>9836.3630960008322</v>
      </c>
      <c r="CU28" s="183">
        <f>[30]Alfa!$F$15</f>
        <v>900</v>
      </c>
      <c r="CV28" s="172">
        <f>'Su K. oro stendu'!J73</f>
        <v>2</v>
      </c>
      <c r="CW28" s="183">
        <f>'Su K. oro stendu'!D73</f>
        <v>3000</v>
      </c>
      <c r="CX28" s="183">
        <f>'Su K. oro stendu'!G73</f>
        <v>20</v>
      </c>
      <c r="CY28" s="183">
        <v>0.16186666666666669</v>
      </c>
      <c r="CZ28" s="183">
        <f>'Su K. oro stendu'!H73</f>
        <v>32.369999999999997</v>
      </c>
      <c r="DA28" s="183">
        <f>'Su K. oro stendu'!C73</f>
        <v>150</v>
      </c>
      <c r="DB28" s="183">
        <f>'Su K. oro stendu'!E73</f>
        <v>30</v>
      </c>
      <c r="DC28" s="183">
        <f>'Su K. oro stendu'!I73</f>
        <v>297</v>
      </c>
      <c r="DD28" s="183">
        <f>'Su K. oro stendu'!K73</f>
        <v>9.51</v>
      </c>
      <c r="DE28" s="183">
        <f>'Su K. oro stendu'!L73</f>
        <v>29.86</v>
      </c>
      <c r="DF28" s="183">
        <f>'Su K. oro stendu'!F73</f>
        <v>205</v>
      </c>
      <c r="DG28" s="253">
        <f>[30]Alfa!$D$29</f>
        <v>4055.6508729875713</v>
      </c>
      <c r="DH28" s="253">
        <f>[30]Alfa!$D$26</f>
        <v>9836.3630960008322</v>
      </c>
      <c r="DI28" s="253">
        <f>[30]Alfa!$D$27</f>
        <v>6482.7246852249564</v>
      </c>
      <c r="DJ28" s="253">
        <f t="shared" si="14"/>
        <v>10538.375558212527</v>
      </c>
      <c r="DK28" s="253">
        <f t="shared" si="20"/>
        <v>10187.36932710668</v>
      </c>
      <c r="DL28" s="253">
        <f t="shared" si="16"/>
        <v>7.1369108212069932E-2</v>
      </c>
      <c r="DM28" s="183">
        <f>New!AC28</f>
        <v>5.3609638726714553E-5</v>
      </c>
      <c r="DN28" s="183">
        <f t="shared" si="2"/>
        <v>5.0323119098159997E-5</v>
      </c>
      <c r="DO28" s="183">
        <f t="shared" si="17"/>
        <v>1.0653083450996725</v>
      </c>
      <c r="DP28" s="183">
        <f t="shared" si="3"/>
        <v>169.28445058038008</v>
      </c>
      <c r="DQ28" s="297">
        <f>DH28/((DA28/3600)*New!BV28*(Sheet3!BZ28-Sheet3!CP28)*1000)</f>
        <v>1.0224284337416782</v>
      </c>
      <c r="DR28" s="166">
        <f>(DB28*0.018)/(0.011*New!IV28*3600)</f>
        <v>854.25287811372164</v>
      </c>
      <c r="DS28" s="166">
        <f>(New!IV28*New!CE28*1000)/New!AU28</f>
        <v>0.55193626425495013</v>
      </c>
      <c r="DT28" s="166">
        <f>IF(DR28&gt;2300,0.023*((DR28^(4/5)*DS28^(1/3))/(1+12.7*(DS28^(2/3)-1)))*(New!IV28/DV28)^0.14, 0.943*(DR28*DS28*New!IV28/Sheet3!DV28)^0.4)</f>
        <v>13.169858035614702</v>
      </c>
      <c r="DU28" s="166">
        <f t="shared" si="4"/>
        <v>-912.60202414024877</v>
      </c>
      <c r="DV28" s="166">
        <f>_xlfn.FORECAST.LINEAR(AVERAGE(_xlfn.ANCHORARRAY(BR28)),Sheet2!$AK$2:$AK$69,Sheet2!$AJ$2:$AJ$69)</f>
        <v>1.0325569202805041E-5</v>
      </c>
    </row>
    <row r="29" spans="1:126" ht="15" thickBot="1" x14ac:dyDescent="0.35">
      <c r="A29" s="184" t="str">
        <f>'Su K. oro stendu'!B74</f>
        <v>19.12.2022</v>
      </c>
      <c r="B29" s="183">
        <v>6</v>
      </c>
      <c r="C29" s="183">
        <v>467</v>
      </c>
      <c r="D29" s="183">
        <v>5</v>
      </c>
      <c r="E29" s="183">
        <v>461</v>
      </c>
      <c r="F29" s="183">
        <v>7</v>
      </c>
      <c r="G29" s="183">
        <v>435</v>
      </c>
      <c r="H29" s="183">
        <v>7</v>
      </c>
      <c r="I29" s="183">
        <v>401</v>
      </c>
      <c r="J29" s="183" cm="1">
        <f t="array" ref="J29:Q29">TRANSPOSE('[31]Nu kitimas'!$J$4:$J$11)</f>
        <v>123.92119191546193</v>
      </c>
      <c r="K29" s="183">
        <v>133.97712215284218</v>
      </c>
      <c r="L29" s="183">
        <v>146.38813033791473</v>
      </c>
      <c r="M29" s="183">
        <v>158.47669367027081</v>
      </c>
      <c r="N29" s="183">
        <v>169.20433136657797</v>
      </c>
      <c r="O29" s="183">
        <v>176.43502316664575</v>
      </c>
      <c r="P29" s="183">
        <v>178.78415590549872</v>
      </c>
      <c r="Q29" s="183">
        <v>173.34776953362845</v>
      </c>
      <c r="R29" s="183" cm="1">
        <f t="array" ref="R29:Y29">TRANSPOSE([31]Alfa!$G$18:$G$25)</f>
        <v>193.3976803598047</v>
      </c>
      <c r="S29" s="183">
        <v>207.76722792209569</v>
      </c>
      <c r="T29" s="183">
        <v>224.81655237422228</v>
      </c>
      <c r="U29" s="183">
        <v>242.25860970245628</v>
      </c>
      <c r="V29" s="183">
        <v>256.73192934373725</v>
      </c>
      <c r="W29" s="183">
        <v>266.54220895793378</v>
      </c>
      <c r="X29" s="183">
        <v>268.00348857814174</v>
      </c>
      <c r="Y29" s="183">
        <v>258.39174178206241</v>
      </c>
      <c r="Z29" s="183" cm="1">
        <f t="array" ref="Z29:AG29">TRANSPOSE([31]Alfa!$F$127:$F$134)</f>
        <v>5.3197146729677168E-3</v>
      </c>
      <c r="AA29" s="183">
        <v>0.41537886030433402</v>
      </c>
      <c r="AB29" s="183">
        <v>4.4553893407558399E-3</v>
      </c>
      <c r="AC29" s="183">
        <v>0.41119902200380221</v>
      </c>
      <c r="AD29" s="183">
        <v>6.2484863285991775E-3</v>
      </c>
      <c r="AE29" s="183">
        <v>0.3887062747918113</v>
      </c>
      <c r="AF29" s="183">
        <v>6.2668921147699596E-3</v>
      </c>
      <c r="AG29" s="183">
        <v>0.36017712320627721</v>
      </c>
      <c r="AH29" s="35" cm="1">
        <f t="array" ref="AH29:AO29">TRANSPOSE('[31]Silumos kiekio nustat.'!$F$25:$F$32)</f>
        <v>204.98096730313449</v>
      </c>
      <c r="AI29" s="35">
        <v>219.28734021926175</v>
      </c>
      <c r="AJ29" s="35">
        <v>230.19573214321377</v>
      </c>
      <c r="AK29" s="35">
        <v>237.73697137174963</v>
      </c>
      <c r="AL29" s="35">
        <v>241.94454945273122</v>
      </c>
      <c r="AM29" s="35">
        <v>242.85316691036036</v>
      </c>
      <c r="AN29" s="35">
        <v>240.4973868463062</v>
      </c>
      <c r="AO29" s="35">
        <v>234.91040914323636</v>
      </c>
      <c r="AP29" s="313">
        <f t="shared" si="5"/>
        <v>5.7097417514952439E-2</v>
      </c>
      <c r="AQ29" s="35">
        <f t="shared" si="6"/>
        <v>13.220953584177499</v>
      </c>
      <c r="AR29" s="183" cm="1">
        <f t="array" ref="AR29:AY29">TRANSPOSE([31]Alfa!$E$127:$E$134)</f>
        <v>8.6470420179689089E-2</v>
      </c>
      <c r="AS29" s="183">
        <v>7.6800376587721514E-2</v>
      </c>
      <c r="AT29" s="183">
        <v>8.0194441334647842E-2</v>
      </c>
      <c r="AU29" s="183">
        <v>6.1824537765680816E-2</v>
      </c>
      <c r="AV29" s="183">
        <v>6.039060599195465E-2</v>
      </c>
      <c r="AW29" s="183">
        <v>5.7569826047108065E-2</v>
      </c>
      <c r="AX29" s="183">
        <v>6.1355234586394893E-2</v>
      </c>
      <c r="AY29" s="183">
        <v>6.530571597074232E-2</v>
      </c>
      <c r="AZ29" s="183">
        <f t="shared" si="7"/>
        <v>105.26315789473684</v>
      </c>
      <c r="BA29" s="183">
        <f>'Su K. oro stendu'!P74</f>
        <v>53.427</v>
      </c>
      <c r="BB29" s="183">
        <f t="shared" si="0"/>
        <v>105.25598086124401</v>
      </c>
      <c r="BC29" s="143">
        <v>53.426000000000002</v>
      </c>
      <c r="BD29" s="183">
        <f t="shared" si="1"/>
        <v>104.69736842105263</v>
      </c>
      <c r="BE29" s="304">
        <v>53.332000000000001</v>
      </c>
      <c r="BF29" s="183">
        <f t="shared" si="8"/>
        <v>102.97607655502392</v>
      </c>
      <c r="BG29" s="143">
        <v>53.04</v>
      </c>
      <c r="BH29" s="183">
        <f t="shared" si="9"/>
        <v>100.77033492822966</v>
      </c>
      <c r="BI29" s="143">
        <v>52.656999999999996</v>
      </c>
      <c r="BJ29" s="183">
        <f t="shared" si="10"/>
        <v>100.73684210526316</v>
      </c>
      <c r="BK29" s="143">
        <v>52.651000000000003</v>
      </c>
      <c r="BL29" s="183">
        <f t="shared" si="11"/>
        <v>98.655502392344502</v>
      </c>
      <c r="BM29" s="143">
        <v>52.281999999999996</v>
      </c>
      <c r="BN29" s="183">
        <f t="shared" si="12"/>
        <v>98.622009569378008</v>
      </c>
      <c r="BO29" s="143">
        <v>52.276000000000003</v>
      </c>
      <c r="BP29" s="183">
        <f t="shared" si="13"/>
        <v>96.703349282296656</v>
      </c>
      <c r="BQ29" s="183">
        <v>51.929000000000002</v>
      </c>
      <c r="BR29" s="183" cm="1">
        <f t="array" ref="BR29:BY29">TRANSPOSE('[31]Keithley Matavimai'!$W$6:$W$13)</f>
        <v>31.708318479737795</v>
      </c>
      <c r="BS29" s="183">
        <v>29.365015516128409</v>
      </c>
      <c r="BT29" s="183">
        <v>27.669233642147791</v>
      </c>
      <c r="BU29" s="183">
        <v>24.875339446032921</v>
      </c>
      <c r="BV29" s="183">
        <v>24.509401854948152</v>
      </c>
      <c r="BW29" s="183">
        <v>23.996997966753629</v>
      </c>
      <c r="BX29" s="183">
        <v>23.062359647546547</v>
      </c>
      <c r="BY29" s="183">
        <v>17.894811377910781</v>
      </c>
      <c r="BZ29" s="183" cm="1">
        <f t="array" ref="BZ29:CH29">TRANSPOSE('[31]Keithley Matavimai'!$V$5:$V$13)</f>
        <v>85.635772759613303</v>
      </c>
      <c r="CA29" s="183">
        <v>81.648836250334554</v>
      </c>
      <c r="CB29" s="183">
        <v>78.553412715089038</v>
      </c>
      <c r="CC29" s="183">
        <v>74.787824038320124</v>
      </c>
      <c r="CD29" s="183">
        <v>72.306449620223717</v>
      </c>
      <c r="CE29" s="183">
        <v>69.423776574621456</v>
      </c>
      <c r="CF29" s="183">
        <v>67.051176332322811</v>
      </c>
      <c r="CG29" s="183">
        <v>64.073006783121244</v>
      </c>
      <c r="CH29" s="183">
        <v>61.219415022098246</v>
      </c>
      <c r="CI29" s="183" cm="1">
        <f t="array" ref="CI29:CQ29">TRANSPOSE('[31]Silumos kiekio nustat.'!$B$24:$B$32)</f>
        <v>21.209244605858888</v>
      </c>
      <c r="CJ29" s="183">
        <v>19.846463025643693</v>
      </c>
      <c r="CK29" s="183">
        <v>18.385099920879036</v>
      </c>
      <c r="CL29" s="183">
        <v>16.847206687523165</v>
      </c>
      <c r="CM29" s="183">
        <v>15.254834721534344</v>
      </c>
      <c r="CN29" s="183">
        <v>13.630035418870824</v>
      </c>
      <c r="CO29" s="183">
        <v>11.99486017549086</v>
      </c>
      <c r="CP29" s="183">
        <v>10.371360387352713</v>
      </c>
      <c r="CQ29" s="183">
        <v>8.7815874504146301</v>
      </c>
      <c r="CR29" s="183">
        <f>'Su K. oro stendu'!P74</f>
        <v>53.427</v>
      </c>
      <c r="CS29" s="183"/>
      <c r="CT29" s="183">
        <v>5634.7715274430357</v>
      </c>
      <c r="CU29" s="183">
        <f>[31]Alfa!$F$15</f>
        <v>912</v>
      </c>
      <c r="CV29" s="172">
        <f>'Su K. oro stendu'!J74</f>
        <v>2</v>
      </c>
      <c r="CW29" s="183">
        <f>'Su K. oro stendu'!D74</f>
        <v>5000</v>
      </c>
      <c r="CX29" s="183">
        <f>'Su K. oro stendu'!G74</f>
        <v>10</v>
      </c>
      <c r="CY29" s="183">
        <v>0.11769736842105265</v>
      </c>
      <c r="CZ29" s="183">
        <f>'Su K. oro stendu'!H74</f>
        <v>32.1</v>
      </c>
      <c r="DA29" s="183">
        <f>'Su K. oro stendu'!C74</f>
        <v>209</v>
      </c>
      <c r="DB29" s="183">
        <f>'Su K. oro stendu'!E74</f>
        <v>22</v>
      </c>
      <c r="DC29" s="183">
        <f>'Su K. oro stendu'!I74</f>
        <v>411</v>
      </c>
      <c r="DD29" s="183">
        <f>'Su K. oro stendu'!K74</f>
        <v>8.5</v>
      </c>
      <c r="DE29" s="183">
        <f>'Su K. oro stendu'!L74</f>
        <v>12.59</v>
      </c>
      <c r="DF29" s="183">
        <f>'Su K. oro stendu'!F74</f>
        <v>85</v>
      </c>
      <c r="DG29" s="253">
        <f>[31]Alfa!$D$29</f>
        <v>1388.3091898108348</v>
      </c>
      <c r="DH29" s="253">
        <f>[31]Alfa!$D$26</f>
        <v>5634.7715274430357</v>
      </c>
      <c r="DI29" s="253">
        <f>[31]Alfa!$D$27</f>
        <v>4793.2552882899517</v>
      </c>
      <c r="DJ29" s="253">
        <f t="shared" si="14"/>
        <v>6181.5644781007868</v>
      </c>
      <c r="DK29" s="253">
        <f t="shared" si="20"/>
        <v>5908.1680027719112</v>
      </c>
      <c r="DL29" s="253">
        <f t="shared" si="16"/>
        <v>9.7039063251225827E-2</v>
      </c>
      <c r="DM29" s="183">
        <f>New!AC29</f>
        <v>2.9079883970193462E-5</v>
      </c>
      <c r="DN29" s="183">
        <f t="shared" si="2"/>
        <v>3.5049529086959997E-5</v>
      </c>
      <c r="DO29" s="183">
        <f t="shared" si="17"/>
        <v>0.82967973401424355</v>
      </c>
      <c r="DP29" s="183">
        <f t="shared" si="3"/>
        <v>239.73867987755676</v>
      </c>
      <c r="DQ29" s="297">
        <f>DH29/((DA29/3600)*New!BV29*(Sheet3!BZ29-Sheet3!CP29)*1000)</f>
        <v>1.1678436794884604</v>
      </c>
      <c r="DR29" s="166">
        <f>(DB29*0.018)/(0.011*New!IV29*3600)</f>
        <v>850.23640604917352</v>
      </c>
      <c r="DS29" s="166">
        <f>(New!IV29*New!CE29*1000)/New!AU29</f>
        <v>0.86323913019559584</v>
      </c>
      <c r="DT29" s="166">
        <f>IF(DR29&gt;2300,0.023*((DR29^(4/5)*DS29^(1/3))/(1+12.7*(DS29^(2/3)-1)))*(New!IV29/DV29)^0.14, 0.943*(DR29*DS29*New!IV29/Sheet3!DV29)^0.4)</f>
        <v>14.279678655532692</v>
      </c>
      <c r="DU29" s="166">
        <f t="shared" si="4"/>
        <v>-1150.4002044503759</v>
      </c>
      <c r="DV29" s="166">
        <f>_xlfn.FORECAST.LINEAR(AVERAGE(_xlfn.ANCHORARRAY(BR29)),Sheet2!$AK$2:$AK$69,Sheet2!$AJ$2:$AJ$69)</f>
        <v>9.674182243713514E-6</v>
      </c>
    </row>
    <row r="30" spans="1:126" x14ac:dyDescent="0.3">
      <c r="A30" s="184" t="str">
        <f>'Su K. oro stendu'!B75</f>
        <v>19.12.2022</v>
      </c>
      <c r="B30" s="183">
        <v>5</v>
      </c>
      <c r="C30" s="183">
        <v>445</v>
      </c>
      <c r="D30" s="183">
        <v>4</v>
      </c>
      <c r="E30" s="183">
        <v>451</v>
      </c>
      <c r="F30" s="183">
        <v>7</v>
      </c>
      <c r="G30" s="183">
        <v>431</v>
      </c>
      <c r="H30" s="183">
        <v>6</v>
      </c>
      <c r="I30" s="183">
        <v>405</v>
      </c>
      <c r="J30" s="183" cm="1">
        <f t="array" ref="J30:Q30">TRANSPOSE('[32]Nu kitimas'!$J$4:$J$11)</f>
        <v>97.457309649396592</v>
      </c>
      <c r="K30" s="183">
        <v>100.67496240642464</v>
      </c>
      <c r="L30" s="183">
        <v>105.62471283400068</v>
      </c>
      <c r="M30" s="183">
        <v>110.7754304140414</v>
      </c>
      <c r="N30" s="183">
        <v>117.01121860928401</v>
      </c>
      <c r="O30" s="183">
        <v>124.68023580572422</v>
      </c>
      <c r="P30" s="183">
        <v>130.66621798603703</v>
      </c>
      <c r="Q30" s="183">
        <v>132.39089800828339</v>
      </c>
      <c r="R30" s="183" cm="1">
        <f t="array" ref="R30:Y30">TRANSPOSE([32]Alfa!$G$18:$G$25)</f>
        <v>163.06670093270165</v>
      </c>
      <c r="S30" s="183">
        <v>166.79333019784448</v>
      </c>
      <c r="T30" s="183">
        <v>172.88084744606832</v>
      </c>
      <c r="U30" s="183">
        <v>180.28915968906963</v>
      </c>
      <c r="V30" s="183">
        <v>188.49290761645022</v>
      </c>
      <c r="W30" s="183">
        <v>198.97570756635818</v>
      </c>
      <c r="X30" s="183">
        <v>206.60678013871828</v>
      </c>
      <c r="Y30" s="183">
        <v>207.77277190870561</v>
      </c>
      <c r="Z30" s="183" cm="1">
        <f t="array" ref="Z30:AG30">TRANSPOSE([32]Alfa!$F$127:$F$134)</f>
        <v>4.438421766075216E-3</v>
      </c>
      <c r="AA30" s="183">
        <v>0.39643691934796882</v>
      </c>
      <c r="AB30" s="183">
        <v>3.57034296577558E-3</v>
      </c>
      <c r="AC30" s="183">
        <v>0.40294093388133428</v>
      </c>
      <c r="AD30" s="183">
        <v>6.2581594804861189E-3</v>
      </c>
      <c r="AE30" s="183">
        <v>0.38571334336977853</v>
      </c>
      <c r="AF30" s="183">
        <v>5.380404852768036E-3</v>
      </c>
      <c r="AG30" s="183">
        <v>0.36450674771253438</v>
      </c>
      <c r="AH30" s="35" cm="1">
        <f t="array" ref="AH30:AO30">TRANSPOSE('[32]Silumos kiekio nustat.'!$F$25:$F$32)</f>
        <v>262.35403766872554</v>
      </c>
      <c r="AI30" s="35">
        <v>261.59198375559174</v>
      </c>
      <c r="AJ30" s="35">
        <v>261.32111431484219</v>
      </c>
      <c r="AK30" s="35">
        <v>261.53640333958373</v>
      </c>
      <c r="AL30" s="35">
        <v>262.23298012537276</v>
      </c>
      <c r="AM30" s="35">
        <v>263.4061118698292</v>
      </c>
      <c r="AN30" s="35">
        <v>265.05118872602702</v>
      </c>
      <c r="AO30" s="35">
        <v>267.16371140943926</v>
      </c>
      <c r="AP30" s="313">
        <f t="shared" si="5"/>
        <v>7.8168529354274933E-3</v>
      </c>
      <c r="AQ30" s="35">
        <f t="shared" si="6"/>
        <v>2.0564748001129836</v>
      </c>
      <c r="AR30" s="183" cm="1">
        <f t="array" ref="AR30:AY30">TRANSPOSE([32]Alfa!$E$127:$E$134)</f>
        <v>0.157398864975141</v>
      </c>
      <c r="AS30" s="183">
        <v>0.11961314112882027</v>
      </c>
      <c r="AT30" s="183">
        <v>0.11274814470498747</v>
      </c>
      <c r="AU30" s="183">
        <v>8.0353491775175548E-2</v>
      </c>
      <c r="AV30" s="183">
        <v>9.3462699329515689E-2</v>
      </c>
      <c r="AW30" s="183">
        <v>0.11162529875526002</v>
      </c>
      <c r="AX30" s="183">
        <v>8.2311511470713195E-2</v>
      </c>
      <c r="AY30" s="183">
        <v>9.2307534500239138E-2</v>
      </c>
      <c r="AZ30" s="183">
        <f t="shared" si="7"/>
        <v>103.1390134529148</v>
      </c>
      <c r="BA30" s="183">
        <f>'Su K. oro stendu'!P75</f>
        <v>53.067999999999998</v>
      </c>
      <c r="BB30" s="183">
        <f t="shared" si="0"/>
        <v>103.13340807174887</v>
      </c>
      <c r="BC30" s="143">
        <v>53.067</v>
      </c>
      <c r="BD30" s="183">
        <f t="shared" si="1"/>
        <v>102.63452914798206</v>
      </c>
      <c r="BE30" s="143">
        <v>52.981000000000002</v>
      </c>
      <c r="BF30" s="183">
        <f t="shared" si="8"/>
        <v>101.10313901345292</v>
      </c>
      <c r="BG30" s="143">
        <v>52.715000000000003</v>
      </c>
      <c r="BH30" s="183">
        <f t="shared" si="9"/>
        <v>99.080717488789233</v>
      </c>
      <c r="BI30" s="143">
        <v>52.357999999999997</v>
      </c>
      <c r="BJ30" s="183">
        <f t="shared" si="10"/>
        <v>99.049327354260086</v>
      </c>
      <c r="BK30" s="143">
        <v>52.353000000000002</v>
      </c>
      <c r="BL30" s="183">
        <f t="shared" si="11"/>
        <v>97.116591928251125</v>
      </c>
      <c r="BM30" s="143">
        <v>52.003999999999998</v>
      </c>
      <c r="BN30" s="183">
        <f t="shared" si="12"/>
        <v>97.08968609865471</v>
      </c>
      <c r="BO30" s="143">
        <v>51.999000000000002</v>
      </c>
      <c r="BP30" s="183">
        <f t="shared" si="13"/>
        <v>95.27354260089686</v>
      </c>
      <c r="BQ30" s="143">
        <v>51.665999999999997</v>
      </c>
      <c r="BR30" s="183" cm="1">
        <f t="array" ref="BR30:BY30">TRANSPOSE('[32]Keithley Matavimai'!$W$6:$W$13)</f>
        <v>32.746126180341086</v>
      </c>
      <c r="BS30" s="183">
        <v>29.893177395214632</v>
      </c>
      <c r="BT30" s="183">
        <v>28.507949798808017</v>
      </c>
      <c r="BU30" s="183">
        <v>25.143277757097508</v>
      </c>
      <c r="BV30" s="183">
        <v>25.207430842997358</v>
      </c>
      <c r="BW30" s="183">
        <v>24.908715351465407</v>
      </c>
      <c r="BX30" s="183">
        <v>23.53951866341119</v>
      </c>
      <c r="BY30" s="183">
        <v>18.101658771062347</v>
      </c>
      <c r="BZ30" s="183" cm="1">
        <f t="array" ref="BZ30:CH30">TRANSPOSE('[32]Keithley Matavimai'!$V$5:$V$13)</f>
        <v>114.72687657403833</v>
      </c>
      <c r="CA30" s="183">
        <v>107.97985160761358</v>
      </c>
      <c r="CB30" s="183">
        <v>103.36557458589022</v>
      </c>
      <c r="CC30" s="183">
        <v>98.438687012592382</v>
      </c>
      <c r="CD30" s="183">
        <v>95.439674146812195</v>
      </c>
      <c r="CE30" s="183">
        <v>91.286665041649499</v>
      </c>
      <c r="CF30" s="183">
        <v>86.758269369366516</v>
      </c>
      <c r="CG30" s="183">
        <v>83.036158883840372</v>
      </c>
      <c r="CH30" s="183">
        <v>79.247554292069751</v>
      </c>
      <c r="CI30" s="183" cm="1">
        <f t="array" ref="CI30:CQ30">TRANSPOSE('[32]Silumos kiekio nustat.'!$B$24:$B$32)</f>
        <v>22.059875910616313</v>
      </c>
      <c r="CJ30" s="183">
        <v>20.452719225529535</v>
      </c>
      <c r="CK30" s="183">
        <v>18.845872374036507</v>
      </c>
      <c r="CL30" s="183">
        <v>17.236370589552841</v>
      </c>
      <c r="CM30" s="183">
        <v>15.621249105494153</v>
      </c>
      <c r="CN30" s="183">
        <v>13.997543155276048</v>
      </c>
      <c r="CO30" s="183">
        <v>12.362287972314135</v>
      </c>
      <c r="CP30" s="183">
        <v>10.712518790024028</v>
      </c>
      <c r="CQ30" s="183">
        <v>9.0452708418213348</v>
      </c>
      <c r="CR30" s="183">
        <f>'Su K. oro stendu'!P75</f>
        <v>53.067999999999998</v>
      </c>
      <c r="CS30" s="183"/>
      <c r="CT30" s="183">
        <v>6379.6867918675089</v>
      </c>
      <c r="CU30" s="183">
        <f>[32]Alfa!$F$15</f>
        <v>910</v>
      </c>
      <c r="CV30" s="172">
        <f>'Su K. oro stendu'!J75</f>
        <v>2</v>
      </c>
      <c r="CW30" s="183">
        <f>'Su K. oro stendu'!D75</f>
        <v>5000</v>
      </c>
      <c r="CX30" s="183">
        <f>'Su K. oro stendu'!G75</f>
        <v>10</v>
      </c>
      <c r="CY30" s="183">
        <v>0.11564835164835165</v>
      </c>
      <c r="CZ30" s="183">
        <f>'Su K. oro stendu'!H75</f>
        <v>30.17</v>
      </c>
      <c r="DA30" s="183">
        <f>'Su K. oro stendu'!C75</f>
        <v>223</v>
      </c>
      <c r="DB30" s="183">
        <f>'Su K. oro stendu'!E75</f>
        <v>23</v>
      </c>
      <c r="DC30" s="183">
        <f>'Su K. oro stendu'!I75</f>
        <v>445.5</v>
      </c>
      <c r="DD30" s="183">
        <f>'Su K. oro stendu'!K75</f>
        <v>8.7799999999999994</v>
      </c>
      <c r="DE30" s="183">
        <f>'Su K. oro stendu'!L75</f>
        <v>13.14</v>
      </c>
      <c r="DF30" s="183">
        <f>'Su K. oro stendu'!F75</f>
        <v>115</v>
      </c>
      <c r="DG30" s="253">
        <f>[32]Alfa!$D$29</f>
        <v>2315.7638524911863</v>
      </c>
      <c r="DH30" s="253">
        <f>[32]Alfa!$D$26</f>
        <v>6379.6867918675089</v>
      </c>
      <c r="DI30" s="253">
        <f>[32]Alfa!$D$27</f>
        <v>4707.7358201301622</v>
      </c>
      <c r="DJ30" s="253">
        <f t="shared" si="14"/>
        <v>7023.4996726213485</v>
      </c>
      <c r="DK30" s="253">
        <f t="shared" si="20"/>
        <v>6701.5932322444287</v>
      </c>
      <c r="DL30" s="253">
        <f t="shared" si="16"/>
        <v>0.10091606402598614</v>
      </c>
      <c r="DM30" s="183">
        <f>New!AC30</f>
        <v>3.4194670583426188E-5</v>
      </c>
      <c r="DN30" s="183">
        <f t="shared" si="2"/>
        <v>3.864169920576E-5</v>
      </c>
      <c r="DO30" s="183">
        <f t="shared" si="17"/>
        <v>0.88491632837742984</v>
      </c>
      <c r="DP30" s="183">
        <f t="shared" si="3"/>
        <v>185.60977568698954</v>
      </c>
      <c r="DQ30" s="297">
        <f>DH30/((DA30/3600)*New!BV30*(Sheet3!BZ30-Sheet3!CP30)*1000)</f>
        <v>0.89307002457099982</v>
      </c>
      <c r="DR30" s="166">
        <f>(DB30*0.018)/(0.011*New!IV30*3600)</f>
        <v>816.00884497180766</v>
      </c>
      <c r="DS30" s="166">
        <f>(New!IV30*New!CE30*1000)/New!AU30</f>
        <v>0.72974402786439863</v>
      </c>
      <c r="DT30" s="166">
        <f>IF(DR30&gt;2300,0.023*((DR30^(4/5)*DS30^(1/3))/(1+12.7*(DS30^(2/3)-1)))*(New!IV30/DV30)^0.14, 0.943*(DR30*DS30*New!IV30/Sheet3!DV30)^0.4)</f>
        <v>13.578956744055958</v>
      </c>
      <c r="DU30" s="166">
        <f t="shared" si="4"/>
        <v>-1044.9079588512886</v>
      </c>
      <c r="DV30" s="166">
        <f>_xlfn.FORECAST.LINEAR(AVERAGE(_xlfn.ANCHORARRAY(BR30)),Sheet2!$AK$2:$AK$69,Sheet2!$AJ$2:$AJ$69)</f>
        <v>9.6959177853944559E-6</v>
      </c>
    </row>
    <row r="31" spans="1:126" ht="15" thickBot="1" x14ac:dyDescent="0.35">
      <c r="A31" s="184" t="str">
        <f>'Su K. oro stendu'!B76</f>
        <v>20.12.2022</v>
      </c>
      <c r="B31" s="183">
        <v>1</v>
      </c>
      <c r="C31" s="183">
        <v>417</v>
      </c>
      <c r="D31" s="183">
        <v>0</v>
      </c>
      <c r="E31" s="183">
        <v>440</v>
      </c>
      <c r="F31" s="183">
        <v>5</v>
      </c>
      <c r="G31" s="183">
        <v>428</v>
      </c>
      <c r="H31" s="183">
        <v>6</v>
      </c>
      <c r="I31" s="183">
        <v>402</v>
      </c>
      <c r="J31" s="183" cm="1">
        <f t="array" ref="J31:Q31">TRANSPOSE('[33]Nu kitimas'!$J$4:$J$11)</f>
        <v>71.73445857647954</v>
      </c>
      <c r="K31" s="183">
        <v>77.649970018051036</v>
      </c>
      <c r="L31" s="183">
        <v>85.138606553708257</v>
      </c>
      <c r="M31" s="183">
        <v>92.403095622055133</v>
      </c>
      <c r="N31" s="183">
        <v>99.093636157055471</v>
      </c>
      <c r="O31" s="183">
        <v>105.50410713052915</v>
      </c>
      <c r="P31" s="183">
        <v>109.68049931750244</v>
      </c>
      <c r="Q31" s="183">
        <v>110.28080211303011</v>
      </c>
      <c r="R31" s="183" cm="1">
        <f t="array" ref="R31:Y31">TRANSPOSE([33]Alfa!$G$18:$G$25)</f>
        <v>127.48432681808849</v>
      </c>
      <c r="S31" s="183">
        <v>136.0779322887781</v>
      </c>
      <c r="T31" s="183">
        <v>146.52191524097037</v>
      </c>
      <c r="U31" s="183">
        <v>157.40897132747295</v>
      </c>
      <c r="V31" s="183">
        <v>166.66493194125897</v>
      </c>
      <c r="W31" s="183">
        <v>175.30561840592125</v>
      </c>
      <c r="X31" s="183">
        <v>180.04905814658775</v>
      </c>
      <c r="Y31" s="183">
        <v>178.8159280797054</v>
      </c>
      <c r="Z31" s="183" cm="1">
        <f t="array" ref="Z31:AG31">TRANSPOSE([33]Alfa!$F$127:$F$134)</f>
        <v>8.8421180454274946E-4</v>
      </c>
      <c r="AA31" s="183">
        <v>0.37021492951950097</v>
      </c>
      <c r="AB31" s="183">
        <v>0</v>
      </c>
      <c r="AC31" s="183">
        <v>0.39181323003616186</v>
      </c>
      <c r="AD31" s="183">
        <v>4.4551171421031511E-3</v>
      </c>
      <c r="AE31" s="183">
        <v>0.38176799232950237</v>
      </c>
      <c r="AF31" s="183">
        <v>5.3643878443281673E-3</v>
      </c>
      <c r="AG31" s="183">
        <v>0.36098047955624463</v>
      </c>
      <c r="AH31" s="35" cm="1">
        <f t="array" ref="AH31:AO31">TRANSPOSE('[33]Silumos kiekio nustat.'!$F$25:$F$32)</f>
        <v>278.60252853072211</v>
      </c>
      <c r="AI31" s="35">
        <v>288.96449899407088</v>
      </c>
      <c r="AJ31" s="35">
        <v>296.78492416775589</v>
      </c>
      <c r="AK31" s="35">
        <v>302.09212908912156</v>
      </c>
      <c r="AL31" s="35">
        <v>304.91526387712014</v>
      </c>
      <c r="AM31" s="35">
        <v>305.28356686435603</v>
      </c>
      <c r="AN31" s="35">
        <v>303.22568828978791</v>
      </c>
      <c r="AO31" s="35">
        <v>298.76907954188397</v>
      </c>
      <c r="AP31" s="313">
        <f t="shared" si="5"/>
        <v>3.1171549432689509E-2</v>
      </c>
      <c r="AQ31" s="35">
        <f t="shared" si="6"/>
        <v>9.2682277505583226</v>
      </c>
      <c r="AR31" s="183" cm="1">
        <f t="array" ref="AR31:AY31">TRANSPOSE([33]Alfa!$E$127:$E$134)</f>
        <v>0.20774730135444064</v>
      </c>
      <c r="AS31" s="183">
        <v>0.17057977621925766</v>
      </c>
      <c r="AT31" s="183">
        <v>0.19010964796373717</v>
      </c>
      <c r="AU31" s="183">
        <v>0.12871141487232329</v>
      </c>
      <c r="AV31" s="183">
        <v>0.1302764728064745</v>
      </c>
      <c r="AW31" s="183">
        <v>0.14501238123677601</v>
      </c>
      <c r="AX31" s="183">
        <v>0.12018478599649095</v>
      </c>
      <c r="AY31" s="183">
        <v>0.14230483717916692</v>
      </c>
      <c r="AZ31" s="183">
        <f t="shared" si="7"/>
        <v>98.532494758909849</v>
      </c>
      <c r="BA31" s="183">
        <f>'Su K. oro stendu'!P76</f>
        <v>52.26</v>
      </c>
      <c r="BB31" s="183">
        <f t="shared" si="0"/>
        <v>98.531446540880509</v>
      </c>
      <c r="BC31" s="143">
        <v>52.26</v>
      </c>
      <c r="BD31" s="183">
        <f t="shared" si="1"/>
        <v>98.094339622641513</v>
      </c>
      <c r="BE31" s="143">
        <v>52.180999999999997</v>
      </c>
      <c r="BF31" s="183">
        <f t="shared" si="8"/>
        <v>96.779874213836479</v>
      </c>
      <c r="BG31" s="304">
        <v>51.942999999999998</v>
      </c>
      <c r="BH31" s="183">
        <f t="shared" si="9"/>
        <v>94.935010482180289</v>
      </c>
      <c r="BI31" s="143">
        <v>51.603000000000002</v>
      </c>
      <c r="BJ31" s="183">
        <f t="shared" si="10"/>
        <v>94.914046121593287</v>
      </c>
      <c r="BK31" s="143">
        <v>51.598999999999997</v>
      </c>
      <c r="BL31" s="183">
        <f t="shared" si="11"/>
        <v>93.119496855345915</v>
      </c>
      <c r="BM31" s="143">
        <v>51.261000000000003</v>
      </c>
      <c r="BN31" s="183">
        <f t="shared" si="12"/>
        <v>93.094339622641513</v>
      </c>
      <c r="BO31" s="143">
        <v>51.256</v>
      </c>
      <c r="BP31" s="183">
        <f t="shared" si="13"/>
        <v>91.408805031446548</v>
      </c>
      <c r="BQ31" s="183">
        <v>50.933</v>
      </c>
      <c r="BR31" s="183" cm="1">
        <f t="array" ref="BR31:BY31">TRANSPOSE('[33]Keithley Matavimai'!$W$6:$W$13)</f>
        <v>34.53396115946201</v>
      </c>
      <c r="BS31" s="183">
        <v>31.098368615207036</v>
      </c>
      <c r="BT31" s="183">
        <v>29.88077085716613</v>
      </c>
      <c r="BU31" s="183">
        <v>26.103226082884358</v>
      </c>
      <c r="BV31" s="183">
        <v>26.387472103766658</v>
      </c>
      <c r="BW31" s="183">
        <v>26.313564380765701</v>
      </c>
      <c r="BX31" s="183">
        <v>24.192765412138083</v>
      </c>
      <c r="BY31" s="183">
        <v>18.24313274208312</v>
      </c>
      <c r="BZ31" s="183" cm="1">
        <f t="array" ref="BZ31:CH31">TRANSPOSE('[33]Keithley Matavimai'!$V$5:$V$13)</f>
        <v>145.25055754554668</v>
      </c>
      <c r="CA31" s="183">
        <v>137.04708006919554</v>
      </c>
      <c r="CB31" s="183">
        <v>130.86618450492278</v>
      </c>
      <c r="CC31" s="183">
        <v>123.19694588496122</v>
      </c>
      <c r="CD31" s="183">
        <v>118.56814702125911</v>
      </c>
      <c r="CE31" s="183">
        <v>113.21482188801724</v>
      </c>
      <c r="CF31" s="183">
        <v>107.74922052671373</v>
      </c>
      <c r="CG31" s="183">
        <v>102.7189168840835</v>
      </c>
      <c r="CH31" s="183">
        <v>97.184271899871575</v>
      </c>
      <c r="CI31" s="183" cm="1">
        <f t="array" ref="CI31:CQ31">TRANSPOSE('[33]Silumos kiekio nustat.'!$B$24:$B$32)</f>
        <v>22.758769438908484</v>
      </c>
      <c r="CJ31" s="183">
        <v>21.141232122657744</v>
      </c>
      <c r="CK31" s="183">
        <v>19.45882687102263</v>
      </c>
      <c r="CL31" s="183">
        <v>17.725931068505339</v>
      </c>
      <c r="CM31" s="183">
        <v>15.956922099608061</v>
      </c>
      <c r="CN31" s="183">
        <v>14.166177348832992</v>
      </c>
      <c r="CO31" s="183">
        <v>12.368074200682326</v>
      </c>
      <c r="CP31" s="183">
        <v>10.576990039658252</v>
      </c>
      <c r="CQ31" s="183">
        <v>8.8073022502629694</v>
      </c>
      <c r="CR31" s="183">
        <f>'Su K. oro stendu'!P76</f>
        <v>52.26</v>
      </c>
      <c r="CS31" s="183"/>
      <c r="CT31" s="183">
        <v>7219.833384971028</v>
      </c>
      <c r="CU31" s="183">
        <f>[33]Alfa!$F$15</f>
        <v>912</v>
      </c>
      <c r="CV31" s="172">
        <f>'Su K. oro stendu'!J76</f>
        <v>2</v>
      </c>
      <c r="CW31" s="183">
        <f>'Su K. oro stendu'!D76</f>
        <v>5000</v>
      </c>
      <c r="CX31" s="183">
        <f>'Su K. oro stendu'!G76</f>
        <v>10</v>
      </c>
      <c r="CY31" s="183">
        <v>0.1117763157894737</v>
      </c>
      <c r="CZ31" s="183">
        <f>'Su K. oro stendu'!H76</f>
        <v>28.54</v>
      </c>
      <c r="DA31" s="183">
        <f>'Su K. oro stendu'!C76</f>
        <v>238.5</v>
      </c>
      <c r="DB31" s="183">
        <f>'Su K. oro stendu'!E76</f>
        <v>23.5</v>
      </c>
      <c r="DC31" s="183">
        <f>'Su K. oro stendu'!I76</f>
        <v>469.5</v>
      </c>
      <c r="DD31" s="183">
        <f>'Su K. oro stendu'!K76</f>
        <v>8.52</v>
      </c>
      <c r="DE31" s="183">
        <f>'Su K. oro stendu'!L76</f>
        <v>14.11</v>
      </c>
      <c r="DF31" s="183">
        <f>'Su K. oro stendu'!F76</f>
        <v>145</v>
      </c>
      <c r="DG31" s="253">
        <f>[33]Alfa!$D$29</f>
        <v>3190.2064963653515</v>
      </c>
      <c r="DH31" s="253">
        <f>[33]Alfa!$D$26</f>
        <v>7219.833384971028</v>
      </c>
      <c r="DI31" s="253">
        <f>[33]Alfa!$D$27</f>
        <v>4546.4410446971515</v>
      </c>
      <c r="DJ31" s="253">
        <f t="shared" si="14"/>
        <v>7736.6475410625026</v>
      </c>
      <c r="DK31" s="253">
        <f t="shared" si="20"/>
        <v>7478.2404630167657</v>
      </c>
      <c r="DL31" s="253">
        <f t="shared" si="16"/>
        <v>7.1582559947614158E-2</v>
      </c>
      <c r="DM31" s="183">
        <f>New!AC31</f>
        <v>3.9614782485535097E-5</v>
      </c>
      <c r="DN31" s="183">
        <f t="shared" si="2"/>
        <v>4.2388323940559999E-5</v>
      </c>
      <c r="DO31" s="183">
        <f t="shared" si="17"/>
        <v>0.93456826792882486</v>
      </c>
      <c r="DP31" s="183">
        <f t="shared" si="3"/>
        <v>158.54108528109791</v>
      </c>
      <c r="DQ31" s="297">
        <f>DH31/((DA31/3600)*New!BV31*(Sheet3!BZ31-Sheet3!CP31)*1000)</f>
        <v>0.72827567009850469</v>
      </c>
      <c r="DR31" s="166">
        <f>(DB31*0.018)/(0.011*New!IV31*3600)</f>
        <v>770.57311615654555</v>
      </c>
      <c r="DS31" s="166">
        <f>(New!IV31*New!CE31*1000)/New!AU31</f>
        <v>0.64719895598215416</v>
      </c>
      <c r="DT31" s="166">
        <f>IF(DR31&gt;2300,0.023*((DR31^(4/5)*DS31^(1/3))/(1+12.7*(DS31^(2/3)-1)))*(New!IV31/DV31)^0.14, 0.943*(DR31*DS31*New!IV31/Sheet3!DV31)^0.4)</f>
        <v>13.033709659495761</v>
      </c>
      <c r="DU31" s="166">
        <f t="shared" si="4"/>
        <v>-973.27726655159938</v>
      </c>
      <c r="DV31" s="166">
        <f>_xlfn.FORECAST.LINEAR(AVERAGE(_xlfn.ANCHORARRAY(BR31)),Sheet2!$AK$2:$AK$69,Sheet2!$AJ$2:$AJ$69)</f>
        <v>9.734017336508089E-6</v>
      </c>
    </row>
    <row r="32" spans="1:126" x14ac:dyDescent="0.3">
      <c r="A32" s="184" t="str">
        <f>'Su K. oro stendu'!B77</f>
        <v>20.12.2022</v>
      </c>
      <c r="B32" s="183">
        <v>0</v>
      </c>
      <c r="C32" s="183">
        <v>395</v>
      </c>
      <c r="D32" s="183">
        <v>0</v>
      </c>
      <c r="E32" s="183">
        <v>434</v>
      </c>
      <c r="F32" s="183">
        <v>5</v>
      </c>
      <c r="G32" s="183">
        <v>435</v>
      </c>
      <c r="H32" s="183">
        <v>4</v>
      </c>
      <c r="I32" s="183">
        <v>411</v>
      </c>
      <c r="J32" s="183" cm="1">
        <f t="array" ref="J32:Q32">TRANSPOSE('[34]Nu kitimas'!$J$4:$J$11)</f>
        <v>61.244562641918392</v>
      </c>
      <c r="K32" s="183">
        <v>65.475544531117038</v>
      </c>
      <c r="L32" s="183">
        <v>71.804821040570303</v>
      </c>
      <c r="M32" s="183">
        <v>77.906481273036277</v>
      </c>
      <c r="N32" s="183">
        <v>84.146704044618076</v>
      </c>
      <c r="O32" s="183">
        <v>91.153237160009482</v>
      </c>
      <c r="P32" s="183">
        <v>96.93215299006539</v>
      </c>
      <c r="Q32" s="183">
        <v>101.4272248525815</v>
      </c>
      <c r="R32" s="183" cm="1">
        <f t="array" ref="R32:Y32">TRANSPOSE([34]Alfa!$G$18:$G$25)</f>
        <v>115.56368825889881</v>
      </c>
      <c r="S32" s="183">
        <v>121.70500555533107</v>
      </c>
      <c r="T32" s="183">
        <v>130.6126335680143</v>
      </c>
      <c r="U32" s="183">
        <v>140.21754450548659</v>
      </c>
      <c r="V32" s="183">
        <v>149.01843073582</v>
      </c>
      <c r="W32" s="183">
        <v>158.85425970015118</v>
      </c>
      <c r="X32" s="183">
        <v>166.24341725567433</v>
      </c>
      <c r="Y32" s="183">
        <v>170.45972113513417</v>
      </c>
      <c r="Z32" s="183" cm="1">
        <f t="array" ref="Z32:AG32">TRANSPOSE([34]Alfa!$F$127:$F$134)</f>
        <v>0</v>
      </c>
      <c r="AA32" s="183">
        <v>0.35310642106304591</v>
      </c>
      <c r="AB32" s="183">
        <v>0</v>
      </c>
      <c r="AC32" s="183">
        <v>0.38910472818277575</v>
      </c>
      <c r="AD32" s="183">
        <v>4.4847711867375762E-3</v>
      </c>
      <c r="AE32" s="183">
        <v>0.3905779070530056</v>
      </c>
      <c r="AF32" s="183">
        <v>3.60068729529526E-3</v>
      </c>
      <c r="AG32" s="183">
        <v>0.37180834579265798</v>
      </c>
      <c r="AH32" s="35" cm="1">
        <f t="array" ref="AH32:AO32">TRANSPOSE('[34]Silumos kiekio nustat.'!$F$25:$F$32)</f>
        <v>311.43498394377065</v>
      </c>
      <c r="AI32" s="35">
        <v>320.91972642064337</v>
      </c>
      <c r="AJ32" s="35">
        <v>328.70265355641055</v>
      </c>
      <c r="AK32" s="35">
        <v>334.80371362185633</v>
      </c>
      <c r="AL32" s="35">
        <v>339.24341876886859</v>
      </c>
      <c r="AM32" s="35">
        <v>342.04249329410692</v>
      </c>
      <c r="AN32" s="35">
        <v>343.22154516513348</v>
      </c>
      <c r="AO32" s="35">
        <v>342.80076345331253</v>
      </c>
      <c r="AP32" s="313">
        <f t="shared" si="5"/>
        <v>3.5066580878455468E-2</v>
      </c>
      <c r="AQ32" s="35">
        <f t="shared" si="6"/>
        <v>11.673530198649372</v>
      </c>
      <c r="AR32" s="183" cm="1">
        <f t="array" ref="AR32:AY32">TRANSPOSE([34]Alfa!$E$127:$E$134)</f>
        <v>0.21670797971596789</v>
      </c>
      <c r="AS32" s="183">
        <v>0.19332502042309799</v>
      </c>
      <c r="AT32" s="183">
        <v>0.24813557515847837</v>
      </c>
      <c r="AU32" s="183">
        <v>0.14106283163296568</v>
      </c>
      <c r="AV32" s="183">
        <v>0.1800915952098521</v>
      </c>
      <c r="AW32" s="183">
        <v>0.1978908551779239</v>
      </c>
      <c r="AX32" s="183">
        <v>0.17188020155826578</v>
      </c>
      <c r="AY32" s="183">
        <v>0.2352032344667033</v>
      </c>
      <c r="AZ32" s="183">
        <f t="shared" si="7"/>
        <v>101.21457489878543</v>
      </c>
      <c r="BA32" s="183">
        <f>'Su K. oro stendu'!P77</f>
        <v>52.734999999999999</v>
      </c>
      <c r="BB32" s="183">
        <f t="shared" si="0"/>
        <v>101.21457489878543</v>
      </c>
      <c r="BC32" s="143">
        <v>52.734999999999999</v>
      </c>
      <c r="BD32" s="183">
        <f t="shared" si="1"/>
        <v>100.81477732793522</v>
      </c>
      <c r="BE32" s="143">
        <v>52.664999999999999</v>
      </c>
      <c r="BF32" s="183">
        <f t="shared" si="8"/>
        <v>99.615384615384613</v>
      </c>
      <c r="BG32" s="143">
        <v>52.453000000000003</v>
      </c>
      <c r="BH32" s="183">
        <f t="shared" si="9"/>
        <v>97.858299595141702</v>
      </c>
      <c r="BI32" s="143">
        <v>52.139000000000003</v>
      </c>
      <c r="BJ32" s="183">
        <f t="shared" si="10"/>
        <v>97.838056680161941</v>
      </c>
      <c r="BK32" s="143">
        <v>52.134999999999998</v>
      </c>
      <c r="BL32" s="183">
        <f t="shared" si="11"/>
        <v>96.07692307692308</v>
      </c>
      <c r="BM32" s="143">
        <v>51.814</v>
      </c>
      <c r="BN32" s="183">
        <f t="shared" si="12"/>
        <v>96.060728744939269</v>
      </c>
      <c r="BO32" s="143">
        <v>51.811</v>
      </c>
      <c r="BP32" s="183">
        <f t="shared" si="13"/>
        <v>94.396761133603235</v>
      </c>
      <c r="BQ32" s="143">
        <v>51.502000000000002</v>
      </c>
      <c r="BR32" s="183" cm="1">
        <f t="array" ref="BR32:BY32">TRANSPOSE('[34]Keithley Matavimai'!$W$6:$W$13)</f>
        <v>35.796664875640417</v>
      </c>
      <c r="BS32" s="183">
        <v>31.728175266390334</v>
      </c>
      <c r="BT32" s="183">
        <v>31.005843267814701</v>
      </c>
      <c r="BU32" s="183">
        <v>26.910438167140452</v>
      </c>
      <c r="BV32" s="183">
        <v>27.473849137541162</v>
      </c>
      <c r="BW32" s="183">
        <v>27.499393901256013</v>
      </c>
      <c r="BX32" s="183">
        <v>25.174572659931908</v>
      </c>
      <c r="BY32" s="183">
        <v>18.540605977279</v>
      </c>
      <c r="BZ32" s="183" cm="1">
        <f t="array" ref="BZ32:CH32">TRANSPOSE('[34]Keithley Matavimai'!$V$5:$V$13)</f>
        <v>171.18229532179717</v>
      </c>
      <c r="CA32" s="183">
        <v>163.06722734392488</v>
      </c>
      <c r="CB32" s="183">
        <v>156.4474709729773</v>
      </c>
      <c r="CC32" s="183">
        <v>146.98175129069821</v>
      </c>
      <c r="CD32" s="183">
        <v>142.24266417687102</v>
      </c>
      <c r="CE32" s="183">
        <v>135.23819176193828</v>
      </c>
      <c r="CF32" s="183">
        <v>128.09214198858612</v>
      </c>
      <c r="CG32" s="183">
        <v>121.25879323393275</v>
      </c>
      <c r="CH32" s="183">
        <v>112.34334614315196</v>
      </c>
      <c r="CI32" s="183" cm="1">
        <f t="array" ref="CI32:CQ32">TRANSPOSE('[34]Silumos kiekio nustat.'!$B$24:$B$32)</f>
        <v>23.693737040330554</v>
      </c>
      <c r="CJ32" s="183">
        <v>21.996780770975388</v>
      </c>
      <c r="CK32" s="183">
        <v>20.24298205230421</v>
      </c>
      <c r="CL32" s="183">
        <v>18.441253240784548</v>
      </c>
      <c r="CM32" s="183">
        <v>16.600506692883926</v>
      </c>
      <c r="CN32" s="183">
        <v>14.729654765069869</v>
      </c>
      <c r="CO32" s="183">
        <v>12.837609813809911</v>
      </c>
      <c r="CP32" s="183">
        <v>10.933284195571572</v>
      </c>
      <c r="CQ32" s="183">
        <v>9.0255902668223804</v>
      </c>
      <c r="CR32" s="183">
        <f>'Su K. oro stendu'!P77</f>
        <v>52.734999999999999</v>
      </c>
      <c r="CS32" s="183"/>
      <c r="CT32" s="183">
        <v>8088.0808335726033</v>
      </c>
      <c r="CU32" s="183">
        <f>[34]Alfa!$F$15</f>
        <v>905</v>
      </c>
      <c r="CV32" s="172">
        <f>'Su K. oro stendu'!J77</f>
        <v>2</v>
      </c>
      <c r="CW32" s="183">
        <f>'Su K. oro stendu'!D77</f>
        <v>5000</v>
      </c>
      <c r="CX32" s="183">
        <f>'Su K. oro stendu'!G77</f>
        <v>10</v>
      </c>
      <c r="CY32" s="183">
        <v>0.111646408839779</v>
      </c>
      <c r="CZ32" s="183">
        <f>'Su K. oro stendu'!H77</f>
        <v>26.8</v>
      </c>
      <c r="DA32" s="183">
        <f>'Su K. oro stendu'!C77</f>
        <v>247</v>
      </c>
      <c r="DB32" s="183">
        <f>'Su K. oro stendu'!E77</f>
        <v>25</v>
      </c>
      <c r="DC32" s="183">
        <f>'Su K. oro stendu'!I77</f>
        <v>499.5</v>
      </c>
      <c r="DD32" s="183">
        <f>'Su K. oro stendu'!K77</f>
        <v>8.74</v>
      </c>
      <c r="DE32" s="183">
        <f>'Su K. oro stendu'!L77</f>
        <v>14.84</v>
      </c>
      <c r="DF32" s="183">
        <f>'Su K. oro stendu'!F77</f>
        <v>175</v>
      </c>
      <c r="DG32" s="253">
        <f>[34]Alfa!$D$29</f>
        <v>4121.854910115153</v>
      </c>
      <c r="DH32" s="253">
        <f>[34]Alfa!$D$26</f>
        <v>8088.0808335726033</v>
      </c>
      <c r="DI32" s="253">
        <f>[34]Alfa!$D$27</f>
        <v>4538.0485817205545</v>
      </c>
      <c r="DJ32" s="253">
        <f t="shared" si="14"/>
        <v>8659.9034918357065</v>
      </c>
      <c r="DK32" s="253">
        <f t="shared" si="20"/>
        <v>8373.9921627041549</v>
      </c>
      <c r="DL32" s="253">
        <f t="shared" si="16"/>
        <v>7.0699424255200261E-2</v>
      </c>
      <c r="DM32" s="183">
        <f>New!AC32</f>
        <v>4.5381517398781572E-5</v>
      </c>
      <c r="DN32" s="183">
        <f t="shared" si="2"/>
        <v>4.6283948751360004E-5</v>
      </c>
      <c r="DO32" s="183">
        <f t="shared" si="17"/>
        <v>0.98050228260716599</v>
      </c>
      <c r="DP32" s="183">
        <f t="shared" si="3"/>
        <v>144.0843375893138</v>
      </c>
      <c r="DQ32" s="297">
        <f>DH32/((DA32/3600)*New!BV32*(Sheet3!BZ32-Sheet3!CP32)*1000)</f>
        <v>0.65674343729832962</v>
      </c>
      <c r="DR32" s="166">
        <f>(DB32*0.018)/(0.011*New!IV32*3600)</f>
        <v>762.01869298536462</v>
      </c>
      <c r="DS32" s="166">
        <f>(New!IV32*New!CE32*1000)/New!AU32</f>
        <v>0.59159404006173677</v>
      </c>
      <c r="DT32" s="166">
        <f>IF(DR32&gt;2300,0.023*((DR32^(4/5)*DS32^(1/3))/(1+12.7*(DS32^(2/3)-1)))*(New!IV32/DV32)^0.14, 0.943*(DR32*DS32*New!IV32/Sheet3!DV32)^0.4)</f>
        <v>12.871706161133945</v>
      </c>
      <c r="DU32" s="166">
        <f t="shared" si="4"/>
        <v>-923.86959104208574</v>
      </c>
      <c r="DV32" s="166">
        <f>_xlfn.FORECAST.LINEAR(AVERAGE(_xlfn.ANCHORARRAY(BR32)),Sheet2!$AK$2:$AK$69,Sheet2!$AJ$2:$AJ$69)</f>
        <v>9.7662999216182307E-6</v>
      </c>
    </row>
    <row r="33" spans="1:126" ht="15" thickBot="1" x14ac:dyDescent="0.35">
      <c r="A33" s="184" t="str">
        <f>'Su K. oro stendu'!B78</f>
        <v>22.12.2022</v>
      </c>
      <c r="B33" s="183">
        <v>0</v>
      </c>
      <c r="C33" s="183">
        <v>328</v>
      </c>
      <c r="D33" s="183">
        <v>0</v>
      </c>
      <c r="E33" s="183">
        <v>399</v>
      </c>
      <c r="F33" s="183">
        <v>0</v>
      </c>
      <c r="G33" s="183">
        <v>400</v>
      </c>
      <c r="H33" s="183">
        <v>0</v>
      </c>
      <c r="I33" s="183">
        <v>383</v>
      </c>
      <c r="J33" s="183" cm="1">
        <f t="array" ref="J33:Q33">TRANSPOSE('[35]Nu kitimas'!$I$4:$I$11)</f>
        <v>51.990737156321558</v>
      </c>
      <c r="K33" s="183">
        <v>57.392592877084198</v>
      </c>
      <c r="L33" s="183">
        <v>63.789230143140131</v>
      </c>
      <c r="M33" s="183">
        <v>68.803175180684718</v>
      </c>
      <c r="N33" s="183">
        <v>73.887202527349572</v>
      </c>
      <c r="O33" s="183">
        <v>78.71751171627271</v>
      </c>
      <c r="P33" s="183">
        <v>81.634344420448045</v>
      </c>
      <c r="Q33" s="183">
        <v>81.090196127368699</v>
      </c>
      <c r="R33" s="183" cm="1">
        <f t="array" ref="R33:Y33">TRANSPOSE([35]Alfa!$G$18:$G$25)</f>
        <v>104.72019429655239</v>
      </c>
      <c r="S33" s="183">
        <v>113.19686506860729</v>
      </c>
      <c r="T33" s="183">
        <v>122.60383584606791</v>
      </c>
      <c r="U33" s="183">
        <v>130.78430443335625</v>
      </c>
      <c r="V33" s="183">
        <v>137.50765805227277</v>
      </c>
      <c r="W33" s="183">
        <v>144.04090158510209</v>
      </c>
      <c r="X33" s="183">
        <v>146.66203723759503</v>
      </c>
      <c r="Y33" s="183">
        <v>143.61237196260856</v>
      </c>
      <c r="Z33" s="183" cm="1">
        <f t="array" ref="Z33:AG33">TRANSPOSE([35]Alfa!$F$127:$F$134)</f>
        <v>0</v>
      </c>
      <c r="AA33" s="183">
        <v>0.29447086292436725</v>
      </c>
      <c r="AB33" s="183">
        <v>0</v>
      </c>
      <c r="AC33" s="183">
        <v>0.35943491579812958</v>
      </c>
      <c r="AD33" s="183">
        <v>0</v>
      </c>
      <c r="AE33" s="183">
        <v>0.36093666643897215</v>
      </c>
      <c r="AF33" s="183">
        <v>0</v>
      </c>
      <c r="AG33" s="183">
        <v>0.34833863522509639</v>
      </c>
      <c r="AH33" s="35" cm="1">
        <f t="array" ref="AH33:AO33">TRANSPOSE('[35]Silumos kiekio nustat.'!$F$25:$F$32)</f>
        <v>346.40499036937405</v>
      </c>
      <c r="AI33" s="35">
        <v>360.68713340304384</v>
      </c>
      <c r="AJ33" s="35">
        <v>370.33890563895812</v>
      </c>
      <c r="AK33" s="35">
        <v>375.4190678934184</v>
      </c>
      <c r="AL33" s="35">
        <v>375.98747969748223</v>
      </c>
      <c r="AM33" s="35">
        <v>372.10303121698706</v>
      </c>
      <c r="AN33" s="35">
        <v>363.8217884810781</v>
      </c>
      <c r="AO33" s="35">
        <v>351.19536245661379</v>
      </c>
      <c r="AP33" s="313">
        <f t="shared" si="5"/>
        <v>3.0454132738291301E-2</v>
      </c>
      <c r="AQ33" s="35">
        <f t="shared" si="6"/>
        <v>11.10037058207705</v>
      </c>
      <c r="AR33" s="183" cm="1">
        <f t="array" ref="AR33:AY33">TRANSPOSE([35]Alfa!$E$127:$E$134)</f>
        <v>0.34978465132006487</v>
      </c>
      <c r="AS33" s="183">
        <v>0.28251192015472831</v>
      </c>
      <c r="AT33" s="183">
        <v>0.32788858726354958</v>
      </c>
      <c r="AU33" s="183">
        <v>0.15629644967147219</v>
      </c>
      <c r="AV33" s="183">
        <v>0.26117100760350392</v>
      </c>
      <c r="AW33" s="183">
        <v>0.22409013121368351</v>
      </c>
      <c r="AX33" s="183">
        <v>0.21849984109150611</v>
      </c>
      <c r="AY33" s="183">
        <v>0.18729011032090706</v>
      </c>
      <c r="AZ33" s="183">
        <f t="shared" si="7"/>
        <v>100</v>
      </c>
      <c r="BA33" s="183">
        <f>'Su K. oro stendu'!P78</f>
        <v>52.521000000000001</v>
      </c>
      <c r="BB33" s="183">
        <f t="shared" ref="BB33:BB64" si="21">((DB33-(B33/4000))*1000)/DA33</f>
        <v>100</v>
      </c>
      <c r="BC33" s="143">
        <v>52.521000000000001</v>
      </c>
      <c r="BD33" s="183">
        <f t="shared" ref="BD33:BD64" si="22">((DB33-((B33+C33)/4000))*1000)/DA33</f>
        <v>99.684615384615384</v>
      </c>
      <c r="BE33" s="143">
        <v>52.466000000000001</v>
      </c>
      <c r="BF33" s="183">
        <f t="shared" si="8"/>
        <v>98.738461538461536</v>
      </c>
      <c r="BG33" s="143">
        <v>52.296999999999997</v>
      </c>
      <c r="BH33" s="183">
        <f t="shared" si="9"/>
        <v>97.203846153846158</v>
      </c>
      <c r="BI33" s="143">
        <v>52.02</v>
      </c>
      <c r="BJ33" s="183">
        <f t="shared" si="10"/>
        <v>97.203846153846158</v>
      </c>
      <c r="BK33" s="304">
        <v>52.02</v>
      </c>
      <c r="BL33" s="183">
        <f t="shared" si="11"/>
        <v>95.66538461538461</v>
      </c>
      <c r="BM33" s="143">
        <v>51.738</v>
      </c>
      <c r="BN33" s="183">
        <f t="shared" si="12"/>
        <v>95.66538461538461</v>
      </c>
      <c r="BO33" s="143">
        <v>51.738</v>
      </c>
      <c r="BP33" s="183">
        <f t="shared" si="13"/>
        <v>94.192307692307693</v>
      </c>
      <c r="BQ33" s="183">
        <v>51.463999999999999</v>
      </c>
      <c r="BR33" s="183" cm="1">
        <f t="array" ref="BR33:BY33">TRANSPOSE('[36]Keithley Matavimai'!$W$6:$W$13)</f>
        <v>40.862208796470405</v>
      </c>
      <c r="BS33" s="183">
        <v>33.593282799225072</v>
      </c>
      <c r="BT33" s="183">
        <v>35.485491296426694</v>
      </c>
      <c r="BU33" s="183">
        <v>29.610261608872317</v>
      </c>
      <c r="BV33" s="183">
        <v>30.258025006507363</v>
      </c>
      <c r="BW33" s="183">
        <v>29.673685195359951</v>
      </c>
      <c r="BX33" s="183">
        <v>27.331336401571793</v>
      </c>
      <c r="BY33" s="183">
        <v>18.523856627106497</v>
      </c>
      <c r="BZ33" s="183" cm="1">
        <f t="array" ref="BZ33:CH33">TRANSPOSE('[36]Keithley Matavimai'!$V$5:$V$13)</f>
        <v>202.90732160009756</v>
      </c>
      <c r="CA33" s="183">
        <v>195.54470766783189</v>
      </c>
      <c r="CB33" s="183">
        <v>188.72566484237839</v>
      </c>
      <c r="CC33" s="183">
        <v>180.34717014827757</v>
      </c>
      <c r="CD33" s="183">
        <v>175.67004124633033</v>
      </c>
      <c r="CE33" s="183">
        <v>169.10727747631401</v>
      </c>
      <c r="CF33" s="183">
        <v>164.10331917074822</v>
      </c>
      <c r="CG33" s="183">
        <v>157.53020149662632</v>
      </c>
      <c r="CH33" s="183">
        <v>152.36779630026584</v>
      </c>
      <c r="CI33" s="183" cm="1">
        <f t="array" ref="CI33:CQ33">TRANSPOSE('[36]Silumos kiekio nustat.'!$B$24:$B$32)</f>
        <v>26.269969028221986</v>
      </c>
      <c r="CJ33" s="183">
        <v>24.132517257031036</v>
      </c>
      <c r="CK33" s="183">
        <v>22.023894627785346</v>
      </c>
      <c r="CL33" s="183">
        <v>19.924563681375748</v>
      </c>
      <c r="CM33" s="183">
        <v>17.814986958693062</v>
      </c>
      <c r="CN33" s="183">
        <v>15.675627000628118</v>
      </c>
      <c r="CO33" s="183">
        <v>13.486946348071747</v>
      </c>
      <c r="CP33" s="183">
        <v>11.229407541914767</v>
      </c>
      <c r="CQ33" s="183">
        <v>8.8834731230480095</v>
      </c>
      <c r="CR33" s="183">
        <f>'Su K. oro stendu'!P78</f>
        <v>52.521000000000001</v>
      </c>
      <c r="CS33" s="183"/>
      <c r="CT33" s="183">
        <v>8852.9268518950066</v>
      </c>
      <c r="CU33" s="183">
        <f>[35]Alfa!$F$15</f>
        <v>900</v>
      </c>
      <c r="CV33" s="172">
        <f>'Su K. oro stendu'!J78</f>
        <v>2</v>
      </c>
      <c r="CW33" s="183">
        <f>'Su K. oro stendu'!D78</f>
        <v>5000</v>
      </c>
      <c r="CX33" s="183">
        <f>'Su K. oro stendu'!G78</f>
        <v>10</v>
      </c>
      <c r="CY33" s="183">
        <v>0.10066666666666667</v>
      </c>
      <c r="CZ33" s="183">
        <f>'Su K. oro stendu'!H78</f>
        <v>23.23</v>
      </c>
      <c r="DA33" s="183">
        <f>'Su K. oro stendu'!C78</f>
        <v>260</v>
      </c>
      <c r="DB33" s="183">
        <f>'Su K. oro stendu'!E78</f>
        <v>26</v>
      </c>
      <c r="DC33" s="183">
        <f>'Su K. oro stendu'!I78</f>
        <v>522</v>
      </c>
      <c r="DD33" s="183">
        <f>'Su K. oro stendu'!K78</f>
        <v>8.49</v>
      </c>
      <c r="DE33" s="183">
        <f>'Su K. oro stendu'!L78</f>
        <v>15.54</v>
      </c>
      <c r="DF33" s="183">
        <f>'Su K. oro stendu'!F78</f>
        <v>205</v>
      </c>
      <c r="DG33" s="253">
        <f>[35]Alfa!$D$29</f>
        <v>5260.6733929361517</v>
      </c>
      <c r="DH33" s="253">
        <f>[35]Alfa!$D$26</f>
        <v>8852.9268518950066</v>
      </c>
      <c r="DI33" s="253">
        <f>[35]Alfa!$D$27</f>
        <v>4089.5432411596958</v>
      </c>
      <c r="DJ33" s="253">
        <f t="shared" si="14"/>
        <v>9350.2166340958465</v>
      </c>
      <c r="DK33" s="253">
        <f t="shared" si="20"/>
        <v>9101.5717429954275</v>
      </c>
      <c r="DL33" s="253">
        <f t="shared" si="16"/>
        <v>5.6172358647060654E-2</v>
      </c>
      <c r="DM33" s="183">
        <f>New!AC33</f>
        <v>5.1442633734049931E-5</v>
      </c>
      <c r="DN33" s="183">
        <f t="shared" si="2"/>
        <v>5.0323119098159997E-5</v>
      </c>
      <c r="DO33" s="183">
        <f t="shared" si="17"/>
        <v>1.0222465271619237</v>
      </c>
      <c r="DP33" s="183">
        <f t="shared" si="3"/>
        <v>130.3910210602703</v>
      </c>
      <c r="DQ33" s="297">
        <f>DH33/((DA33/3600)*New!BV33*(Sheet3!BZ33-Sheet3!CP33)*1000)</f>
        <v>0.56809054175363505</v>
      </c>
      <c r="DR33" s="166">
        <f>(DB33*0.018)/(0.011*New!IV33*3600)</f>
        <v>740.35249436522543</v>
      </c>
      <c r="DS33" s="166">
        <f>(New!IV33*New!CE33*1000)/New!AU33</f>
        <v>0.55193626425495013</v>
      </c>
      <c r="DT33" s="166">
        <f>IF(DR33&gt;2300,0.023*((DR33^(4/5)*DS33^(1/3))/(1+12.7*(DS33^(2/3)-1)))*(New!IV33/DV33)^0.14, 0.943*(DR33*DS33*New!IV33/Sheet3!DV33)^0.4)</f>
        <v>12.669289695546004</v>
      </c>
      <c r="DU33" s="166">
        <f t="shared" si="4"/>
        <v>-868.79676142245285</v>
      </c>
      <c r="DV33" s="166">
        <f>_xlfn.FORECAST.LINEAR(AVERAGE(_xlfn.ANCHORARRAY(BR33)),Sheet2!$AK$2:$AK$69,Sheet2!$AJ$2:$AJ$69)</f>
        <v>9.8591202053970396E-6</v>
      </c>
    </row>
    <row r="34" spans="1:126" x14ac:dyDescent="0.3">
      <c r="A34" s="184" t="str">
        <f>'Su K. oro stendu'!B79</f>
        <v>22.12.2022</v>
      </c>
      <c r="B34" s="183">
        <v>0</v>
      </c>
      <c r="C34" s="183">
        <v>673</v>
      </c>
      <c r="D34" s="183">
        <v>0</v>
      </c>
      <c r="E34" s="183">
        <v>744</v>
      </c>
      <c r="F34" s="183">
        <v>0</v>
      </c>
      <c r="G34" s="183">
        <v>765</v>
      </c>
      <c r="H34" s="183">
        <v>0</v>
      </c>
      <c r="I34" s="183">
        <v>747</v>
      </c>
      <c r="J34" s="183" cm="1">
        <f t="array" ref="J34:Q34">TRANSPOSE('[36]Nu kitimas'!$G$4:$G$11)</f>
        <v>118.5203966024052</v>
      </c>
      <c r="K34" s="183">
        <v>119.60481614191255</v>
      </c>
      <c r="L34" s="183">
        <v>125.10305952231306</v>
      </c>
      <c r="M34" s="183">
        <v>131.6546292016902</v>
      </c>
      <c r="N34" s="183">
        <v>140.17983092166924</v>
      </c>
      <c r="O34" s="183">
        <v>149.42608218119727</v>
      </c>
      <c r="P34" s="183">
        <v>158.77166851797668</v>
      </c>
      <c r="Q34" s="183">
        <v>165.1250320082203</v>
      </c>
      <c r="R34" s="183" cm="1">
        <f t="array" ref="R34:Y34">TRANSPOSE([36]Alfa!$G$18:$G$25)</f>
        <v>243.01865464929853</v>
      </c>
      <c r="S34" s="183">
        <v>240.96239709245646</v>
      </c>
      <c r="T34" s="183">
        <v>246.80518158867278</v>
      </c>
      <c r="U34" s="183">
        <v>256.60562713029071</v>
      </c>
      <c r="V34" s="183">
        <v>268.75252699240599</v>
      </c>
      <c r="W34" s="183">
        <v>282.8613418330832</v>
      </c>
      <c r="X34" s="183">
        <v>295.61545548559928</v>
      </c>
      <c r="Y34" s="183">
        <v>303.51151875549266</v>
      </c>
      <c r="Z34" s="183" cm="1">
        <f t="array" ref="Z34:AG34">TRANSPOSE([36]Alfa!$F$127:$F$134)</f>
        <v>0</v>
      </c>
      <c r="AA34" s="183">
        <v>0.90443824511451776</v>
      </c>
      <c r="AB34" s="183">
        <v>0</v>
      </c>
      <c r="AC34" s="183">
        <v>1.0033184218521489</v>
      </c>
      <c r="AD34" s="183">
        <v>0</v>
      </c>
      <c r="AE34" s="183">
        <v>1.0334428535725457</v>
      </c>
      <c r="AF34" s="183">
        <v>0</v>
      </c>
      <c r="AG34" s="183">
        <v>1.0192365754559132</v>
      </c>
      <c r="AH34" s="35" cm="1">
        <f t="array" ref="AH34:AO34">TRANSPOSE('[36]Silumos kiekio nustat.'!$F$25:$F$32)</f>
        <v>792.49379064016762</v>
      </c>
      <c r="AI34" s="35">
        <v>778.93311113267032</v>
      </c>
      <c r="AJ34" s="35">
        <v>772.71756064110104</v>
      </c>
      <c r="AK34" s="35">
        <v>773.74222369143411</v>
      </c>
      <c r="AL34" s="35">
        <v>781.90685006086392</v>
      </c>
      <c r="AM34" s="35">
        <v>797.11371152176241</v>
      </c>
      <c r="AN34" s="35">
        <v>819.26577725704351</v>
      </c>
      <c r="AO34" s="35">
        <v>848.26523493449133</v>
      </c>
      <c r="AP34" s="313">
        <f t="shared" si="5"/>
        <v>3.2957641683777107E-2</v>
      </c>
      <c r="AQ34" s="35">
        <f t="shared" si="6"/>
        <v>26.219609460953947</v>
      </c>
      <c r="AR34" s="183" cm="1">
        <f t="array" ref="AR34:AY34">TRANSPOSE([36]Alfa!$E$127:$E$134)</f>
        <v>0.42894611917173325</v>
      </c>
      <c r="AS34" s="183">
        <v>0.44677155890378278</v>
      </c>
      <c r="AT34" s="183">
        <v>0.48506204107908113</v>
      </c>
      <c r="AU34" s="183">
        <v>0.32086179882474997</v>
      </c>
      <c r="AV34" s="183">
        <v>0.3740631286480755</v>
      </c>
      <c r="AW34" s="183">
        <v>0.33271607267153952</v>
      </c>
      <c r="AX34" s="183">
        <v>0.36735803097835817</v>
      </c>
      <c r="AY34" s="183">
        <v>0.33122465782672789</v>
      </c>
      <c r="AZ34" s="183">
        <f t="shared" si="7"/>
        <v>199.20318725099602</v>
      </c>
      <c r="BA34" s="183">
        <f>'Su K. oro stendu'!P79</f>
        <v>64.501000000000005</v>
      </c>
      <c r="BB34" s="183">
        <f t="shared" si="21"/>
        <v>199.20318725099602</v>
      </c>
      <c r="BC34" s="143">
        <v>64.501000000000005</v>
      </c>
      <c r="BD34" s="183">
        <f t="shared" si="22"/>
        <v>198.86802788844622</v>
      </c>
      <c r="BE34" s="143">
        <v>64.472999999999999</v>
      </c>
      <c r="BF34" s="183">
        <f t="shared" si="8"/>
        <v>197.86254980079681</v>
      </c>
      <c r="BG34" s="143">
        <v>64.387</v>
      </c>
      <c r="BH34" s="183">
        <f t="shared" si="9"/>
        <v>196.38047808764941</v>
      </c>
      <c r="BI34" s="143">
        <v>64.260000000000005</v>
      </c>
      <c r="BJ34" s="183">
        <f t="shared" si="10"/>
        <v>196.38047808764941</v>
      </c>
      <c r="BK34" s="143">
        <v>64.260000000000005</v>
      </c>
      <c r="BL34" s="183">
        <f t="shared" si="11"/>
        <v>194.85657370517927</v>
      </c>
      <c r="BM34" s="143">
        <v>64.128</v>
      </c>
      <c r="BN34" s="183">
        <f t="shared" si="12"/>
        <v>194.85657370517927</v>
      </c>
      <c r="BO34" s="143">
        <v>64.128</v>
      </c>
      <c r="BP34" s="183">
        <f t="shared" si="13"/>
        <v>193.36852589641435</v>
      </c>
      <c r="BQ34" s="143">
        <v>63.999000000000002</v>
      </c>
      <c r="BR34" s="183" cm="1">
        <f t="array" ref="BR34:BY34">TRANSPOSE('[36]Keithley Matavimai'!$W$6:$W$13)</f>
        <v>40.862208796470405</v>
      </c>
      <c r="BS34" s="183">
        <v>33.593282799225072</v>
      </c>
      <c r="BT34" s="183">
        <v>35.485491296426694</v>
      </c>
      <c r="BU34" s="183">
        <v>29.610261608872317</v>
      </c>
      <c r="BV34" s="183">
        <v>30.258025006507363</v>
      </c>
      <c r="BW34" s="183">
        <v>29.673685195359951</v>
      </c>
      <c r="BX34" s="183">
        <v>27.331336401571793</v>
      </c>
      <c r="BY34" s="183">
        <v>18.523856627106497</v>
      </c>
      <c r="BZ34" s="183" cm="1">
        <f t="array" ref="BZ34:CH34">TRANSPOSE('[36]Keithley Matavimai'!$V$5:$V$13)</f>
        <v>202.90732160009756</v>
      </c>
      <c r="CA34" s="183">
        <v>195.54470766783189</v>
      </c>
      <c r="CB34" s="183">
        <v>188.72566484237839</v>
      </c>
      <c r="CC34" s="183">
        <v>180.34717014827757</v>
      </c>
      <c r="CD34" s="183">
        <v>175.67004124633033</v>
      </c>
      <c r="CE34" s="183">
        <v>169.10727747631401</v>
      </c>
      <c r="CF34" s="183">
        <v>164.10331917074822</v>
      </c>
      <c r="CG34" s="183">
        <v>157.53020149662632</v>
      </c>
      <c r="CH34" s="183">
        <v>152.36779630026584</v>
      </c>
      <c r="CI34" s="183" cm="1">
        <f t="array" ref="CI34:CQ34">TRANSPOSE('[36]Silumos kiekio nustat.'!$B$24:$B$32)</f>
        <v>26.269969028221986</v>
      </c>
      <c r="CJ34" s="183">
        <v>24.132517257031036</v>
      </c>
      <c r="CK34" s="183">
        <v>22.023894627785346</v>
      </c>
      <c r="CL34" s="183">
        <v>19.924563681375748</v>
      </c>
      <c r="CM34" s="183">
        <v>17.814986958693062</v>
      </c>
      <c r="CN34" s="183">
        <v>15.675627000628118</v>
      </c>
      <c r="CO34" s="183">
        <v>13.486946348071747</v>
      </c>
      <c r="CP34" s="183">
        <v>11.229407541914767</v>
      </c>
      <c r="CQ34" s="183">
        <v>8.8834731230480095</v>
      </c>
      <c r="CR34" s="183">
        <f>'Su K. oro stendu'!P79</f>
        <v>64.501000000000005</v>
      </c>
      <c r="CS34" s="183"/>
      <c r="CT34" s="183">
        <v>19313.611142123988</v>
      </c>
      <c r="CU34" s="183">
        <f>[36]Alfa!$F$15</f>
        <v>600</v>
      </c>
      <c r="CV34" s="172">
        <f>'Su K. oro stendu'!J79</f>
        <v>2</v>
      </c>
      <c r="CW34" s="183">
        <f>'Su K. oro stendu'!D79</f>
        <v>10000</v>
      </c>
      <c r="CX34" s="183">
        <f>'Su K. oro stendu'!G79</f>
        <v>20</v>
      </c>
      <c r="CY34" s="183">
        <v>0.29289999999999999</v>
      </c>
      <c r="CZ34" s="183">
        <f>'Su K. oro stendu'!H79</f>
        <v>17.57</v>
      </c>
      <c r="DA34" s="183">
        <f>'Su K. oro stendu'!C79</f>
        <v>502</v>
      </c>
      <c r="DB34" s="183">
        <f>'Su K. oro stendu'!E79</f>
        <v>100</v>
      </c>
      <c r="DC34" s="183">
        <f>'Su K. oro stendu'!I79</f>
        <v>1005</v>
      </c>
      <c r="DD34" s="183">
        <f>'Su K. oro stendu'!K79</f>
        <v>8.58</v>
      </c>
      <c r="DE34" s="183">
        <f>'Su K. oro stendu'!L79</f>
        <v>17.57</v>
      </c>
      <c r="DF34" s="183">
        <f>'Su K. oro stendu'!F79</f>
        <v>205</v>
      </c>
      <c r="DG34" s="253">
        <f>[37]Alfa!$D$29</f>
        <v>2571.7433669975039</v>
      </c>
      <c r="DH34" s="253">
        <f>[37]Alfa!$D$26</f>
        <v>7102.3762351979085</v>
      </c>
      <c r="DI34" s="253">
        <f>[37]Alfa!$D$27</f>
        <v>5231.248842862371</v>
      </c>
      <c r="DJ34" s="253">
        <f t="shared" si="14"/>
        <v>7802.9922098598745</v>
      </c>
      <c r="DK34" s="253">
        <f t="shared" si="20"/>
        <v>7452.684222528891</v>
      </c>
      <c r="DL34" s="253">
        <f t="shared" si="16"/>
        <v>9.8645291584224734E-2</v>
      </c>
      <c r="DM34" s="183">
        <f>New!AC34</f>
        <v>5.3593824801949674E-5</v>
      </c>
      <c r="DN34" s="183">
        <f t="shared" ref="DN34:DN65" si="23" xml:space="preserve"> (6.057 * (10^(-6)))
+ (4.055 * (10^(-8)) * (DF34 + 273))
+ (1.25 * (10^(-10)) * (DF34 + 273)^2)
- (3.367 * (10^(-14)) * (DF34 + 273)^3)</f>
        <v>5.0323119098159997E-5</v>
      </c>
      <c r="DO34" s="183">
        <f t="shared" si="17"/>
        <v>1.064994097393086</v>
      </c>
      <c r="DP34" s="183">
        <f t="shared" ref="DP34:DP65" si="24">AVERAGE(_xlfn.ANCHORARRAY(R34))</f>
        <v>267.26658794091242</v>
      </c>
      <c r="DQ34" s="297">
        <f>DH34/((DA34/3600)*New!BV34*(Sheet3!BZ34-Sheet3!CP34)*1000)</f>
        <v>0.21858939803441929</v>
      </c>
      <c r="DR34" s="166">
        <f>(DB34*0.018)/(0.011*New!IV34*3600)</f>
        <v>2847.5095937124056</v>
      </c>
      <c r="DS34" s="166">
        <f>(New!IV34*New!CE34*1000)/New!AU34</f>
        <v>0.55193626425495013</v>
      </c>
      <c r="DT34" s="166">
        <f>IF(DR34&gt;2300,0.023*((DR34^(4/5)*DS34^(1/3))/(1+12.7*(DS34^(2/3)-1)))*(New!IV34/DV34)^0.14, 0.943*(DR34*DS34*New!IV34/Sheet3!DV34)^0.4)</f>
        <v>-3.7120143885651999</v>
      </c>
      <c r="DU34" s="166">
        <f t="shared" ref="DU34:DU66" si="25">((2.85^0.05)*((3.7+28.7)-(2438+458.3)))/((AVERAGE(_xlfn.ANCHORARRAY(BZ34))-AVERAGE(_xlfn.ANCHORARRAY(BR34)))^0.25)</f>
        <v>-868.79676142245285</v>
      </c>
      <c r="DV34" s="166">
        <f>_xlfn.FORECAST.LINEAR(AVERAGE(_xlfn.ANCHORARRAY(BR34)),Sheet2!$AK$2:$AK$69,Sheet2!$AJ$2:$AJ$69)</f>
        <v>9.8591202053970396E-6</v>
      </c>
    </row>
    <row r="35" spans="1:126" x14ac:dyDescent="0.3">
      <c r="A35" s="184" t="str">
        <f>'Su K. oro stendu'!B80</f>
        <v>23.12.2022</v>
      </c>
      <c r="B35" s="183">
        <v>4</v>
      </c>
      <c r="C35" s="183">
        <v>486</v>
      </c>
      <c r="D35" s="183">
        <v>3</v>
      </c>
      <c r="E35" s="183">
        <v>519</v>
      </c>
      <c r="F35" s="183">
        <v>1</v>
      </c>
      <c r="G35" s="183">
        <v>485</v>
      </c>
      <c r="H35" s="183">
        <v>3</v>
      </c>
      <c r="I35" s="183">
        <v>436</v>
      </c>
      <c r="J35" s="183" cm="1">
        <f t="array" ref="J35:Q35">TRANSPOSE('[37]Nu kitimas'!$J$4:$J$11)</f>
        <v>151.51513057203314</v>
      </c>
      <c r="K35" s="183">
        <v>154.81638764307115</v>
      </c>
      <c r="L35" s="183">
        <v>162.58071251650438</v>
      </c>
      <c r="M35" s="183">
        <v>170.53289601018662</v>
      </c>
      <c r="N35" s="183">
        <v>178.3050465125223</v>
      </c>
      <c r="O35" s="183">
        <v>183.88974438317729</v>
      </c>
      <c r="P35" s="183">
        <v>184.12480636536648</v>
      </c>
      <c r="Q35" s="183">
        <v>175.64877804609227</v>
      </c>
      <c r="R35" s="183" cm="1">
        <f t="array" ref="R35:Y35">TRANSPOSE([37]Alfa!$G$18:$G$25)</f>
        <v>245.55152059757884</v>
      </c>
      <c r="S35" s="183">
        <v>243.8595886363639</v>
      </c>
      <c r="T35" s="183">
        <v>250.40071683570142</v>
      </c>
      <c r="U35" s="183">
        <v>260.26221180395686</v>
      </c>
      <c r="V35" s="183">
        <v>270.76712901609176</v>
      </c>
      <c r="W35" s="183">
        <v>280.65954684796179</v>
      </c>
      <c r="X35" s="183">
        <v>284.29957728427445</v>
      </c>
      <c r="Y35" s="183">
        <v>277.07095290416129</v>
      </c>
      <c r="Z35" s="183" cm="1">
        <f t="array" ref="Z35:AG35">TRANSPOSE([37]Alfa!$F$127:$F$134)</f>
        <v>3.5794264750827424E-3</v>
      </c>
      <c r="AA35" s="183">
        <v>0.43629642409170827</v>
      </c>
      <c r="AB35" s="183">
        <v>2.6970401713847778E-3</v>
      </c>
      <c r="AC35" s="183">
        <v>0.46677309643133064</v>
      </c>
      <c r="AD35" s="183">
        <v>8.9944948697535075E-4</v>
      </c>
      <c r="AE35" s="183">
        <v>0.43645093052254835</v>
      </c>
      <c r="AF35" s="183">
        <v>2.7040865935523141E-3</v>
      </c>
      <c r="AG35" s="183">
        <v>0.39434916051487434</v>
      </c>
      <c r="AH35" s="35" cm="1">
        <f t="array" ref="AH35:AO35">TRANSPOSE('[37]Silumos kiekio nustat.'!$F$25:$F$32)</f>
        <v>292.33418038310953</v>
      </c>
      <c r="AI35" s="35">
        <v>293.00201816189798</v>
      </c>
      <c r="AJ35" s="35">
        <v>293.50862892924027</v>
      </c>
      <c r="AK35" s="35">
        <v>293.85510601586338</v>
      </c>
      <c r="AL35" s="35">
        <v>294.04252772232849</v>
      </c>
      <c r="AM35" s="35">
        <v>294.07195540382469</v>
      </c>
      <c r="AN35" s="35">
        <v>293.94443164510744</v>
      </c>
      <c r="AO35" s="35">
        <v>293.66097852732241</v>
      </c>
      <c r="AP35" s="313">
        <f t="shared" si="5"/>
        <v>2.0585425544517267E-3</v>
      </c>
      <c r="AQ35" s="35">
        <f t="shared" si="6"/>
        <v>0.60429026864533497</v>
      </c>
      <c r="AR35" s="183" cm="1">
        <f t="array" ref="AR35:AY35">TRANSPOSE([37]Alfa!$E$127:$E$134)</f>
        <v>0.13378293512249848</v>
      </c>
      <c r="AS35" s="183">
        <v>0.12258813861674421</v>
      </c>
      <c r="AT35" s="183">
        <v>0.14006178269853281</v>
      </c>
      <c r="AU35" s="183">
        <v>8.4766372708160412E-2</v>
      </c>
      <c r="AV35" s="183">
        <v>0.11092784544642349</v>
      </c>
      <c r="AW35" s="183">
        <v>9.949962762808702E-2</v>
      </c>
      <c r="AX35" s="183">
        <v>0.11241171725966469</v>
      </c>
      <c r="AY35" s="183">
        <v>0.10103196620467231</v>
      </c>
      <c r="AZ35" s="183">
        <f t="shared" si="7"/>
        <v>100.71942446043165</v>
      </c>
      <c r="BA35" s="183">
        <f>'Su K. oro stendu'!P80</f>
        <v>52.648000000000003</v>
      </c>
      <c r="BB35" s="183">
        <f t="shared" si="21"/>
        <v>100.71702637889689</v>
      </c>
      <c r="BC35" s="143">
        <v>55.018999999999998</v>
      </c>
      <c r="BD35" s="183">
        <f t="shared" si="22"/>
        <v>100.42565947242207</v>
      </c>
      <c r="BE35" s="143">
        <v>52.595999999999997</v>
      </c>
      <c r="BF35" s="183">
        <f t="shared" ref="BF35:BF66" si="26">((DB35-((B35+C35+D35)/1000))*1000)/DA35</f>
        <v>99.537170263788965</v>
      </c>
      <c r="BG35" s="143">
        <v>52.439</v>
      </c>
      <c r="BH35" s="183">
        <f t="shared" ref="BH35:BH66" si="27">((DB35-((B35+C35+D35+E35)/1000))*1000)/DA35</f>
        <v>98.29256594724221</v>
      </c>
      <c r="BI35" s="143">
        <v>52.216999999999999</v>
      </c>
      <c r="BJ35" s="183">
        <f t="shared" ref="BJ35:BJ66" si="28">((DB35-((B35+C35+D35+E35+F35)/1000))*1000)/DA35</f>
        <v>98.290167865707431</v>
      </c>
      <c r="BK35" s="143">
        <v>52.216999999999999</v>
      </c>
      <c r="BL35" s="183">
        <f t="shared" ref="BL35:BL66" si="29">((DB35-((B35+C35+D35+E35+F35+G35)/1000))*1000)/DA35</f>
        <v>97.127098321342928</v>
      </c>
      <c r="BM35" s="143">
        <v>52.006</v>
      </c>
      <c r="BN35" s="183">
        <f t="shared" ref="BN35:BN66" si="30">((DB35-((B35+C35+D35+E35+F35+G35+H35)/1000))*1000)/DA35</f>
        <v>97.119904076738607</v>
      </c>
      <c r="BO35" s="143">
        <v>52.005000000000003</v>
      </c>
      <c r="BP35" s="183">
        <f t="shared" ref="BP35:BP66" si="31">((DB35-((B35+C35+D35+E35+F35+G35+H35+I35)/1000))*1000)/DA35</f>
        <v>96.074340527577931</v>
      </c>
      <c r="BQ35" s="143">
        <v>51.814</v>
      </c>
      <c r="BR35" s="183" cm="1">
        <f t="array" ref="BR35:BY35">TRANSPOSE('[37]Keithley Matavimai'!$W$6:$W$13)</f>
        <v>24.802493986853747</v>
      </c>
      <c r="BS35" s="183">
        <v>20.678399362214279</v>
      </c>
      <c r="BT35" s="183">
        <v>21.46936117051402</v>
      </c>
      <c r="BU35" s="183">
        <v>18.480238146611001</v>
      </c>
      <c r="BV35" s="183">
        <v>18.839630207407922</v>
      </c>
      <c r="BW35" s="183">
        <v>18.794544234591289</v>
      </c>
      <c r="BX35" s="183">
        <v>17.790363381184886</v>
      </c>
      <c r="BY35" s="183">
        <v>12.950368165236341</v>
      </c>
      <c r="BZ35" s="183" cm="1">
        <f t="array" ref="BZ35:CH35">TRANSPOSE('[37]Keithley Matavimai'!$V$5:$V$13)</f>
        <v>84.182108766353863</v>
      </c>
      <c r="CA35" s="183">
        <v>81.070189789720757</v>
      </c>
      <c r="CB35" s="183">
        <v>78.456579136459951</v>
      </c>
      <c r="CC35" s="183">
        <v>75.164616799811583</v>
      </c>
      <c r="CD35" s="183">
        <v>73.419277020143667</v>
      </c>
      <c r="CE35" s="183">
        <v>70.784537815675776</v>
      </c>
      <c r="CF35" s="183">
        <v>68.637794021742693</v>
      </c>
      <c r="CG35" s="183">
        <v>65.942675742501208</v>
      </c>
      <c r="CH35" s="183">
        <v>63.701275961376105</v>
      </c>
      <c r="CI35" s="183" cm="1">
        <f t="array" ref="CI35:CQ35">TRANSPOSE('[37]Silumos kiekio nustat.'!$B$24:$B$32)</f>
        <v>16.444672837052945</v>
      </c>
      <c r="CJ35" s="183">
        <v>15.476099321184618</v>
      </c>
      <c r="CK35" s="183">
        <v>14.503777097938993</v>
      </c>
      <c r="CL35" s="183">
        <v>13.528238733576696</v>
      </c>
      <c r="CM35" s="183">
        <v>12.550016794358347</v>
      </c>
      <c r="CN35" s="183">
        <v>11.569643846544571</v>
      </c>
      <c r="CO35" s="183">
        <v>10.587652456395986</v>
      </c>
      <c r="CP35" s="183">
        <v>9.6045751901732217</v>
      </c>
      <c r="CQ35" s="183">
        <v>8.6209446141368975</v>
      </c>
      <c r="CR35" s="183">
        <f>'Su K. oro stendu'!P80</f>
        <v>52.648000000000003</v>
      </c>
      <c r="CS35" s="183"/>
      <c r="CT35" s="183">
        <v>7102.3762351979085</v>
      </c>
      <c r="CU35" s="183">
        <f>[37]Alfa!$F$15</f>
        <v>910</v>
      </c>
      <c r="CV35" s="172">
        <f>'Su K. oro stendu'!J80</f>
        <v>2</v>
      </c>
      <c r="CW35" s="183">
        <f>'Su K. oro stendu'!D80</f>
        <v>10000</v>
      </c>
      <c r="CX35" s="183">
        <f>'Su K. oro stendu'!G80</f>
        <v>10</v>
      </c>
      <c r="CY35" s="183">
        <v>0.1277142857142857</v>
      </c>
      <c r="CZ35" s="183">
        <f>'Su K. oro stendu'!H80</f>
        <v>18.239999999999998</v>
      </c>
      <c r="DA35" s="183">
        <f>'Su K. oro stendu'!C80</f>
        <v>417</v>
      </c>
      <c r="DB35" s="183">
        <f>'Su K. oro stendu'!E80</f>
        <v>42</v>
      </c>
      <c r="DC35" s="183">
        <f>'Su K. oro stendu'!I80</f>
        <v>831</v>
      </c>
      <c r="DD35" s="183">
        <f>'Su K. oro stendu'!K80</f>
        <v>8.48</v>
      </c>
      <c r="DE35" s="183">
        <f>'Su K. oro stendu'!L80</f>
        <v>7.88</v>
      </c>
      <c r="DF35" s="183">
        <f>'Su K. oro stendu'!F80</f>
        <v>85</v>
      </c>
      <c r="DG35" s="253">
        <f>[37]Alfa!$D$29</f>
        <v>2571.7433669975039</v>
      </c>
      <c r="DH35" s="253">
        <f>[37]Alfa!$D$26</f>
        <v>7102.3762351979085</v>
      </c>
      <c r="DI35" s="253">
        <f>[37]Alfa!$D$27</f>
        <v>5231.248842862371</v>
      </c>
      <c r="DJ35" s="253">
        <f t="shared" si="14"/>
        <v>7802.9922098598745</v>
      </c>
      <c r="DK35" s="253">
        <f t="shared" si="20"/>
        <v>7452.684222528891</v>
      </c>
      <c r="DL35" s="253">
        <f t="shared" si="16"/>
        <v>9.8645291584224734E-2</v>
      </c>
      <c r="DM35" s="183">
        <f>New!AC35</f>
        <v>2.9138759989346843E-5</v>
      </c>
      <c r="DN35" s="183">
        <f t="shared" si="23"/>
        <v>3.5049529086959997E-5</v>
      </c>
      <c r="DO35" s="183">
        <f t="shared" si="17"/>
        <v>0.83135952888416331</v>
      </c>
      <c r="DP35" s="183">
        <f t="shared" si="24"/>
        <v>264.10890549076129</v>
      </c>
      <c r="DQ35" s="297">
        <f>DH35/((DA35/3600)*New!BV35*(Sheet3!BZ35-Sheet3!CP35)*1000)</f>
        <v>0.74724316517659084</v>
      </c>
      <c r="DR35" s="166">
        <f>(DB35*0.018)/(0.011*New!IV35*3600)</f>
        <v>1623.1785933666038</v>
      </c>
      <c r="DS35" s="166">
        <f>(New!IV35*New!CE35*1000)/New!AU35</f>
        <v>0.86323913019559584</v>
      </c>
      <c r="DT35" s="166">
        <f>IF(DR35&gt;2300,0.023*((DR35^(4/5)*DS35^(1/3))/(1+12.7*(DS35^(2/3)-1)))*(New!IV35/DV35)^0.14, 0.943*(DR35*DS35*New!IV35/Sheet3!DV35)^0.4)</f>
        <v>18.662311920536546</v>
      </c>
      <c r="DU35" s="166">
        <f t="shared" si="25"/>
        <v>-1111.943747720951</v>
      </c>
      <c r="DV35" s="166">
        <f>_xlfn.FORECAST.LINEAR(AVERAGE(_xlfn.ANCHORARRAY(BR35)),Sheet2!$AK$2:$AK$69,Sheet2!$AJ$2:$AJ$69)</f>
        <v>9.4585235629838557E-6</v>
      </c>
    </row>
    <row r="36" spans="1:126" ht="15" thickBot="1" x14ac:dyDescent="0.35">
      <c r="A36" s="184" t="str">
        <f>'Su K. oro stendu'!B81</f>
        <v>27.12.2022</v>
      </c>
      <c r="B36" s="183">
        <v>0</v>
      </c>
      <c r="C36" s="183">
        <v>494</v>
      </c>
      <c r="D36" s="183">
        <v>0</v>
      </c>
      <c r="E36" s="183">
        <v>534</v>
      </c>
      <c r="F36" s="183">
        <v>1</v>
      </c>
      <c r="G36" s="183">
        <v>505</v>
      </c>
      <c r="H36" s="183">
        <v>0</v>
      </c>
      <c r="I36" s="183">
        <v>461</v>
      </c>
      <c r="J36" s="183" cm="1">
        <f t="array" ref="J36:Q36">TRANSPOSE('[38]Nu kitimas'!$H$4:$H$11)</f>
        <v>126.01560705870912</v>
      </c>
      <c r="K36" s="183">
        <v>126.36409410797417</v>
      </c>
      <c r="L36" s="183">
        <v>129.35526480898406</v>
      </c>
      <c r="M36" s="183">
        <v>132.2731351123893</v>
      </c>
      <c r="N36" s="183">
        <v>137.0216579705569</v>
      </c>
      <c r="O36" s="183">
        <v>141.89347243920292</v>
      </c>
      <c r="P36" s="183">
        <v>144.7620895745996</v>
      </c>
      <c r="Q36" s="183">
        <v>142.94587275629351</v>
      </c>
      <c r="R36" s="183" cm="1">
        <f t="array" ref="R36:Y36">TRANSPOSE([38]Alfa!$G$18:$G$25)</f>
        <v>210.29089982208967</v>
      </c>
      <c r="S36" s="183">
        <v>208.39694712847134</v>
      </c>
      <c r="T36" s="183">
        <v>211.39072112804132</v>
      </c>
      <c r="U36" s="183">
        <v>215.017836997269</v>
      </c>
      <c r="V36" s="183">
        <v>220.64239113993307</v>
      </c>
      <c r="W36" s="183">
        <v>226.83663219896891</v>
      </c>
      <c r="X36" s="183">
        <v>229.27694720849129</v>
      </c>
      <c r="Y36" s="183">
        <v>224.77438188670132</v>
      </c>
      <c r="Z36" s="183" cm="1">
        <f t="array" ref="Z36:AG36">TRANSPOSE([38]Alfa!$F$127:$F$134)</f>
        <v>0</v>
      </c>
      <c r="AA36" s="183">
        <v>0.44305944604288455</v>
      </c>
      <c r="AB36" s="183">
        <v>0</v>
      </c>
      <c r="AC36" s="183">
        <v>0.47990182846153773</v>
      </c>
      <c r="AD36" s="183">
        <v>8.987089235723356E-4</v>
      </c>
      <c r="AE36" s="183">
        <v>0.45407150029388244</v>
      </c>
      <c r="AF36" s="183">
        <v>0</v>
      </c>
      <c r="AG36" s="183">
        <v>0.41689873208696993</v>
      </c>
      <c r="AH36" s="35" cm="1">
        <f t="array" ref="AH36:AO36">TRANSPOSE('[38]Silumos kiekio nustat.'!$F$25:$F$32)</f>
        <v>369.59548050419636</v>
      </c>
      <c r="AI36" s="35">
        <v>362.57228881937993</v>
      </c>
      <c r="AJ36" s="35">
        <v>356.2613776754888</v>
      </c>
      <c r="AK36" s="35">
        <v>350.65673847832073</v>
      </c>
      <c r="AL36" s="35">
        <v>345.75268906847708</v>
      </c>
      <c r="AM36" s="35">
        <v>341.54384145381687</v>
      </c>
      <c r="AN36" s="35">
        <v>338.02507126032151</v>
      </c>
      <c r="AO36" s="35">
        <v>335.19148885697467</v>
      </c>
      <c r="AP36" s="313">
        <f t="shared" si="5"/>
        <v>3.4728346243120781E-2</v>
      </c>
      <c r="AQ36" s="35">
        <f t="shared" si="6"/>
        <v>12.153180323059596</v>
      </c>
      <c r="AR36" s="183" cm="1">
        <f t="array" ref="AR36:AY36">TRANSPOSE([38]Alfa!$E$127:$E$134)</f>
        <v>0.20874650215140758</v>
      </c>
      <c r="AS36" s="183">
        <v>0.24502811983108641</v>
      </c>
      <c r="AT36" s="183">
        <v>0.16731448051759404</v>
      </c>
      <c r="AU36" s="183">
        <v>0.12496376764408769</v>
      </c>
      <c r="AV36" s="183">
        <v>0.17005984179695555</v>
      </c>
      <c r="AW36" s="183">
        <v>0.1564081914473277</v>
      </c>
      <c r="AX36" s="183">
        <v>0.16443090912665742</v>
      </c>
      <c r="AY36" s="183">
        <v>0.15063004467164018</v>
      </c>
      <c r="AZ36" s="183">
        <f t="shared" si="7"/>
        <v>100.22779043280183</v>
      </c>
      <c r="BA36" s="183">
        <f>'Su K. oro stendu'!P81</f>
        <v>52.561999999999998</v>
      </c>
      <c r="BB36" s="183">
        <f t="shared" si="21"/>
        <v>100.22779043280183</v>
      </c>
      <c r="BC36" s="143">
        <v>52.561999999999998</v>
      </c>
      <c r="BD36" s="183">
        <f t="shared" si="22"/>
        <v>99.946469248291578</v>
      </c>
      <c r="BE36" s="143">
        <v>52.512</v>
      </c>
      <c r="BF36" s="183">
        <f t="shared" si="26"/>
        <v>99.102505694760822</v>
      </c>
      <c r="BG36" s="143">
        <v>52.362000000000002</v>
      </c>
      <c r="BH36" s="183">
        <f t="shared" si="27"/>
        <v>97.886104783599095</v>
      </c>
      <c r="BI36" s="143">
        <v>52.143999999999998</v>
      </c>
      <c r="BJ36" s="183">
        <f t="shared" si="28"/>
        <v>97.883826879271069</v>
      </c>
      <c r="BK36" s="304">
        <v>52.143000000000001</v>
      </c>
      <c r="BL36" s="183">
        <f t="shared" si="29"/>
        <v>96.733485193621874</v>
      </c>
      <c r="BM36" s="143">
        <v>51.933999999999997</v>
      </c>
      <c r="BN36" s="183">
        <f t="shared" si="30"/>
        <v>96.733485193621874</v>
      </c>
      <c r="BO36" s="143">
        <v>51.933999999999997</v>
      </c>
      <c r="BP36" s="183">
        <f t="shared" si="31"/>
        <v>95.683371298405461</v>
      </c>
      <c r="BQ36" s="143">
        <v>51.741</v>
      </c>
      <c r="BR36" s="183" cm="1">
        <f t="array" ref="BR36:BY36">TRANSPOSE('[38]Keithley Matavimai'!$W$6:$W$13)</f>
        <v>26.403997236908975</v>
      </c>
      <c r="BS36" s="183">
        <v>21.522965805454451</v>
      </c>
      <c r="BT36" s="183">
        <v>22.490286525289459</v>
      </c>
      <c r="BU36" s="183">
        <v>19.071208368395244</v>
      </c>
      <c r="BV36" s="183">
        <v>19.870125183754052</v>
      </c>
      <c r="BW36" s="183">
        <v>19.704624299888682</v>
      </c>
      <c r="BX36" s="183">
        <v>18.379545016321142</v>
      </c>
      <c r="BY36" s="183">
        <v>13.157218025756016</v>
      </c>
      <c r="BZ36" s="183" cm="1">
        <f t="array" ref="BZ36:CH36">TRANSPOSE('[38]Keithley Matavimai'!$V$5:$V$13)</f>
        <v>114.0172865383591</v>
      </c>
      <c r="CA36" s="183">
        <v>109.4617471881392</v>
      </c>
      <c r="CB36" s="183">
        <v>104.40437231040251</v>
      </c>
      <c r="CC36" s="183">
        <v>100.70693900613661</v>
      </c>
      <c r="CD36" s="183">
        <v>98.266289145724087</v>
      </c>
      <c r="CE36" s="183">
        <v>94.465935214470889</v>
      </c>
      <c r="CF36" s="183">
        <v>91.249896456769193</v>
      </c>
      <c r="CG36" s="183">
        <v>87.534000276772304</v>
      </c>
      <c r="CH36" s="183">
        <v>84.368657936362993</v>
      </c>
      <c r="CI36" s="183" cm="1">
        <f t="array" ref="CI36:CQ36">TRANSPOSE('[38]Silumos kiekio nustat.'!$B$24:$B$32)</f>
        <v>17.026194617360911</v>
      </c>
      <c r="CJ36" s="183">
        <v>15.873368300556148</v>
      </c>
      <c r="CK36" s="183">
        <v>14.740334178062231</v>
      </c>
      <c r="CL36" s="183">
        <v>13.624992305254525</v>
      </c>
      <c r="CM36" s="183">
        <v>12.525242737508393</v>
      </c>
      <c r="CN36" s="183">
        <v>11.438985530199197</v>
      </c>
      <c r="CO36" s="183">
        <v>10.364120738702303</v>
      </c>
      <c r="CP36" s="183">
        <v>9.2985484183930716</v>
      </c>
      <c r="CQ36" s="183">
        <v>8.2401686246468699</v>
      </c>
      <c r="CR36" s="183">
        <f>'Su K. oro stendu'!P81</f>
        <v>52.561999999999998</v>
      </c>
      <c r="CS36" s="183"/>
      <c r="CT36" s="183">
        <v>8491.6543984010059</v>
      </c>
      <c r="CU36" s="183">
        <f>[39]Alfa!$F$15</f>
        <v>900</v>
      </c>
      <c r="CV36" s="172">
        <f>'Su K. oro stendu'!J81</f>
        <v>2</v>
      </c>
      <c r="CW36" s="183">
        <f>'Su K. oro stendu'!D81</f>
        <v>10000</v>
      </c>
      <c r="CX36" s="183">
        <f>'Su K. oro stendu'!G81</f>
        <v>10</v>
      </c>
      <c r="CY36" s="183">
        <v>0.13153846153846158</v>
      </c>
      <c r="CZ36" s="183">
        <f>'Su K. oro stendu'!H81</f>
        <v>17.940000000000001</v>
      </c>
      <c r="DA36" s="183">
        <f>'Su K. oro stendu'!C81</f>
        <v>439</v>
      </c>
      <c r="DB36" s="183">
        <f>'Su K. oro stendu'!E81</f>
        <v>44</v>
      </c>
      <c r="DC36" s="183">
        <f>'Su K. oro stendu'!I81</f>
        <v>882</v>
      </c>
      <c r="DD36" s="183">
        <f>'Su K. oro stendu'!K81</f>
        <v>8.08</v>
      </c>
      <c r="DE36" s="183">
        <f>'Su K. oro stendu'!L81</f>
        <v>8.8800000000000008</v>
      </c>
      <c r="DF36" s="183">
        <f>'Su K. oro stendu'!F81</f>
        <v>115</v>
      </c>
      <c r="DG36" s="253">
        <f>[38]Alfa!$D$29</f>
        <v>3850.1092616755859</v>
      </c>
      <c r="DH36" s="253">
        <f>[38]Alfa!$D$26</f>
        <v>8491.6543984010059</v>
      </c>
      <c r="DI36" s="253">
        <f>[38]Alfa!$D$27</f>
        <v>5384.4906474265408</v>
      </c>
      <c r="DJ36" s="253">
        <f t="shared" si="14"/>
        <v>9234.5999091021258</v>
      </c>
      <c r="DK36" s="253">
        <f t="shared" si="20"/>
        <v>8863.1271537515659</v>
      </c>
      <c r="DL36" s="253">
        <f t="shared" si="16"/>
        <v>8.7491256219873706E-2</v>
      </c>
      <c r="DM36" s="183">
        <f>New!AC36</f>
        <v>3.4210187396485509E-5</v>
      </c>
      <c r="DN36" s="183">
        <f t="shared" si="23"/>
        <v>3.864169920576E-5</v>
      </c>
      <c r="DO36" s="183">
        <f t="shared" si="17"/>
        <v>0.88531788455581362</v>
      </c>
      <c r="DP36" s="183">
        <f t="shared" si="24"/>
        <v>218.32834468874574</v>
      </c>
      <c r="DQ36" s="297">
        <f>DH36/((DA36/3600)*New!BV36*(Sheet3!BZ36-Sheet3!CP36)*1000)</f>
        <v>0.60115882424872569</v>
      </c>
      <c r="DR36" s="166">
        <f>(DB36*0.018)/(0.011*New!IV36*3600)</f>
        <v>1561.0603990765014</v>
      </c>
      <c r="DS36" s="166">
        <f>(New!IV36*New!CE36*1000)/New!AU36</f>
        <v>0.72974402786439863</v>
      </c>
      <c r="DT36" s="166">
        <f>IF(DR36&gt;2300,0.023*((DR36^(4/5)*DS36^(1/3))/(1+12.7*(DS36^(2/3)-1)))*(New!IV36/DV36)^0.14, 0.943*(DR36*DS36*New!IV36/Sheet3!DV36)^0.4)</f>
        <v>17.754860936892069</v>
      </c>
      <c r="DU36" s="166">
        <f t="shared" si="25"/>
        <v>-1014.8418770877312</v>
      </c>
      <c r="DV36" s="166">
        <f>_xlfn.FORECAST.LINEAR(AVERAGE(_xlfn.ANCHORARRAY(BR36)),Sheet2!$AK$2:$AK$69,Sheet2!$AJ$2:$AJ$69)</f>
        <v>9.4882602712115717E-6</v>
      </c>
    </row>
    <row r="37" spans="1:126" x14ac:dyDescent="0.3">
      <c r="A37" s="184" t="str">
        <f>'Su K. oro stendu'!B82</f>
        <v>27.12.2022</v>
      </c>
      <c r="B37" s="183">
        <v>0</v>
      </c>
      <c r="C37" s="183">
        <v>456</v>
      </c>
      <c r="D37" s="183">
        <v>0</v>
      </c>
      <c r="E37" s="183">
        <v>459</v>
      </c>
      <c r="F37" s="183">
        <v>0</v>
      </c>
      <c r="G37" s="183">
        <v>539</v>
      </c>
      <c r="H37" s="183">
        <v>0</v>
      </c>
      <c r="I37" s="183">
        <v>484</v>
      </c>
      <c r="J37" s="183" cm="1">
        <f t="array" ref="J37:Q37">TRANSPOSE('[40]Nu kitimas'!$J$4:$J$11)</f>
        <v>105.99517371346144</v>
      </c>
      <c r="K37" s="183">
        <v>106.11006356461235</v>
      </c>
      <c r="L37" s="183">
        <v>109.12206383594481</v>
      </c>
      <c r="M37" s="183">
        <v>112.40762550608315</v>
      </c>
      <c r="N37" s="183">
        <v>116.98185921393994</v>
      </c>
      <c r="O37" s="183">
        <v>121.16277766954363</v>
      </c>
      <c r="P37" s="183">
        <v>124.0342990803542</v>
      </c>
      <c r="Q37" s="183">
        <v>124.94634626752405</v>
      </c>
      <c r="R37" s="183" cm="1">
        <f t="array" ref="R37:Y37">TRANSPOSE([40]Alfa!$G$18:$G$25)</f>
        <v>189.74993241167562</v>
      </c>
      <c r="S37" s="183">
        <v>187.7599721419426</v>
      </c>
      <c r="T37" s="183">
        <v>190.17340270799525</v>
      </c>
      <c r="U37" s="183">
        <v>194.4601796204775</v>
      </c>
      <c r="V37" s="183">
        <v>199.74239255270606</v>
      </c>
      <c r="W37" s="183">
        <v>205.25287542363429</v>
      </c>
      <c r="X37" s="183">
        <v>207.68209070953807</v>
      </c>
      <c r="Y37" s="183">
        <v>206.81634771999424</v>
      </c>
      <c r="Z37" s="183" cm="1">
        <f t="array" ref="Z37:AG37">TRANSPOSE([40]Alfa!$F$127:$F$134)</f>
        <v>0</v>
      </c>
      <c r="AA37" s="183">
        <v>0.40839665910336193</v>
      </c>
      <c r="AB37" s="183">
        <v>0</v>
      </c>
      <c r="AC37" s="183">
        <v>0.41196895487932733</v>
      </c>
      <c r="AD37" s="183">
        <v>0</v>
      </c>
      <c r="AE37" s="183">
        <v>0.48404566864162107</v>
      </c>
      <c r="AF37" s="183">
        <v>0</v>
      </c>
      <c r="AG37" s="183">
        <v>0.43745451957637965</v>
      </c>
      <c r="AH37" s="35" cm="1">
        <f t="array" ref="AH37:AO37">TRANSPOSE('[40]Silumos kiekio nustat.'!$F$25:$F$32)</f>
        <v>442.74037120438243</v>
      </c>
      <c r="AI37" s="35">
        <v>431.49884057859191</v>
      </c>
      <c r="AJ37" s="35">
        <v>421.76783359363964</v>
      </c>
      <c r="AK37" s="35">
        <v>413.53326932481752</v>
      </c>
      <c r="AL37" s="35">
        <v>406.78200606781945</v>
      </c>
      <c r="AM37" s="35">
        <v>401.50171119390541</v>
      </c>
      <c r="AN37" s="35">
        <v>397.68073920576836</v>
      </c>
      <c r="AO37" s="35">
        <v>395.30801771704921</v>
      </c>
      <c r="AP37" s="313">
        <f t="shared" si="5"/>
        <v>4.1012644474785073E-2</v>
      </c>
      <c r="AQ37" s="35">
        <f t="shared" si="6"/>
        <v>16.973148479144012</v>
      </c>
      <c r="AR37" s="183" cm="1">
        <f t="array" ref="AR37:AY37">TRANSPOSE([40]Alfa!$E$127:$E$134)</f>
        <v>0.3489365298052412</v>
      </c>
      <c r="AS37" s="183">
        <v>0.27238282607907827</v>
      </c>
      <c r="AT37" s="183">
        <v>0.32190108855614913</v>
      </c>
      <c r="AU37" s="183">
        <v>0.17961778482981097</v>
      </c>
      <c r="AV37" s="183">
        <v>0.27073016700792274</v>
      </c>
      <c r="AW37" s="183">
        <v>0.18987494974084726</v>
      </c>
      <c r="AX37" s="183">
        <v>0.2357329801031417</v>
      </c>
      <c r="AY37" s="183">
        <v>0.25597551496742682</v>
      </c>
      <c r="AZ37" s="183">
        <f t="shared" si="7"/>
        <v>98.532494758909849</v>
      </c>
      <c r="BA37" s="183">
        <f>'Su K. oro stendu'!P82</f>
        <v>52.26</v>
      </c>
      <c r="BB37" s="183">
        <f t="shared" si="21"/>
        <v>98.532494758909849</v>
      </c>
      <c r="BC37" s="143">
        <v>52.26</v>
      </c>
      <c r="BD37" s="183">
        <f t="shared" si="22"/>
        <v>98.293501048218033</v>
      </c>
      <c r="BE37" s="143">
        <v>52.216999999999999</v>
      </c>
      <c r="BF37" s="183">
        <f t="shared" si="26"/>
        <v>97.576519916142558</v>
      </c>
      <c r="BG37" s="143">
        <v>52.088000000000001</v>
      </c>
      <c r="BH37" s="183">
        <f t="shared" si="27"/>
        <v>96.614255765199161</v>
      </c>
      <c r="BI37" s="143">
        <v>51.912999999999997</v>
      </c>
      <c r="BJ37" s="183">
        <f t="shared" si="28"/>
        <v>96.614255765199161</v>
      </c>
      <c r="BK37" s="143">
        <v>51.912999999999997</v>
      </c>
      <c r="BL37" s="183">
        <f t="shared" si="29"/>
        <v>95.484276729559753</v>
      </c>
      <c r="BM37" s="143">
        <v>51.704999999999998</v>
      </c>
      <c r="BN37" s="183">
        <f t="shared" si="30"/>
        <v>95.484276729559753</v>
      </c>
      <c r="BO37" s="143">
        <v>51.704999999999998</v>
      </c>
      <c r="BP37" s="183">
        <f t="shared" si="31"/>
        <v>94.469601677148844</v>
      </c>
      <c r="BQ37" s="143">
        <v>51.515999999999998</v>
      </c>
      <c r="BR37" s="183" cm="1">
        <f t="array" ref="BR37:BY37">TRANSPOSE('[40]Keithley Matavimai'!$W$6:$W$13)</f>
        <v>28.230187221073905</v>
      </c>
      <c r="BS37" s="183">
        <v>22.937915328040976</v>
      </c>
      <c r="BT37" s="183">
        <v>24.14918304268436</v>
      </c>
      <c r="BU37" s="183">
        <v>20.288161427331026</v>
      </c>
      <c r="BV37" s="183">
        <v>21.178230729783582</v>
      </c>
      <c r="BW37" s="183">
        <v>20.941408444065107</v>
      </c>
      <c r="BX37" s="183">
        <v>19.695641550496084</v>
      </c>
      <c r="BY37" s="183">
        <v>13.669092672267073</v>
      </c>
      <c r="BZ37" s="183" cm="1">
        <f t="array" ref="BZ37:CH37">TRANSPOSE('[40]Keithley Matavimai'!$V$5:$V$13)</f>
        <v>143.90616764639671</v>
      </c>
      <c r="CA37" s="183">
        <v>138.11186014563302</v>
      </c>
      <c r="CB37" s="183">
        <v>133.04586499731596</v>
      </c>
      <c r="CC37" s="183">
        <v>126.60043079925617</v>
      </c>
      <c r="CD37" s="183">
        <v>123.31258465571183</v>
      </c>
      <c r="CE37" s="183">
        <v>117.82373837364928</v>
      </c>
      <c r="CF37" s="183">
        <v>114.3147447805643</v>
      </c>
      <c r="CG37" s="183">
        <v>109.47328966044374</v>
      </c>
      <c r="CH37" s="183">
        <v>104.48728873458434</v>
      </c>
      <c r="CI37" s="183" cm="1">
        <f t="array" ref="CI37:CQ37">TRANSPOSE('[40]Silumos kiekio nustat.'!$B$24:$B$32)</f>
        <v>18.046232173691251</v>
      </c>
      <c r="CJ37" s="183">
        <v>16.753178394689709</v>
      </c>
      <c r="CK37" s="183">
        <v>15.490303915095327</v>
      </c>
      <c r="CL37" s="183">
        <v>14.25339285203348</v>
      </c>
      <c r="CM37" s="183">
        <v>13.03822932262954</v>
      </c>
      <c r="CN37" s="183">
        <v>11.840597444008875</v>
      </c>
      <c r="CO37" s="183">
        <v>10.65628133329686</v>
      </c>
      <c r="CP37" s="183">
        <v>9.4810651076188659</v>
      </c>
      <c r="CQ37" s="183">
        <v>8.3107328841002648</v>
      </c>
      <c r="CR37" s="183">
        <f>'Su K. oro stendu'!P82</f>
        <v>52.26</v>
      </c>
      <c r="CS37" s="183"/>
      <c r="CT37" s="183">
        <v>10054.217868433196</v>
      </c>
      <c r="CU37" s="183">
        <f>[40]Alfa!$F$15</f>
        <v>910</v>
      </c>
      <c r="CV37" s="172">
        <f>'Su K. oro stendu'!J82</f>
        <v>2</v>
      </c>
      <c r="CW37" s="183">
        <f>'Su K. oro stendu'!D82</f>
        <v>10000</v>
      </c>
      <c r="CX37" s="183">
        <f>'Su K. oro stendu'!G82</f>
        <v>10</v>
      </c>
      <c r="CY37" s="183">
        <v>0.12778021978021981</v>
      </c>
      <c r="CZ37" s="183">
        <f>'Su K. oro stendu'!H82</f>
        <v>16.309999999999999</v>
      </c>
      <c r="DA37" s="183">
        <f>'Su K. oro stendu'!C82</f>
        <v>477</v>
      </c>
      <c r="DB37" s="183">
        <f>'Su K. oro stendu'!E82</f>
        <v>47</v>
      </c>
      <c r="DC37" s="183">
        <f>'Su K. oro stendu'!I82</f>
        <v>940.5</v>
      </c>
      <c r="DD37" s="183">
        <f>'Su K. oro stendu'!K82</f>
        <v>8.17</v>
      </c>
      <c r="DE37" s="183">
        <f>'Su K. oro stendu'!L82</f>
        <v>9.85</v>
      </c>
      <c r="DF37" s="183">
        <f>'Su K. oro stendu'!F82</f>
        <v>145</v>
      </c>
      <c r="DG37" s="253">
        <f>[40]Alfa!$D$29</f>
        <v>5748.0760614396595</v>
      </c>
      <c r="DH37" s="253">
        <f>[40]Alfa!$D$26</f>
        <v>10054.217868433196</v>
      </c>
      <c r="DI37" s="253">
        <f>[40]Alfa!$D$27</f>
        <v>5225.5974066020699</v>
      </c>
      <c r="DJ37" s="253">
        <f t="shared" si="14"/>
        <v>10973.673468041728</v>
      </c>
      <c r="DK37" s="253">
        <f t="shared" si="20"/>
        <v>10513.945668237462</v>
      </c>
      <c r="DL37" s="253">
        <f t="shared" si="16"/>
        <v>9.14497389692846E-2</v>
      </c>
      <c r="DM37" s="183">
        <f>New!AC37</f>
        <v>3.9614782485535097E-5</v>
      </c>
      <c r="DN37" s="183">
        <f t="shared" si="23"/>
        <v>4.2388323940559999E-5</v>
      </c>
      <c r="DO37" s="183">
        <f t="shared" si="17"/>
        <v>0.93456826792882486</v>
      </c>
      <c r="DP37" s="183">
        <f t="shared" si="24"/>
        <v>197.70464916099542</v>
      </c>
      <c r="DQ37" s="297">
        <f>DH37/((DA37/3600)*New!BV37*(Sheet3!BZ37-Sheet3!CP37)*1000)</f>
        <v>0.50802947579818969</v>
      </c>
      <c r="DR37" s="166">
        <f>(DB37*0.018)/(0.011*New!IV37*3600)</f>
        <v>1541.1462323130911</v>
      </c>
      <c r="DS37" s="166">
        <f>(New!IV37*New!CE37*1000)/New!AU37</f>
        <v>0.64719895598215416</v>
      </c>
      <c r="DT37" s="166">
        <f>IF(DR37&gt;2300,0.023*((DR37^(4/5)*DS37^(1/3))/(1+12.7*(DS37^(2/3)-1)))*(New!IV37/DV37)^0.14, 0.943*(DR37*DS37*New!IV37/Sheet3!DV37)^0.4)</f>
        <v>17.341383362297211</v>
      </c>
      <c r="DU37" s="166">
        <f t="shared" si="25"/>
        <v>-949.46534708028344</v>
      </c>
      <c r="DV37" s="166">
        <f>_xlfn.FORECAST.LINEAR(AVERAGE(_xlfn.ANCHORARRAY(BR37)),Sheet2!$AK$2:$AK$69,Sheet2!$AJ$2:$AJ$69)</f>
        <v>9.5341695082153514E-6</v>
      </c>
    </row>
    <row r="38" spans="1:126" ht="15" thickBot="1" x14ac:dyDescent="0.35">
      <c r="A38" s="184" t="str">
        <f>'Su K. oro stendu'!B83</f>
        <v>28.12.2022</v>
      </c>
      <c r="B38" s="183">
        <v>0</v>
      </c>
      <c r="C38" s="183">
        <v>468</v>
      </c>
      <c r="D38" s="183">
        <v>0</v>
      </c>
      <c r="E38" s="183">
        <v>505</v>
      </c>
      <c r="F38" s="183">
        <v>0</v>
      </c>
      <c r="G38" s="183">
        <v>503</v>
      </c>
      <c r="H38" s="183">
        <v>0</v>
      </c>
      <c r="I38" s="183">
        <v>472</v>
      </c>
      <c r="J38" s="183" cm="1">
        <f t="array" ref="J38:Q38">TRANSPOSE('[41]Nu kitimas'!$K$4:$K$11)</f>
        <v>87.622899086898073</v>
      </c>
      <c r="K38" s="183">
        <v>89.963406574492225</v>
      </c>
      <c r="L38" s="183">
        <v>94.534890001793215</v>
      </c>
      <c r="M38" s="183">
        <v>99.485250112130203</v>
      </c>
      <c r="N38" s="183">
        <v>105.06954299795171</v>
      </c>
      <c r="O38" s="183">
        <v>110.39541210398974</v>
      </c>
      <c r="P38" s="183">
        <v>115.25475015515364</v>
      </c>
      <c r="Q38" s="183">
        <v>116.34069305333205</v>
      </c>
      <c r="R38" s="183" cm="1">
        <f t="array" ref="R38:Y38">TRANSPOSE([41]Alfa!$G$18:$G$25)</f>
        <v>166.38374774077326</v>
      </c>
      <c r="S38" s="183">
        <v>168.75409608646038</v>
      </c>
      <c r="T38" s="183">
        <v>174.2768531678187</v>
      </c>
      <c r="U38" s="183">
        <v>181.61928856170201</v>
      </c>
      <c r="V38" s="183">
        <v>189.13064466300574</v>
      </c>
      <c r="W38" s="183">
        <v>196.56838559494048</v>
      </c>
      <c r="X38" s="183">
        <v>202.00292280397147</v>
      </c>
      <c r="Y38" s="183">
        <v>201.94890094140374</v>
      </c>
      <c r="Z38" s="183" cm="1">
        <f t="array" ref="Z38:AG38">TRANSPOSE([41]Alfa!$F$127:$F$134)</f>
        <v>0</v>
      </c>
      <c r="AA38" s="183">
        <v>0.41849838711605103</v>
      </c>
      <c r="AB38" s="183">
        <v>0</v>
      </c>
      <c r="AC38" s="183">
        <v>0.45259743759222343</v>
      </c>
      <c r="AD38" s="183">
        <v>0</v>
      </c>
      <c r="AE38" s="183">
        <v>0.45106997823269296</v>
      </c>
      <c r="AF38" s="183">
        <v>0</v>
      </c>
      <c r="AG38" s="183">
        <v>0.42636565569888957</v>
      </c>
      <c r="AH38" s="35" cm="1">
        <f t="array" ref="AH38:AO38">TRANSPOSE('[41]Silumos kiekio nustat.'!$F$25:$F$32)</f>
        <v>478.62691090858124</v>
      </c>
      <c r="AI38" s="35">
        <v>477.95832703599154</v>
      </c>
      <c r="AJ38" s="35">
        <v>477.27051830259012</v>
      </c>
      <c r="AK38" s="35">
        <v>476.56384960809595</v>
      </c>
      <c r="AL38" s="35">
        <v>475.83867749774942</v>
      </c>
      <c r="AM38" s="35">
        <v>475.09535000809052</v>
      </c>
      <c r="AN38" s="35">
        <v>474.33420651901747</v>
      </c>
      <c r="AO38" s="35">
        <v>473.55557761175788</v>
      </c>
      <c r="AP38" s="313">
        <f t="shared" si="5"/>
        <v>3.729016365024576E-3</v>
      </c>
      <c r="AQ38" s="35">
        <f t="shared" si="6"/>
        <v>1.7755913802736678</v>
      </c>
      <c r="AR38" s="183" cm="1">
        <f t="array" ref="AR38:AY38">TRANSPOSE([41]Alfa!$E$127:$E$134)</f>
        <v>0.44216621363440384</v>
      </c>
      <c r="AS38" s="183">
        <v>0.31169613344327024</v>
      </c>
      <c r="AT38" s="183">
        <v>0.40780327700838725</v>
      </c>
      <c r="AU38" s="183">
        <v>0.25092960236481077</v>
      </c>
      <c r="AV38" s="183">
        <v>0.32279840334700621</v>
      </c>
      <c r="AW38" s="183">
        <v>0.27131750170348573</v>
      </c>
      <c r="AX38" s="183">
        <v>0.35265542550393336</v>
      </c>
      <c r="AY38" s="183">
        <v>0.2371138574755641</v>
      </c>
      <c r="AZ38" s="183">
        <f t="shared" si="7"/>
        <v>100</v>
      </c>
      <c r="BA38" s="183">
        <f>'Su K. oro stendu'!P83</f>
        <v>52.521000000000001</v>
      </c>
      <c r="BB38" s="183">
        <f t="shared" si="21"/>
        <v>100</v>
      </c>
      <c r="BC38" s="143">
        <v>52.521000000000001</v>
      </c>
      <c r="BD38" s="183">
        <f t="shared" si="22"/>
        <v>99.766000000000005</v>
      </c>
      <c r="BE38" s="143">
        <v>52.48</v>
      </c>
      <c r="BF38" s="183">
        <f t="shared" si="26"/>
        <v>99.063999999999993</v>
      </c>
      <c r="BG38" s="143">
        <v>52.354999999999997</v>
      </c>
      <c r="BH38" s="183">
        <f t="shared" si="27"/>
        <v>98.054000000000002</v>
      </c>
      <c r="BI38" s="304">
        <v>52.173999999999999</v>
      </c>
      <c r="BJ38" s="183">
        <f t="shared" si="28"/>
        <v>98.054000000000002</v>
      </c>
      <c r="BK38" s="143">
        <v>52.173999999999999</v>
      </c>
      <c r="BL38" s="183">
        <f t="shared" si="29"/>
        <v>97.048000000000002</v>
      </c>
      <c r="BM38" s="143">
        <v>51.991999999999997</v>
      </c>
      <c r="BN38" s="183">
        <f t="shared" si="30"/>
        <v>97.048000000000002</v>
      </c>
      <c r="BO38" s="143">
        <v>51.991999999999997</v>
      </c>
      <c r="BP38" s="183">
        <f t="shared" si="31"/>
        <v>96.103999999999999</v>
      </c>
      <c r="BQ38" s="143">
        <v>51.819000000000003</v>
      </c>
      <c r="BR38" s="183" cm="1">
        <f t="array" ref="BR38:BY38">TRANSPOSE('[7]Keithley Matavimai'!$W$6:$W$13)</f>
        <v>44.562302913929251</v>
      </c>
      <c r="BS38" s="183">
        <v>40.462714326735799</v>
      </c>
      <c r="BT38" s="183">
        <v>39.032658613483555</v>
      </c>
      <c r="BU38" s="183">
        <v>34.876464131126113</v>
      </c>
      <c r="BV38" s="183">
        <v>34.662884699235526</v>
      </c>
      <c r="BW38" s="183">
        <v>34.213748163336028</v>
      </c>
      <c r="BX38" s="183">
        <v>32.36508752236162</v>
      </c>
      <c r="BY38" s="183">
        <v>29.019547602089883</v>
      </c>
      <c r="BZ38" s="183" cm="1">
        <f t="array" ref="BZ38:CH38">TRANSPOSE('[7]Keithley Matavimai'!$V$5:$V$13)</f>
        <v>145.54278565883115</v>
      </c>
      <c r="CA38" s="183">
        <v>138.04486950967672</v>
      </c>
      <c r="CB38" s="183">
        <v>132.06433978952856</v>
      </c>
      <c r="CC38" s="183">
        <v>124.70140756277419</v>
      </c>
      <c r="CD38" s="183">
        <v>121.0077243924469</v>
      </c>
      <c r="CE38" s="183">
        <v>114.67680030153161</v>
      </c>
      <c r="CF38" s="183">
        <v>110.15527458507347</v>
      </c>
      <c r="CG38" s="183">
        <v>103.8272900322283</v>
      </c>
      <c r="CH38" s="183">
        <v>99.550679828896065</v>
      </c>
      <c r="CI38" s="183" cm="1">
        <f t="array" ref="CI38:CQ38">TRANSPOSE('[7]Silumos kiekio nustat.'!$B$24:$B$32)</f>
        <v>29.35448633630082</v>
      </c>
      <c r="CJ38" s="183">
        <v>28.362595559576366</v>
      </c>
      <c r="CK38" s="183">
        <v>26.836393644153816</v>
      </c>
      <c r="CL38" s="183">
        <v>24.834763306436717</v>
      </c>
      <c r="CM38" s="183">
        <v>22.416587262828607</v>
      </c>
      <c r="CN38" s="183">
        <v>19.64074822973302</v>
      </c>
      <c r="CO38" s="183">
        <v>16.566128923553507</v>
      </c>
      <c r="CP38" s="183">
        <v>13.251612060693603</v>
      </c>
      <c r="CQ38" s="183">
        <v>9.7560803575568436</v>
      </c>
      <c r="CR38" s="183">
        <f>'Su K. oro stendu'!P83</f>
        <v>52.521000000000001</v>
      </c>
      <c r="CS38" s="183"/>
      <c r="CT38" s="183">
        <v>11525.963747596372</v>
      </c>
      <c r="CU38" s="183">
        <f>[41]Alfa!$F$15</f>
        <v>910</v>
      </c>
      <c r="CV38" s="172">
        <f>'Su K. oro stendu'!J83</f>
        <v>2</v>
      </c>
      <c r="CW38" s="183">
        <f>'Su K. oro stendu'!D83</f>
        <v>10000</v>
      </c>
      <c r="CX38" s="183">
        <f>'Su K. oro stendu'!G83</f>
        <v>10</v>
      </c>
      <c r="CY38" s="183">
        <v>0.12843956043956045</v>
      </c>
      <c r="CZ38" s="183">
        <f>'Su K. oro stendu'!H83</f>
        <v>15.41</v>
      </c>
      <c r="DA38" s="183">
        <f>'Su K. oro stendu'!C83</f>
        <v>500</v>
      </c>
      <c r="DB38" s="183">
        <f>'Su K. oro stendu'!E83</f>
        <v>50</v>
      </c>
      <c r="DC38" s="183">
        <f>'Su K. oro stendu'!I83</f>
        <v>999</v>
      </c>
      <c r="DD38" s="183">
        <f>'Su K. oro stendu'!K83</f>
        <v>8.32</v>
      </c>
      <c r="DE38" s="183">
        <f>'Su K. oro stendu'!L83</f>
        <v>10.62</v>
      </c>
      <c r="DF38" s="183">
        <f>'Su K. oro stendu'!F83</f>
        <v>175</v>
      </c>
      <c r="DG38" s="253">
        <f>[41]Alfa!$D$29</f>
        <v>7259.426779264265</v>
      </c>
      <c r="DH38" s="253">
        <f>[41]Alfa!$D$26</f>
        <v>11525.963747596372</v>
      </c>
      <c r="DI38" s="253">
        <f>[41]Alfa!$D$27</f>
        <v>5245.5943759195707</v>
      </c>
      <c r="DJ38" s="253">
        <f t="shared" si="14"/>
        <v>12505.021155183837</v>
      </c>
      <c r="DK38" s="253">
        <f t="shared" si="20"/>
        <v>12015.492451390104</v>
      </c>
      <c r="DL38" s="253">
        <f t="shared" si="16"/>
        <v>8.4943648013090234E-2</v>
      </c>
      <c r="DM38" s="183">
        <f>New!AC38</f>
        <v>4.5365701427914636E-5</v>
      </c>
      <c r="DN38" s="183">
        <f t="shared" si="23"/>
        <v>4.6283948751360004E-5</v>
      </c>
      <c r="DO38" s="183">
        <f t="shared" si="17"/>
        <v>0.98016056649837191</v>
      </c>
      <c r="DP38" s="183">
        <f t="shared" si="24"/>
        <v>185.08560494500946</v>
      </c>
      <c r="DQ38" s="297">
        <f>DH38/((DA38/3600)*New!BV38*(Sheet3!BZ38-Sheet3!CP38)*1000)</f>
        <v>0.56058429830055712</v>
      </c>
      <c r="DR38" s="166">
        <f>(DB38*0.018)/(0.011*New!IV38*3600)</f>
        <v>1524.0373859707292</v>
      </c>
      <c r="DS38" s="166">
        <f>(New!IV38*New!CE38*1000)/New!AU38</f>
        <v>0.59159404006173677</v>
      </c>
      <c r="DT38" s="166">
        <f>IF(DR38&gt;2300,0.023*((DR38^(4/5)*DS38^(1/3))/(1+12.7*(DS38^(2/3)-1)))*(New!IV38/DV38)^0.14, 0.943*(DR38*DS38*New!IV38/Sheet3!DV38)^0.4)</f>
        <v>16.790179396645364</v>
      </c>
      <c r="DU38" s="166">
        <f t="shared" si="25"/>
        <v>-994.15756044988484</v>
      </c>
      <c r="DV38" s="166">
        <f>_xlfn.FORECAST.LINEAR(AVERAGE(_xlfn.ANCHORARRAY(BR38)),Sheet2!$AK$2:$AK$69,Sheet2!$AJ$2:$AJ$69)</f>
        <v>1.005106321350142E-5</v>
      </c>
    </row>
    <row r="39" spans="1:126" ht="15" thickBot="1" x14ac:dyDescent="0.35">
      <c r="A39" s="184" t="str">
        <f>'Su K. oro stendu'!B84</f>
        <v>28.12.2022</v>
      </c>
      <c r="B39" s="183">
        <v>0</v>
      </c>
      <c r="C39" s="183">
        <v>387</v>
      </c>
      <c r="D39" s="183">
        <v>0</v>
      </c>
      <c r="E39" s="183">
        <v>430</v>
      </c>
      <c r="F39" s="183">
        <v>1</v>
      </c>
      <c r="G39" s="183">
        <v>414</v>
      </c>
      <c r="H39" s="183">
        <v>0</v>
      </c>
      <c r="I39" s="183">
        <v>441</v>
      </c>
      <c r="J39" s="183" cm="1">
        <f t="array" ref="J39:Q39">TRANSPOSE('[42]Nu kitimas'!$H$4:$H$11)</f>
        <v>76.234033607225911</v>
      </c>
      <c r="K39" s="183">
        <v>77.832804789391275</v>
      </c>
      <c r="L39" s="183">
        <v>81.200581006979576</v>
      </c>
      <c r="M39" s="183">
        <v>85.639921712676042</v>
      </c>
      <c r="N39" s="183">
        <v>91.237579705909056</v>
      </c>
      <c r="O39" s="183">
        <v>95.625680112687292</v>
      </c>
      <c r="P39" s="183">
        <v>100.72496608794873</v>
      </c>
      <c r="Q39" s="183">
        <v>105.26891758847336</v>
      </c>
      <c r="R39" s="183" cm="1">
        <f t="array" ref="R39:Y39">TRANSPOSE([42]Alfa!$G$18:$G$25)</f>
        <v>154.98965222806478</v>
      </c>
      <c r="S39" s="183">
        <v>155.146674369153</v>
      </c>
      <c r="T39" s="183">
        <v>158.94281022205604</v>
      </c>
      <c r="U39" s="183">
        <v>164.98581381283711</v>
      </c>
      <c r="V39" s="183">
        <v>172.90832552616811</v>
      </c>
      <c r="W39" s="183">
        <v>179.79998315243756</v>
      </c>
      <c r="X39" s="183">
        <v>186.22304273601824</v>
      </c>
      <c r="Y39" s="183">
        <v>192.01777252797683</v>
      </c>
      <c r="Z39" s="183" cm="1">
        <f t="array" ref="Z39:AG39">TRANSPOSE([42]Alfa!$F$127:$F$134)</f>
        <v>0</v>
      </c>
      <c r="AA39" s="183">
        <v>0.34575696829588404</v>
      </c>
      <c r="AB39" s="183">
        <v>0</v>
      </c>
      <c r="AC39" s="183">
        <v>0.38512261743100473</v>
      </c>
      <c r="AD39" s="183">
        <v>8.9573138313781876E-4</v>
      </c>
      <c r="AE39" s="183">
        <v>0.37110406310367933</v>
      </c>
      <c r="AF39" s="183">
        <v>0</v>
      </c>
      <c r="AG39" s="183">
        <v>0.39822107454889411</v>
      </c>
      <c r="AH39" s="35" cm="1">
        <f t="array" ref="AH39:AO39">TRANSPOSE('[42]Silumos kiekio nustat.'!$F$25:$F$32)</f>
        <v>539.54351073181101</v>
      </c>
      <c r="AI39" s="35">
        <v>527.07361389283926</v>
      </c>
      <c r="AJ39" s="35">
        <v>518.59333639211786</v>
      </c>
      <c r="AK39" s="35">
        <v>514.06562891050373</v>
      </c>
      <c r="AL39" s="35">
        <v>513.45545260474069</v>
      </c>
      <c r="AM39" s="35">
        <v>516.7290989527869</v>
      </c>
      <c r="AN39" s="35">
        <v>523.85356678390292</v>
      </c>
      <c r="AO39" s="35">
        <v>534.79599779302191</v>
      </c>
      <c r="AP39" s="313">
        <f t="shared" si="5"/>
        <v>1.8515680381913733E-2</v>
      </c>
      <c r="AQ39" s="35">
        <f t="shared" si="6"/>
        <v>9.6932137474587208</v>
      </c>
      <c r="AR39" s="183" cm="1">
        <f t="array" ref="AR39:AY39">TRANSPOSE([42]Alfa!$E$127:$E$134)</f>
        <v>0.47919592198806044</v>
      </c>
      <c r="AS39" s="183">
        <v>0.52461772202439028</v>
      </c>
      <c r="AT39" s="183">
        <v>0.4665234004913606</v>
      </c>
      <c r="AU39" s="183">
        <v>0.42194309600909929</v>
      </c>
      <c r="AV39" s="183">
        <v>0.41185743669738145</v>
      </c>
      <c r="AW39" s="183">
        <v>0.21489700392161251</v>
      </c>
      <c r="AX39" s="183">
        <v>0.41397920594364485</v>
      </c>
      <c r="AY39" s="183">
        <v>0.3476874252003439</v>
      </c>
      <c r="AZ39" s="183">
        <f t="shared" si="7"/>
        <v>100.95238095238095</v>
      </c>
      <c r="BA39" s="183">
        <f>'Su K. oro stendu'!P84</f>
        <v>52.689</v>
      </c>
      <c r="BB39" s="183">
        <f t="shared" si="21"/>
        <v>100.95238095238095</v>
      </c>
      <c r="BC39" s="304">
        <v>52.689</v>
      </c>
      <c r="BD39" s="183">
        <f t="shared" si="22"/>
        <v>100.76809523809524</v>
      </c>
      <c r="BE39" s="143">
        <v>52.656999999999996</v>
      </c>
      <c r="BF39" s="183">
        <f t="shared" si="26"/>
        <v>100.21523809523809</v>
      </c>
      <c r="BG39" s="143">
        <v>52.558999999999997</v>
      </c>
      <c r="BH39" s="183">
        <f t="shared" si="27"/>
        <v>99.396190476190469</v>
      </c>
      <c r="BI39" s="143">
        <v>52.414000000000001</v>
      </c>
      <c r="BJ39" s="183">
        <f t="shared" si="28"/>
        <v>99.394285714285715</v>
      </c>
      <c r="BK39" s="143">
        <v>52.414000000000001</v>
      </c>
      <c r="BL39" s="183">
        <f t="shared" si="29"/>
        <v>98.605714285714285</v>
      </c>
      <c r="BM39" s="143">
        <v>52.273000000000003</v>
      </c>
      <c r="BN39" s="183">
        <f t="shared" si="30"/>
        <v>98.605714285714285</v>
      </c>
      <c r="BO39" s="304">
        <v>52.273000000000003</v>
      </c>
      <c r="BP39" s="183">
        <f t="shared" si="31"/>
        <v>97.765714285714282</v>
      </c>
      <c r="BQ39" s="304">
        <v>52.122</v>
      </c>
      <c r="BR39" s="183" cm="1">
        <f t="array" ref="BR39:BY39">TRANSPOSE('[42]Keithley Matavimai'!$W$6:$W$13)</f>
        <v>31.329698635690303</v>
      </c>
      <c r="BS39" s="183">
        <v>25.036860516557216</v>
      </c>
      <c r="BT39" s="183">
        <v>26.942676803317184</v>
      </c>
      <c r="BU39" s="183">
        <v>22.534552870724379</v>
      </c>
      <c r="BV39" s="183">
        <v>23.238788623341538</v>
      </c>
      <c r="BW39" s="183">
        <v>22.799781982747419</v>
      </c>
      <c r="BX39" s="183">
        <v>21.411978223698686</v>
      </c>
      <c r="BY39" s="183">
        <v>14.653927734391527</v>
      </c>
      <c r="BZ39" s="183" cm="1">
        <f t="array" ref="BZ39:CH39">TRANSPOSE('[42]Keithley Matavimai'!$V$5:$V$13)</f>
        <v>204.57604028284436</v>
      </c>
      <c r="CA39" s="183">
        <v>196.03137860704001</v>
      </c>
      <c r="CB39" s="183">
        <v>187.10730521500383</v>
      </c>
      <c r="CC39" s="183">
        <v>178.84495068584624</v>
      </c>
      <c r="CD39" s="183">
        <v>171.7374934489047</v>
      </c>
      <c r="CE39" s="183">
        <v>164.39324828764049</v>
      </c>
      <c r="CF39" s="183">
        <v>160.89350321424308</v>
      </c>
      <c r="CG39" s="183">
        <v>153.43477853680827</v>
      </c>
      <c r="CH39" s="183">
        <v>147.47371730777635</v>
      </c>
      <c r="CI39" s="183" cm="1">
        <f t="array" ref="CI39:CQ39">TRANSPOSE('[42]Silumos kiekio nustat.'!$B$24:$B$32)</f>
        <v>19.403016986021484</v>
      </c>
      <c r="CJ39" s="183">
        <v>17.996627661403991</v>
      </c>
      <c r="CK39" s="183">
        <v>16.619564037073246</v>
      </c>
      <c r="CL39" s="183">
        <v>15.261607950240853</v>
      </c>
      <c r="CM39" s="183">
        <v>13.91254123811842</v>
      </c>
      <c r="CN39" s="183">
        <v>12.562145737917556</v>
      </c>
      <c r="CO39" s="183">
        <v>11.200203286849863</v>
      </c>
      <c r="CP39" s="183">
        <v>9.8164957221269553</v>
      </c>
      <c r="CQ39" s="183">
        <v>8.4008048809604343</v>
      </c>
      <c r="CR39" s="183">
        <f>'Su K. oro stendu'!P84</f>
        <v>52.689</v>
      </c>
      <c r="CS39" s="183"/>
      <c r="CT39" s="183">
        <v>12708.061717773828</v>
      </c>
      <c r="CU39" s="183">
        <f>[43]Alfa!$F$15</f>
        <v>900</v>
      </c>
      <c r="CV39" s="172">
        <f>'Su K. oro stendu'!J84</f>
        <v>2</v>
      </c>
      <c r="CW39" s="183">
        <f>'Su K. oro stendu'!D84</f>
        <v>10000</v>
      </c>
      <c r="CX39" s="183">
        <f>'Su K. oro stendu'!G84</f>
        <v>10</v>
      </c>
      <c r="CY39" s="183">
        <v>0.1103076923076923</v>
      </c>
      <c r="CZ39" s="183">
        <f>'Su K. oro stendu'!H84</f>
        <v>12.49</v>
      </c>
      <c r="DA39" s="183">
        <f>'Su K. oro stendu'!C84</f>
        <v>525</v>
      </c>
      <c r="DB39" s="183">
        <f>'Su K. oro stendu'!E84</f>
        <v>53</v>
      </c>
      <c r="DC39" s="183">
        <f>'Su K. oro stendu'!I84</f>
        <v>1051.5</v>
      </c>
      <c r="DD39" s="183">
        <f>'Su K. oro stendu'!K84</f>
        <v>8.2100000000000009</v>
      </c>
      <c r="DE39" s="183">
        <f>'Su K. oro stendu'!L84</f>
        <v>11.12</v>
      </c>
      <c r="DF39" s="183">
        <f>'Su K. oro stendu'!F84</f>
        <v>205</v>
      </c>
      <c r="DG39" s="253">
        <f>[42]Alfa!$D$29</f>
        <v>9225.5574334681296</v>
      </c>
      <c r="DH39" s="253">
        <f>[42]Alfa!$D$26</f>
        <v>12708.061717773828</v>
      </c>
      <c r="DI39" s="253">
        <f>[42]Alfa!$D$27</f>
        <v>4503.3013642878004</v>
      </c>
      <c r="DJ39" s="253">
        <f t="shared" si="14"/>
        <v>13728.858797755929</v>
      </c>
      <c r="DK39" s="253">
        <f t="shared" si="20"/>
        <v>13218.460257764878</v>
      </c>
      <c r="DL39" s="253">
        <f t="shared" si="16"/>
        <v>8.0326732955222274E-2</v>
      </c>
      <c r="DM39" s="183">
        <f>New!AC39</f>
        <v>5.1465155985798892E-5</v>
      </c>
      <c r="DN39" s="183">
        <f t="shared" si="23"/>
        <v>5.0323119098159997E-5</v>
      </c>
      <c r="DO39" s="183">
        <f t="shared" si="17"/>
        <v>1.0226940799399029</v>
      </c>
      <c r="DP39" s="183">
        <f t="shared" si="24"/>
        <v>170.62675932183896</v>
      </c>
      <c r="DQ39" s="297">
        <f>DH39/((DA39/3600)*New!BV39*(Sheet3!BZ39-Sheet3!CP39)*1000)</f>
        <v>0.39715904012924208</v>
      </c>
      <c r="DR39" s="166">
        <f>(DB39*0.018)/(0.011*New!IV39*3600)</f>
        <v>1509.1800846675749</v>
      </c>
      <c r="DS39" s="166">
        <f>(New!IV39*New!CE39*1000)/New!AU39</f>
        <v>0.55193626425495013</v>
      </c>
      <c r="DT39" s="166">
        <f>IF(DR39&gt;2300,0.023*((DR39^(4/5)*DS39^(1/3))/(1+12.7*(DS39^(2/3)-1)))*(New!IV39/DV39)^0.14, 0.943*(DR39*DS39*New!IV39/Sheet3!DV39)^0.4)</f>
        <v>17.019869493558907</v>
      </c>
      <c r="DU39" s="166">
        <f t="shared" si="25"/>
        <v>-861.85103776374638</v>
      </c>
      <c r="DV39" s="166">
        <f>_xlfn.FORECAST.LINEAR(AVERAGE(_xlfn.ANCHORARRAY(BR39)),Sheet2!$AK$2:$AK$69,Sheet2!$AJ$2:$AJ$69)</f>
        <v>9.6079511494452783E-6</v>
      </c>
    </row>
    <row r="40" spans="1:126" x14ac:dyDescent="0.3">
      <c r="A40" s="184" t="str">
        <f>'Su K. oro stendu'!B85</f>
        <v>29.12.2022</v>
      </c>
      <c r="B40" s="183">
        <v>16</v>
      </c>
      <c r="C40" s="183">
        <v>548</v>
      </c>
      <c r="D40" s="183">
        <v>14</v>
      </c>
      <c r="E40" s="183">
        <v>451</v>
      </c>
      <c r="F40" s="183">
        <v>13</v>
      </c>
      <c r="G40" s="183">
        <v>501</v>
      </c>
      <c r="H40" s="183">
        <v>16</v>
      </c>
      <c r="I40" s="183">
        <v>439</v>
      </c>
      <c r="J40" s="183" cm="1">
        <f t="array" ref="J40:Q40">TRANSPOSE('[44]Nu kitimas'!$O$4:$O$11)</f>
        <v>121.19338572507472</v>
      </c>
      <c r="K40" s="183">
        <v>126.37448496881446</v>
      </c>
      <c r="L40" s="183">
        <v>133.48826620481398</v>
      </c>
      <c r="M40" s="183">
        <v>139.14952095330705</v>
      </c>
      <c r="N40" s="183">
        <v>143.8817628974908</v>
      </c>
      <c r="O40" s="183">
        <v>149.96616784212307</v>
      </c>
      <c r="P40" s="183">
        <v>155.94657288779126</v>
      </c>
      <c r="Q40" s="183">
        <v>158.9964305103949</v>
      </c>
      <c r="R40" s="183" cm="1">
        <f t="array" ref="R40:Y40">TRANSPOSE([44]Alfa!$G$18:$G$25)</f>
        <v>188.09517220202673</v>
      </c>
      <c r="S40" s="183">
        <v>194.79935069411206</v>
      </c>
      <c r="T40" s="183">
        <v>203.47433919961557</v>
      </c>
      <c r="U40" s="183">
        <v>211.21873252871154</v>
      </c>
      <c r="V40" s="183">
        <v>216.66412245559681</v>
      </c>
      <c r="W40" s="183">
        <v>224.45367803379253</v>
      </c>
      <c r="X40" s="183">
        <v>231.48720367351626</v>
      </c>
      <c r="Y40" s="183">
        <v>234.80508764541881</v>
      </c>
      <c r="Z40" s="183" cm="1">
        <f t="array" ref="Z40:AG40">TRANSPOSE([44]Alfa!$F$127:$F$134)</f>
        <v>1.0656939337861797E-2</v>
      </c>
      <c r="AA40" s="183">
        <v>0.32193269741066877</v>
      </c>
      <c r="AB40" s="183">
        <v>8.7025560414510702E-3</v>
      </c>
      <c r="AC40" s="183">
        <v>0.28774249993864015</v>
      </c>
      <c r="AD40" s="183">
        <v>8.7350790330435867E-3</v>
      </c>
      <c r="AE40" s="183">
        <v>0.33522554950319877</v>
      </c>
      <c r="AF40" s="183">
        <v>1.011726797572894E-2</v>
      </c>
      <c r="AG40" s="183">
        <v>0.30558022430321896</v>
      </c>
      <c r="AH40" s="35" cm="1">
        <f t="array" ref="AH40:AO40">TRANSPOSE('[44]Silumos kiekio nustat.'!$F$25:$F$32)</f>
        <v>181.7538171036735</v>
      </c>
      <c r="AI40" s="35">
        <v>183.38605001297572</v>
      </c>
      <c r="AJ40" s="35">
        <v>184.72525726262975</v>
      </c>
      <c r="AK40" s="35">
        <v>185.7755457147922</v>
      </c>
      <c r="AL40" s="35">
        <v>186.54097570776122</v>
      </c>
      <c r="AM40" s="35">
        <v>187.02553703338279</v>
      </c>
      <c r="AN40" s="35">
        <v>187.23312640020239</v>
      </c>
      <c r="AO40" s="35">
        <v>187.16752648866503</v>
      </c>
      <c r="AP40" s="313">
        <f t="shared" si="5"/>
        <v>1.0852645868404018E-2</v>
      </c>
      <c r="AQ40" s="35">
        <f t="shared" si="6"/>
        <v>2.012633806087849</v>
      </c>
      <c r="AR40" s="183" cm="1">
        <f t="array" ref="AR40:AY40">TRANSPOSE([44]Alfa!$E$127:$E$134)</f>
        <v>6.1567281566615832E-2</v>
      </c>
      <c r="AS40" s="183">
        <v>5.6687417456910444E-2</v>
      </c>
      <c r="AT40" s="183">
        <v>5.7945601356678415E-2</v>
      </c>
      <c r="AU40" s="183">
        <v>3.8928858474489604E-2</v>
      </c>
      <c r="AV40" s="183">
        <v>4.0536799872951022E-2</v>
      </c>
      <c r="AW40" s="183">
        <v>5.0837534175947052E-2</v>
      </c>
      <c r="AX40" s="183">
        <v>4.0786113175401165E-2</v>
      </c>
      <c r="AY40" s="183">
        <v>4.2779694505637261E-2</v>
      </c>
      <c r="AZ40" s="183">
        <f t="shared" si="7"/>
        <v>106.06060606060606</v>
      </c>
      <c r="BA40" s="183">
        <f>'Su K. oro stendu'!P85</f>
        <v>53.561</v>
      </c>
      <c r="BB40" s="183">
        <f t="shared" si="21"/>
        <v>106.03030303030303</v>
      </c>
      <c r="BC40" s="143">
        <v>53.555999999999997</v>
      </c>
      <c r="BD40" s="183">
        <f t="shared" si="22"/>
        <v>104.99242424242425</v>
      </c>
      <c r="BE40" s="143">
        <v>53.381999999999998</v>
      </c>
      <c r="BF40" s="183">
        <f t="shared" si="26"/>
        <v>101.68181818181819</v>
      </c>
      <c r="BG40" s="143">
        <v>52.816000000000003</v>
      </c>
      <c r="BH40" s="183">
        <f t="shared" si="27"/>
        <v>98.265151515151516</v>
      </c>
      <c r="BI40" s="183">
        <v>52.212000000000003</v>
      </c>
      <c r="BJ40" s="183">
        <f t="shared" si="28"/>
        <v>98.166666666666671</v>
      </c>
      <c r="BK40" s="143">
        <v>52.194000000000003</v>
      </c>
      <c r="BL40" s="183">
        <f t="shared" si="29"/>
        <v>94.371212121212125</v>
      </c>
      <c r="BM40" s="143">
        <v>51.497</v>
      </c>
      <c r="BN40" s="183">
        <f t="shared" si="30"/>
        <v>94.25</v>
      </c>
      <c r="BO40" s="143">
        <v>51.475000000000001</v>
      </c>
      <c r="BP40" s="183">
        <f t="shared" si="31"/>
        <v>90.924242424242422</v>
      </c>
      <c r="BQ40" s="183">
        <v>50.838999999999999</v>
      </c>
      <c r="BR40" s="183" cm="1">
        <f t="array" ref="BR40:BY40">TRANSPOSE('[44]Keithley Matavimai'!$W$6:$W$13)</f>
        <v>35.190037675261117</v>
      </c>
      <c r="BS40" s="183">
        <v>33.366730388611892</v>
      </c>
      <c r="BT40" s="183">
        <v>30.26773466895359</v>
      </c>
      <c r="BU40" s="183">
        <v>27.895323544378158</v>
      </c>
      <c r="BV40" s="183">
        <v>26.167558332450142</v>
      </c>
      <c r="BW40" s="183">
        <v>24.673013007756737</v>
      </c>
      <c r="BX40" s="183">
        <v>22.850148971866215</v>
      </c>
      <c r="BY40" s="183">
        <v>19.669915558520845</v>
      </c>
      <c r="BZ40" s="183" cm="1">
        <f t="array" ref="BZ40:CH40">TRANSPOSE('[44]Keithley Matavimai'!$V$5:$V$13)</f>
        <v>84.740254586227152</v>
      </c>
      <c r="CA40" s="183">
        <v>80.23995883477852</v>
      </c>
      <c r="CB40" s="183">
        <v>76.613533933980591</v>
      </c>
      <c r="CC40" s="183">
        <v>72.278271177099739</v>
      </c>
      <c r="CD40" s="183">
        <v>69.815056882131458</v>
      </c>
      <c r="CE40" s="183">
        <v>66.725689406728279</v>
      </c>
      <c r="CF40" s="183">
        <v>63.317138799785631</v>
      </c>
      <c r="CG40" s="183">
        <v>60.137650573198876</v>
      </c>
      <c r="CH40" s="183">
        <v>57.199089872702672</v>
      </c>
      <c r="CI40" s="183" cm="1">
        <f t="array" ref="CI40:CQ40">TRANSPOSE('[44]Silumos kiekio nustat.'!$B$24:$B$32)</f>
        <v>24.203407573690509</v>
      </c>
      <c r="CJ40" s="183">
        <v>22.341584322780641</v>
      </c>
      <c r="CK40" s="183">
        <v>20.457005388907568</v>
      </c>
      <c r="CL40" s="183">
        <v>18.552575774796789</v>
      </c>
      <c r="CM40" s="183">
        <v>16.631200483173814</v>
      </c>
      <c r="CN40" s="183">
        <v>14.695784516764144</v>
      </c>
      <c r="CO40" s="183">
        <v>12.749232878293281</v>
      </c>
      <c r="CP40" s="183">
        <v>10.794450570486733</v>
      </c>
      <c r="CQ40" s="183">
        <v>8.8343425960700017</v>
      </c>
      <c r="CR40" s="183">
        <f>'Su K. oro stendu'!P85</f>
        <v>53.561</v>
      </c>
      <c r="CS40" s="183"/>
      <c r="CT40" s="183">
        <v>4535.6731206444128</v>
      </c>
      <c r="CU40" s="183">
        <f>[44]Alfa!$F$15</f>
        <v>1210</v>
      </c>
      <c r="CV40" s="172">
        <f>'Su K. oro stendu'!J85</f>
        <v>2</v>
      </c>
      <c r="CW40" s="183">
        <f>'Su K. oro stendu'!D85</f>
        <v>3000</v>
      </c>
      <c r="CX40" s="183">
        <f>'Su K. oro stendu'!G85</f>
        <v>10</v>
      </c>
      <c r="CY40" s="183">
        <v>9.510743801652892E-2</v>
      </c>
      <c r="CZ40" s="183">
        <f>'Su K. oro stendu'!H85</f>
        <v>40.76</v>
      </c>
      <c r="DA40" s="183">
        <f>'Su K. oro stendu'!C85</f>
        <v>132</v>
      </c>
      <c r="DB40" s="183">
        <f>'Su K. oro stendu'!E85</f>
        <v>14</v>
      </c>
      <c r="DC40" s="183">
        <f>'Su K. oro stendu'!I85</f>
        <v>265</v>
      </c>
      <c r="DD40" s="183">
        <f>'Su K. oro stendu'!K85</f>
        <v>8.4</v>
      </c>
      <c r="DE40" s="183">
        <f>'Su K. oro stendu'!L85</f>
        <v>15.65</v>
      </c>
      <c r="DF40" s="183">
        <f>'Su K. oro stendu'!F85</f>
        <v>85</v>
      </c>
      <c r="DG40" s="253">
        <f>[44]Alfa!$D$29</f>
        <v>1037.8050587250864</v>
      </c>
      <c r="DH40" s="253">
        <f>[44]Alfa!$D$26</f>
        <v>4535.6731206444128</v>
      </c>
      <c r="DI40" s="253">
        <f>[44]Alfa!$D$27</f>
        <v>3866.0784406314356</v>
      </c>
      <c r="DJ40" s="253">
        <f t="shared" si="14"/>
        <v>4903.8834993565215</v>
      </c>
      <c r="DK40" s="253">
        <f t="shared" si="20"/>
        <v>4719.7783100004672</v>
      </c>
      <c r="DL40" s="253">
        <f t="shared" si="16"/>
        <v>8.118097775524763E-2</v>
      </c>
      <c r="DM40" s="183">
        <f>New!AC40</f>
        <v>2.9069592998975505E-5</v>
      </c>
      <c r="DN40" s="183">
        <f t="shared" si="23"/>
        <v>3.5049529086959997E-5</v>
      </c>
      <c r="DO40" s="183">
        <f t="shared" si="17"/>
        <v>0.82938612176078286</v>
      </c>
      <c r="DP40" s="183">
        <f t="shared" si="24"/>
        <v>213.12471080409878</v>
      </c>
      <c r="DQ40" s="297">
        <f>DH40/((DA40/3600)*New!BV40*(Sheet3!BZ40-Sheet3!CP40)*1000)</f>
        <v>1.513999694615654</v>
      </c>
      <c r="DR40" s="166">
        <f>(DB40*0.018)/(0.011*New!IV40*3600)</f>
        <v>541.05953112220141</v>
      </c>
      <c r="DS40" s="166">
        <f>(New!IV40*New!CE40*1000)/New!AU40</f>
        <v>0.86323913019559584</v>
      </c>
      <c r="DT40" s="166">
        <f>IF(DR40&gt;2300,0.023*((DR40^(4/5)*DS40^(1/3))/(1+12.7*(DS40^(2/3)-1)))*(New!IV40/DV40)^0.14, 0.943*(DR40*DS40*New!IV40/Sheet3!DV40)^0.4)</f>
        <v>11.88145853190046</v>
      </c>
      <c r="DU40" s="166">
        <f t="shared" si="25"/>
        <v>-1181.2073413816004</v>
      </c>
      <c r="DV40" s="166">
        <f>_xlfn.FORECAST.LINEAR(AVERAGE(_xlfn.ANCHORARRAY(BR40)),Sheet2!$AK$2:$AK$69,Sheet2!$AJ$2:$AJ$69)</f>
        <v>9.7485789604108212E-6</v>
      </c>
    </row>
    <row r="41" spans="1:126" ht="15" thickBot="1" x14ac:dyDescent="0.35">
      <c r="A41" s="184" t="str">
        <f>'Su K. oro stendu'!B86</f>
        <v>30.12.2022</v>
      </c>
      <c r="B41" s="183">
        <v>75</v>
      </c>
      <c r="C41" s="183">
        <v>410</v>
      </c>
      <c r="D41" s="183">
        <v>9</v>
      </c>
      <c r="E41" s="183">
        <v>477</v>
      </c>
      <c r="F41" s="183">
        <v>9</v>
      </c>
      <c r="G41" s="183">
        <v>450</v>
      </c>
      <c r="H41" s="183">
        <v>11</v>
      </c>
      <c r="I41" s="183">
        <v>396</v>
      </c>
      <c r="J41" s="183" cm="1">
        <f t="array" ref="J41:Q41">TRANSPOSE('[45]Nu kitimas'!$L$4:$L$11)</f>
        <v>85.437709018401037</v>
      </c>
      <c r="K41" s="183">
        <v>87.213784804736662</v>
      </c>
      <c r="L41" s="183">
        <v>90.873316225881425</v>
      </c>
      <c r="M41" s="183">
        <v>93.411749319540192</v>
      </c>
      <c r="N41" s="183">
        <v>97.126890186992881</v>
      </c>
      <c r="O41" s="183">
        <v>102.72562437460736</v>
      </c>
      <c r="P41" s="183">
        <v>109.79022417371198</v>
      </c>
      <c r="Q41" s="183">
        <v>117.12777784995458</v>
      </c>
      <c r="R41" s="183" cm="1">
        <f t="array" ref="R41:Y41">TRANSPOSE([45]Alfa!$G$18:$G$25)</f>
        <v>141.69320838282943</v>
      </c>
      <c r="S41" s="183">
        <v>142.73559122364668</v>
      </c>
      <c r="T41" s="183">
        <v>146.35855964787305</v>
      </c>
      <c r="U41" s="183">
        <v>149.47457031529322</v>
      </c>
      <c r="V41" s="183">
        <v>153.35083183901853</v>
      </c>
      <c r="W41" s="183">
        <v>160.61743336230469</v>
      </c>
      <c r="X41" s="183">
        <v>169.40751994939103</v>
      </c>
      <c r="Y41" s="183">
        <v>179.08518913099448</v>
      </c>
      <c r="Z41" s="183" cm="1">
        <f t="array" ref="Z41:AG41">TRANSPOSE([45]Alfa!$F$127:$F$134)</f>
        <v>4.9887472060652437E-2</v>
      </c>
      <c r="AA41" s="183">
        <v>0.27353398355775554</v>
      </c>
      <c r="AB41" s="183">
        <v>6.019113697075351E-3</v>
      </c>
      <c r="AC41" s="183">
        <v>0.31968180177999378</v>
      </c>
      <c r="AD41" s="183">
        <v>6.0433454593333937E-3</v>
      </c>
      <c r="AE41" s="183">
        <v>0.30275110917967535</v>
      </c>
      <c r="AF41" s="183">
        <v>7.4162181629185047E-3</v>
      </c>
      <c r="AG41" s="183">
        <v>0.26764135614595846</v>
      </c>
      <c r="AH41" s="35" cm="1">
        <f t="array" ref="AH41:AO41">TRANSPOSE('[45]Silumos kiekio nustat.'!$F$25:$F$32)</f>
        <v>218.18797633528229</v>
      </c>
      <c r="AI41" s="35">
        <v>210.32378956469495</v>
      </c>
      <c r="AJ41" s="35">
        <v>204.3848390365651</v>
      </c>
      <c r="AK41" s="35">
        <v>200.34155081155964</v>
      </c>
      <c r="AL41" s="35">
        <v>198.16693438598568</v>
      </c>
      <c r="AM41" s="35">
        <v>197.83591617078577</v>
      </c>
      <c r="AN41" s="35">
        <v>199.3247448784289</v>
      </c>
      <c r="AO41" s="35">
        <v>202.61046901680882</v>
      </c>
      <c r="AP41" s="313">
        <f t="shared" si="5"/>
        <v>3.4706636962178863E-2</v>
      </c>
      <c r="AQ41" s="35">
        <f t="shared" si="6"/>
        <v>7.076580111978048</v>
      </c>
      <c r="AR41" s="183" cm="1">
        <f t="array" ref="AR41:AY41">TRANSPOSE([45]Alfa!$E$127:$E$134)</f>
        <v>9.3321520443377881E-2</v>
      </c>
      <c r="AS41" s="183">
        <v>9.2926675834694147E-2</v>
      </c>
      <c r="AT41" s="183">
        <v>8.9239090942996438E-2</v>
      </c>
      <c r="AU41" s="183">
        <v>5.4583719605688578E-2</v>
      </c>
      <c r="AV41" s="183">
        <v>7.2188658762515859E-2</v>
      </c>
      <c r="AW41" s="183">
        <v>6.8661842365241713E-2</v>
      </c>
      <c r="AX41" s="183">
        <v>6.905253624091949E-2</v>
      </c>
      <c r="AY41" s="183">
        <v>6.321497222429627E-2</v>
      </c>
      <c r="AZ41" s="183">
        <f t="shared" si="7"/>
        <v>104.4776119402985</v>
      </c>
      <c r="BA41" s="183">
        <f>'Su K. oro stendu'!P86</f>
        <v>53.295000000000002</v>
      </c>
      <c r="BB41" s="183">
        <f t="shared" si="21"/>
        <v>104.33768656716418</v>
      </c>
      <c r="BC41" s="304">
        <v>53.271999999999998</v>
      </c>
      <c r="BD41" s="183">
        <f t="shared" si="22"/>
        <v>103.57276119402985</v>
      </c>
      <c r="BE41" s="304">
        <v>53.142000000000003</v>
      </c>
      <c r="BF41" s="183">
        <f t="shared" si="26"/>
        <v>100.79104477611941</v>
      </c>
      <c r="BG41" s="304">
        <v>52.661000000000001</v>
      </c>
      <c r="BH41" s="183">
        <f t="shared" si="27"/>
        <v>97.231343283582092</v>
      </c>
      <c r="BI41" s="143">
        <v>52.024999999999999</v>
      </c>
      <c r="BJ41" s="183">
        <f t="shared" si="28"/>
        <v>97.164179104477611</v>
      </c>
      <c r="BK41" s="304">
        <v>52.012999999999998</v>
      </c>
      <c r="BL41" s="183">
        <f t="shared" si="29"/>
        <v>93.805970149253724</v>
      </c>
      <c r="BM41" s="143">
        <v>51.390999999999998</v>
      </c>
      <c r="BN41" s="183">
        <f t="shared" si="30"/>
        <v>93.723880597014926</v>
      </c>
      <c r="BO41" s="143">
        <v>51.375999999999998</v>
      </c>
      <c r="BP41" s="183">
        <f t="shared" si="31"/>
        <v>90.768656716417908</v>
      </c>
      <c r="BQ41" s="304">
        <v>50.808999999999997</v>
      </c>
      <c r="BR41" s="183" cm="1">
        <f t="array" ref="BR41:BY41">TRANSPOSE('[45]Keithley Matavimai'!$W$6:$W$13)</f>
        <v>36.699890016327238</v>
      </c>
      <c r="BS41" s="183">
        <v>34.155965366725347</v>
      </c>
      <c r="BT41" s="183">
        <v>31.509454201572364</v>
      </c>
      <c r="BU41" s="183">
        <v>28.75215975912792</v>
      </c>
      <c r="BV41" s="183">
        <v>26.86113510305832</v>
      </c>
      <c r="BW41" s="183">
        <v>25.2793659291662</v>
      </c>
      <c r="BX41" s="183">
        <v>23.148076655977921</v>
      </c>
      <c r="BY41" s="183">
        <v>20.060267027752417</v>
      </c>
      <c r="BZ41" s="183" cm="1">
        <f t="array" ref="BZ41:CH41">TRANSPOSE('[45]Keithley Matavimai'!$V$5:$V$13)</f>
        <v>115.90640125784218</v>
      </c>
      <c r="CA41" s="183">
        <v>108.48063797979006</v>
      </c>
      <c r="CB41" s="183">
        <v>102.42970510457583</v>
      </c>
      <c r="CC41" s="183">
        <v>95.937194498695092</v>
      </c>
      <c r="CD41" s="183">
        <v>92.617177866725129</v>
      </c>
      <c r="CE41" s="183">
        <v>87.243847903462608</v>
      </c>
      <c r="CF41" s="183">
        <v>82.675383196794499</v>
      </c>
      <c r="CG41" s="183">
        <v>77.422179268449369</v>
      </c>
      <c r="CH41" s="183">
        <v>73.041487071958443</v>
      </c>
      <c r="CI41" s="183" cm="1">
        <f t="array" ref="CI41:CQ41">TRANSPOSE('[45]Silumos kiekio nustat.'!$B$24:$B$32)</f>
        <v>25.276333423925582</v>
      </c>
      <c r="CJ41" s="183">
        <v>23.081983863290137</v>
      </c>
      <c r="CK41" s="183">
        <v>20.958850673753794</v>
      </c>
      <c r="CL41" s="183">
        <v>18.888317051544071</v>
      </c>
      <c r="CM41" s="183">
        <v>16.851766192888476</v>
      </c>
      <c r="CN41" s="183">
        <v>14.830581294014532</v>
      </c>
      <c r="CO41" s="183">
        <v>12.806145551149744</v>
      </c>
      <c r="CP41" s="183">
        <v>10.759842160521636</v>
      </c>
      <c r="CQ41" s="183">
        <v>8.673054318357714</v>
      </c>
      <c r="CR41" s="183">
        <f>'Su K. oro stendu'!P86</f>
        <v>53.295000000000002</v>
      </c>
      <c r="CS41" s="183"/>
      <c r="CT41" s="183">
        <v>4988.2564566207602</v>
      </c>
      <c r="CU41" s="183">
        <f>[45]Alfa!$F$15</f>
        <v>1210</v>
      </c>
      <c r="CV41" s="172">
        <f>'Su K. oro stendu'!J86</f>
        <v>2</v>
      </c>
      <c r="CW41" s="183">
        <f>'Su K. oro stendu'!D86</f>
        <v>3000</v>
      </c>
      <c r="CX41" s="183">
        <f>'Su K. oro stendu'!G86</f>
        <v>10</v>
      </c>
      <c r="CY41" s="183">
        <v>9.1090909090909097E-2</v>
      </c>
      <c r="CZ41" s="183">
        <f>'Su K. oro stendu'!H86</f>
        <v>39.04</v>
      </c>
      <c r="DA41" s="183">
        <f>'Su K. oro stendu'!C86</f>
        <v>134</v>
      </c>
      <c r="DB41" s="183">
        <f>'Su K. oro stendu'!E86</f>
        <v>14</v>
      </c>
      <c r="DC41" s="183">
        <f>'Su K. oro stendu'!I86</f>
        <v>270</v>
      </c>
      <c r="DD41" s="183">
        <f>'Su K. oro stendu'!K86</f>
        <v>8.27</v>
      </c>
      <c r="DE41" s="183">
        <f>'Su K. oro stendu'!L86</f>
        <v>16.91</v>
      </c>
      <c r="DF41" s="183">
        <f>'Su K. oro stendu'!F86</f>
        <v>115</v>
      </c>
      <c r="DG41" s="253">
        <f>[45]Alfa!$D$29</f>
        <v>1608.7273342188598</v>
      </c>
      <c r="DH41" s="253">
        <f>[45]Alfa!$D$26</f>
        <v>4988.2564566207602</v>
      </c>
      <c r="DI41" s="253">
        <f>[45]Alfa!$D$27</f>
        <v>3698.9232001300884</v>
      </c>
      <c r="DJ41" s="253">
        <f t="shared" si="14"/>
        <v>5307.650534348948</v>
      </c>
      <c r="DK41" s="253">
        <f t="shared" si="20"/>
        <v>5147.9534954848541</v>
      </c>
      <c r="DL41" s="253">
        <f t="shared" si="16"/>
        <v>6.4029201486676929E-2</v>
      </c>
      <c r="DM41" s="183">
        <f>New!AC41</f>
        <v>3.4187552517374656E-5</v>
      </c>
      <c r="DN41" s="183">
        <f t="shared" si="23"/>
        <v>3.864169920576E-5</v>
      </c>
      <c r="DO41" s="183">
        <f t="shared" si="17"/>
        <v>0.8847321215180568</v>
      </c>
      <c r="DP41" s="183">
        <f t="shared" si="24"/>
        <v>155.34036298141888</v>
      </c>
      <c r="DQ41" s="297">
        <f>DH41/((DA41/3600)*New!BV41*(Sheet3!BZ41-Sheet3!CP41)*1000)</f>
        <v>1.1483479142002357</v>
      </c>
      <c r="DR41" s="166">
        <f>(DB41*0.018)/(0.011*New!IV41*3600)</f>
        <v>496.70103606979598</v>
      </c>
      <c r="DS41" s="166">
        <f>(New!IV41*New!CE41*1000)/New!AU41</f>
        <v>0.72974402786439863</v>
      </c>
      <c r="DT41" s="166">
        <f>IF(DR41&gt;2300,0.023*((DR41^(4/5)*DS41^(1/3))/(1+12.7*(DS41^(2/3)-1)))*(New!IV41/DV41)^0.14, 0.943*(DR41*DS41*New!IV41/Sheet3!DV41)^0.4)</f>
        <v>11.096556143127998</v>
      </c>
      <c r="DU41" s="166">
        <f t="shared" si="25"/>
        <v>-1064.6835263526425</v>
      </c>
      <c r="DV41" s="166">
        <f>_xlfn.FORECAST.LINEAR(AVERAGE(_xlfn.ANCHORARRAY(BR41)),Sheet2!$AK$2:$AK$69,Sheet2!$AJ$2:$AJ$69)</f>
        <v>9.7765268900934373E-6</v>
      </c>
    </row>
    <row r="42" spans="1:126" ht="15" thickBot="1" x14ac:dyDescent="0.35">
      <c r="A42" s="184" t="str">
        <f>'Su K. oro stendu'!B87</f>
        <v>03.01.2023</v>
      </c>
      <c r="B42" s="183">
        <v>7</v>
      </c>
      <c r="C42" s="183">
        <v>397</v>
      </c>
      <c r="D42" s="183">
        <v>6</v>
      </c>
      <c r="E42" s="183">
        <v>459</v>
      </c>
      <c r="F42" s="183">
        <v>6</v>
      </c>
      <c r="G42" s="183">
        <v>435</v>
      </c>
      <c r="H42" s="183">
        <v>7</v>
      </c>
      <c r="I42" s="183">
        <v>384</v>
      </c>
      <c r="J42" s="183" cm="1">
        <f t="array" ref="J42:Q42">TRANSPOSE('[46]Nu kitimas'!$I$4:$I$11)</f>
        <v>62.431790614016421</v>
      </c>
      <c r="K42" s="183">
        <v>64.102165105356875</v>
      </c>
      <c r="L42" s="183">
        <v>67.327204338234111</v>
      </c>
      <c r="M42" s="183">
        <v>70.673670463175085</v>
      </c>
      <c r="N42" s="183">
        <v>75.981041448622889</v>
      </c>
      <c r="O42" s="183">
        <v>83.114947194743564</v>
      </c>
      <c r="P42" s="183">
        <v>92.62106115859504</v>
      </c>
      <c r="Q42" s="183">
        <v>103.67841942434325</v>
      </c>
      <c r="R42" s="183" cm="1">
        <f t="array" ref="R42:Y42">TRANSPOSE([46]Alfa!$G$18:$G$25)</f>
        <v>110.42671287976931</v>
      </c>
      <c r="S42" s="183">
        <v>111.33362640819446</v>
      </c>
      <c r="T42" s="183">
        <v>114.58177940368999</v>
      </c>
      <c r="U42" s="183">
        <v>119.02399250299705</v>
      </c>
      <c r="V42" s="183">
        <v>125.7326880868371</v>
      </c>
      <c r="W42" s="183">
        <v>135.97462087873834</v>
      </c>
      <c r="X42" s="183">
        <v>149.01996077590474</v>
      </c>
      <c r="Y42" s="183">
        <v>164.92392715621645</v>
      </c>
      <c r="Z42" s="183" cm="1">
        <f t="array" ref="Z42:AG42">TRANSPOSE([46]Alfa!$F$127:$F$134)</f>
        <v>4.6707974146006108E-3</v>
      </c>
      <c r="AA42" s="183">
        <v>0.26572688934477651</v>
      </c>
      <c r="AB42" s="183">
        <v>4.0258931584818344E-3</v>
      </c>
      <c r="AC42" s="183">
        <v>0.30860793895144895</v>
      </c>
      <c r="AD42" s="183">
        <v>4.0415381323819161E-3</v>
      </c>
      <c r="AE42" s="183">
        <v>0.29356288078022419</v>
      </c>
      <c r="AF42" s="183">
        <v>4.7341005781377059E-3</v>
      </c>
      <c r="AG42" s="183">
        <v>0.26037689121425767</v>
      </c>
      <c r="AH42" s="35" cm="1">
        <f t="array" ref="AH42:AO42">TRANSPOSE('[46]Silumos kiekio nustat.'!$F$25:$F$32)</f>
        <v>232.06634067922988</v>
      </c>
      <c r="AI42" s="35">
        <v>220.80206554889546</v>
      </c>
      <c r="AJ42" s="35">
        <v>213.72812580616952</v>
      </c>
      <c r="AK42" s="35">
        <v>210.78228669579573</v>
      </c>
      <c r="AL42" s="35">
        <v>211.90777450109439</v>
      </c>
      <c r="AM42" s="35">
        <v>217.05050073456331</v>
      </c>
      <c r="AN42" s="35">
        <v>226.15662736424082</v>
      </c>
      <c r="AO42" s="35">
        <v>239.17049536495031</v>
      </c>
      <c r="AP42" s="313">
        <f t="shared" si="5"/>
        <v>4.6211542343979867E-2</v>
      </c>
      <c r="AQ42" s="35">
        <f t="shared" si="6"/>
        <v>10.233916996139014</v>
      </c>
      <c r="AR42" s="183" cm="1">
        <f t="array" ref="AR42:AY42">TRANSPOSE([46]Alfa!$E$127:$E$134)</f>
        <v>0.14987346543707333</v>
      </c>
      <c r="AS42" s="183">
        <v>0.13047871992489055</v>
      </c>
      <c r="AT42" s="183">
        <v>0.12623279217654329</v>
      </c>
      <c r="AU42" s="183">
        <v>8.2283144790877741E-2</v>
      </c>
      <c r="AV42" s="183">
        <v>0.10541633315398702</v>
      </c>
      <c r="AW42" s="183">
        <v>8.5206448883709096E-2</v>
      </c>
      <c r="AX42" s="183">
        <v>9.6595720649604075E-2</v>
      </c>
      <c r="AY42" s="183">
        <v>8.0683403637577075E-2</v>
      </c>
      <c r="AZ42" s="183">
        <f t="shared" si="7"/>
        <v>102.11267605633803</v>
      </c>
      <c r="BA42" s="183">
        <f>'Su K. oro stendu'!P87</f>
        <v>52.890999999999998</v>
      </c>
      <c r="BB42" s="183">
        <f t="shared" si="21"/>
        <v>102.10035211267606</v>
      </c>
      <c r="BC42" s="304">
        <v>52.889000000000003</v>
      </c>
      <c r="BD42" s="183">
        <f t="shared" si="22"/>
        <v>101.40140845070422</v>
      </c>
      <c r="BE42" s="304">
        <v>52.767000000000003</v>
      </c>
      <c r="BF42" s="183">
        <f t="shared" si="26"/>
        <v>99.225352112676063</v>
      </c>
      <c r="BG42" s="143">
        <v>52.384</v>
      </c>
      <c r="BH42" s="183">
        <f t="shared" si="27"/>
        <v>95.992957746478879</v>
      </c>
      <c r="BI42" s="304">
        <v>51.798999999999999</v>
      </c>
      <c r="BJ42" s="183">
        <f t="shared" si="28"/>
        <v>95.950704225352112</v>
      </c>
      <c r="BK42" s="143">
        <v>51.790999999999997</v>
      </c>
      <c r="BL42" s="183">
        <f t="shared" si="29"/>
        <v>92.887323943661968</v>
      </c>
      <c r="BM42" s="304">
        <v>51.216999999999999</v>
      </c>
      <c r="BN42" s="183">
        <f t="shared" si="30"/>
        <v>92.838028169014081</v>
      </c>
      <c r="BO42" s="304">
        <v>51.207999999999998</v>
      </c>
      <c r="BP42" s="183">
        <f t="shared" si="31"/>
        <v>90.133802816901408</v>
      </c>
      <c r="BQ42" s="183">
        <v>50.685000000000002</v>
      </c>
      <c r="BR42" s="183" cm="1">
        <f t="array" ref="BR42:BY42">TRANSPOSE('[46]Keithley Matavimai'!$W$6:$W$13)</f>
        <v>37.553507769970146</v>
      </c>
      <c r="BS42" s="183">
        <v>35.45959547777106</v>
      </c>
      <c r="BT42" s="183">
        <v>32.255905415785001</v>
      </c>
      <c r="BU42" s="183">
        <v>29.560137919176245</v>
      </c>
      <c r="BV42" s="183">
        <v>27.91704756361008</v>
      </c>
      <c r="BW42" s="183">
        <v>26.367437398350337</v>
      </c>
      <c r="BX42" s="183">
        <v>24.45397932951353</v>
      </c>
      <c r="BY42" s="183">
        <v>20.897271985229672</v>
      </c>
      <c r="BZ42" s="183" cm="1">
        <f t="array" ref="BZ42:CH42">TRANSPOSE('[46]Keithley Matavimai'!$V$5:$V$13)</f>
        <v>143.97706957204619</v>
      </c>
      <c r="CA42" s="183">
        <v>135.12723158060939</v>
      </c>
      <c r="CB42" s="183">
        <v>127.13742427795209</v>
      </c>
      <c r="CC42" s="183">
        <v>118.60376977636098</v>
      </c>
      <c r="CD42" s="183">
        <v>113.74656969906162</v>
      </c>
      <c r="CE42" s="183">
        <v>106.44300780056749</v>
      </c>
      <c r="CF42" s="183">
        <v>101.14196568265375</v>
      </c>
      <c r="CG42" s="183">
        <v>94.29627564993875</v>
      </c>
      <c r="CH42" s="183">
        <v>89.053637984663666</v>
      </c>
      <c r="CI42" s="183" cm="1">
        <f t="array" ref="CI42:CQ42">TRANSPOSE('[46]Silumos kiekio nustat.'!$B$24:$B$32)</f>
        <v>25.599467473144244</v>
      </c>
      <c r="CJ42" s="183">
        <v>23.389589313799135</v>
      </c>
      <c r="CK42" s="183">
        <v>21.279126781495503</v>
      </c>
      <c r="CL42" s="183">
        <v>19.229040121738009</v>
      </c>
      <c r="CM42" s="183">
        <v>17.200289580031306</v>
      </c>
      <c r="CN42" s="183">
        <v>15.153835401880057</v>
      </c>
      <c r="CO42" s="183">
        <v>13.050637832788926</v>
      </c>
      <c r="CP42" s="183">
        <v>10.851657118262569</v>
      </c>
      <c r="CQ42" s="183">
        <v>8.5178535038056431</v>
      </c>
      <c r="CR42" s="183">
        <f>'Su K. oro stendu'!P87</f>
        <v>52.890999999999998</v>
      </c>
      <c r="CS42" s="183"/>
      <c r="CT42" s="183">
        <v>5431.4941741129969</v>
      </c>
      <c r="CU42" s="183">
        <f>[46]Alfa!$F$15</f>
        <v>1205</v>
      </c>
      <c r="CV42" s="172">
        <f>'Su K. oro stendu'!J87</f>
        <v>2</v>
      </c>
      <c r="CW42" s="183">
        <f>'Su K. oro stendu'!D87</f>
        <v>3000</v>
      </c>
      <c r="CX42" s="183">
        <f>'Su K. oro stendu'!G87</f>
        <v>10</v>
      </c>
      <c r="CY42" s="183">
        <v>8.4697095435684641E-2</v>
      </c>
      <c r="CZ42" s="183">
        <f>'Su K. oro stendu'!H87</f>
        <v>35.049999999999997</v>
      </c>
      <c r="DA42" s="183">
        <f>'Su K. oro stendu'!C87</f>
        <v>142</v>
      </c>
      <c r="DB42" s="183">
        <f>'Su K. oro stendu'!E87</f>
        <v>14.5</v>
      </c>
      <c r="DC42" s="183">
        <f>'Su K. oro stendu'!I87</f>
        <v>285</v>
      </c>
      <c r="DD42" s="183">
        <f>'Su K. oro stendu'!K87</f>
        <v>8.09</v>
      </c>
      <c r="DE42" s="183">
        <f>'Su K. oro stendu'!L87</f>
        <v>17.440000000000001</v>
      </c>
      <c r="DF42" s="183">
        <f>'Su K. oro stendu'!F87</f>
        <v>145</v>
      </c>
      <c r="DG42" s="253">
        <f>[46]Alfa!$D$29</f>
        <v>2300.8334040036962</v>
      </c>
      <c r="DH42" s="253">
        <f>[46]Alfa!$D$26</f>
        <v>5431.4941741129969</v>
      </c>
      <c r="DI42" s="253">
        <f>[46]Alfa!$D$27</f>
        <v>3437.2407887229278</v>
      </c>
      <c r="DJ42" s="253">
        <f t="shared" si="14"/>
        <v>5738.0741927266245</v>
      </c>
      <c r="DK42" s="253">
        <f t="shared" si="20"/>
        <v>5584.7841834198107</v>
      </c>
      <c r="DL42" s="253">
        <f t="shared" si="16"/>
        <v>5.6444876637227422E-2</v>
      </c>
      <c r="DM42" s="183">
        <f>New!AC42</f>
        <v>3.9626791683924041E-5</v>
      </c>
      <c r="DN42" s="183">
        <f t="shared" si="23"/>
        <v>4.2388323940559999E-5</v>
      </c>
      <c r="DO42" s="183">
        <f t="shared" si="17"/>
        <v>0.93485158175849603</v>
      </c>
      <c r="DP42" s="183">
        <f t="shared" si="24"/>
        <v>128.87716351154344</v>
      </c>
      <c r="DQ42" s="297">
        <f>DH42/((DA42/3600)*New!BV42*(Sheet3!BZ42-Sheet3!CP42)*1000)</f>
        <v>0.92826416564206127</v>
      </c>
      <c r="DR42" s="166">
        <f>(DB42*0.018)/(0.011*New!IV42*3600)</f>
        <v>475.46000784127273</v>
      </c>
      <c r="DS42" s="166">
        <f>(New!IV42*New!CE42*1000)/New!AU42</f>
        <v>0.64719895598215416</v>
      </c>
      <c r="DT42" s="166">
        <f>IF(DR42&gt;2300,0.023*((DR42^(4/5)*DS42^(1/3))/(1+12.7*(DS42^(2/3)-1)))*(New!IV42/DV42)^0.14, 0.943*(DR42*DS42*New!IV42/Sheet3!DV42)^0.4)</f>
        <v>10.710511159735045</v>
      </c>
      <c r="DU42" s="166">
        <f t="shared" si="25"/>
        <v>-993.66137185083983</v>
      </c>
      <c r="DV42" s="166">
        <f>_xlfn.FORECAST.LINEAR(AVERAGE(_xlfn.ANCHORARRAY(BR42)),Sheet2!$AK$2:$AK$69,Sheet2!$AJ$2:$AJ$69)</f>
        <v>9.8115329380662463E-6</v>
      </c>
    </row>
    <row r="43" spans="1:126" ht="15" thickBot="1" x14ac:dyDescent="0.35">
      <c r="A43" s="184" t="str">
        <f>'Su K. oro stendu'!B88</f>
        <v>04.01.2023</v>
      </c>
      <c r="B43" s="183">
        <v>2</v>
      </c>
      <c r="C43" s="183">
        <v>177</v>
      </c>
      <c r="D43" s="183">
        <v>0</v>
      </c>
      <c r="E43" s="183">
        <v>399</v>
      </c>
      <c r="F43" s="183">
        <v>0</v>
      </c>
      <c r="G43" s="183">
        <v>405</v>
      </c>
      <c r="H43" s="183">
        <v>2</v>
      </c>
      <c r="I43" s="183">
        <v>369</v>
      </c>
      <c r="J43" s="183" cm="1">
        <f t="array" ref="J43:Q43">TRANSPOSE('[47]Nu kitimas'!$G$4:$G$11)</f>
        <v>47.235518050161964</v>
      </c>
      <c r="K43" s="183">
        <v>47.655283277738022</v>
      </c>
      <c r="L43" s="183">
        <v>48.916414533858315</v>
      </c>
      <c r="M43" s="183">
        <v>50.761781158766695</v>
      </c>
      <c r="N43" s="183">
        <v>55.144929883596568</v>
      </c>
      <c r="O43" s="183">
        <v>61.418774743695899</v>
      </c>
      <c r="P43" s="183">
        <v>71.617345317593575</v>
      </c>
      <c r="Q43" s="183">
        <v>83.661425856533043</v>
      </c>
      <c r="R43" s="183" cm="1">
        <f t="array" ref="R43:Y43">TRANSPOSE([47]Alfa!$G$18:$G$25)</f>
        <v>91.087412083859292</v>
      </c>
      <c r="S43" s="183">
        <v>89.128028184181744</v>
      </c>
      <c r="T43" s="183">
        <v>89.257070328798605</v>
      </c>
      <c r="U43" s="183">
        <v>91.043120315935184</v>
      </c>
      <c r="V43" s="183">
        <v>96.537065465469709</v>
      </c>
      <c r="W43" s="183">
        <v>105.86240877731237</v>
      </c>
      <c r="X43" s="183">
        <v>120.10170512756486</v>
      </c>
      <c r="Y43" s="183">
        <v>138.34130598373329</v>
      </c>
      <c r="Z43" s="183" cm="1">
        <f t="array" ref="Z43:AG43">TRANSPOSE([47]Alfa!$F$127:$F$134)</f>
        <v>1.3301100796778605E-3</v>
      </c>
      <c r="AA43" s="183">
        <v>0.11815440667971668</v>
      </c>
      <c r="AB43" s="183">
        <v>0</v>
      </c>
      <c r="AC43" s="183">
        <v>0.26760794754137202</v>
      </c>
      <c r="AD43" s="183">
        <v>0</v>
      </c>
      <c r="AE43" s="183">
        <v>0.27267980177942513</v>
      </c>
      <c r="AF43" s="183">
        <v>1.350072262043362E-3</v>
      </c>
      <c r="AG43" s="183">
        <v>0.24997668562725639</v>
      </c>
      <c r="AH43" s="35" cm="1">
        <f t="array" ref="AH43:AO43">TRANSPOSE('[47]Silumos kiekio nustat.'!$F$25:$F$32)</f>
        <v>293.72211528852534</v>
      </c>
      <c r="AI43" s="35">
        <v>267.39072651466836</v>
      </c>
      <c r="AJ43" s="35">
        <v>250.05905269363603</v>
      </c>
      <c r="AK43" s="35">
        <v>241.56711340739025</v>
      </c>
      <c r="AL43" s="35">
        <v>241.77813919739432</v>
      </c>
      <c r="AM43" s="35">
        <v>250.56605754791741</v>
      </c>
      <c r="AN43" s="35">
        <v>267.80456662549483</v>
      </c>
      <c r="AO43" s="35">
        <v>293.35788062558299</v>
      </c>
      <c r="AP43" s="313">
        <f t="shared" si="5"/>
        <v>8.0431615880313667E-2</v>
      </c>
      <c r="AQ43" s="35">
        <f t="shared" si="6"/>
        <v>21.17609265290633</v>
      </c>
      <c r="AR43" s="183" cm="1">
        <f t="array" ref="AR43:AY43">TRANSPOSE([47]Alfa!$E$127:$E$134)</f>
        <v>0.26158005981175331</v>
      </c>
      <c r="AS43" s="183">
        <v>0.23834063938103209</v>
      </c>
      <c r="AT43" s="183">
        <v>0.18479651791146701</v>
      </c>
      <c r="AU43" s="183">
        <v>0.1402437211406759</v>
      </c>
      <c r="AV43" s="183">
        <v>0.17487751123730336</v>
      </c>
      <c r="AW43" s="183">
        <v>0.12496642253437501</v>
      </c>
      <c r="AX43" s="183">
        <v>0.18970825230827434</v>
      </c>
      <c r="AY43" s="183">
        <v>0.10972995637347031</v>
      </c>
      <c r="AZ43" s="183">
        <f t="shared" si="7"/>
        <v>102.56410256410257</v>
      </c>
      <c r="BA43" s="183">
        <f>'Su K. oro stendu'!P88</f>
        <v>52.969000000000001</v>
      </c>
      <c r="BB43" s="183">
        <f t="shared" si="21"/>
        <v>102.56089743589743</v>
      </c>
      <c r="BC43" s="304">
        <v>52.968000000000004</v>
      </c>
      <c r="BD43" s="183">
        <f t="shared" si="22"/>
        <v>102.27724358974359</v>
      </c>
      <c r="BE43" s="304">
        <v>52.918999999999997</v>
      </c>
      <c r="BF43" s="183">
        <f t="shared" si="26"/>
        <v>101.41666666666667</v>
      </c>
      <c r="BG43" s="304">
        <v>52.77</v>
      </c>
      <c r="BH43" s="183">
        <f t="shared" si="27"/>
        <v>98.858974358974365</v>
      </c>
      <c r="BI43" s="304">
        <v>52.319000000000003</v>
      </c>
      <c r="BJ43" s="183">
        <f t="shared" si="28"/>
        <v>98.858974358974365</v>
      </c>
      <c r="BK43" s="304">
        <v>52.319000000000003</v>
      </c>
      <c r="BL43" s="183">
        <f t="shared" si="29"/>
        <v>96.262820512820511</v>
      </c>
      <c r="BM43" s="304">
        <v>51.847999999999999</v>
      </c>
      <c r="BN43" s="183">
        <f t="shared" si="30"/>
        <v>96.25</v>
      </c>
      <c r="BO43" s="304">
        <v>51.845999999999997</v>
      </c>
      <c r="BP43" s="183">
        <f t="shared" si="31"/>
        <v>93.884615384615387</v>
      </c>
      <c r="BQ43" s="183">
        <v>51.405999999999999</v>
      </c>
      <c r="BR43" s="183" cm="1">
        <f t="array" ref="BR43:BY43">TRANSPOSE('[47]Keithley Matavimai'!$W$6:$W$13)</f>
        <v>40.997903014388832</v>
      </c>
      <c r="BS43" s="183">
        <v>37.785887702885638</v>
      </c>
      <c r="BT43" s="183">
        <v>35.434152012663837</v>
      </c>
      <c r="BU43" s="183">
        <v>31.830813805581844</v>
      </c>
      <c r="BV43" s="183">
        <v>30.371112897966963</v>
      </c>
      <c r="BW43" s="183">
        <v>28.847425536258509</v>
      </c>
      <c r="BX43" s="183">
        <v>26.537648490333464</v>
      </c>
      <c r="BY43" s="183">
        <v>21.821082546992841</v>
      </c>
      <c r="BZ43" s="183" cm="1">
        <f t="array" ref="BZ43:CH43">TRANSPOSE('[47]Keithley Matavimai'!$V$5:$V$13)</f>
        <v>205.81634662037132</v>
      </c>
      <c r="CA43" s="183">
        <v>190.18377201965257</v>
      </c>
      <c r="CB43" s="183">
        <v>176.43186475598307</v>
      </c>
      <c r="CC43" s="183">
        <v>165.41860794855106</v>
      </c>
      <c r="CD43" s="183">
        <v>157.80993226866391</v>
      </c>
      <c r="CE43" s="183">
        <v>147.16176702054437</v>
      </c>
      <c r="CF43" s="183">
        <v>140.23059843857433</v>
      </c>
      <c r="CG43" s="183">
        <v>128.38729905026989</v>
      </c>
      <c r="CH43" s="183">
        <v>122.08037788109277</v>
      </c>
      <c r="CI43" s="183" cm="1">
        <f t="array" ref="CI43:CQ43">TRANSPOSE('[47]Silumos kiekio nustat.'!$B$24:$B$32)</f>
        <v>27.51229416281268</v>
      </c>
      <c r="CJ43" s="183">
        <v>24.889281766592521</v>
      </c>
      <c r="CK43" s="183">
        <v>22.490945161232958</v>
      </c>
      <c r="CL43" s="183">
        <v>20.239103588931705</v>
      </c>
      <c r="CM43" s="183">
        <v>18.055576291886481</v>
      </c>
      <c r="CN43" s="183">
        <v>15.862182512295002</v>
      </c>
      <c r="CO43" s="183">
        <v>13.580741492354978</v>
      </c>
      <c r="CP43" s="183">
        <v>11.133072474264129</v>
      </c>
      <c r="CQ43" s="183">
        <v>8.4409947002201662</v>
      </c>
      <c r="CR43" s="183">
        <f>'Su K. oro stendu'!P88</f>
        <v>52.969000000000001</v>
      </c>
      <c r="CS43" s="183"/>
      <c r="CT43" s="183">
        <v>6472.392475102557</v>
      </c>
      <c r="CU43" s="183">
        <f>[47]Alfa!$F$15</f>
        <v>1205</v>
      </c>
      <c r="CV43" s="172">
        <f>'Su K. oro stendu'!J88</f>
        <v>2</v>
      </c>
      <c r="CW43" s="183">
        <f>'Su K. oro stendu'!D88</f>
        <v>3000</v>
      </c>
      <c r="CX43" s="183">
        <f>'Su K. oro stendu'!G88</f>
        <v>10</v>
      </c>
      <c r="CY43" s="183">
        <v>6.741908713692947E-2</v>
      </c>
      <c r="CZ43" s="183">
        <f>'Su K. oro stendu'!H88</f>
        <v>25.28</v>
      </c>
      <c r="DA43" s="183">
        <f>'Su K. oro stendu'!C88</f>
        <v>156</v>
      </c>
      <c r="DB43" s="183">
        <f>'Su K. oro stendu'!E88</f>
        <v>16</v>
      </c>
      <c r="DC43" s="183">
        <f>'Su K. oro stendu'!I88</f>
        <v>303</v>
      </c>
      <c r="DD43" s="183">
        <f>'Su K. oro stendu'!K88</f>
        <v>8.02</v>
      </c>
      <c r="DE43" s="183">
        <f>'Su K. oro stendu'!L88</f>
        <v>19.510000000000002</v>
      </c>
      <c r="DF43" s="183">
        <f>'Su K. oro stendu'!F88</f>
        <v>205</v>
      </c>
      <c r="DG43" s="253">
        <f>[47]Alfa!$D$29</f>
        <v>4065.5881236565187</v>
      </c>
      <c r="DH43" s="253">
        <f>[47]Alfa!$D$26</f>
        <v>6472.392475102557</v>
      </c>
      <c r="DI43" s="253">
        <f>[47]Alfa!$D$27</f>
        <v>2733.2970719084747</v>
      </c>
      <c r="DJ43" s="253">
        <f t="shared" si="14"/>
        <v>6798.8851955649934</v>
      </c>
      <c r="DK43" s="253">
        <f t="shared" si="20"/>
        <v>6635.6388353337752</v>
      </c>
      <c r="DL43" s="253">
        <f t="shared" si="16"/>
        <v>5.0443900260739832E-2</v>
      </c>
      <c r="DM43" s="183">
        <f>New!AC43</f>
        <v>5.1503180963949295E-5</v>
      </c>
      <c r="DN43" s="183">
        <f t="shared" si="23"/>
        <v>5.0323119098159997E-5</v>
      </c>
      <c r="DO43" s="183">
        <f t="shared" si="17"/>
        <v>1.023449696420595</v>
      </c>
      <c r="DP43" s="183">
        <f t="shared" si="24"/>
        <v>102.66976453335688</v>
      </c>
      <c r="DQ43" s="297">
        <f>DH43/((DA43/3600)*New!BV43*(Sheet3!BZ43-Sheet3!CP43)*1000)</f>
        <v>0.68013007884325183</v>
      </c>
      <c r="DR43" s="166">
        <f>(DB43*0.018)/(0.011*New!IV43*3600)</f>
        <v>455.6015349939849</v>
      </c>
      <c r="DS43" s="166">
        <f>(New!IV43*New!CE43*1000)/New!AU43</f>
        <v>0.55193626425495013</v>
      </c>
      <c r="DT43" s="166">
        <f>IF(DR43&gt;2300,0.023*((DR43^(4/5)*DS43^(1/3))/(1+12.7*(DS43^(2/3)-1)))*(New!IV43/DV43)^0.14, 0.943*(DR43*DS43*New!IV43/Sheet3!DV43)^0.4)</f>
        <v>10.417727100126568</v>
      </c>
      <c r="DU43" s="166">
        <f t="shared" si="25"/>
        <v>-897.96034496633445</v>
      </c>
      <c r="DV43" s="166">
        <f>_xlfn.FORECAST.LINEAR(AVERAGE(_xlfn.ANCHORARRAY(BR43)),Sheet2!$AK$2:$AK$69,Sheet2!$AJ$2:$AJ$69)</f>
        <v>9.8953924275622112E-6</v>
      </c>
    </row>
    <row r="44" spans="1:126" ht="15" thickBot="1" x14ac:dyDescent="0.35">
      <c r="A44" s="184" t="str">
        <f>'Su K. oro stendu'!B89</f>
        <v>05.01.2023</v>
      </c>
      <c r="B44" s="183">
        <v>0</v>
      </c>
      <c r="C44" s="183">
        <v>443</v>
      </c>
      <c r="D44" s="183">
        <v>0</v>
      </c>
      <c r="E44" s="183">
        <v>581</v>
      </c>
      <c r="F44" s="183">
        <v>0</v>
      </c>
      <c r="G44" s="183">
        <v>616</v>
      </c>
      <c r="H44" s="183">
        <v>0</v>
      </c>
      <c r="I44" s="183">
        <v>591</v>
      </c>
      <c r="J44" s="183" cm="1">
        <f t="array" ref="J44:Q44">TRANSPOSE('[48]Nu kitimas'!$H$4:$H$11)</f>
        <v>70.918310829176463</v>
      </c>
      <c r="K44" s="183">
        <v>71.421359226013621</v>
      </c>
      <c r="L44" s="183">
        <v>74.907522489022739</v>
      </c>
      <c r="M44" s="183">
        <v>79.492055035527443</v>
      </c>
      <c r="N44" s="183">
        <v>86.176886720489534</v>
      </c>
      <c r="O44" s="183">
        <v>95.28973617710389</v>
      </c>
      <c r="P44" s="183">
        <v>107.48889895600524</v>
      </c>
      <c r="Q44" s="183">
        <v>120.64561496970575</v>
      </c>
      <c r="R44" s="183" cm="1">
        <f t="array" ref="R44:Y44">TRANSPOSE([48]Alfa!$G$18:$G$25)</f>
        <v>144.53356258025582</v>
      </c>
      <c r="S44" s="183">
        <v>142.39648191121915</v>
      </c>
      <c r="T44" s="183">
        <v>145.29676834217361</v>
      </c>
      <c r="U44" s="183">
        <v>151.94558717683066</v>
      </c>
      <c r="V44" s="183">
        <v>161.54890281185601</v>
      </c>
      <c r="W44" s="183">
        <v>175.78089605691699</v>
      </c>
      <c r="X44" s="183">
        <v>193.98757863195107</v>
      </c>
      <c r="Y44" s="183">
        <v>214.08288641134149</v>
      </c>
      <c r="Z44" s="183" cm="1">
        <f t="array" ref="Z44:AG44">TRANSPOSE([48]Alfa!$F$127:$F$134)</f>
        <v>0</v>
      </c>
      <c r="AA44" s="183">
        <v>0.38919078498393955</v>
      </c>
      <c r="AB44" s="183">
        <v>0</v>
      </c>
      <c r="AC44" s="183">
        <v>0.51236209935656851</v>
      </c>
      <c r="AD44" s="183">
        <v>0</v>
      </c>
      <c r="AE44" s="183">
        <v>0.54456703492897807</v>
      </c>
      <c r="AF44" s="183">
        <v>0</v>
      </c>
      <c r="AG44" s="183">
        <v>0.52645541793050887</v>
      </c>
      <c r="AH44" s="35" cm="1">
        <f t="array" ref="AH44:AO44">TRANSPOSE('[48]Silumos kiekio nustat.'!$F$25:$F$32)</f>
        <v>448.37931225909921</v>
      </c>
      <c r="AI44" s="35">
        <v>425.12927733585957</v>
      </c>
      <c r="AJ44" s="35">
        <v>412.11676254181873</v>
      </c>
      <c r="AK44" s="35">
        <v>409.1684912799056</v>
      </c>
      <c r="AL44" s="35">
        <v>416.12453006911579</v>
      </c>
      <c r="AM44" s="35">
        <v>432.82871061334043</v>
      </c>
      <c r="AN44" s="35">
        <v>459.12027939786344</v>
      </c>
      <c r="AO44" s="35">
        <v>494.82692706810514</v>
      </c>
      <c r="AP44" s="313">
        <f t="shared" si="5"/>
        <v>6.6684822520501758E-2</v>
      </c>
      <c r="AQ44" s="35">
        <f t="shared" si="6"/>
        <v>29.15539037466332</v>
      </c>
      <c r="AR44" s="183" cm="1">
        <f t="array" ref="AR44:AY44">TRANSPOSE([48]Alfa!$E$127:$E$134)</f>
        <v>0.33990105145466382</v>
      </c>
      <c r="AS44" s="183">
        <v>0.26965979813613761</v>
      </c>
      <c r="AT44" s="183">
        <v>0.31467844443822657</v>
      </c>
      <c r="AU44" s="183">
        <v>0.18864297756899562</v>
      </c>
      <c r="AV44" s="183">
        <v>0.21725684378474508</v>
      </c>
      <c r="AW44" s="183">
        <v>0.20319633103653786</v>
      </c>
      <c r="AX44" s="183">
        <v>0.23760119695731152</v>
      </c>
      <c r="AY44" s="183">
        <v>0.20691459369938214</v>
      </c>
      <c r="AZ44" s="183">
        <f t="shared" si="7"/>
        <v>200</v>
      </c>
      <c r="BA44" s="183">
        <f>'Su K. oro stendu'!P89</f>
        <v>64.569000000000003</v>
      </c>
      <c r="BB44" s="183">
        <f t="shared" si="21"/>
        <v>200</v>
      </c>
      <c r="BC44" s="304">
        <v>64.569000000000003</v>
      </c>
      <c r="BD44" s="183">
        <f t="shared" si="22"/>
        <v>199.55699999999999</v>
      </c>
      <c r="BE44" s="304">
        <v>64.531000000000006</v>
      </c>
      <c r="BF44" s="183">
        <f t="shared" si="26"/>
        <v>198.22800000000001</v>
      </c>
      <c r="BG44" s="143">
        <v>64.418000000000006</v>
      </c>
      <c r="BH44" s="183">
        <f t="shared" si="27"/>
        <v>195.904</v>
      </c>
      <c r="BI44" s="304">
        <v>64.218999999999994</v>
      </c>
      <c r="BJ44" s="183">
        <f t="shared" si="28"/>
        <v>195.904</v>
      </c>
      <c r="BK44" s="304">
        <v>64.218999999999994</v>
      </c>
      <c r="BL44" s="183">
        <f t="shared" si="29"/>
        <v>193.44</v>
      </c>
      <c r="BM44" s="304">
        <v>64.004999999999995</v>
      </c>
      <c r="BN44" s="183">
        <f t="shared" si="30"/>
        <v>193.44</v>
      </c>
      <c r="BO44" s="304">
        <v>64.004999999999995</v>
      </c>
      <c r="BP44" s="183">
        <f t="shared" si="31"/>
        <v>191.07599999999999</v>
      </c>
      <c r="BQ44" s="183">
        <v>63.795999999999999</v>
      </c>
      <c r="BR44" s="183" cm="1">
        <f t="array" ref="BR44:BY44">TRANSPOSE('[48]Keithley Matavimai'!$W$6:$W$13)</f>
        <v>48.243462851237332</v>
      </c>
      <c r="BS44" s="183">
        <v>42.822386442565936</v>
      </c>
      <c r="BT44" s="183">
        <v>43.202346303301418</v>
      </c>
      <c r="BU44" s="183">
        <v>38.357268890381754</v>
      </c>
      <c r="BV44" s="183">
        <v>38.558740397065073</v>
      </c>
      <c r="BW44" s="183">
        <v>38.124704737517241</v>
      </c>
      <c r="BX44" s="183">
        <v>34.449901382866265</v>
      </c>
      <c r="BY44" s="183">
        <v>29.447915554289835</v>
      </c>
      <c r="BZ44" s="183" cm="1">
        <f t="array" ref="BZ44:CH44">TRANSPOSE('[48]Keithley Matavimai'!$V$5:$V$13)</f>
        <v>204.79370086152926</v>
      </c>
      <c r="CA44" s="183">
        <v>193.07730494790931</v>
      </c>
      <c r="CB44" s="183">
        <v>184.51314418624926</v>
      </c>
      <c r="CC44" s="183">
        <v>173.61535907992058</v>
      </c>
      <c r="CD44" s="183">
        <v>167.91108591991659</v>
      </c>
      <c r="CE44" s="183">
        <v>160.24170814900302</v>
      </c>
      <c r="CF44" s="183">
        <v>153.8701561992774</v>
      </c>
      <c r="CG44" s="183">
        <v>145.27942164562671</v>
      </c>
      <c r="CH44" s="183">
        <v>138.48922284912149</v>
      </c>
      <c r="CI44" s="183" cm="1">
        <f t="array" ref="CI44:CQ44">TRANSPOSE('[48]Silumos kiekio nustat.'!$B$24:$B$32)</f>
        <v>35.859926669597108</v>
      </c>
      <c r="CJ44" s="183">
        <v>33.445971746316964</v>
      </c>
      <c r="CK44" s="183">
        <v>31.147270525172171</v>
      </c>
      <c r="CL44" s="183">
        <v>28.909757107772752</v>
      </c>
      <c r="CM44" s="183">
        <v>26.679365595728726</v>
      </c>
      <c r="CN44" s="183">
        <v>24.402030090650122</v>
      </c>
      <c r="CO44" s="183">
        <v>22.023684694146965</v>
      </c>
      <c r="CP44" s="183">
        <v>19.490263507829269</v>
      </c>
      <c r="CQ44" s="183">
        <v>16.747700633307062</v>
      </c>
      <c r="CR44" s="183">
        <f>'Su K. oro stendu'!P89</f>
        <v>64.569000000000003</v>
      </c>
      <c r="CS44" s="183"/>
      <c r="CT44" s="183">
        <v>10618.727869339746</v>
      </c>
      <c r="CU44" s="183">
        <f>[48]Alfa!$F$15</f>
        <v>910</v>
      </c>
      <c r="CV44" s="172">
        <f>'Su K. oro stendu'!J89</f>
        <v>2</v>
      </c>
      <c r="CW44" s="183">
        <f>'Su K. oro stendu'!D89</f>
        <v>5000</v>
      </c>
      <c r="CX44" s="183">
        <f>'Su K. oro stendu'!G89</f>
        <v>20</v>
      </c>
      <c r="CY44" s="183">
        <v>0.14709890109890109</v>
      </c>
      <c r="CZ44" s="183">
        <f>'Su K. oro stendu'!H89</f>
        <v>17.649999999999999</v>
      </c>
      <c r="DA44" s="183">
        <f>'Su K. oro stendu'!C89</f>
        <v>250</v>
      </c>
      <c r="DB44" s="183">
        <f>'Su K. oro stendu'!E89</f>
        <v>50</v>
      </c>
      <c r="DC44" s="183">
        <f>'Su K. oro stendu'!I89</f>
        <v>495</v>
      </c>
      <c r="DD44" s="183">
        <f>'Su K. oro stendu'!K89</f>
        <v>16.5</v>
      </c>
      <c r="DE44" s="183">
        <f>'Su K. oro stendu'!L89</f>
        <v>19.3</v>
      </c>
      <c r="DF44" s="183">
        <f>'Su K. oro stendu'!F89</f>
        <v>205</v>
      </c>
      <c r="DG44" s="253">
        <f>[48]Alfa!$D$29</f>
        <v>5532.8212708826459</v>
      </c>
      <c r="DH44" s="253">
        <f>[48]Alfa!$D$26</f>
        <v>10618.727869339746</v>
      </c>
      <c r="DI44" s="253">
        <f>[48]Alfa!$D$27</f>
        <v>5917.7260115999852</v>
      </c>
      <c r="DJ44" s="253">
        <f t="shared" si="14"/>
        <v>11450.547282482632</v>
      </c>
      <c r="DK44" s="253">
        <f t="shared" si="20"/>
        <v>11034.637575911189</v>
      </c>
      <c r="DL44" s="253">
        <f t="shared" si="16"/>
        <v>7.8335128593384651E-2</v>
      </c>
      <c r="DM44" s="183">
        <f>New!AC44</f>
        <v>5.3609638726714553E-5</v>
      </c>
      <c r="DN44" s="183">
        <f t="shared" si="23"/>
        <v>5.0323119098159997E-5</v>
      </c>
      <c r="DO44" s="183">
        <f t="shared" si="17"/>
        <v>1.0653083450996725</v>
      </c>
      <c r="DP44" s="183">
        <f t="shared" si="24"/>
        <v>166.19658299031809</v>
      </c>
      <c r="DQ44" s="297">
        <f>DH44/((DA44/3600)*New!BV44*(Sheet3!BZ44-Sheet3!CP44)*1000)</f>
        <v>0.67841003743681283</v>
      </c>
      <c r="DR44" s="166">
        <f>(DB44*0.018)/(0.011*New!IV44*3600)</f>
        <v>1423.7547968562028</v>
      </c>
      <c r="DS44" s="166">
        <f>(New!IV44*New!CE44*1000)/New!AU44</f>
        <v>0.55193626425495013</v>
      </c>
      <c r="DT44" s="166">
        <f>IF(DR44&gt;2300,0.023*((DR44^(4/5)*DS44^(1/3))/(1+12.7*(DS44^(2/3)-1)))*(New!IV44/DV44)^0.14, 0.943*(DR44*DS44*New!IV44/Sheet3!DV44)^0.4)</f>
        <v>16.262771381828177</v>
      </c>
      <c r="DU44" s="166">
        <f t="shared" si="25"/>
        <v>-893.85450594262466</v>
      </c>
      <c r="DV44" s="166">
        <f>_xlfn.FORECAST.LINEAR(AVERAGE(_xlfn.ANCHORARRAY(BR44)),Sheet2!$AK$2:$AK$69,Sheet2!$AJ$2:$AJ$69)</f>
        <v>1.015614968476814E-5</v>
      </c>
    </row>
    <row r="45" spans="1:126" ht="15" thickBot="1" x14ac:dyDescent="0.35">
      <c r="A45" s="184" t="str">
        <f>'Su K. oro stendu'!B90</f>
        <v>05.01.2023</v>
      </c>
      <c r="B45" s="183">
        <v>0</v>
      </c>
      <c r="C45" s="183">
        <v>4</v>
      </c>
      <c r="D45" s="183">
        <v>0</v>
      </c>
      <c r="E45" s="183">
        <v>141</v>
      </c>
      <c r="F45" s="183">
        <v>0</v>
      </c>
      <c r="G45" s="183">
        <v>227</v>
      </c>
      <c r="H45" s="183">
        <v>0</v>
      </c>
      <c r="I45" s="183">
        <v>283</v>
      </c>
      <c r="J45" s="183" cm="1">
        <f t="array" ref="J45:Q45">TRANSPOSE('[49]Nu kitimas'!$M$4:$M$11)</f>
        <v>45.30910415017361</v>
      </c>
      <c r="K45" s="183">
        <v>47.385095837407924</v>
      </c>
      <c r="L45" s="183">
        <v>50.778463581199148</v>
      </c>
      <c r="M45" s="183">
        <v>53.837796080867548</v>
      </c>
      <c r="N45" s="183">
        <v>58.159194259679708</v>
      </c>
      <c r="O45" s="183">
        <v>63.858079306483511</v>
      </c>
      <c r="P45" s="183">
        <v>70.85916172644994</v>
      </c>
      <c r="Q45" s="183">
        <v>78.593984938119391</v>
      </c>
      <c r="R45" s="183" cm="1">
        <f t="array" ref="R45:Y45">TRANSPOSE([49]Alfa!$G$18:$G$25)</f>
        <v>92.445450278099031</v>
      </c>
      <c r="S45" s="183">
        <v>94.604766523727434</v>
      </c>
      <c r="T45" s="183">
        <v>98.803796634975058</v>
      </c>
      <c r="U45" s="183">
        <v>103.61679994733838</v>
      </c>
      <c r="V45" s="183">
        <v>109.6463933628808</v>
      </c>
      <c r="W45" s="183">
        <v>118.56353994215391</v>
      </c>
      <c r="X45" s="183">
        <v>129.03536960768236</v>
      </c>
      <c r="Y45" s="183">
        <v>140.90179259849833</v>
      </c>
      <c r="Z45" s="183" cm="1">
        <f t="array" ref="Z45:AG45">TRANSPOSE([49]Alfa!$F$127:$F$134)</f>
        <v>0</v>
      </c>
      <c r="AA45" s="183">
        <v>3.4626790883160161E-3</v>
      </c>
      <c r="AB45" s="183">
        <v>0</v>
      </c>
      <c r="AC45" s="183">
        <v>0.12231491564015066</v>
      </c>
      <c r="AD45" s="183">
        <v>0</v>
      </c>
      <c r="AE45" s="183">
        <v>0.19725274532646997</v>
      </c>
      <c r="AF45" s="183">
        <v>0</v>
      </c>
      <c r="AG45" s="183">
        <v>0.2470317329196299</v>
      </c>
      <c r="AH45" s="35" cm="1">
        <f t="array" ref="AH45:AO45">TRANSPOSE('[49]Silumos kiekio nustat.'!$F$25:$F$32)</f>
        <v>263.98275400401701</v>
      </c>
      <c r="AI45" s="35">
        <v>255.07764276268054</v>
      </c>
      <c r="AJ45" s="35">
        <v>249.87618120302554</v>
      </c>
      <c r="AK45" s="35">
        <v>248.33872235294473</v>
      </c>
      <c r="AL45" s="35">
        <v>250.42738930315849</v>
      </c>
      <c r="AM45" s="35">
        <v>256.10470096695326</v>
      </c>
      <c r="AN45" s="35">
        <v>265.33227370357542</v>
      </c>
      <c r="AO45" s="35">
        <v>278.06960502155908</v>
      </c>
      <c r="AP45" s="313">
        <f t="shared" si="5"/>
        <v>3.9244948810963687E-2</v>
      </c>
      <c r="AQ45" s="35">
        <f t="shared" si="6"/>
        <v>10.140940244491398</v>
      </c>
      <c r="AR45" s="183" cm="1">
        <f t="array" ref="AR45:AY45">TRANSPOSE([49]Alfa!$E$127:$E$134)</f>
        <v>0.32295798185784075</v>
      </c>
      <c r="AS45" s="183">
        <v>0.25183488150286243</v>
      </c>
      <c r="AT45" s="183">
        <v>0.29604519091058112</v>
      </c>
      <c r="AU45" s="183">
        <v>0.13012470852310559</v>
      </c>
      <c r="AV45" s="183">
        <v>0.23346714639167987</v>
      </c>
      <c r="AW45" s="183">
        <v>0.18044928632271129</v>
      </c>
      <c r="AX45" s="183">
        <v>0.21447224959219713</v>
      </c>
      <c r="AY45" s="183">
        <v>0.18329302945359935</v>
      </c>
      <c r="AZ45" s="183">
        <f t="shared" si="7"/>
        <v>200</v>
      </c>
      <c r="BA45" s="183">
        <f>'Su K. oro stendu'!P90</f>
        <v>64.569000000000003</v>
      </c>
      <c r="BB45" s="183">
        <f t="shared" si="21"/>
        <v>200</v>
      </c>
      <c r="BC45" s="304">
        <v>64.569000000000003</v>
      </c>
      <c r="BD45" s="183">
        <f t="shared" si="22"/>
        <v>199.99600000000001</v>
      </c>
      <c r="BE45" s="304">
        <v>64.567999999999998</v>
      </c>
      <c r="BF45" s="183">
        <f t="shared" si="26"/>
        <v>199.98400000000001</v>
      </c>
      <c r="BG45" s="143">
        <v>64.566999999999993</v>
      </c>
      <c r="BH45" s="183">
        <f t="shared" si="27"/>
        <v>199.42</v>
      </c>
      <c r="BI45" s="304">
        <v>64.52</v>
      </c>
      <c r="BJ45" s="183">
        <f t="shared" si="28"/>
        <v>199.42</v>
      </c>
      <c r="BK45" s="143">
        <v>64.52</v>
      </c>
      <c r="BL45" s="183">
        <f t="shared" si="29"/>
        <v>198.512</v>
      </c>
      <c r="BM45" s="143">
        <v>64.442999999999998</v>
      </c>
      <c r="BN45" s="183">
        <f t="shared" si="30"/>
        <v>198.512</v>
      </c>
      <c r="BO45" s="304">
        <v>64.442999999999998</v>
      </c>
      <c r="BP45" s="183">
        <f t="shared" si="31"/>
        <v>197.38</v>
      </c>
      <c r="BQ45" s="183">
        <v>64.441999999999993</v>
      </c>
      <c r="BR45" s="183" cm="1">
        <f t="array" ref="BR45:BY45">TRANSPOSE('[49]Keithley Matavimai'!$W$6:$W$13)</f>
        <v>60.430485200364444</v>
      </c>
      <c r="BS45" s="183">
        <v>57.513540226567365</v>
      </c>
      <c r="BT45" s="183">
        <v>57.997024906874607</v>
      </c>
      <c r="BU45" s="183">
        <v>55.47910522802551</v>
      </c>
      <c r="BV45" s="183">
        <v>55.372119932918984</v>
      </c>
      <c r="BW45" s="183">
        <v>54.684165898649987</v>
      </c>
      <c r="BX45" s="183">
        <v>52.85560670006334</v>
      </c>
      <c r="BY45" s="183">
        <v>50.019465361649445</v>
      </c>
      <c r="BZ45" s="183" cm="1">
        <f t="array" ref="BZ45:CH45">TRANSPOSE('[49]Keithley Matavimai'!$V$5:$V$13)</f>
        <v>204.66079589973015</v>
      </c>
      <c r="CA45" s="183">
        <v>193.52730554360315</v>
      </c>
      <c r="CB45" s="183">
        <v>184.90181180878426</v>
      </c>
      <c r="CC45" s="183">
        <v>174.76435465024724</v>
      </c>
      <c r="CD45" s="183">
        <v>170.50982915681675</v>
      </c>
      <c r="CE45" s="183">
        <v>162.46009961187787</v>
      </c>
      <c r="CF45" s="183">
        <v>156.51814216683258</v>
      </c>
      <c r="CG45" s="183">
        <v>149.02846943716347</v>
      </c>
      <c r="CH45" s="183">
        <v>142.94452387222034</v>
      </c>
      <c r="CI45" s="183" cm="1">
        <f t="array" ref="CI45:CQ45">TRANSPOSE('[49]Silumos kiekio nustat.'!$B$24:$B$32)</f>
        <v>54.893016423941887</v>
      </c>
      <c r="CJ45" s="183">
        <v>53.524642180024365</v>
      </c>
      <c r="CK45" s="183">
        <v>52.198836681084408</v>
      </c>
      <c r="CL45" s="183">
        <v>50.896642754730657</v>
      </c>
      <c r="CM45" s="183">
        <v>49.599103228571728</v>
      </c>
      <c r="CN45" s="183">
        <v>48.287260930216277</v>
      </c>
      <c r="CO45" s="183">
        <v>46.942158687272936</v>
      </c>
      <c r="CP45" s="183">
        <v>45.544839327350331</v>
      </c>
      <c r="CQ45" s="183">
        <v>44.076345678057109</v>
      </c>
      <c r="CR45" s="183">
        <f>'Su K. oro stendu'!P90</f>
        <v>64.569000000000003</v>
      </c>
      <c r="CS45" s="183"/>
      <c r="CT45" s="183">
        <v>6287.2413847860889</v>
      </c>
      <c r="CU45" s="183">
        <f>[49]Alfa!$F$15</f>
        <v>910</v>
      </c>
      <c r="CV45" s="172">
        <f>'Su K. oro stendu'!J90</f>
        <v>2</v>
      </c>
      <c r="CW45" s="183">
        <f>'Su K. oro stendu'!D90</f>
        <v>5000</v>
      </c>
      <c r="CX45" s="183">
        <f>'Su K. oro stendu'!G90</f>
        <v>20</v>
      </c>
      <c r="CY45" s="183">
        <v>4.3186813186813187E-2</v>
      </c>
      <c r="CZ45" s="183">
        <f>'Su K. oro stendu'!H90</f>
        <v>5.18</v>
      </c>
      <c r="DA45" s="183">
        <f>'Su K. oro stendu'!C90</f>
        <v>250</v>
      </c>
      <c r="DB45" s="183">
        <f>'Su K. oro stendu'!E90</f>
        <v>50</v>
      </c>
      <c r="DC45" s="183">
        <f>'Su K. oro stendu'!I90</f>
        <v>495</v>
      </c>
      <c r="DD45" s="183">
        <f>'Su K. oro stendu'!K90</f>
        <v>43.92</v>
      </c>
      <c r="DE45" s="183">
        <f>'Su K. oro stendu'!L90</f>
        <v>10.94</v>
      </c>
      <c r="DF45" s="183">
        <f>'Su K. oro stendu'!F90</f>
        <v>205</v>
      </c>
      <c r="DG45" s="253">
        <f>[49]Alfa!$D$29</f>
        <v>5081.5201169850225</v>
      </c>
      <c r="DH45" s="253">
        <f>[49]Alfa!$D$26</f>
        <v>6287.2413847860889</v>
      </c>
      <c r="DI45" s="253">
        <f>[49]Alfa!$D$27</f>
        <v>1710.1862189236999</v>
      </c>
      <c r="DJ45" s="253">
        <f t="shared" si="14"/>
        <v>6791.7063359087224</v>
      </c>
      <c r="DK45" s="253">
        <f t="shared" si="20"/>
        <v>6539.4738603474052</v>
      </c>
      <c r="DL45" s="253">
        <f t="shared" si="16"/>
        <v>8.0236294465064015E-2</v>
      </c>
      <c r="DM45" s="183">
        <f>New!AC45</f>
        <v>5.3609638726714553E-5</v>
      </c>
      <c r="DN45" s="183">
        <f t="shared" si="23"/>
        <v>5.0323119098159997E-5</v>
      </c>
      <c r="DO45" s="183">
        <f t="shared" si="17"/>
        <v>1.0653083450996725</v>
      </c>
      <c r="DP45" s="183">
        <f t="shared" si="24"/>
        <v>110.95223861191941</v>
      </c>
      <c r="DQ45" s="297">
        <f>DH45/((DA45/3600)*New!BV45*(Sheet3!BZ45-Sheet3!CP45)*1000)</f>
        <v>0.46778861709973252</v>
      </c>
      <c r="DR45" s="166">
        <f>(DB45*0.018)/(0.011*New!IV45*3600)</f>
        <v>1423.7547968562028</v>
      </c>
      <c r="DS45" s="166">
        <f>(New!IV45*New!CE45*1000)/New!AU45</f>
        <v>0.55193626425495013</v>
      </c>
      <c r="DT45" s="166">
        <f>IF(DR45&gt;2300,0.023*((DR45^(4/5)*DS45^(1/3))/(1+12.7*(DS45^(2/3)-1)))*(New!IV45/DV45)^0.14, 0.943*(DR45*DS45*New!IV45/Sheet3!DV45)^0.4)</f>
        <v>15.909060196640041</v>
      </c>
      <c r="DU45" s="166">
        <f t="shared" si="25"/>
        <v>-920.58303059844957</v>
      </c>
      <c r="DV45" s="166">
        <f>_xlfn.FORECAST.LINEAR(AVERAGE(_xlfn.ANCHORARRAY(BR45)),Sheet2!$AK$2:$AK$69,Sheet2!$AJ$2:$AJ$69)</f>
        <v>1.073010995396461E-5</v>
      </c>
    </row>
    <row r="46" spans="1:126" ht="15" thickBot="1" x14ac:dyDescent="0.35">
      <c r="A46" s="184" t="str">
        <f>'Su K. oro stendu'!B91</f>
        <v>06.01.2023</v>
      </c>
      <c r="B46" s="183">
        <v>23</v>
      </c>
      <c r="C46" s="183">
        <v>513</v>
      </c>
      <c r="D46" s="183">
        <v>21</v>
      </c>
      <c r="E46" s="183">
        <v>579</v>
      </c>
      <c r="F46" s="183">
        <v>19</v>
      </c>
      <c r="G46" s="183">
        <v>544</v>
      </c>
      <c r="H46" s="183">
        <v>21</v>
      </c>
      <c r="I46" s="183">
        <v>698</v>
      </c>
      <c r="J46" s="183" cm="1">
        <f t="array" ref="J46:Q46">TRANSPOSE('[50]Nu kitimas'!$K$4:$K$11)</f>
        <v>229.81557416372087</v>
      </c>
      <c r="K46" s="183">
        <v>225.02170909399274</v>
      </c>
      <c r="L46" s="183">
        <v>229.25892457915165</v>
      </c>
      <c r="M46" s="183">
        <v>232.85740299892402</v>
      </c>
      <c r="N46" s="183">
        <v>245.9977156911082</v>
      </c>
      <c r="O46" s="183">
        <v>264.82051479685367</v>
      </c>
      <c r="P46" s="183">
        <v>279.56926585531511</v>
      </c>
      <c r="Q46" s="183">
        <v>309.92355126821695</v>
      </c>
      <c r="R46" s="183" cm="1">
        <f t="array" ref="R46:Y46">TRANSPOSE([50]Alfa!$G$18:$G$25)</f>
        <v>397.63636266807777</v>
      </c>
      <c r="S46" s="183">
        <v>360.51632369301825</v>
      </c>
      <c r="T46" s="183">
        <v>343.87223251298354</v>
      </c>
      <c r="U46" s="183">
        <v>337.81263525621904</v>
      </c>
      <c r="V46" s="183">
        <v>347.0268358943859</v>
      </c>
      <c r="W46" s="183">
        <v>370.49744436372674</v>
      </c>
      <c r="X46" s="183">
        <v>393.10244584373311</v>
      </c>
      <c r="Y46" s="183">
        <v>437.6591056607574</v>
      </c>
      <c r="Z46" s="183" cm="1">
        <f t="array" ref="Z46:AG46">TRANSPOSE([50]Alfa!$F$127:$F$134)</f>
        <v>2.0239648568199691E-2</v>
      </c>
      <c r="AA46" s="183">
        <v>0.45313617176404986</v>
      </c>
      <c r="AB46" s="183">
        <v>1.8590455274069165E-2</v>
      </c>
      <c r="AC46" s="183">
        <v>0.51324706865081715</v>
      </c>
      <c r="AD46" s="183">
        <v>1.686095520010129E-2</v>
      </c>
      <c r="AE46" s="183">
        <v>0.48349576679218731</v>
      </c>
      <c r="AF46" s="183">
        <v>1.8712787852029629E-2</v>
      </c>
      <c r="AG46" s="183">
        <v>0.6246326706910944</v>
      </c>
      <c r="AH46" s="35" cm="1">
        <f t="array" ref="AH46:AO46">TRANSPOSE('[50]Silumos kiekio nustat.'!$F$25:$F$32)</f>
        <v>335.14913319989239</v>
      </c>
      <c r="AI46" s="35">
        <v>307.29134609104534</v>
      </c>
      <c r="AJ46" s="35">
        <v>289.04272914084305</v>
      </c>
      <c r="AK46" s="35">
        <v>280.2526392218283</v>
      </c>
      <c r="AL46" s="35">
        <v>280.79011677214521</v>
      </c>
      <c r="AM46" s="35">
        <v>290.53288934101124</v>
      </c>
      <c r="AN46" s="35">
        <v>309.35756238107086</v>
      </c>
      <c r="AO46" s="35">
        <v>337.13106146754683</v>
      </c>
      <c r="AP46" s="313">
        <f t="shared" si="5"/>
        <v>7.4823158256660791E-2</v>
      </c>
      <c r="AQ46" s="35">
        <f t="shared" si="6"/>
        <v>22.723301926210855</v>
      </c>
      <c r="AR46" s="183" cm="1">
        <f t="array" ref="AR46:AY46">TRANSPOSE([50]Alfa!$E$127:$E$134)</f>
        <v>6.8931645809457126E-2</v>
      </c>
      <c r="AS46" s="183">
        <v>8.6728063286635515E-2</v>
      </c>
      <c r="AT46" s="183">
        <v>4.5272791954463758E-2</v>
      </c>
      <c r="AU46" s="183">
        <v>4.6698113656765343E-2</v>
      </c>
      <c r="AV46" s="183">
        <v>5.4292847462004794E-2</v>
      </c>
      <c r="AW46" s="183">
        <v>7.1892129903380189E-2</v>
      </c>
      <c r="AX46" s="183">
        <v>4.3387769943173581E-2</v>
      </c>
      <c r="AY46" s="183">
        <v>5.726099311489783E-2</v>
      </c>
      <c r="AZ46" s="183">
        <f t="shared" si="7"/>
        <v>196.42857142857142</v>
      </c>
      <c r="BA46" s="183">
        <f>'Su K. oro stendu'!P91</f>
        <v>64.263999999999996</v>
      </c>
      <c r="BB46" s="183">
        <f t="shared" si="21"/>
        <v>196.39923469387756</v>
      </c>
      <c r="BC46" s="304">
        <v>64.262</v>
      </c>
      <c r="BD46" s="183">
        <f t="shared" si="22"/>
        <v>195.74489795918367</v>
      </c>
      <c r="BE46" s="304">
        <v>64.204999999999998</v>
      </c>
      <c r="BF46" s="183">
        <f t="shared" si="26"/>
        <v>193.58673469387756</v>
      </c>
      <c r="BG46" s="304">
        <v>64.018000000000001</v>
      </c>
      <c r="BH46" s="183">
        <f t="shared" si="27"/>
        <v>190.63265306122449</v>
      </c>
      <c r="BI46" s="143">
        <v>63.756999999999998</v>
      </c>
      <c r="BJ46" s="183">
        <f t="shared" si="28"/>
        <v>190.53571428571428</v>
      </c>
      <c r="BK46" s="304">
        <v>63.747999999999998</v>
      </c>
      <c r="BL46" s="183">
        <f t="shared" si="29"/>
        <v>187.76020408163265</v>
      </c>
      <c r="BM46" s="304">
        <v>63.499000000000002</v>
      </c>
      <c r="BN46" s="183">
        <f t="shared" si="30"/>
        <v>187.65306122448979</v>
      </c>
      <c r="BO46" s="304">
        <v>63.488999999999997</v>
      </c>
      <c r="BP46" s="183">
        <f t="shared" si="31"/>
        <v>184.09183673469389</v>
      </c>
      <c r="BQ46" s="183">
        <v>63.162999999999997</v>
      </c>
      <c r="BR46" s="183" cm="1">
        <f t="array" ref="BR46:BY46">TRANSPOSE('[50]Keithley Matavimai'!$W$6:$W$13)</f>
        <v>41.660406126811736</v>
      </c>
      <c r="BS46" s="183">
        <v>38.556175127311057</v>
      </c>
      <c r="BT46" s="183">
        <v>37.097033461170703</v>
      </c>
      <c r="BU46" s="183">
        <v>33.363787871851407</v>
      </c>
      <c r="BV46" s="183">
        <v>32.834506029203546</v>
      </c>
      <c r="BW46" s="183">
        <v>32.241870245411882</v>
      </c>
      <c r="BX46" s="183">
        <v>30.061453596223799</v>
      </c>
      <c r="BY46" s="183">
        <v>24.223963368624098</v>
      </c>
      <c r="BZ46" s="183" cm="1">
        <f t="array" ref="BZ46:CH46">TRANSPOSE('[50]Keithley Matavimai'!$V$5:$V$13)</f>
        <v>84.562371183543533</v>
      </c>
      <c r="CA46" s="183">
        <v>81.41981808527413</v>
      </c>
      <c r="CB46" s="183">
        <v>77.866701729189586</v>
      </c>
      <c r="CC46" s="183">
        <v>75.766106383772993</v>
      </c>
      <c r="CD46" s="183">
        <v>74.078754015661886</v>
      </c>
      <c r="CE46" s="183">
        <v>71.498877231951496</v>
      </c>
      <c r="CF46" s="183">
        <v>68.48996403443158</v>
      </c>
      <c r="CG46" s="183">
        <v>66.388914331344594</v>
      </c>
      <c r="CH46" s="183">
        <v>64.136618637175062</v>
      </c>
      <c r="CI46" s="183" cm="1">
        <f t="array" ref="CI46:CQ46">TRANSPOSE('[50]Silumos kiekio nustat.'!$B$24:$B$32)</f>
        <v>30.285370683540997</v>
      </c>
      <c r="CJ46" s="183">
        <v>28.015842371526059</v>
      </c>
      <c r="CK46" s="183">
        <v>25.926882365702255</v>
      </c>
      <c r="CL46" s="183">
        <v>23.954965458235385</v>
      </c>
      <c r="CM46" s="183">
        <v>22.036566441291257</v>
      </c>
      <c r="CN46" s="183">
        <v>20.108160107035669</v>
      </c>
      <c r="CO46" s="183">
        <v>18.106221247634426</v>
      </c>
      <c r="CP46" s="183">
        <v>15.967224655253332</v>
      </c>
      <c r="CQ46" s="183">
        <v>13.627645122058183</v>
      </c>
      <c r="CR46" s="183">
        <f>'Su K. oro stendu'!P91</f>
        <v>64.263999999999996</v>
      </c>
      <c r="CS46" s="183"/>
      <c r="CT46" s="183">
        <v>7369.6844425133095</v>
      </c>
      <c r="CU46" s="183">
        <f>[50]Alfa!$F$15</f>
        <v>910</v>
      </c>
      <c r="CV46" s="172">
        <f>'Su K. oro stendu'!J91</f>
        <v>2</v>
      </c>
      <c r="CW46" s="183">
        <f>'Su K. oro stendu'!D91</f>
        <v>5000</v>
      </c>
      <c r="CX46" s="183">
        <f>'Su K. oro stendu'!G91</f>
        <v>20</v>
      </c>
      <c r="CY46" s="183">
        <v>0.15942857142857142</v>
      </c>
      <c r="CZ46" s="183">
        <f>'Su K. oro stendu'!H91</f>
        <v>24.85</v>
      </c>
      <c r="DA46" s="183">
        <f>'Su K. oro stendu'!C91</f>
        <v>196</v>
      </c>
      <c r="DB46" s="183">
        <f>'Su K. oro stendu'!E91</f>
        <v>38.5</v>
      </c>
      <c r="DC46" s="183">
        <f>'Su K. oro stendu'!I91</f>
        <v>397</v>
      </c>
      <c r="DD46" s="183">
        <f>'Su K. oro stendu'!K91</f>
        <v>13.46</v>
      </c>
      <c r="DE46" s="183">
        <f>'Su K. oro stendu'!L91</f>
        <v>16.82</v>
      </c>
      <c r="DF46" s="183">
        <f>'Su K. oro stendu'!F91</f>
        <v>85</v>
      </c>
      <c r="DG46" s="253">
        <f>[50]Alfa!$D$29</f>
        <v>1456.1150179953665</v>
      </c>
      <c r="DH46" s="253">
        <f>[50]Alfa!$D$26</f>
        <v>7369.6844425133095</v>
      </c>
      <c r="DI46" s="253">
        <f>[50]Alfa!$D$27</f>
        <v>6446.7465743776456</v>
      </c>
      <c r="DJ46" s="253">
        <f t="shared" si="14"/>
        <v>7902.8615923730122</v>
      </c>
      <c r="DK46" s="253">
        <f t="shared" si="20"/>
        <v>7636.2730174431608</v>
      </c>
      <c r="DL46" s="253">
        <f t="shared" si="16"/>
        <v>7.2347351371515628E-2</v>
      </c>
      <c r="DM46" s="183">
        <f>New!AC46</f>
        <v>2.7979232424121193E-5</v>
      </c>
      <c r="DN46" s="183">
        <f t="shared" si="23"/>
        <v>3.5049529086959997E-5</v>
      </c>
      <c r="DO46" s="183">
        <f t="shared" si="17"/>
        <v>0.7982769855396068</v>
      </c>
      <c r="DP46" s="183">
        <f t="shared" si="24"/>
        <v>373.51542323661272</v>
      </c>
      <c r="DQ46" s="297">
        <f>DH46/((DA46/3600)*New!BV46*(Sheet3!BZ46-Sheet3!CP46)*1000)</f>
        <v>1.6672872745040599</v>
      </c>
      <c r="DR46" s="166">
        <f>(DB46*0.018)/(0.011*New!IV46*3600)</f>
        <v>1487.9137105860536</v>
      </c>
      <c r="DS46" s="166">
        <f>(New!IV46*New!CE46*1000)/New!AU46</f>
        <v>0.86323913019559584</v>
      </c>
      <c r="DT46" s="166">
        <f>IF(DR46&gt;2300,0.023*((DR46^(4/5)*DS46^(1/3))/(1+12.7*(DS46^(2/3)-1)))*(New!IV46/DV46)^0.14, 0.943*(DR46*DS46*New!IV46/Sheet3!DV46)^0.4)</f>
        <v>17.650200754208274</v>
      </c>
      <c r="DU46" s="166">
        <f t="shared" si="25"/>
        <v>-1199.6658535254589</v>
      </c>
      <c r="DV46" s="166">
        <f>_xlfn.FORECAST.LINEAR(AVERAGE(_xlfn.ANCHORARRAY(BR46)),Sheet2!$AK$2:$AK$69,Sheet2!$AJ$2:$AJ$69)</f>
        <v>9.9672253047277143E-6</v>
      </c>
    </row>
    <row r="47" spans="1:126" ht="15" thickBot="1" x14ac:dyDescent="0.35">
      <c r="A47" s="184" t="str">
        <f>'Su K. oro stendu'!B92</f>
        <v>09.01.2023</v>
      </c>
      <c r="B47" s="183">
        <v>9</v>
      </c>
      <c r="C47" s="183">
        <v>651</v>
      </c>
      <c r="D47" s="183">
        <v>19</v>
      </c>
      <c r="E47" s="183">
        <v>712</v>
      </c>
      <c r="F47" s="183">
        <v>13</v>
      </c>
      <c r="G47" s="183">
        <v>663</v>
      </c>
      <c r="H47" s="183">
        <v>13</v>
      </c>
      <c r="I47" s="183">
        <v>608</v>
      </c>
      <c r="J47" s="183" cm="1">
        <f t="array" ref="J47:Q47">TRANSPOSE('[51]Nu kitimas'!$G$4:$G$11)</f>
        <v>147.51652305509293</v>
      </c>
      <c r="K47" s="183">
        <v>147.45197724781005</v>
      </c>
      <c r="L47" s="183">
        <v>154.21385285644183</v>
      </c>
      <c r="M47" s="183">
        <v>162.84007780337743</v>
      </c>
      <c r="N47" s="183">
        <v>174.24637910280288</v>
      </c>
      <c r="O47" s="183">
        <v>222.99371209794782</v>
      </c>
      <c r="P47" s="183">
        <v>231.23610283189981</v>
      </c>
      <c r="Q47" s="183">
        <v>210.68307079424883</v>
      </c>
      <c r="R47" s="183" cm="1">
        <f t="array" ref="R47:Y47">TRANSPOSE([51]Alfa!$G$18:$G$25)</f>
        <v>242.20414137476737</v>
      </c>
      <c r="S47" s="183">
        <v>238.37936641324021</v>
      </c>
      <c r="T47" s="183">
        <v>244.26302772834504</v>
      </c>
      <c r="U47" s="183">
        <v>255.25914344242517</v>
      </c>
      <c r="V47" s="183">
        <v>270.24913710966541</v>
      </c>
      <c r="W47" s="183">
        <v>324.32306691383695</v>
      </c>
      <c r="X47" s="183">
        <v>343.20514108807669</v>
      </c>
      <c r="Y47" s="183">
        <v>315.93855999528819</v>
      </c>
      <c r="Z47" s="183" cm="1">
        <f t="array" ref="Z47:AG47">TRANSPOSE([51]Alfa!$F$127:$F$134)</f>
        <v>7.8273678587163203E-3</v>
      </c>
      <c r="AA47" s="183">
        <v>0.56853958298707297</v>
      </c>
      <c r="AB47" s="183">
        <v>1.6632191903425086E-2</v>
      </c>
      <c r="AC47" s="183">
        <v>0.62408959348914417</v>
      </c>
      <c r="AD47" s="183">
        <v>1.14069636850629E-2</v>
      </c>
      <c r="AE47" s="183">
        <v>0.58266257281788325</v>
      </c>
      <c r="AF47" s="183">
        <v>1.1456788471561596E-2</v>
      </c>
      <c r="AG47" s="183">
        <v>0.53837583486813501</v>
      </c>
      <c r="AH47" s="35" cm="1">
        <f t="array" ref="AH47:AO47">TRANSPOSE('[51]Silumos kiekio nustat.'!$F$25:$F$32)</f>
        <v>347.64457291040571</v>
      </c>
      <c r="AI47" s="35">
        <v>340.29292650995922</v>
      </c>
      <c r="AJ47" s="35">
        <v>337.48100322047571</v>
      </c>
      <c r="AK47" s="35">
        <v>339.14163818748057</v>
      </c>
      <c r="AL47" s="35">
        <v>345.21027840542121</v>
      </c>
      <c r="AM47" s="35">
        <v>355.62303886153637</v>
      </c>
      <c r="AN47" s="35">
        <v>370.3150468893744</v>
      </c>
      <c r="AO47" s="35">
        <v>389.21910813187071</v>
      </c>
      <c r="AP47" s="313">
        <f t="shared" si="5"/>
        <v>5.1356882719096809E-2</v>
      </c>
      <c r="AQ47" s="35">
        <f t="shared" si="6"/>
        <v>18.134934514595425</v>
      </c>
      <c r="AR47" s="183" cm="1">
        <f t="array" ref="AR47:AY47">TRANSPOSE([51]Alfa!$E$127:$E$134)</f>
        <v>0.12418074251907329</v>
      </c>
      <c r="AS47" s="183">
        <v>0.11014015376462542</v>
      </c>
      <c r="AT47" s="183">
        <v>0.12303468889364742</v>
      </c>
      <c r="AU47" s="183">
        <v>7.6612539181705644E-2</v>
      </c>
      <c r="AV47" s="183">
        <v>0.10412930428832311</v>
      </c>
      <c r="AW47" s="183">
        <v>0.37349407521637051</v>
      </c>
      <c r="AX47" s="183">
        <v>-0.19101716451814496</v>
      </c>
      <c r="AY47" s="183">
        <v>9.5616610324204834E-2</v>
      </c>
      <c r="AZ47" s="183">
        <f t="shared" si="7"/>
        <v>199.05213270142181</v>
      </c>
      <c r="BA47" s="183">
        <f>'Su K. oro stendu'!P92</f>
        <v>64.488</v>
      </c>
      <c r="BB47" s="183">
        <f t="shared" si="21"/>
        <v>199.04146919431278</v>
      </c>
      <c r="BC47" s="304">
        <v>64.486999999999995</v>
      </c>
      <c r="BD47" s="183">
        <f t="shared" si="22"/>
        <v>198.27014218009478</v>
      </c>
      <c r="BE47" s="304">
        <v>64.421999999999997</v>
      </c>
      <c r="BF47" s="183">
        <f t="shared" si="26"/>
        <v>195.83412322274881</v>
      </c>
      <c r="BG47" s="304">
        <v>64.212999999999994</v>
      </c>
      <c r="BH47" s="183">
        <f t="shared" si="27"/>
        <v>192.45971563981044</v>
      </c>
      <c r="BI47" s="304">
        <v>63.918999999999997</v>
      </c>
      <c r="BJ47" s="183">
        <f t="shared" si="28"/>
        <v>192.39810426540285</v>
      </c>
      <c r="BK47" s="143">
        <v>63.912999999999997</v>
      </c>
      <c r="BL47" s="183">
        <f t="shared" si="29"/>
        <v>189.25592417061611</v>
      </c>
      <c r="BM47" s="304">
        <v>63.634</v>
      </c>
      <c r="BN47" s="183">
        <f t="shared" si="30"/>
        <v>189.19431279620852</v>
      </c>
      <c r="BO47" s="143">
        <v>63.628</v>
      </c>
      <c r="BP47" s="183">
        <f t="shared" si="31"/>
        <v>186.31279620853081</v>
      </c>
      <c r="BQ47" s="143">
        <v>63.368000000000002</v>
      </c>
      <c r="BR47" s="183" cm="1">
        <f t="array" ref="BR47:BY47">TRANSPOSE('[51]Keithley Matavimai'!$W$6:$W$13)</f>
        <v>42.497061133665341</v>
      </c>
      <c r="BS47" s="183">
        <v>38.835640716911506</v>
      </c>
      <c r="BT47" s="183">
        <v>37.716487102476997</v>
      </c>
      <c r="BU47" s="183">
        <v>33.5665839140445</v>
      </c>
      <c r="BV47" s="183">
        <v>33.072552805704184</v>
      </c>
      <c r="BW47" s="183">
        <v>32.504625568456625</v>
      </c>
      <c r="BX47" s="183">
        <v>30.438048784538708</v>
      </c>
      <c r="BY47" s="183">
        <v>23.735790231243421</v>
      </c>
      <c r="BZ47" s="183" cm="1">
        <f t="array" ref="BZ47:CH47">TRANSPOSE('[51]Keithley Matavimai'!$V$5:$V$13)</f>
        <v>115.21708843625483</v>
      </c>
      <c r="CA47" s="183">
        <v>110.00743991527109</v>
      </c>
      <c r="CB47" s="183">
        <v>106.0591936737729</v>
      </c>
      <c r="CC47" s="183">
        <v>100.77823915492047</v>
      </c>
      <c r="CD47" s="183">
        <v>98.212720129432228</v>
      </c>
      <c r="CE47" s="183">
        <v>93.62174305347169</v>
      </c>
      <c r="CF47" s="183">
        <v>77.415158541895792</v>
      </c>
      <c r="CG47" s="183">
        <v>86.107998280851163</v>
      </c>
      <c r="CH47" s="183">
        <v>82.320777721160553</v>
      </c>
      <c r="CI47" s="183" cm="1">
        <f t="array" ref="CI47:CQ47">TRANSPOSE('[51]Silumos kiekio nustat.'!$B$24:$B$32)</f>
        <v>30.007821925154179</v>
      </c>
      <c r="CJ47" s="183">
        <v>27.840806100830168</v>
      </c>
      <c r="CK47" s="183">
        <v>25.711511849675016</v>
      </c>
      <c r="CL47" s="183">
        <v>23.591940997806155</v>
      </c>
      <c r="CM47" s="183">
        <v>21.454095371341026</v>
      </c>
      <c r="CN47" s="183">
        <v>19.269976796397057</v>
      </c>
      <c r="CO47" s="183">
        <v>17.011587099091685</v>
      </c>
      <c r="CP47" s="183">
        <v>14.650928105542345</v>
      </c>
      <c r="CQ47" s="183">
        <v>12.160001641866472</v>
      </c>
      <c r="CR47" s="183">
        <f>'Su K. oro stendu'!P92</f>
        <v>64.488</v>
      </c>
      <c r="CS47" s="183"/>
      <c r="CT47" s="183">
        <v>8704.6907660965953</v>
      </c>
      <c r="CU47" s="183">
        <f>[51]Alfa!$F$15</f>
        <v>920</v>
      </c>
      <c r="CV47" s="172">
        <f>'Su K. oro stendu'!J92</f>
        <v>2</v>
      </c>
      <c r="CW47" s="183">
        <f>'Su K. oro stendu'!D92</f>
        <v>5000</v>
      </c>
      <c r="CX47" s="183">
        <f>'Su K. oro stendu'!G92</f>
        <v>20</v>
      </c>
      <c r="CY47" s="183">
        <v>0.17530434782608695</v>
      </c>
      <c r="CZ47" s="183">
        <f>'Su K. oro stendu'!H92</f>
        <v>25.04</v>
      </c>
      <c r="DA47" s="183">
        <f>'Su K. oro stendu'!C92</f>
        <v>211</v>
      </c>
      <c r="DB47" s="183">
        <f>'Su K. oro stendu'!E92</f>
        <v>42</v>
      </c>
      <c r="DC47" s="183">
        <f>'Su K. oro stendu'!I92</f>
        <v>432</v>
      </c>
      <c r="DD47" s="183">
        <f>'Su K. oro stendu'!K92</f>
        <v>11.69</v>
      </c>
      <c r="DE47" s="183">
        <f>'Su K. oro stendu'!L92</f>
        <v>18.309999999999999</v>
      </c>
      <c r="DF47" s="183">
        <f>'Su K. oro stendu'!F92</f>
        <v>115</v>
      </c>
      <c r="DG47" s="253">
        <f>[51]Alfa!$D$29</f>
        <v>2448.5728490094161</v>
      </c>
      <c r="DH47" s="253">
        <f>[51]Alfa!$D$26</f>
        <v>8704.6907660965953</v>
      </c>
      <c r="DI47" s="253">
        <f>[51]Alfa!$D$27</f>
        <v>7082.9726882430041</v>
      </c>
      <c r="DJ47" s="253">
        <f t="shared" si="14"/>
        <v>9531.5455372524193</v>
      </c>
      <c r="DK47" s="253">
        <f t="shared" si="20"/>
        <v>9118.1181516745073</v>
      </c>
      <c r="DL47" s="253">
        <f t="shared" si="16"/>
        <v>9.4989562912021361E-2</v>
      </c>
      <c r="DM47" s="183">
        <f>New!AC47</f>
        <v>3.3709959795455853E-5</v>
      </c>
      <c r="DN47" s="183">
        <f t="shared" si="23"/>
        <v>3.864169920576E-5</v>
      </c>
      <c r="DO47" s="183">
        <f t="shared" si="17"/>
        <v>0.87237260494049351</v>
      </c>
      <c r="DP47" s="183">
        <f t="shared" si="24"/>
        <v>279.22769800820561</v>
      </c>
      <c r="DQ47" s="297">
        <f>DH47/((DA47/3600)*New!BV47*(Sheet3!BZ47-Sheet3!CP47)*1000)</f>
        <v>1.2380431679481174</v>
      </c>
      <c r="DR47" s="166">
        <f>(DB47*0.018)/(0.011*New!IV47*3600)</f>
        <v>1490.1031082093878</v>
      </c>
      <c r="DS47" s="166">
        <f>(New!IV47*New!CE47*1000)/New!AU47</f>
        <v>0.72974402786439863</v>
      </c>
      <c r="DT47" s="166">
        <f>IF(DR47&gt;2300,0.023*((DR47^(4/5)*DS47^(1/3))/(1+12.7*(DS47^(2/3)-1)))*(New!IV47/DV47)^0.14, 0.943*(DR47*DS47*New!IV47/Sheet3!DV47)^0.4)</f>
        <v>17.080610605273083</v>
      </c>
      <c r="DU47" s="166">
        <f t="shared" si="25"/>
        <v>-1072.9276544164231</v>
      </c>
      <c r="DV47" s="166">
        <f>_xlfn.FORECAST.LINEAR(AVERAGE(_xlfn.ANCHORARRAY(BR47)),Sheet2!$AK$2:$AK$69,Sheet2!$AJ$2:$AJ$69)</f>
        <v>9.9774121124346214E-6</v>
      </c>
    </row>
    <row r="48" spans="1:126" ht="15" thickBot="1" x14ac:dyDescent="0.35">
      <c r="A48" s="184" t="str">
        <f>'Su K. oro stendu'!B93</f>
        <v>09.01.2023</v>
      </c>
      <c r="B48" s="183">
        <v>11</v>
      </c>
      <c r="C48" s="183">
        <v>337</v>
      </c>
      <c r="D48" s="183">
        <v>14</v>
      </c>
      <c r="E48" s="183">
        <v>422</v>
      </c>
      <c r="F48" s="183">
        <v>11</v>
      </c>
      <c r="G48" s="183">
        <v>436</v>
      </c>
      <c r="H48" s="183">
        <v>16</v>
      </c>
      <c r="I48" s="183">
        <v>442</v>
      </c>
      <c r="J48" s="183" cm="1">
        <f t="array" ref="J48:Q48">TRANSPOSE('[52]Nu kitimas'!$H$4:$H$11)</f>
        <v>114.4024158343649</v>
      </c>
      <c r="K48" s="183">
        <v>119.56183424622657</v>
      </c>
      <c r="L48" s="183">
        <v>129.18203044876205</v>
      </c>
      <c r="M48" s="183">
        <v>139.48194954976839</v>
      </c>
      <c r="N48" s="183">
        <v>150.93673483843929</v>
      </c>
      <c r="O48" s="183">
        <v>164.48000764798275</v>
      </c>
      <c r="P48" s="183">
        <v>175.62514292354885</v>
      </c>
      <c r="Q48" s="183">
        <v>179.75867191395119</v>
      </c>
      <c r="R48" s="183" cm="1">
        <f t="array" ref="R48:Y48">TRANSPOSE([52]Alfa!$G$18:$G$25)</f>
        <v>187.53782242284274</v>
      </c>
      <c r="S48" s="183">
        <v>194.48725289704336</v>
      </c>
      <c r="T48" s="183">
        <v>207.63452000031035</v>
      </c>
      <c r="U48" s="183">
        <v>223.3560466334504</v>
      </c>
      <c r="V48" s="183">
        <v>239.57281983005586</v>
      </c>
      <c r="W48" s="183">
        <v>259.2137889869955</v>
      </c>
      <c r="X48" s="183">
        <v>274.53643982005036</v>
      </c>
      <c r="Y48" s="183">
        <v>279.42684137400869</v>
      </c>
      <c r="Z48" s="183" cm="1">
        <f t="array" ref="Z48:AG48">TRANSPOSE([52]Alfa!$F$127:$F$134)</f>
        <v>9.559798299698186E-3</v>
      </c>
      <c r="AA48" s="183">
        <v>0.29377943793662648</v>
      </c>
      <c r="AB48" s="183">
        <v>1.2224239767436293E-2</v>
      </c>
      <c r="AC48" s="183">
        <v>0.3687703269962837</v>
      </c>
      <c r="AD48" s="183">
        <v>9.6185003162585023E-3</v>
      </c>
      <c r="AE48" s="183">
        <v>0.38164994812226333</v>
      </c>
      <c r="AF48" s="183">
        <v>1.4035354151844689E-2</v>
      </c>
      <c r="AG48" s="183">
        <v>0.38919707530204506</v>
      </c>
      <c r="AH48" s="35" cm="1">
        <f t="array" ref="AH48:AO48">TRANSPOSE('[52]Silumos kiekio nustat.'!$F$25:$F$32)</f>
        <v>221.92564187321506</v>
      </c>
      <c r="AI48" s="35">
        <v>226.34035311470194</v>
      </c>
      <c r="AJ48" s="35">
        <v>231.64570603356117</v>
      </c>
      <c r="AK48" s="35">
        <v>237.83135958725902</v>
      </c>
      <c r="AL48" s="35">
        <v>244.88658791420119</v>
      </c>
      <c r="AM48" s="35">
        <v>252.80022968912527</v>
      </c>
      <c r="AN48" s="35">
        <v>261.56064793916102</v>
      </c>
      <c r="AO48" s="35">
        <v>271.15570154999324</v>
      </c>
      <c r="AP48" s="313">
        <f t="shared" si="5"/>
        <v>7.1329093520703366E-2</v>
      </c>
      <c r="AQ48" s="35">
        <f t="shared" si="6"/>
        <v>17.369938058463205</v>
      </c>
      <c r="AR48" s="183" cm="1">
        <f t="array" ref="AR48:AY48">TRANSPOSE([52]Alfa!$E$127:$E$134)</f>
        <v>0.10719053879297648</v>
      </c>
      <c r="AS48" s="183">
        <v>8.9704588444519937E-2</v>
      </c>
      <c r="AT48" s="183">
        <v>0.10448462706498518</v>
      </c>
      <c r="AU48" s="183">
        <v>5.9277580982571874E-2</v>
      </c>
      <c r="AV48" s="183">
        <v>7.616899161173081E-2</v>
      </c>
      <c r="AW48" s="183">
        <v>8.7831153497775719E-2</v>
      </c>
      <c r="AX48" s="183">
        <v>6.9255699586701289E-2</v>
      </c>
      <c r="AY48" s="183">
        <v>7.3702504775299285E-2</v>
      </c>
      <c r="AZ48" s="183">
        <f t="shared" si="7"/>
        <v>199.05213270142181</v>
      </c>
      <c r="BA48" s="183">
        <f>'Su K. oro stendu'!P93</f>
        <v>64.488</v>
      </c>
      <c r="BB48" s="183">
        <f t="shared" si="21"/>
        <v>199.03909952606634</v>
      </c>
      <c r="BC48" s="143">
        <v>64.486999999999995</v>
      </c>
      <c r="BD48" s="183">
        <f t="shared" si="22"/>
        <v>198.63981042654029</v>
      </c>
      <c r="BE48" s="143">
        <v>64.453000000000003</v>
      </c>
      <c r="BF48" s="183">
        <f t="shared" si="26"/>
        <v>197.33649289099526</v>
      </c>
      <c r="BG48" s="304">
        <v>64.341999999999999</v>
      </c>
      <c r="BH48" s="183">
        <f t="shared" si="27"/>
        <v>195.33649289099526</v>
      </c>
      <c r="BI48" s="304">
        <v>64.17</v>
      </c>
      <c r="BJ48" s="183">
        <f t="shared" si="28"/>
        <v>195.28436018957345</v>
      </c>
      <c r="BK48" s="304">
        <v>64.165000000000006</v>
      </c>
      <c r="BL48" s="183">
        <f t="shared" si="29"/>
        <v>193.218009478673</v>
      </c>
      <c r="BM48" s="304">
        <v>63.984999999999999</v>
      </c>
      <c r="BN48" s="183">
        <f t="shared" si="30"/>
        <v>193.14218009478674</v>
      </c>
      <c r="BO48" s="143">
        <v>63.978999999999999</v>
      </c>
      <c r="BP48" s="183">
        <f t="shared" si="31"/>
        <v>191.04739336492892</v>
      </c>
      <c r="BQ48" s="143">
        <v>63.793999999999997</v>
      </c>
      <c r="BR48" s="183" cm="1">
        <f t="array" ref="BR48:BY48">TRANSPOSE('[52]Keithley Matavimai'!$W$6:$W$13)</f>
        <v>54.317179428306332</v>
      </c>
      <c r="BS48" s="183">
        <v>51.054581972680445</v>
      </c>
      <c r="BT48" s="183">
        <v>50.929067591096633</v>
      </c>
      <c r="BU48" s="183">
        <v>48.113770583713993</v>
      </c>
      <c r="BV48" s="183">
        <v>48.013105033341276</v>
      </c>
      <c r="BW48" s="183">
        <v>47.544111992209061</v>
      </c>
      <c r="BX48" s="183">
        <v>45.589954000938484</v>
      </c>
      <c r="BY48" s="183">
        <v>41.157001508802601</v>
      </c>
      <c r="BZ48" s="183" cm="1">
        <f t="array" ref="BZ48:CH48">TRANSPOSE('[52]Keithley Matavimai'!$V$5:$V$13)</f>
        <v>114.13076571437632</v>
      </c>
      <c r="CA48" s="183">
        <v>109.63578307327835</v>
      </c>
      <c r="CB48" s="183">
        <v>106.22169424563356</v>
      </c>
      <c r="CC48" s="183">
        <v>101.77789615475173</v>
      </c>
      <c r="CD48" s="183">
        <v>99.692371763798292</v>
      </c>
      <c r="CE48" s="183">
        <v>96.400390735896508</v>
      </c>
      <c r="CF48" s="183">
        <v>93.015132397921505</v>
      </c>
      <c r="CG48" s="183">
        <v>89.976550038405591</v>
      </c>
      <c r="CH48" s="183">
        <v>87.142846242409163</v>
      </c>
      <c r="CI48" s="183" cm="1">
        <f t="array" ref="CI48:CQ48">TRANSPOSE('[52]Silumos kiekio nustat.'!$B$24:$B$32)</f>
        <v>47.729366645951536</v>
      </c>
      <c r="CJ48" s="183">
        <v>46.392342580223556</v>
      </c>
      <c r="CK48" s="183">
        <v>45.025109305244953</v>
      </c>
      <c r="CL48" s="183">
        <v>43.622054147030561</v>
      </c>
      <c r="CM48" s="183">
        <v>42.177564431595215</v>
      </c>
      <c r="CN48" s="183">
        <v>40.68602748495374</v>
      </c>
      <c r="CO48" s="183">
        <v>39.141830633120982</v>
      </c>
      <c r="CP48" s="183">
        <v>37.539361202111763</v>
      </c>
      <c r="CQ48" s="183">
        <v>35.873006517940915</v>
      </c>
      <c r="CR48" s="183">
        <f>'Su K. oro stendu'!P93</f>
        <v>64.488</v>
      </c>
      <c r="CS48" s="183"/>
      <c r="CT48" s="183">
        <v>5921.256986108594</v>
      </c>
      <c r="CU48" s="183">
        <f>[52]Alfa!$F$15</f>
        <v>910</v>
      </c>
      <c r="CV48" s="172">
        <f>'Su K. oro stendu'!J93</f>
        <v>2</v>
      </c>
      <c r="CW48" s="183">
        <f>'Su K. oro stendu'!D93</f>
        <v>5000</v>
      </c>
      <c r="CX48" s="183">
        <f>'Su K. oro stendu'!G93</f>
        <v>20</v>
      </c>
      <c r="CY48" s="183">
        <v>0.11136263736263735</v>
      </c>
      <c r="CZ48" s="183">
        <f>'Su K. oro stendu'!H93</f>
        <v>15.91</v>
      </c>
      <c r="DA48" s="183">
        <f>'Su K. oro stendu'!C93</f>
        <v>211</v>
      </c>
      <c r="DB48" s="183">
        <f>'Su K. oro stendu'!E93</f>
        <v>42</v>
      </c>
      <c r="DC48" s="183">
        <f>'Su K. oro stendu'!I93</f>
        <v>432</v>
      </c>
      <c r="DD48" s="183">
        <f>'Su K. oro stendu'!K93</f>
        <v>35.76</v>
      </c>
      <c r="DE48" s="183">
        <f>'Su K. oro stendu'!L93</f>
        <v>11.99</v>
      </c>
      <c r="DF48" s="183">
        <f>'Su K. oro stendu'!F93</f>
        <v>115</v>
      </c>
      <c r="DG48" s="253">
        <f>[52]Alfa!$D$29</f>
        <v>1896.6229150778815</v>
      </c>
      <c r="DH48" s="253">
        <f>[52]Alfa!$D$26</f>
        <v>5921.256986108594</v>
      </c>
      <c r="DI48" s="253">
        <f>[52]Alfa!$D$27</f>
        <v>4436.5040426773685</v>
      </c>
      <c r="DJ48" s="253">
        <f t="shared" si="14"/>
        <v>6333.1269577552503</v>
      </c>
      <c r="DK48" s="253">
        <f t="shared" si="20"/>
        <v>6127.1919719319221</v>
      </c>
      <c r="DL48" s="253">
        <f t="shared" si="16"/>
        <v>6.9557861213068908E-2</v>
      </c>
      <c r="DM48" s="183">
        <f>New!AC48</f>
        <v>3.3709959795455853E-5</v>
      </c>
      <c r="DN48" s="183">
        <f t="shared" si="23"/>
        <v>3.864169920576E-5</v>
      </c>
      <c r="DO48" s="183">
        <f t="shared" si="17"/>
        <v>0.87237260494049351</v>
      </c>
      <c r="DP48" s="183">
        <f t="shared" si="24"/>
        <v>233.22069149559468</v>
      </c>
      <c r="DQ48" s="297">
        <f>DH48/((DA48/3600)*New!BV48*(Sheet3!BZ48-Sheet3!CP48)*1000)</f>
        <v>1.1057786128041698</v>
      </c>
      <c r="DR48" s="166">
        <f>(DB48*0.018)/(0.011*New!IV48*3600)</f>
        <v>1490.1031082093878</v>
      </c>
      <c r="DS48" s="166">
        <f>(New!IV48*New!CE48*1000)/New!AU48</f>
        <v>0.72974402786439863</v>
      </c>
      <c r="DT48" s="166">
        <f>IF(DR48&gt;2300,0.023*((DR48^(4/5)*DS48^(1/3))/(1+12.7*(DS48^(2/3)-1)))*(New!IV48/DV48)^0.14, 0.943*(DR48*DS48*New!IV48/Sheet3!DV48)^0.4)</f>
        <v>16.749475855451411</v>
      </c>
      <c r="DU48" s="166">
        <f t="shared" si="25"/>
        <v>-1126.888014535517</v>
      </c>
      <c r="DV48" s="166">
        <f>_xlfn.FORECAST.LINEAR(AVERAGE(_xlfn.ANCHORARRAY(BR48)),Sheet2!$AK$2:$AK$69,Sheet2!$AJ$2:$AJ$69)</f>
        <v>1.0477878016124739E-5</v>
      </c>
    </row>
    <row r="49" spans="1:126" ht="15" thickBot="1" x14ac:dyDescent="0.35">
      <c r="A49" s="184" t="str">
        <f>'Su K. oro stendu'!B94</f>
        <v>2023.01.11-1</v>
      </c>
      <c r="B49" s="183" cm="1">
        <f t="array" ref="B49:I49">'[53]Kondensacijos efektyvumas'!$B$4:$I$4</f>
        <v>3</v>
      </c>
      <c r="C49" s="183">
        <v>547</v>
      </c>
      <c r="D49" s="183">
        <v>9</v>
      </c>
      <c r="E49" s="183">
        <v>640</v>
      </c>
      <c r="F49" s="183">
        <v>4</v>
      </c>
      <c r="G49" s="183">
        <v>622</v>
      </c>
      <c r="H49" s="183">
        <v>9</v>
      </c>
      <c r="I49" s="183">
        <v>576</v>
      </c>
      <c r="J49" s="183" cm="1">
        <f t="array" ref="J49:Q49">TRANSPOSE('[53]Nu kitimas'!$F$4:$F$11)</f>
        <v>91.099420457795389</v>
      </c>
      <c r="K49" s="183">
        <v>95.797475508908704</v>
      </c>
      <c r="L49" s="183">
        <v>104.48410890117881</v>
      </c>
      <c r="M49" s="183">
        <v>112.81927469797391</v>
      </c>
      <c r="N49" s="183">
        <v>123.54762342265259</v>
      </c>
      <c r="O49" s="183">
        <v>137.33909579317978</v>
      </c>
      <c r="P49" s="183">
        <v>153.34176259414647</v>
      </c>
      <c r="Q49" s="183">
        <v>168.75348218359858</v>
      </c>
      <c r="R49" s="183" cm="1">
        <f t="array" ref="R49:Y49">TRANSPOSE([53]Alfa!$G$18:$G$25)</f>
        <v>160.53725374545357</v>
      </c>
      <c r="S49" s="183">
        <v>166.44013556416311</v>
      </c>
      <c r="T49" s="183">
        <v>177.73363966925345</v>
      </c>
      <c r="U49" s="183">
        <v>190.73232318838194</v>
      </c>
      <c r="V49" s="183">
        <v>205.48283460878744</v>
      </c>
      <c r="W49" s="183">
        <v>225.87899042097834</v>
      </c>
      <c r="X49" s="183">
        <v>248.22200013361672</v>
      </c>
      <c r="Y49" s="183">
        <v>270.28898171956826</v>
      </c>
      <c r="Z49" s="183" cm="1">
        <f t="array" ref="Z49:AG49">TRANSPOSE([53]Alfa!$F$127:$F$134)</f>
        <v>2.6068227270747771E-3</v>
      </c>
      <c r="AA49" s="183">
        <v>0.47715249954703332</v>
      </c>
      <c r="AB49" s="183">
        <v>7.8697431760263777E-3</v>
      </c>
      <c r="AC49" s="183">
        <v>0.56045760373894826</v>
      </c>
      <c r="AD49" s="183">
        <v>3.506581312200531E-3</v>
      </c>
      <c r="AE49" s="183">
        <v>0.54589308797873881</v>
      </c>
      <c r="AF49" s="183">
        <v>7.9122125321869248E-3</v>
      </c>
      <c r="AG49" s="183">
        <v>0.50777223063602406</v>
      </c>
      <c r="AH49" s="35" cm="1">
        <f t="array" ref="AH49:AO49">TRANSPOSE('[53]Silumos kiekio nustat.'!$F$25:$F$32)</f>
        <v>318.94108424036426</v>
      </c>
      <c r="AI49" s="35">
        <v>321.84023856933646</v>
      </c>
      <c r="AJ49" s="35">
        <v>327.73957816773458</v>
      </c>
      <c r="AK49" s="35">
        <v>336.59693159687629</v>
      </c>
      <c r="AL49" s="35">
        <v>348.36934640424784</v>
      </c>
      <c r="AM49" s="35">
        <v>363.0124833260154</v>
      </c>
      <c r="AN49" s="35">
        <v>380.48016491195796</v>
      </c>
      <c r="AO49" s="35">
        <v>400.72410224802894</v>
      </c>
      <c r="AP49" s="313">
        <f t="shared" si="5"/>
        <v>8.4454161911372214E-2</v>
      </c>
      <c r="AQ49" s="35">
        <f t="shared" si="6"/>
        <v>29.534717579885299</v>
      </c>
      <c r="AR49" s="183" cm="1">
        <f t="array" ref="AR49:AY49">TRANSPOSE([53]Alfa!$E$127:$E$134)</f>
        <v>0.18649188709691575</v>
      </c>
      <c r="AS49" s="183">
        <v>0.15979528242954497</v>
      </c>
      <c r="AT49" s="183">
        <v>0.19905695351679378</v>
      </c>
      <c r="AU49" s="183">
        <v>8.7027802885519312E-2</v>
      </c>
      <c r="AV49" s="183">
        <v>0.15006381530495996</v>
      </c>
      <c r="AW49" s="183">
        <v>0.13097180659612823</v>
      </c>
      <c r="AX49" s="183">
        <v>0.14218746895133991</v>
      </c>
      <c r="AY49" s="183">
        <v>0.12211330253916204</v>
      </c>
      <c r="AZ49" s="183">
        <f t="shared" si="7"/>
        <v>199.09502262443439</v>
      </c>
      <c r="BA49" s="183">
        <f>'Su K. oro stendu'!P94</f>
        <v>59.048999999999999</v>
      </c>
      <c r="BB49" s="183">
        <f t="shared" si="21"/>
        <v>199.09162895927602</v>
      </c>
      <c r="BC49" s="183" t="s">
        <v>904</v>
      </c>
      <c r="BD49" s="183">
        <f t="shared" si="22"/>
        <v>198.47285067873304</v>
      </c>
      <c r="BE49" s="143">
        <v>64.438999999999993</v>
      </c>
      <c r="BF49" s="183">
        <f t="shared" si="26"/>
        <v>196.56561085972851</v>
      </c>
      <c r="BG49" s="304">
        <v>64.275999999999996</v>
      </c>
      <c r="BH49" s="183">
        <f t="shared" si="27"/>
        <v>193.66968325791856</v>
      </c>
      <c r="BI49" s="143">
        <v>64.025000000000006</v>
      </c>
      <c r="BJ49" s="183">
        <f t="shared" si="28"/>
        <v>193.65158371040724</v>
      </c>
      <c r="BK49" s="304">
        <v>64.022999999999996</v>
      </c>
      <c r="BL49" s="183">
        <f t="shared" si="29"/>
        <v>190.83710407239818</v>
      </c>
      <c r="BM49" s="304">
        <v>63.774999999999999</v>
      </c>
      <c r="BN49" s="183">
        <f t="shared" si="30"/>
        <v>190.79638009049773</v>
      </c>
      <c r="BO49" s="143">
        <v>63.771999999999998</v>
      </c>
      <c r="BP49" s="183">
        <f t="shared" si="31"/>
        <v>188.19004524886878</v>
      </c>
      <c r="BQ49" s="183">
        <v>63.537999999999997</v>
      </c>
      <c r="BR49" s="183" cm="1">
        <f t="array" ref="BR49:BY49">TRANSPOSE('[53]Keithley Matavimai'!$W$6:$W$13)</f>
        <v>43.710126383786452</v>
      </c>
      <c r="BS49" s="183">
        <v>39.456681370518652</v>
      </c>
      <c r="BT49" s="183">
        <v>38.595443798092838</v>
      </c>
      <c r="BU49" s="183">
        <v>34.989237902205474</v>
      </c>
      <c r="BV49" s="183">
        <v>34.454580841777094</v>
      </c>
      <c r="BW49" s="183">
        <v>33.861497620341098</v>
      </c>
      <c r="BX49" s="183">
        <v>32.22099017137068</v>
      </c>
      <c r="BY49" s="183">
        <v>28.795659707083654</v>
      </c>
      <c r="BZ49" s="183" cm="1">
        <f t="array" ref="BZ49:CH49">TRANSPOSE('[53]Keithley Matavimai'!$V$5:$V$13)</f>
        <v>143.95272035675225</v>
      </c>
      <c r="CA49" s="183">
        <v>136.64094240584848</v>
      </c>
      <c r="CB49" s="183">
        <v>131.00978531886653</v>
      </c>
      <c r="CC49" s="183">
        <v>123.02127883652024</v>
      </c>
      <c r="CD49" s="183">
        <v>120.27564055295197</v>
      </c>
      <c r="CE49" s="183">
        <v>114.09938311640916</v>
      </c>
      <c r="CF49" s="183">
        <v>109.36053208969776</v>
      </c>
      <c r="CG49" s="183">
        <v>103.36884199045609</v>
      </c>
      <c r="CH49" s="183">
        <v>98.779110638894977</v>
      </c>
      <c r="CI49" s="183" cm="1">
        <f t="array" ref="CI49:CQ49">TRANSPOSE('[53]Silumos kiekio nustat.'!$B$24:$B$32)</f>
        <v>31.404700354814132</v>
      </c>
      <c r="CJ49" s="183">
        <v>29.449121671053099</v>
      </c>
      <c r="CK49" s="183">
        <v>27.468793153968402</v>
      </c>
      <c r="CL49" s="183">
        <v>25.44500278172336</v>
      </c>
      <c r="CM49" s="183">
        <v>23.3590385324813</v>
      </c>
      <c r="CN49" s="183">
        <v>21.192188384405533</v>
      </c>
      <c r="CO49" s="183">
        <v>18.925740315659397</v>
      </c>
      <c r="CP49" s="183">
        <v>16.540982304406203</v>
      </c>
      <c r="CQ49" s="183">
        <v>14.019202328809275</v>
      </c>
      <c r="CR49" s="183">
        <f>'Su K. oro stendu'!P94</f>
        <v>59.048999999999999</v>
      </c>
      <c r="CS49" s="183"/>
      <c r="CT49" s="183"/>
      <c r="CU49" s="183">
        <f>[53]Alfa!$F$15</f>
        <v>920</v>
      </c>
      <c r="CV49" s="177">
        <f>'Su K. oro stendu'!J94</f>
        <v>2</v>
      </c>
      <c r="CW49" s="183">
        <f>'Su K. oro stendu'!D94</f>
        <v>5000</v>
      </c>
      <c r="CX49" s="183">
        <f>'Su K. oro stendu'!G94</f>
        <v>20</v>
      </c>
      <c r="CY49" s="183">
        <f>[53]Alfa!$F$16</f>
        <v>0.15717391304347827</v>
      </c>
      <c r="CZ49" s="183">
        <f>'Su K. oro stendu'!H94</f>
        <v>20.8</v>
      </c>
      <c r="DA49" s="183">
        <f>'Su K. oro stendu'!C94</f>
        <v>221</v>
      </c>
      <c r="DB49" s="183">
        <f>'Su K. oro stendu'!E94</f>
        <v>44</v>
      </c>
      <c r="DC49" s="183">
        <f>'Su K. oro stendu'!I94</f>
        <v>438</v>
      </c>
      <c r="DD49" s="183">
        <f>'Su K. oro stendu'!K94</f>
        <v>13.8</v>
      </c>
      <c r="DE49" s="183">
        <f>'Su K. oro stendu'!L94</f>
        <v>17.5</v>
      </c>
      <c r="DF49" s="183">
        <f>'Su K. oro stendu'!F94</f>
        <v>145</v>
      </c>
      <c r="DG49" s="253">
        <f>[53]Alfa!$D$29</f>
        <v>2998.8828642004396</v>
      </c>
      <c r="DH49" s="253">
        <f>[53]Alfa!$D$26</f>
        <v>8588.9849184738414</v>
      </c>
      <c r="DI49" s="253">
        <f>[53]Alfa!$D$27</f>
        <v>6339.5123449446992</v>
      </c>
      <c r="DJ49" s="253">
        <f t="shared" si="14"/>
        <v>9338.3952091451392</v>
      </c>
      <c r="DK49" s="253">
        <f t="shared" si="20"/>
        <v>8963.6900638094903</v>
      </c>
      <c r="DL49" s="253">
        <f t="shared" si="16"/>
        <v>8.7252486502730875E-2</v>
      </c>
      <c r="DM49" s="183">
        <f>New!AC49</f>
        <v>3.9910918516455531E-5</v>
      </c>
      <c r="DN49" s="183">
        <f t="shared" si="23"/>
        <v>4.2388323940559999E-5</v>
      </c>
      <c r="DO49" s="183">
        <f t="shared" si="17"/>
        <v>0.94155453214950258</v>
      </c>
      <c r="DP49" s="183">
        <f t="shared" si="24"/>
        <v>205.66451988127537</v>
      </c>
      <c r="DQ49" s="297">
        <f>DH49/((DA49/3600)*New!BV49*(Sheet3!BZ49-Sheet3!CP49)*1000)</f>
        <v>0.91492849784024144</v>
      </c>
      <c r="DR49" s="166">
        <f>(DB49*0.018)/(0.011*New!IV49*3600)</f>
        <v>1442.7751962080001</v>
      </c>
      <c r="DS49" s="166">
        <f>(New!IV49*New!CE49*1000)/New!AU49</f>
        <v>0.64719895598215416</v>
      </c>
      <c r="DT49" s="166">
        <f>IF(DR49&gt;2300,0.023*((DR49^(4/5)*DS49^(1/3))/(1+12.7*(DS49^(2/3)-1)))*(New!IV49/DV49)^0.14, 0.943*(DR49*DS49*New!IV49/Sheet3!DV49)^0.4)</f>
        <v>16.545866225837081</v>
      </c>
      <c r="DU49" s="166">
        <f t="shared" si="25"/>
        <v>-995.97496863247636</v>
      </c>
      <c r="DV49" s="166">
        <f>_xlfn.FORECAST.LINEAR(AVERAGE(_xlfn.ANCHORARRAY(BR49)),Sheet2!$AK$2:$AK$69,Sheet2!$AJ$2:$AJ$69)</f>
        <v>1.0037446968480566E-5</v>
      </c>
    </row>
    <row r="50" spans="1:126" ht="15" thickBot="1" x14ac:dyDescent="0.35">
      <c r="A50" s="184" t="str">
        <f>'Su K. oro stendu'!B95</f>
        <v>2023.01.11-2</v>
      </c>
      <c r="B50" s="183" cm="1">
        <f t="array" ref="B50:I50">'[54]Kondensacijos efektyvumas'!$B$4:$I$4</f>
        <v>6</v>
      </c>
      <c r="C50" s="183">
        <v>212</v>
      </c>
      <c r="D50" s="183">
        <v>10</v>
      </c>
      <c r="E50" s="183">
        <v>338</v>
      </c>
      <c r="F50" s="183">
        <v>6</v>
      </c>
      <c r="G50" s="183">
        <v>374</v>
      </c>
      <c r="H50" s="183">
        <v>6</v>
      </c>
      <c r="I50" s="183">
        <v>395</v>
      </c>
      <c r="J50" s="183" cm="1">
        <f t="array" ref="J50:Q50">TRANSPOSE('[54]Nu kitimas'!$F$4:$F$11)</f>
        <v>77.022080221615354</v>
      </c>
      <c r="K50" s="183">
        <v>78.470853542588074</v>
      </c>
      <c r="L50" s="183">
        <v>83.357122961286379</v>
      </c>
      <c r="M50" s="183">
        <v>89.409415375978199</v>
      </c>
      <c r="N50" s="183">
        <v>98.859315049461117</v>
      </c>
      <c r="O50" s="183">
        <v>111.15761260645449</v>
      </c>
      <c r="P50" s="183">
        <v>125.78074230160334</v>
      </c>
      <c r="Q50" s="183">
        <v>144.07362844020568</v>
      </c>
      <c r="R50" s="183" cm="1">
        <f t="array" ref="R50:Y50">TRANSPOSE([54]Alfa!$G$18:$G$25)</f>
        <v>135.64288568083825</v>
      </c>
      <c r="S50" s="183">
        <v>136.46343586597843</v>
      </c>
      <c r="T50" s="183">
        <v>142.49683869363287</v>
      </c>
      <c r="U50" s="183">
        <v>151.85199975699109</v>
      </c>
      <c r="V50" s="183">
        <v>165.42639545718845</v>
      </c>
      <c r="W50" s="183">
        <v>184.57062682734315</v>
      </c>
      <c r="X50" s="183">
        <v>206.31403606626631</v>
      </c>
      <c r="Y50" s="183">
        <v>233.43453859301513</v>
      </c>
      <c r="Z50" s="183" cm="1">
        <f t="array" ref="Z50:AG50">TRANSPOSE([54]Alfa!$F$127:$F$134)</f>
        <v>5.2589206236564731E-3</v>
      </c>
      <c r="AA50" s="183">
        <v>0.18628383200491469</v>
      </c>
      <c r="AB50" s="183">
        <v>8.7999624225088436E-3</v>
      </c>
      <c r="AC50" s="183">
        <v>0.29769529410404422</v>
      </c>
      <c r="AD50" s="183">
        <v>5.2880489830502758E-3</v>
      </c>
      <c r="AE50" s="183">
        <v>0.32991268488644471</v>
      </c>
      <c r="AF50" s="183">
        <v>5.3007092159669091E-3</v>
      </c>
      <c r="AG50" s="183">
        <v>0.34984950173058005</v>
      </c>
      <c r="AH50" s="35" cm="1">
        <f t="array" ref="AH50:AO50">TRANSPOSE('[54]Silumos kiekio nustat.'!$F$25:$F$32)</f>
        <v>231.67871246199434</v>
      </c>
      <c r="AI50" s="35">
        <v>223.69974604333254</v>
      </c>
      <c r="AJ50" s="35">
        <v>221.06595469778924</v>
      </c>
      <c r="AK50" s="35">
        <v>223.72154670815161</v>
      </c>
      <c r="AL50" s="35">
        <v>231.61150994724386</v>
      </c>
      <c r="AM50" s="35">
        <v>244.67848123480678</v>
      </c>
      <c r="AN50" s="35">
        <v>262.85982450834643</v>
      </c>
      <c r="AO50" s="35">
        <v>286.08495521795703</v>
      </c>
      <c r="AP50" s="313">
        <f t="shared" si="5"/>
        <v>9.5440977808616198E-2</v>
      </c>
      <c r="AQ50" s="35">
        <f t="shared" si="6"/>
        <v>22.970266052856115</v>
      </c>
      <c r="AR50" s="183" cm="1">
        <f t="array" ref="AR50:AY50">TRANSPOSE([54]Alfa!$E$127:$E$134)</f>
        <v>0.16796710174405771</v>
      </c>
      <c r="AS50" s="183">
        <v>0.133233150146184</v>
      </c>
      <c r="AT50" s="183">
        <v>0.16222367923136136</v>
      </c>
      <c r="AU50" s="183">
        <v>8.1392177593394566E-2</v>
      </c>
      <c r="AV50" s="183">
        <v>0.13837192878652779</v>
      </c>
      <c r="AW50" s="183">
        <v>9.4023589983423639E-2</v>
      </c>
      <c r="AX50" s="183">
        <v>0.11227489213421991</v>
      </c>
      <c r="AY50" s="183">
        <v>0.13460107304219179</v>
      </c>
      <c r="AZ50" s="183">
        <f t="shared" ref="AZ50:AZ60" si="32">(DB50*1000)/DA50</f>
        <v>199.09502262443439</v>
      </c>
      <c r="BA50" s="183">
        <f>'Su K. oro stendu'!P95</f>
        <v>59.048999999999999</v>
      </c>
      <c r="BB50" s="183">
        <f t="shared" si="21"/>
        <v>199.08823529411765</v>
      </c>
      <c r="BC50" s="304">
        <v>64.491</v>
      </c>
      <c r="BD50" s="183">
        <f t="shared" si="22"/>
        <v>198.84841628959276</v>
      </c>
      <c r="BE50" s="143">
        <v>64.471000000000004</v>
      </c>
      <c r="BF50" s="183">
        <f t="shared" si="26"/>
        <v>198.06334841628959</v>
      </c>
      <c r="BG50" s="143">
        <v>64.403999999999996</v>
      </c>
      <c r="BH50" s="183">
        <f t="shared" si="27"/>
        <v>196.5339366515837</v>
      </c>
      <c r="BI50" s="304">
        <v>64.272999999999996</v>
      </c>
      <c r="BJ50" s="183">
        <f t="shared" si="28"/>
        <v>196.50678733031674</v>
      </c>
      <c r="BK50" s="304">
        <v>64.271000000000001</v>
      </c>
      <c r="BL50" s="183">
        <f t="shared" si="29"/>
        <v>194.81447963800906</v>
      </c>
      <c r="BM50" s="143">
        <v>64.125</v>
      </c>
      <c r="BN50" s="183">
        <f t="shared" si="30"/>
        <v>194.78733031674207</v>
      </c>
      <c r="BO50" s="304">
        <v>64.122</v>
      </c>
      <c r="BP50" s="183">
        <f t="shared" si="31"/>
        <v>193</v>
      </c>
      <c r="BQ50" s="183">
        <v>63.966000000000001</v>
      </c>
      <c r="BR50" s="183" cm="1">
        <f t="array" ref="BR50:BY50">TRANSPOSE('[54]Keithley Matavimai'!$W$6:$W$13)</f>
        <v>56.868520343280203</v>
      </c>
      <c r="BS50" s="183">
        <v>54.022863344218329</v>
      </c>
      <c r="BT50" s="183">
        <v>53.864857100615495</v>
      </c>
      <c r="BU50" s="183">
        <v>51.529899104578213</v>
      </c>
      <c r="BV50" s="183">
        <v>51.272773853795094</v>
      </c>
      <c r="BW50" s="183">
        <v>50.682044221208905</v>
      </c>
      <c r="BX50" s="183">
        <v>49.402840665147757</v>
      </c>
      <c r="BY50" s="183">
        <v>46.453173789611952</v>
      </c>
      <c r="BZ50" s="183" cm="1">
        <f t="array" ref="BZ50:CH50">TRANSPOSE('[54]Keithley Matavimai'!$V$5:$V$13)</f>
        <v>143.15180585352542</v>
      </c>
      <c r="CA50" s="183">
        <v>136.56879980687532</v>
      </c>
      <c r="CB50" s="183">
        <v>131.58737531252552</v>
      </c>
      <c r="CC50" s="183">
        <v>125.1463887196212</v>
      </c>
      <c r="CD50" s="183">
        <v>122.31088953011381</v>
      </c>
      <c r="CE50" s="183">
        <v>116.72731192004504</v>
      </c>
      <c r="CF50" s="183">
        <v>113.34397912104687</v>
      </c>
      <c r="CG50" s="183">
        <v>108.74111648478083</v>
      </c>
      <c r="CH50" s="183">
        <v>103.60476287038246</v>
      </c>
      <c r="CI50" s="183" cm="1">
        <f t="array" ref="CI50:CQ50">TRANSPOSE('[54]Silumos kiekio nustat.'!$B$24:$B$32)</f>
        <v>51.083476202433111</v>
      </c>
      <c r="CJ50" s="183">
        <v>49.715866228789906</v>
      </c>
      <c r="CK50" s="183">
        <v>48.391825610789702</v>
      </c>
      <c r="CL50" s="183">
        <v>47.079966626274086</v>
      </c>
      <c r="CM50" s="183">
        <v>45.748901553084679</v>
      </c>
      <c r="CN50" s="183">
        <v>44.367242669063089</v>
      </c>
      <c r="CO50" s="183">
        <v>42.903602252050916</v>
      </c>
      <c r="CP50" s="183">
        <v>41.326592579889763</v>
      </c>
      <c r="CQ50" s="183">
        <v>39.604825930421242</v>
      </c>
      <c r="CR50" s="183">
        <f>'Su K. oro stendu'!P95</f>
        <v>59.048999999999999</v>
      </c>
      <c r="CS50" s="183"/>
      <c r="CT50" s="183"/>
      <c r="CU50" s="183">
        <f>[54]Alfa!$F$15</f>
        <v>900</v>
      </c>
      <c r="CV50" s="177">
        <f>'Su K. oro stendu'!J95</f>
        <v>2</v>
      </c>
      <c r="CW50" s="183">
        <f>'Su K. oro stendu'!D95</f>
        <v>5000</v>
      </c>
      <c r="CX50" s="183">
        <f>'Su K. oro stendu'!G95</f>
        <v>20</v>
      </c>
      <c r="CY50" s="183">
        <f>[54]Alfa!$F$16</f>
        <v>8.9800000000000005E-2</v>
      </c>
      <c r="CZ50" s="183">
        <f>'Su K. oro stendu'!H95</f>
        <v>11.8</v>
      </c>
      <c r="DA50" s="183">
        <f>'Su K. oro stendu'!C95</f>
        <v>221</v>
      </c>
      <c r="DB50" s="183">
        <f>'Su K. oro stendu'!E95</f>
        <v>44</v>
      </c>
      <c r="DC50" s="183">
        <f>'Su K. oro stendu'!I95</f>
        <v>438</v>
      </c>
      <c r="DD50" s="183">
        <f>'Su K. oro stendu'!K95</f>
        <v>39.5</v>
      </c>
      <c r="DE50" s="183">
        <f>'Su K. oro stendu'!L95</f>
        <v>11.6</v>
      </c>
      <c r="DF50" s="183">
        <f>'Su K. oro stendu'!F95</f>
        <v>145</v>
      </c>
      <c r="DG50" s="253">
        <f>[54]Alfa!$D$29</f>
        <v>2665.6366613338982</v>
      </c>
      <c r="DH50" s="253">
        <f>[54]Alfa!$D$26</f>
        <v>5848.1942409057056</v>
      </c>
      <c r="DI50" s="253">
        <f>[54]Alfa!$D$27</f>
        <v>3565.1668619134985</v>
      </c>
      <c r="DJ50" s="253">
        <f t="shared" si="14"/>
        <v>6230.8035232473967</v>
      </c>
      <c r="DK50" s="253">
        <f t="shared" si="20"/>
        <v>6039.4988820765511</v>
      </c>
      <c r="DL50" s="253">
        <f t="shared" si="16"/>
        <v>6.5423490838504836E-2</v>
      </c>
      <c r="DM50" s="183">
        <f>New!AC50</f>
        <v>3.9910918516455531E-5</v>
      </c>
      <c r="DN50" s="183">
        <f t="shared" si="23"/>
        <v>4.2388323940559999E-5</v>
      </c>
      <c r="DO50" s="183">
        <f t="shared" si="17"/>
        <v>0.94155453214950258</v>
      </c>
      <c r="DP50" s="183">
        <f t="shared" si="24"/>
        <v>169.52509461765669</v>
      </c>
      <c r="DQ50" s="297">
        <f>DH50/((DA50/3600)*New!BV50*(Sheet3!BZ50-Sheet3!CP50)*1000)</f>
        <v>0.77950914632500878</v>
      </c>
      <c r="DR50" s="166">
        <f>(DB50*0.018)/(0.011*New!IV50*3600)</f>
        <v>1442.7751962080001</v>
      </c>
      <c r="DS50" s="166">
        <f>(New!IV50*New!CE50*1000)/New!AU50</f>
        <v>0.64719895598215416</v>
      </c>
      <c r="DT50" s="166">
        <f>IF(DR50&gt;2300,0.023*((DR50^(4/5)*DS50^(1/3))/(1+12.7*(DS50^(2/3)-1)))*(New!IV50/DV50)^0.14, 0.943*(DR50*DS50*New!IV50/Sheet3!DV50)^0.4)</f>
        <v>16.190272905635975</v>
      </c>
      <c r="DU50" s="166">
        <f t="shared" si="25"/>
        <v>-1041.1469182441315</v>
      </c>
      <c r="DV50" s="166">
        <f>_xlfn.FORECAST.LINEAR(AVERAGE(_xlfn.ANCHORARRAY(BR50)),Sheet2!$AK$2:$AK$69,Sheet2!$AJ$2:$AJ$69)</f>
        <v>1.0597699776430788E-5</v>
      </c>
    </row>
    <row r="51" spans="1:126" ht="15" thickBot="1" x14ac:dyDescent="0.35">
      <c r="A51" s="184" t="str">
        <f>'Su K. oro stendu'!B96</f>
        <v>2023.01.12-1</v>
      </c>
      <c r="B51" s="183" cm="1">
        <f t="array" ref="B51:I51">'[55]Kondensacijos efektyvumas'!$B$4:$I$4</f>
        <v>18</v>
      </c>
      <c r="C51" s="183">
        <v>495</v>
      </c>
      <c r="D51" s="183">
        <v>19</v>
      </c>
      <c r="E51" s="183">
        <v>371</v>
      </c>
      <c r="F51" s="183">
        <v>23</v>
      </c>
      <c r="G51" s="183">
        <v>531</v>
      </c>
      <c r="H51" s="183">
        <v>21</v>
      </c>
      <c r="I51" s="183">
        <v>803</v>
      </c>
      <c r="J51" s="183" cm="1">
        <f t="array" ref="J51:Q51">TRANSPOSE('[55]Nu kitimas'!$I$4:$I$11)</f>
        <v>241.55776735032316</v>
      </c>
      <c r="K51" s="183">
        <v>232.66639605438007</v>
      </c>
      <c r="L51" s="183">
        <v>230.43069071396491</v>
      </c>
      <c r="M51" s="183">
        <v>233.0011651053708</v>
      </c>
      <c r="N51" s="183">
        <v>239.9576236128959</v>
      </c>
      <c r="O51" s="183">
        <v>255.28013528162793</v>
      </c>
      <c r="P51" s="183">
        <v>282.42720866826693</v>
      </c>
      <c r="Q51" s="183">
        <v>347.89683513182001</v>
      </c>
      <c r="R51" s="183" cm="1">
        <f t="array" ref="R51:Y51">TRANSPOSE([55]Alfa!$G$18:$G$25)</f>
        <v>359.47008527104379</v>
      </c>
      <c r="S51" s="183">
        <v>350.58088740100141</v>
      </c>
      <c r="T51" s="183">
        <v>344.27761804880794</v>
      </c>
      <c r="U51" s="183">
        <v>348.75377924982553</v>
      </c>
      <c r="V51" s="183">
        <v>361.51904772354771</v>
      </c>
      <c r="W51" s="183">
        <v>388.19268958690918</v>
      </c>
      <c r="X51" s="183">
        <v>432.83328798931456</v>
      </c>
      <c r="Y51" s="183">
        <v>530.21455651321298</v>
      </c>
      <c r="Z51" s="183" cm="1">
        <f t="array" ref="Z51:AG51">TRANSPOSE([55]Alfa!$F$127:$F$134)</f>
        <v>1.5724229232032327E-2</v>
      </c>
      <c r="AA51" s="183">
        <v>0.43322402362920509</v>
      </c>
      <c r="AB51" s="183">
        <v>1.6669630318607447E-2</v>
      </c>
      <c r="AC51" s="183">
        <v>0.32641968242010461</v>
      </c>
      <c r="AD51" s="183">
        <v>2.0297273948350385E-2</v>
      </c>
      <c r="AE51" s="183">
        <v>0.47000682641433628</v>
      </c>
      <c r="AF51" s="183">
        <v>1.8639691300570312E-2</v>
      </c>
      <c r="AG51" s="183">
        <v>0.71445510945212032</v>
      </c>
      <c r="AH51" s="35" cm="1">
        <f t="array" ref="AH51:AO51">TRANSPOSE('[55]Silumos kiekio nustat.'!$F$25:$F$32)</f>
        <v>241.72298689744241</v>
      </c>
      <c r="AI51" s="35">
        <v>227.49454913319096</v>
      </c>
      <c r="AJ51" s="35">
        <v>223.90621665556449</v>
      </c>
      <c r="AK51" s="35">
        <v>230.71764555054247</v>
      </c>
      <c r="AL51" s="35">
        <v>247.69573400825786</v>
      </c>
      <c r="AM51" s="35">
        <v>274.59170643804208</v>
      </c>
      <c r="AN51" s="35">
        <v>311.12391843400331</v>
      </c>
      <c r="AO51" s="35">
        <v>356.96828132630026</v>
      </c>
      <c r="AP51" s="313">
        <f t="shared" si="5"/>
        <v>0.17968714916774778</v>
      </c>
      <c r="AQ51" s="35">
        <f t="shared" si="6"/>
        <v>47.487293888544968</v>
      </c>
      <c r="AR51" s="183" cm="1">
        <f t="array" ref="AR51:AY51">TRANSPOSE([55]Alfa!$E$127:$E$134)</f>
        <v>7.112777122863928E-2</v>
      </c>
      <c r="AS51" s="183">
        <v>6.9021402975084356E-2</v>
      </c>
      <c r="AT51" s="183">
        <v>4.3172048774787114E-2</v>
      </c>
      <c r="AU51" s="183">
        <v>6.2097343345969801E-2</v>
      </c>
      <c r="AV51" s="183">
        <v>2.5669724426027E-2</v>
      </c>
      <c r="AW51" s="183">
        <v>6.6824990821106059E-2</v>
      </c>
      <c r="AX51" s="183">
        <v>3.9007095472387524E-2</v>
      </c>
      <c r="AY51" s="183">
        <v>5.6440572274803417E-2</v>
      </c>
      <c r="AZ51" s="183">
        <f t="shared" si="32"/>
        <v>197.96954314720813</v>
      </c>
      <c r="BA51" s="183">
        <f>'Su K. oro stendu'!P96</f>
        <v>49.648000000000003</v>
      </c>
      <c r="BB51" s="183">
        <f t="shared" si="21"/>
        <v>197.94670050761422</v>
      </c>
      <c r="BC51" s="304">
        <v>64.394000000000005</v>
      </c>
      <c r="BD51" s="183">
        <f t="shared" si="22"/>
        <v>197.31852791878174</v>
      </c>
      <c r="BE51" s="143">
        <v>64.340999999999994</v>
      </c>
      <c r="BF51" s="183">
        <f t="shared" si="26"/>
        <v>195.26903553299493</v>
      </c>
      <c r="BG51" s="304">
        <v>64.164000000000001</v>
      </c>
      <c r="BH51" s="183">
        <f t="shared" si="27"/>
        <v>193.38578680203045</v>
      </c>
      <c r="BI51" s="143">
        <v>64</v>
      </c>
      <c r="BJ51" s="183">
        <f t="shared" si="28"/>
        <v>193.26903553299493</v>
      </c>
      <c r="BK51" s="143">
        <v>63.99</v>
      </c>
      <c r="BL51" s="183">
        <f t="shared" si="29"/>
        <v>190.57360406091371</v>
      </c>
      <c r="BM51" s="143">
        <v>63.752000000000002</v>
      </c>
      <c r="BN51" s="183">
        <f t="shared" si="30"/>
        <v>190.46700507614213</v>
      </c>
      <c r="BO51" s="304">
        <v>63.741999999999997</v>
      </c>
      <c r="BP51" s="183">
        <f t="shared" si="31"/>
        <v>186.39086294416245</v>
      </c>
      <c r="BQ51" s="143">
        <v>63.375</v>
      </c>
      <c r="BR51" s="183" cm="1">
        <f t="array" ref="BR51:BY51">TRANSPOSE('[55]Keithley Matavimai'!$W$6:$W$13)</f>
        <v>49.303390804574406</v>
      </c>
      <c r="BS51" s="183">
        <v>47.676391487586407</v>
      </c>
      <c r="BT51" s="183">
        <v>44.608193005104603</v>
      </c>
      <c r="BU51" s="183">
        <v>42.206271884470681</v>
      </c>
      <c r="BV51" s="183">
        <v>39.374018138098201</v>
      </c>
      <c r="BW51" s="183">
        <v>36.56452181857415</v>
      </c>
      <c r="BX51" s="183">
        <v>32.49016318730169</v>
      </c>
      <c r="BY51" s="183">
        <v>31.040889990838231</v>
      </c>
      <c r="BZ51" s="183" cm="1">
        <f t="array" ref="BZ51:CH51">TRANSPOSE('[55]Keithley Matavimai'!$V$5:$V$13)</f>
        <v>83.615254125400384</v>
      </c>
      <c r="CA51" s="183">
        <v>80.378036126690205</v>
      </c>
      <c r="CB51" s="183">
        <v>77.637726977782009</v>
      </c>
      <c r="CC51" s="183">
        <v>75.642636172761812</v>
      </c>
      <c r="CD51" s="183">
        <v>73.051055762673016</v>
      </c>
      <c r="CE51" s="183">
        <v>71.857444972252495</v>
      </c>
      <c r="CF51" s="183">
        <v>69.114883362382514</v>
      </c>
      <c r="CG51" s="183">
        <v>67.251068065239352</v>
      </c>
      <c r="CH51" s="183">
        <v>65.152878780243711</v>
      </c>
      <c r="CI51" s="183" cm="1">
        <f t="array" ref="CI51:CQ51">TRANSPOSE('[55]Silumos kiekio nustat.'!$B$24:$B$32)</f>
        <v>38.509385850679287</v>
      </c>
      <c r="CJ51" s="183">
        <v>35.21944943618373</v>
      </c>
      <c r="CK51" s="183">
        <v>32.104737307542777</v>
      </c>
      <c r="CL51" s="183">
        <v>29.021807116242819</v>
      </c>
      <c r="CM51" s="183">
        <v>25.827216513770267</v>
      </c>
      <c r="CN51" s="183">
        <v>22.37752315161152</v>
      </c>
      <c r="CO51" s="183">
        <v>18.529284681252971</v>
      </c>
      <c r="CP51" s="183">
        <v>14.139058754181029</v>
      </c>
      <c r="CQ51" s="183">
        <v>9.0634030218821025</v>
      </c>
      <c r="CR51" s="183">
        <f>'Su K. oro stendu'!P96</f>
        <v>49.648000000000003</v>
      </c>
      <c r="CS51" s="183"/>
      <c r="CT51" s="183"/>
      <c r="CU51" s="183">
        <f>[55]Alfa!$F$15</f>
        <v>910</v>
      </c>
      <c r="CV51" s="177">
        <f>'Su K. oro stendu'!J96</f>
        <v>1</v>
      </c>
      <c r="CW51" s="183">
        <f>'Su K. oro stendu'!D96</f>
        <v>5000</v>
      </c>
      <c r="CX51" s="183">
        <f>'Su K. oro stendu'!G96</f>
        <v>20</v>
      </c>
      <c r="CY51" s="10">
        <f>[55]Alfa!$F$16</f>
        <v>0.1503956043956044</v>
      </c>
      <c r="CZ51" s="183">
        <f>'Su K. oro stendu'!H96</f>
        <v>22.8</v>
      </c>
      <c r="DA51" s="183">
        <f>'Su K. oro stendu'!C96</f>
        <v>197</v>
      </c>
      <c r="DB51" s="183">
        <f>'Su K. oro stendu'!E96</f>
        <v>39</v>
      </c>
      <c r="DC51" s="183">
        <f>'Su K. oro stendu'!I96</f>
        <v>195</v>
      </c>
      <c r="DD51" s="183">
        <f>'Su K. oro stendu'!K96</f>
        <v>8</v>
      </c>
      <c r="DE51" s="183">
        <f>'Su K. oro stendu'!L96</f>
        <v>30.8</v>
      </c>
      <c r="DF51" s="183">
        <f>'Su K. oro stendu'!F96</f>
        <v>85</v>
      </c>
      <c r="DG51" s="253">
        <f>[55]Alfa!$D$29</f>
        <v>1326.4261078399229</v>
      </c>
      <c r="DH51" s="253">
        <f>[55]Alfa!$D$26</f>
        <v>6504.8343262776243</v>
      </c>
      <c r="DI51" s="253">
        <f>[55]Alfa!$D$27</f>
        <v>6046.3094001459804</v>
      </c>
      <c r="DJ51" s="253">
        <f t="shared" si="14"/>
        <v>7372.7355079859035</v>
      </c>
      <c r="DK51" s="253">
        <f t="shared" si="20"/>
        <v>6938.7849171317639</v>
      </c>
      <c r="DL51" s="253">
        <f t="shared" si="16"/>
        <v>0.13342402560541977</v>
      </c>
      <c r="DM51" s="183">
        <f>New!AC51</f>
        <v>2.796185705837458E-5</v>
      </c>
      <c r="DN51" s="183">
        <f t="shared" si="23"/>
        <v>3.5049529086959997E-5</v>
      </c>
      <c r="DO51" s="183">
        <f t="shared" si="17"/>
        <v>0.79778124804471762</v>
      </c>
      <c r="DP51" s="183">
        <f t="shared" si="24"/>
        <v>389.48024397295785</v>
      </c>
      <c r="DQ51" s="297">
        <f>DH51/((DA51/3600)*New!BV51*(Sheet3!BZ51-Sheet3!CP51)*1000)</f>
        <v>1.4439534425972351</v>
      </c>
      <c r="DR51" s="166">
        <f>(DB51*0.018)/(0.011*New!IV51*3600)</f>
        <v>1507.2372652689894</v>
      </c>
      <c r="DS51" s="166">
        <f>(New!IV51*New!CE51*1000)/New!AU51</f>
        <v>0.86323913019559584</v>
      </c>
      <c r="DT51" s="166">
        <f>IF(DR51&gt;2300,0.023*((DR51^(4/5)*DS51^(1/3))/(1+12.7*(DS51^(2/3)-1)))*(New!IV51/DV51)^0.14, 0.943*(DR51*DS51*New!IV51/Sheet3!DV51)^0.4)</f>
        <v>17.578346915446541</v>
      </c>
      <c r="DU51" s="166">
        <f t="shared" si="25"/>
        <v>-1255.9427747817244</v>
      </c>
      <c r="DV51" s="166">
        <f>_xlfn.FORECAST.LINEAR(AVERAGE(_xlfn.ANCHORARRAY(BR51)),Sheet2!$AK$2:$AK$69,Sheet2!$AJ$2:$AJ$69)</f>
        <v>1.0200165034948056E-5</v>
      </c>
    </row>
    <row r="52" spans="1:126" x14ac:dyDescent="0.3">
      <c r="A52" s="184" t="str">
        <f>'Su K. oro stendu'!B97</f>
        <v>2023.01.12-2</v>
      </c>
      <c r="B52" s="183" cm="1">
        <f t="array" ref="B52:I52">'[56]Kondensacijos efektyvumas'!$B$4:$I$4</f>
        <v>5</v>
      </c>
      <c r="C52" s="183">
        <v>435</v>
      </c>
      <c r="D52" s="183">
        <v>10</v>
      </c>
      <c r="E52" s="183">
        <v>306</v>
      </c>
      <c r="F52" s="183">
        <v>8</v>
      </c>
      <c r="G52" s="183">
        <v>580</v>
      </c>
      <c r="H52" s="183">
        <v>21</v>
      </c>
      <c r="I52" s="183">
        <v>848</v>
      </c>
      <c r="J52" s="183" cm="1">
        <f t="array" ref="J52:Q52">TRANSPOSE('[56]Nu kitimas'!$F$4:$F$11)</f>
        <v>86.999407597187314</v>
      </c>
      <c r="K52" s="183">
        <v>91.526729924105652</v>
      </c>
      <c r="L52" s="183">
        <v>100.06828714495835</v>
      </c>
      <c r="M52" s="183">
        <v>111.27259040803622</v>
      </c>
      <c r="N52" s="183">
        <v>126.68702219171482</v>
      </c>
      <c r="O52" s="183">
        <v>142.99308495983422</v>
      </c>
      <c r="P52" s="183">
        <v>164.11290649026557</v>
      </c>
      <c r="Q52" s="183">
        <v>192.40276245227707</v>
      </c>
      <c r="R52" s="183" cm="1">
        <f t="array" ref="R52:Y52">TRANSPOSE('[56]Nu kitimas'!$F$4:$F$11)</f>
        <v>86.999407597187314</v>
      </c>
      <c r="S52" s="183">
        <v>91.526729924105652</v>
      </c>
      <c r="T52" s="183">
        <v>100.06828714495835</v>
      </c>
      <c r="U52" s="183">
        <v>111.27259040803622</v>
      </c>
      <c r="V52" s="183">
        <v>126.68702219171482</v>
      </c>
      <c r="W52" s="183">
        <v>142.99308495983422</v>
      </c>
      <c r="X52" s="183">
        <v>164.11290649026557</v>
      </c>
      <c r="Y52" s="183">
        <v>192.40276245227707</v>
      </c>
      <c r="Z52" s="183" cm="1">
        <f t="array" ref="Z52:AG52">TRANSPOSE([56]Alfa!$F$127:$F$134)</f>
        <v>4.346854414105027E-3</v>
      </c>
      <c r="AA52" s="183">
        <v>0.379310485524815</v>
      </c>
      <c r="AB52" s="183">
        <v>8.7443766598314238E-3</v>
      </c>
      <c r="AC52" s="183">
        <v>0.26830306702227097</v>
      </c>
      <c r="AD52" s="183">
        <v>7.0331532460995065E-3</v>
      </c>
      <c r="AE52" s="183">
        <v>0.5112721187872068</v>
      </c>
      <c r="AF52" s="183">
        <v>1.8562752275829299E-2</v>
      </c>
      <c r="AG52" s="183">
        <v>0.75175921135002544</v>
      </c>
      <c r="AH52" s="35" cm="1">
        <f t="array" ref="AH52:AO52">TRANSPOSE('[56]Silumos kiekio nustat.'!$F$25:$F$32)</f>
        <v>274.80308595829291</v>
      </c>
      <c r="AI52" s="35">
        <v>274.98058877942191</v>
      </c>
      <c r="AJ52" s="35">
        <v>283.60139581259108</v>
      </c>
      <c r="AK52" s="35">
        <v>300.45997151624846</v>
      </c>
      <c r="AL52" s="35">
        <v>325.33999137859843</v>
      </c>
      <c r="AM52" s="35">
        <v>358.00543448903608</v>
      </c>
      <c r="AN52" s="35">
        <v>398.196081924265</v>
      </c>
      <c r="AO52" s="35">
        <v>445.62881502725446</v>
      </c>
      <c r="AP52" s="313">
        <f t="shared" si="5"/>
        <v>0.18970049738378908</v>
      </c>
      <c r="AQ52" s="35">
        <f t="shared" si="6"/>
        <v>63.099492283090491</v>
      </c>
      <c r="AR52" s="183" cm="1">
        <f t="array" ref="AR52:AY52">TRANSPOSE([56]Alfa!$E$127:$E$134)</f>
        <v>0.15019523994458089</v>
      </c>
      <c r="AS52" s="183">
        <v>0.16309218725887442</v>
      </c>
      <c r="AT52" s="183">
        <v>0.16016934525008344</v>
      </c>
      <c r="AU52" s="183">
        <v>0.12533025751302793</v>
      </c>
      <c r="AV52" s="183">
        <v>0.14429010349390087</v>
      </c>
      <c r="AW52" s="183">
        <v>7.694097295187366E-2</v>
      </c>
      <c r="AX52" s="183">
        <v>0.13328728682076443</v>
      </c>
      <c r="AY52" s="183">
        <v>0.14702116912052729</v>
      </c>
      <c r="AZ52" s="183">
        <f t="shared" si="32"/>
        <v>199.09502262443439</v>
      </c>
      <c r="BA52" s="183">
        <f>'Su K. oro stendu'!P97</f>
        <v>64.492000000000004</v>
      </c>
      <c r="BB52" s="183">
        <f t="shared" si="21"/>
        <v>199.0893665158371</v>
      </c>
      <c r="BC52" s="143">
        <v>64.492000000000004</v>
      </c>
      <c r="BD52" s="183">
        <f t="shared" si="22"/>
        <v>198.59728506787332</v>
      </c>
      <c r="BE52" s="143">
        <v>64.45</v>
      </c>
      <c r="BF52" s="183">
        <f t="shared" si="26"/>
        <v>197.05882352941177</v>
      </c>
      <c r="BG52" s="143">
        <v>64.317999999999998</v>
      </c>
      <c r="BH52" s="183">
        <f t="shared" si="27"/>
        <v>195.67420814479638</v>
      </c>
      <c r="BI52" s="143">
        <v>64.198999999999998</v>
      </c>
      <c r="BJ52" s="183">
        <f t="shared" si="28"/>
        <v>195.63800904977376</v>
      </c>
      <c r="BK52" s="143">
        <v>64.195999999999998</v>
      </c>
      <c r="BL52" s="183">
        <f t="shared" si="29"/>
        <v>193.01357466063348</v>
      </c>
      <c r="BM52" s="143">
        <v>63.966999999999999</v>
      </c>
      <c r="BN52" s="183">
        <f t="shared" si="30"/>
        <v>192.91855203619909</v>
      </c>
      <c r="BO52" s="143">
        <v>63.959000000000003</v>
      </c>
      <c r="BP52" s="183">
        <f t="shared" si="31"/>
        <v>189.08144796380091</v>
      </c>
      <c r="BQ52" s="143">
        <v>63.618000000000002</v>
      </c>
      <c r="BR52" s="183" cm="1">
        <f t="array" ref="BR52:BY52">TRANSPOSE('[56]Keithley Matavimai'!$W$6:$W$13)</f>
        <v>54.012846498755096</v>
      </c>
      <c r="BS52" s="183">
        <v>50.984820479465753</v>
      </c>
      <c r="BT52" s="183">
        <v>49.008978395595527</v>
      </c>
      <c r="BU52" s="183">
        <v>44.640874494226004</v>
      </c>
      <c r="BV52" s="183">
        <v>43.166991136886026</v>
      </c>
      <c r="BW52" s="183">
        <v>41.088692351932607</v>
      </c>
      <c r="BX52" s="183">
        <v>36.763419706050414</v>
      </c>
      <c r="BY52" s="183">
        <v>34.703384988687482</v>
      </c>
      <c r="BZ52" s="183" cm="1">
        <f t="array" ref="BZ52:CH52">TRANSPOSE('[56]Keithley Matavimai'!$V$5:$V$13)</f>
        <v>143.81508569631009</v>
      </c>
      <c r="CA52" s="183">
        <v>137.90238162996116</v>
      </c>
      <c r="CB52" s="183">
        <v>131.99298998253923</v>
      </c>
      <c r="CC52" s="183">
        <v>125.56258807257113</v>
      </c>
      <c r="CD52" s="183">
        <v>120.8659625034929</v>
      </c>
      <c r="CE52" s="183">
        <v>114.97851943513471</v>
      </c>
      <c r="CF52" s="183">
        <v>112.49941712369946</v>
      </c>
      <c r="CG52" s="183">
        <v>106.95424638573066</v>
      </c>
      <c r="CH52" s="183">
        <v>101.66208186193315</v>
      </c>
      <c r="CI52" s="183" cm="1">
        <f t="array" ref="CI52:CQ52">TRANSPOSE('[56]Silumos kiekio nustat.'!$B$24:$B$32)</f>
        <v>40.858528735032671</v>
      </c>
      <c r="CJ52" s="183">
        <v>37.63153022433157</v>
      </c>
      <c r="CK52" s="183">
        <v>34.382767326148247</v>
      </c>
      <c r="CL52" s="183">
        <v>31.011640320588175</v>
      </c>
      <c r="CM52" s="183">
        <v>27.417549487756808</v>
      </c>
      <c r="CN52" s="183">
        <v>23.499895107759617</v>
      </c>
      <c r="CO52" s="183">
        <v>19.158077460702057</v>
      </c>
      <c r="CP52" s="183">
        <v>14.291496826689588</v>
      </c>
      <c r="CQ52" s="183">
        <v>8.7995534858276727</v>
      </c>
      <c r="CR52" s="183">
        <f>'Su K. oro stendu'!P97</f>
        <v>64.492000000000004</v>
      </c>
      <c r="CS52" s="183"/>
      <c r="CT52" s="183"/>
      <c r="CU52" s="183">
        <f>[56]Alfa!$F$15</f>
        <v>910</v>
      </c>
      <c r="CV52" s="177">
        <f>'Su K. oro stendu'!J97</f>
        <v>1</v>
      </c>
      <c r="CW52" s="183">
        <f>'Su K. oro stendu'!D97</f>
        <v>5000</v>
      </c>
      <c r="CX52" s="183">
        <f>'Su K. oro stendu'!G97</f>
        <v>20</v>
      </c>
      <c r="CY52" s="183">
        <f>[56]Alfa!$F$16</f>
        <v>0.14591208791208793</v>
      </c>
      <c r="CZ52" s="183">
        <f>'Su K. oro stendu'!H97</f>
        <v>19.8</v>
      </c>
      <c r="DA52" s="183">
        <f>'Su K. oro stendu'!C97</f>
        <v>221</v>
      </c>
      <c r="DB52" s="183">
        <f>'Su K. oro stendu'!E97</f>
        <v>44</v>
      </c>
      <c r="DC52" s="183">
        <f>'Su K. oro stendu'!I97</f>
        <v>225</v>
      </c>
      <c r="DD52" s="183">
        <f>'Su K. oro stendu'!K97</f>
        <v>8</v>
      </c>
      <c r="DE52" s="183">
        <f>'Su K. oro stendu'!L97</f>
        <v>32.700000000000003</v>
      </c>
      <c r="DF52" s="183">
        <f>'Su K. oro stendu'!F97</f>
        <v>145</v>
      </c>
      <c r="DG52" s="253">
        <f>[56]Alfa!$D$29</f>
        <v>2807.5378937268833</v>
      </c>
      <c r="DH52" s="253">
        <f>[56]Alfa!$D$26</f>
        <v>8154.2665588364807</v>
      </c>
      <c r="DI52" s="253">
        <f>[56]Alfa!$D$27</f>
        <v>5847.9960578405507</v>
      </c>
      <c r="DJ52" s="253">
        <f t="shared" si="14"/>
        <v>8655.533951567435</v>
      </c>
      <c r="DK52" s="253">
        <f t="shared" si="20"/>
        <v>8404.9002552019574</v>
      </c>
      <c r="DL52" s="253">
        <f t="shared" si="16"/>
        <v>6.1473020180797144E-2</v>
      </c>
      <c r="DM52" s="183">
        <f>New!AC52</f>
        <v>3.9910918516455531E-5</v>
      </c>
      <c r="DN52" s="183">
        <f t="shared" si="23"/>
        <v>4.2388323940559999E-5</v>
      </c>
      <c r="DO52" s="183">
        <f t="shared" si="17"/>
        <v>0.94155453214950258</v>
      </c>
      <c r="DP52" s="183">
        <f t="shared" si="24"/>
        <v>127.00784889604741</v>
      </c>
      <c r="DQ52" s="297">
        <f>DH52/((DA52/3600)*New!BV52*(Sheet3!BZ52-Sheet3!CP52)*1000)</f>
        <v>0.85445813660127268</v>
      </c>
      <c r="DR52" s="166">
        <f>(DB52*0.018)/(0.011*New!IV52*3600)</f>
        <v>1442.7751962080001</v>
      </c>
      <c r="DS52" s="166">
        <f>(New!IV52*New!CE52*1000)/New!AU52</f>
        <v>0.64719895598215416</v>
      </c>
      <c r="DT52" s="166">
        <f>IF(DR52&gt;2300,0.023*((DR52^(4/5)*DS52^(1/3))/(1+12.7*(DS52^(2/3)-1)))*(New!IV52/DV52)^0.14, 0.943*(DR52*DS52*New!IV52/Sheet3!DV52)^0.4)</f>
        <v>16.352822837895804</v>
      </c>
      <c r="DU52" s="166">
        <f t="shared" si="25"/>
        <v>-1017.1013620939545</v>
      </c>
      <c r="DV52" s="166">
        <f>_xlfn.FORECAST.LINEAR(AVERAGE(_xlfn.ANCHORARRAY(BR52)),Sheet2!$AK$2:$AK$69,Sheet2!$AJ$2:$AJ$69)</f>
        <v>1.0336302389923923E-5</v>
      </c>
    </row>
    <row r="53" spans="1:126" x14ac:dyDescent="0.3">
      <c r="A53" s="184">
        <f>'Su K. oro stendu'!B98</f>
        <v>44939</v>
      </c>
      <c r="B53" s="183" cm="1">
        <f t="array" ref="B53:I53">'[57]Kondensacijos efektyvumas'!$B$4:$I$4</f>
        <v>0</v>
      </c>
      <c r="C53" s="183">
        <v>247</v>
      </c>
      <c r="D53" s="183">
        <v>0</v>
      </c>
      <c r="E53" s="183">
        <v>444</v>
      </c>
      <c r="F53" s="183">
        <v>0</v>
      </c>
      <c r="G53" s="183">
        <v>546</v>
      </c>
      <c r="H53" s="183">
        <v>1</v>
      </c>
      <c r="I53" s="183">
        <v>589</v>
      </c>
      <c r="J53" s="183" cm="1">
        <f t="array" ref="J53:Q53">TRANSPOSE('[57]Nu kitimas'!$G$4:$G$11)</f>
        <v>56.952177130034556</v>
      </c>
      <c r="K53" s="183">
        <v>59.503033617831377</v>
      </c>
      <c r="L53" s="183">
        <v>65.107990051938359</v>
      </c>
      <c r="M53" s="183">
        <v>71.931050869146546</v>
      </c>
      <c r="N53" s="183">
        <v>82.011730289079679</v>
      </c>
      <c r="O53" s="183">
        <v>95.969116307153911</v>
      </c>
      <c r="P53" s="183">
        <v>114.94601622687729</v>
      </c>
      <c r="Q53" s="183">
        <v>138.4791220782289</v>
      </c>
      <c r="R53" s="183" cm="1">
        <f t="array" ref="R53:Y53">TRANSPOSE([57]Alfa!$G$18:$G$25)</f>
        <v>116.13339954121285</v>
      </c>
      <c r="S53" s="183">
        <v>118.78004620579441</v>
      </c>
      <c r="T53" s="183">
        <v>126.45230878929259</v>
      </c>
      <c r="U53" s="183">
        <v>138.00617010590557</v>
      </c>
      <c r="V53" s="183">
        <v>154.02184286115525</v>
      </c>
      <c r="W53" s="183">
        <v>177.35791324295687</v>
      </c>
      <c r="X53" s="183">
        <v>207.85470150461595</v>
      </c>
      <c r="Y53" s="183">
        <v>246.3329795782011</v>
      </c>
      <c r="Z53" s="183" cm="1">
        <f t="array" ref="Z53:AG53">TRANSPOSE([57]Alfa!$F$127:$F$134)</f>
        <v>0</v>
      </c>
      <c r="AA53" s="183">
        <v>0.21755914942095655</v>
      </c>
      <c r="AB53" s="183">
        <v>0</v>
      </c>
      <c r="AC53" s="183">
        <v>0.39287432485456386</v>
      </c>
      <c r="AD53" s="183">
        <v>0</v>
      </c>
      <c r="AE53" s="183">
        <v>0.48513162552678507</v>
      </c>
      <c r="AF53" s="183">
        <v>8.9039916719108481E-4</v>
      </c>
      <c r="AG53" s="183">
        <v>0.52562804805988084</v>
      </c>
      <c r="AH53" s="35" cm="1">
        <f t="array" ref="AH53:AO53">TRANSPOSE('[57]Silumos kiekio nustat.'!$F$25:$F$32)</f>
        <v>344.61880058573837</v>
      </c>
      <c r="AI53" s="35">
        <v>334.92095772692551</v>
      </c>
      <c r="AJ53" s="35">
        <v>337.67273420455757</v>
      </c>
      <c r="AK53" s="35">
        <v>352.54724758607694</v>
      </c>
      <c r="AL53" s="35">
        <v>379.21499192547611</v>
      </c>
      <c r="AM53" s="35">
        <v>417.32284437935749</v>
      </c>
      <c r="AN53" s="35">
        <v>466.48097210389983</v>
      </c>
      <c r="AO53" s="35">
        <v>526.26024874546613</v>
      </c>
      <c r="AP53" s="313">
        <f t="shared" si="5"/>
        <v>0.17732737518096564</v>
      </c>
      <c r="AQ53" s="35">
        <f t="shared" si="6"/>
        <v>70.023007251563357</v>
      </c>
      <c r="AR53" s="183" cm="1">
        <f t="array" ref="AR53:AY53">TRANSPOSE([57]Alfa!$E$127:$E$134)</f>
        <v>0.32578517329046897</v>
      </c>
      <c r="AS53" s="183">
        <v>0.25542340992461543</v>
      </c>
      <c r="AT53" s="183">
        <v>0.31481544605858741</v>
      </c>
      <c r="AU53" s="183">
        <v>0.15652560121119016</v>
      </c>
      <c r="AV53" s="183">
        <v>0.23971495014166275</v>
      </c>
      <c r="AW53" s="183">
        <v>0.20123738601850091</v>
      </c>
      <c r="AX53" s="183">
        <v>0.23747416709382194</v>
      </c>
      <c r="AY53" s="183">
        <v>0.20273956495860135</v>
      </c>
      <c r="AZ53" s="183">
        <f t="shared" si="32"/>
        <v>200</v>
      </c>
      <c r="BA53" s="183">
        <f>'Su K. oro stendu'!P98</f>
        <v>64.569000000000003</v>
      </c>
      <c r="BB53" s="183">
        <f t="shared" si="21"/>
        <v>200</v>
      </c>
      <c r="BC53" s="143">
        <v>64.569000000000003</v>
      </c>
      <c r="BD53" s="183">
        <f t="shared" si="22"/>
        <v>199.75299999999999</v>
      </c>
      <c r="BE53" s="143">
        <v>64.548000000000002</v>
      </c>
      <c r="BF53" s="183">
        <f t="shared" si="26"/>
        <v>199.012</v>
      </c>
      <c r="BG53" s="143">
        <v>64.484999999999999</v>
      </c>
      <c r="BH53" s="183">
        <f t="shared" si="27"/>
        <v>197.23599999999999</v>
      </c>
      <c r="BI53" s="143">
        <v>64.334000000000003</v>
      </c>
      <c r="BJ53" s="183">
        <f t="shared" si="28"/>
        <v>197.23599999999999</v>
      </c>
      <c r="BK53" s="143">
        <v>64.334000000000003</v>
      </c>
      <c r="BL53" s="183">
        <f t="shared" si="29"/>
        <v>195.05199999999999</v>
      </c>
      <c r="BM53" s="143">
        <v>64.144999999999996</v>
      </c>
      <c r="BN53" s="183">
        <f t="shared" si="30"/>
        <v>195.048</v>
      </c>
      <c r="BO53" s="143">
        <v>64.144999999999996</v>
      </c>
      <c r="BP53" s="183">
        <f t="shared" si="31"/>
        <v>192.69200000000001</v>
      </c>
      <c r="BQ53" s="143">
        <v>63.939</v>
      </c>
      <c r="BR53" s="183" cm="1">
        <f t="array" ref="BR53:BY53">TRANSPOSE('[57]Keithley Matavimai'!$W$6:$W$13)</f>
        <v>54.772153146486893</v>
      </c>
      <c r="BS53" s="183">
        <v>51.369747383314497</v>
      </c>
      <c r="BT53" s="183">
        <v>51.205349413978375</v>
      </c>
      <c r="BU53" s="183">
        <v>46.407279576463019</v>
      </c>
      <c r="BV53" s="183">
        <v>45.475754354013624</v>
      </c>
      <c r="BW53" s="183">
        <v>43.645050014290895</v>
      </c>
      <c r="BX53" s="183">
        <v>41.430649813994016</v>
      </c>
      <c r="BY53" s="183">
        <v>38.921194050440704</v>
      </c>
      <c r="BZ53" s="183" cm="1">
        <f t="array" ref="BZ53:CH53">TRANSPOSE('[57]Keithley Matavimai'!$V$5:$V$13)</f>
        <v>204.52302540323319</v>
      </c>
      <c r="CA53" s="183">
        <v>193.29887468356415</v>
      </c>
      <c r="CB53" s="183">
        <v>184.93209542961094</v>
      </c>
      <c r="CC53" s="183">
        <v>174.08876125842019</v>
      </c>
      <c r="CD53" s="183">
        <v>169.34583493698628</v>
      </c>
      <c r="CE53" s="183">
        <v>160.96224145185749</v>
      </c>
      <c r="CF53" s="183">
        <v>154.63341723812067</v>
      </c>
      <c r="CG53" s="183">
        <v>146.14383599656955</v>
      </c>
      <c r="CH53" s="183">
        <v>139.58884709672836</v>
      </c>
      <c r="CI53" s="183" cm="1">
        <f t="array" ref="CI53:CQ53">TRANSPOSE('[57]Silumos kiekio nustat.'!$B$24:$B$32)</f>
        <v>42.928053270550116</v>
      </c>
      <c r="CJ53" s="183">
        <v>39.284183109581804</v>
      </c>
      <c r="CK53" s="183">
        <v>35.718611032137929</v>
      </c>
      <c r="CL53" s="183">
        <v>32.099674410384054</v>
      </c>
      <c r="CM53" s="183">
        <v>28.295710616485717</v>
      </c>
      <c r="CN53" s="183">
        <v>24.175057022608481</v>
      </c>
      <c r="CO53" s="183">
        <v>19.606051000917894</v>
      </c>
      <c r="CP53" s="183">
        <v>14.457029923579498</v>
      </c>
      <c r="CQ53" s="183">
        <v>8.5963311627588581</v>
      </c>
      <c r="CR53" s="183">
        <f>'Su K. oro stendu'!P98</f>
        <v>64.569000000000003</v>
      </c>
      <c r="CS53" s="183">
        <f>'Su K. oro stendu'!I98</f>
        <v>255</v>
      </c>
      <c r="CT53" s="183"/>
      <c r="CU53" s="183">
        <f>[57]Alfa!$F$15</f>
        <v>900</v>
      </c>
      <c r="CV53" s="177">
        <f>'Su K. oro stendu'!J98</f>
        <v>1</v>
      </c>
      <c r="CW53" s="183">
        <f>'Su K. oro stendu'!D98</f>
        <v>5000</v>
      </c>
      <c r="CX53" s="183">
        <f>'Su K. oro stendu'!G98</f>
        <v>20</v>
      </c>
      <c r="CY53" s="183">
        <f>[57]Alfa!$F$16</f>
        <v>0.12180000000000001</v>
      </c>
      <c r="CZ53" s="183">
        <f>'Su K. oro stendu'!H98</f>
        <v>14.6</v>
      </c>
      <c r="DA53" s="183">
        <f>'Su K. oro stendu'!C98</f>
        <v>250</v>
      </c>
      <c r="DB53" s="183">
        <f>'Su K. oro stendu'!E98</f>
        <v>50</v>
      </c>
      <c r="DC53" s="183">
        <f>'Su K. oro stendu'!I98</f>
        <v>255</v>
      </c>
      <c r="DD53" s="183">
        <f>'Su K. oro stendu'!K98</f>
        <v>8</v>
      </c>
      <c r="DE53" s="183">
        <f>'Su K. oro stendu'!L98</f>
        <v>34.799999999999997</v>
      </c>
      <c r="DF53" s="183">
        <f>'Su K. oro stendu'!F98</f>
        <v>205</v>
      </c>
      <c r="DG53" s="253">
        <f>[57]Alfa!$D$29</f>
        <v>5371.3711562581711</v>
      </c>
      <c r="DH53" s="253">
        <f>[57]Alfa!$D$26</f>
        <v>9637.6829527845202</v>
      </c>
      <c r="DI53" s="253">
        <f>[57]Alfa!$D$27</f>
        <v>4866.2506410881324</v>
      </c>
      <c r="DJ53" s="253">
        <f t="shared" si="14"/>
        <v>10237.621797346303</v>
      </c>
      <c r="DK53" s="253">
        <f t="shared" si="20"/>
        <v>9937.6523750654123</v>
      </c>
      <c r="DL53" s="253">
        <f t="shared" si="16"/>
        <v>6.2249282063013701E-2</v>
      </c>
      <c r="DM53" s="183">
        <f>New!AC53</f>
        <v>5.3609638726714553E-5</v>
      </c>
      <c r="DN53" s="183">
        <f t="shared" si="23"/>
        <v>5.0323119098159997E-5</v>
      </c>
      <c r="DO53" s="183">
        <f t="shared" si="17"/>
        <v>1.0653083450996725</v>
      </c>
      <c r="DP53" s="183">
        <f t="shared" si="24"/>
        <v>160.61742022864183</v>
      </c>
      <c r="DQ53" s="297">
        <f>DH53/((DA53/3600)*New!BV53*(Sheet3!BZ53-Sheet3!CP53)*1000)</f>
        <v>0.60030430808111435</v>
      </c>
      <c r="DR53" s="166">
        <f>(DB53*0.018)/(0.011*New!IV53*3600)</f>
        <v>1423.7547968562028</v>
      </c>
      <c r="DS53" s="166">
        <f>(New!IV53*New!CE53*1000)/New!AU53</f>
        <v>0.55193626425495013</v>
      </c>
      <c r="DT53" s="166">
        <f>IF(DR53&gt;2300,0.023*((DR53^(4/5)*DS53^(1/3))/(1+12.7*(DS53^(2/3)-1)))*(New!IV53/DV53)^0.14, 0.943*(DR53*DS53*New!IV53/Sheet3!DV53)^0.4)</f>
        <v>16.097505710312202</v>
      </c>
      <c r="DU53" s="166">
        <f t="shared" si="25"/>
        <v>-906.06930710710856</v>
      </c>
      <c r="DV53" s="166">
        <f>_xlfn.FORECAST.LINEAR(AVERAGE(_xlfn.ANCHORARRAY(BR53)),Sheet2!$AK$2:$AK$69,Sheet2!$AJ$2:$AJ$69)</f>
        <v>1.0418831527789552E-5</v>
      </c>
    </row>
    <row r="54" spans="1:126" ht="15" thickBot="1" x14ac:dyDescent="0.35">
      <c r="A54" s="184">
        <f>'Su K. oro stendu'!B99</f>
        <v>44942</v>
      </c>
      <c r="B54" s="183" cm="1">
        <f t="array" ref="B54:I54">'[58]Kondensacijos efektyvumas'!$B$4:$I$4</f>
        <v>22</v>
      </c>
      <c r="C54" s="183">
        <v>390</v>
      </c>
      <c r="D54" s="183">
        <v>28</v>
      </c>
      <c r="E54" s="183">
        <v>304</v>
      </c>
      <c r="F54" s="183">
        <v>21</v>
      </c>
      <c r="G54" s="183">
        <v>446</v>
      </c>
      <c r="H54" s="183">
        <v>60</v>
      </c>
      <c r="I54" s="183">
        <v>687</v>
      </c>
      <c r="J54" s="183" cm="1">
        <f t="array" ref="J54:Q54">TRANSPOSE('[58]Nu kitimas'!$O$4:$O$11)</f>
        <v>144.97533341184572</v>
      </c>
      <c r="K54" s="183">
        <v>206.2209998113504</v>
      </c>
      <c r="L54" s="183">
        <v>254.78038343094411</v>
      </c>
      <c r="M54" s="183">
        <v>280.40485780553826</v>
      </c>
      <c r="N54" s="183">
        <v>282.24818821476634</v>
      </c>
      <c r="O54" s="183">
        <v>272.86673846784032</v>
      </c>
      <c r="P54" s="183">
        <v>265.19575577735134</v>
      </c>
      <c r="Q54" s="183">
        <v>281.23370341284192</v>
      </c>
      <c r="R54" s="183" cm="1">
        <f t="array" ref="R54:Y54">TRANSPOSE([59]Alfa!$G$18:$G$25)</f>
        <v>125.61634796190144</v>
      </c>
      <c r="S54" s="183">
        <v>143.45365330153061</v>
      </c>
      <c r="T54" s="183">
        <v>160.14436308911073</v>
      </c>
      <c r="U54" s="183">
        <v>173.90929751295349</v>
      </c>
      <c r="V54" s="183">
        <v>186.3596169944735</v>
      </c>
      <c r="W54" s="183">
        <v>200.83176417362748</v>
      </c>
      <c r="X54" s="183">
        <v>218.0557116878729</v>
      </c>
      <c r="Y54" s="183">
        <v>242.50203406198702</v>
      </c>
      <c r="Z54" s="183" cm="1">
        <f t="array" ref="Z54:AG54">TRANSPOSE([58]Alfa!$F$127:$F$134)</f>
        <v>1.9102485977659438E-2</v>
      </c>
      <c r="AA54" s="183">
        <v>0.33906129331387652</v>
      </c>
      <c r="AB54" s="183">
        <v>2.4401445876294687E-2</v>
      </c>
      <c r="AC54" s="183">
        <v>0.26576652696741515</v>
      </c>
      <c r="AD54" s="183">
        <v>1.8423447118969837E-2</v>
      </c>
      <c r="AE54" s="183">
        <v>0.39264750121872399</v>
      </c>
      <c r="AF54" s="183">
        <v>5.2986944529993522E-2</v>
      </c>
      <c r="AG54" s="183">
        <v>0.60814090988056935</v>
      </c>
      <c r="AH54" s="35" cm="1">
        <f t="array" ref="AH54:AO54">TRANSPOSE('[58]Silumos kiekio nustat.'!$F$25:$F$32)</f>
        <v>126.04555425440083</v>
      </c>
      <c r="AI54" s="35">
        <v>168.69048407758547</v>
      </c>
      <c r="AJ54" s="35">
        <v>201.45451064312061</v>
      </c>
      <c r="AK54" s="35">
        <v>224.50693526447367</v>
      </c>
      <c r="AL54" s="35">
        <v>238.12063560917738</v>
      </c>
      <c r="AM54" s="35">
        <v>242.6230971644099</v>
      </c>
      <c r="AN54" s="35">
        <v>238.35172625776599</v>
      </c>
      <c r="AO54" s="35">
        <v>225.61641637528629</v>
      </c>
      <c r="AP54" s="313">
        <f t="shared" si="5"/>
        <v>0.1981784479838811</v>
      </c>
      <c r="AQ54" s="35">
        <f t="shared" si="6"/>
        <v>41.256030269064638</v>
      </c>
      <c r="AR54" s="183" cm="1">
        <f t="array" ref="AR54:AY54">TRANSPOSE([58]Alfa!$E$127:$E$134)</f>
        <v>3.5541228369162708E-2</v>
      </c>
      <c r="AS54" s="183">
        <v>4.4102520051433343E-2</v>
      </c>
      <c r="AT54" s="183">
        <v>4.1884237463595729E-2</v>
      </c>
      <c r="AU54" s="183">
        <v>3.295371159378363E-2</v>
      </c>
      <c r="AV54" s="183">
        <v>2.2734288658160046E-2</v>
      </c>
      <c r="AW54" s="183">
        <v>3.412949529514641E-2</v>
      </c>
      <c r="AX54" s="183">
        <v>3.8829723419764213E-2</v>
      </c>
      <c r="AY54" s="183">
        <v>5.3184663479462012E-2</v>
      </c>
      <c r="AZ54" s="183">
        <f t="shared" si="32"/>
        <v>193.27731092436974</v>
      </c>
      <c r="BA54" s="183">
        <f>'Su K. oro stendu'!P99</f>
        <v>63.991</v>
      </c>
      <c r="BB54" s="183">
        <f t="shared" si="21"/>
        <v>193.23109243697479</v>
      </c>
      <c r="BC54" s="143">
        <v>63.987000000000002</v>
      </c>
      <c r="BD54" s="183">
        <f t="shared" si="22"/>
        <v>192.41176470588235</v>
      </c>
      <c r="BE54" s="143">
        <v>63.914999999999999</v>
      </c>
      <c r="BF54" s="183">
        <f t="shared" si="26"/>
        <v>189.57983193277312</v>
      </c>
      <c r="BG54" s="143">
        <v>63.662999999999997</v>
      </c>
      <c r="BH54" s="183">
        <f t="shared" si="27"/>
        <v>187.0252100840336</v>
      </c>
      <c r="BI54" s="143">
        <v>63.433</v>
      </c>
      <c r="BJ54" s="183">
        <f t="shared" si="28"/>
        <v>186.84873949579833</v>
      </c>
      <c r="BK54" s="143">
        <v>63.415999999999997</v>
      </c>
      <c r="BL54" s="183">
        <f t="shared" si="29"/>
        <v>183.10084033613447</v>
      </c>
      <c r="BM54" s="143">
        <v>63.070999999999998</v>
      </c>
      <c r="BN54" s="183">
        <f t="shared" si="30"/>
        <v>182.59663865546219</v>
      </c>
      <c r="BO54" s="304">
        <v>63.024000000000001</v>
      </c>
      <c r="BP54" s="183">
        <f t="shared" si="31"/>
        <v>176.8235294117647</v>
      </c>
      <c r="BQ54" s="143">
        <v>62.475999999999999</v>
      </c>
      <c r="BR54" s="183" cm="1">
        <f t="array" ref="BR54:BY54">TRANSPOSE('[58]Keithley Matavimai'!$W$6:$W$13)</f>
        <v>54.893947593158657</v>
      </c>
      <c r="BS54" s="183">
        <v>54.891415860198641</v>
      </c>
      <c r="BT54" s="183">
        <v>51.083534263391414</v>
      </c>
      <c r="BU54" s="183">
        <v>48.63031061479294</v>
      </c>
      <c r="BV54" s="183">
        <v>44.869411245693016</v>
      </c>
      <c r="BW54" s="183">
        <v>41.502325637507745</v>
      </c>
      <c r="BX54" s="183">
        <v>38.915972901010853</v>
      </c>
      <c r="BY54" s="183">
        <v>35.780663769652563</v>
      </c>
      <c r="BZ54" s="183" cm="1">
        <f t="array" ref="BZ54:CH54">TRANSPOSE('[58]Keithley Matavimai'!$V$5:$V$13)</f>
        <v>84.368139768286923</v>
      </c>
      <c r="CA54" s="183">
        <v>81.70392755206943</v>
      </c>
      <c r="CB54" s="183">
        <v>78.916515466825174</v>
      </c>
      <c r="CC54" s="183">
        <v>75.699203027457713</v>
      </c>
      <c r="CD54" s="183">
        <v>73.563241266921295</v>
      </c>
      <c r="CE54" s="183">
        <v>71.789928847992925</v>
      </c>
      <c r="CF54" s="183">
        <v>69.697033871787724</v>
      </c>
      <c r="CG54" s="183">
        <v>66.610655056881171</v>
      </c>
      <c r="CH54" s="183">
        <v>63.121819428536661</v>
      </c>
      <c r="CI54" s="183" cm="1">
        <f t="array" ref="CI54:CQ54">TRANSPOSE('[58]Silumos kiekio nustat.'!$B$24:$B$32)</f>
        <v>46.352358225233615</v>
      </c>
      <c r="CJ54" s="183">
        <v>43.67457744489279</v>
      </c>
      <c r="CK54" s="183">
        <v>40.069018785557098</v>
      </c>
      <c r="CL54" s="183">
        <v>35.730580830936319</v>
      </c>
      <c r="CM54" s="183">
        <v>30.854162164740238</v>
      </c>
      <c r="CN54" s="183">
        <v>25.634661370678625</v>
      </c>
      <c r="CO54" s="183">
        <v>20.266977032461266</v>
      </c>
      <c r="CP54" s="183">
        <v>14.946007733797927</v>
      </c>
      <c r="CQ54" s="183">
        <v>9.8666520583983939</v>
      </c>
      <c r="CR54" s="183">
        <f>'Su K. oro stendu'!P99</f>
        <v>63.991</v>
      </c>
      <c r="CS54" s="183"/>
      <c r="CT54" s="183"/>
      <c r="CU54" s="183">
        <f>[58]Alfa!$F$15</f>
        <v>910</v>
      </c>
      <c r="CV54" s="177">
        <f>'Su K. oro stendu'!J99</f>
        <v>1</v>
      </c>
      <c r="CW54" s="183">
        <f>'Su K. oro stendu'!D99</f>
        <v>3000</v>
      </c>
      <c r="CX54" s="183">
        <f>'Su K. oro stendu'!G99</f>
        <v>20</v>
      </c>
      <c r="CY54" s="183">
        <f>[58]Alfa!$F$16</f>
        <v>0.12909890109890113</v>
      </c>
      <c r="CZ54" s="183">
        <f>'Su K. oro stendu'!H99</f>
        <v>33.6</v>
      </c>
      <c r="DA54" s="183">
        <f>'Su K. oro stendu'!C99</f>
        <v>119</v>
      </c>
      <c r="DB54" s="183">
        <f>'Su K. oro stendu'!E99</f>
        <v>23</v>
      </c>
      <c r="DC54" s="183">
        <f>'Su K. oro stendu'!I99</f>
        <v>120</v>
      </c>
      <c r="DD54" s="183">
        <f>'Su K. oro stendu'!K99</f>
        <v>9</v>
      </c>
      <c r="DE54" s="183">
        <f>'Su K. oro stendu'!L99</f>
        <v>37.6</v>
      </c>
      <c r="DF54" s="183">
        <f>'Su K. oro stendu'!F99</f>
        <v>85</v>
      </c>
      <c r="DG54" s="253">
        <f>[58]Alfa!$D$29</f>
        <v>826.92324293383729</v>
      </c>
      <c r="DH54" s="253">
        <f>[58]Alfa!$D$26</f>
        <v>5112.3819952986942</v>
      </c>
      <c r="DI54" s="253">
        <f>[58]Alfa!$D$27</f>
        <v>5161.5916646505075</v>
      </c>
      <c r="DJ54" s="253">
        <f t="shared" si="14"/>
        <v>5988.5149075843447</v>
      </c>
      <c r="DK54" s="253">
        <f t="shared" si="20"/>
        <v>5550.4484514415199</v>
      </c>
      <c r="DL54" s="253">
        <f t="shared" si="16"/>
        <v>0.17137469639227573</v>
      </c>
      <c r="DM54" s="183">
        <f>New!AC54</f>
        <v>2.80148839669975E-5</v>
      </c>
      <c r="DN54" s="183">
        <f t="shared" si="23"/>
        <v>3.5049529086959997E-5</v>
      </c>
      <c r="DO54" s="183">
        <f t="shared" si="17"/>
        <v>0.79929416162741829</v>
      </c>
      <c r="DP54" s="183">
        <f t="shared" si="24"/>
        <v>181.35909859793213</v>
      </c>
      <c r="DQ54" s="297">
        <f>DH54/((DA54/3600)*New!BV54*(Sheet3!BZ54-Sheet3!CP54)*1000)</f>
        <v>1.8866739193653637</v>
      </c>
      <c r="DR54" s="166">
        <f>(DB54*0.018)/(0.011*New!IV54*3600)</f>
        <v>888.88351541504505</v>
      </c>
      <c r="DS54" s="166">
        <f>(New!IV54*New!CE54*1000)/New!AU54</f>
        <v>0.86323913019559584</v>
      </c>
      <c r="DT54" s="166">
        <f>IF(DR54&gt;2300,0.023*((DR54^(4/5)*DS54^(1/3))/(1+12.7*(DS54^(2/3)-1)))*(New!IV54/DV54)^0.14, 0.943*(DR54*DS54*New!IV54/Sheet3!DV54)^0.4)</f>
        <v>14.11733694773938</v>
      </c>
      <c r="DU54" s="166">
        <f t="shared" si="25"/>
        <v>-1316.4165356801848</v>
      </c>
      <c r="DV54" s="166">
        <f>_xlfn.FORECAST.LINEAR(AVERAGE(_xlfn.ANCHORARRAY(BR54)),Sheet2!$AK$2:$AK$69,Sheet2!$AJ$2:$AJ$69)</f>
        <v>1.0407191702858351E-5</v>
      </c>
    </row>
    <row r="55" spans="1:126" ht="15" thickBot="1" x14ac:dyDescent="0.35">
      <c r="A55" s="305" t="str">
        <f>'Su K. oro stendu'!B100</f>
        <v>2023.01.17-1</v>
      </c>
      <c r="B55" s="183" cm="1">
        <f t="array" ref="B55:I55">'[60]Kondensacijos efektyvumas'!$B$4:$I$4</f>
        <v>11</v>
      </c>
      <c r="C55" s="183">
        <v>247</v>
      </c>
      <c r="D55" s="183">
        <v>17</v>
      </c>
      <c r="E55" s="183">
        <v>168</v>
      </c>
      <c r="F55" s="183">
        <v>15</v>
      </c>
      <c r="G55" s="183">
        <v>536</v>
      </c>
      <c r="H55" s="183">
        <v>71</v>
      </c>
      <c r="I55" s="183">
        <v>653</v>
      </c>
      <c r="J55" s="183" cm="1">
        <f t="array" ref="J55:Q55">TRANSPOSE([60]Alfa!$AM$4:$AM$11)</f>
        <v>72.400492607826436</v>
      </c>
      <c r="K55" s="183">
        <v>82.408085165273874</v>
      </c>
      <c r="L55" s="183">
        <v>93.833713349121638</v>
      </c>
      <c r="M55" s="183">
        <v>103.71518089097876</v>
      </c>
      <c r="N55" s="183">
        <v>114.45995067110096</v>
      </c>
      <c r="O55" s="183">
        <v>125.84093311081379</v>
      </c>
      <c r="P55" s="183">
        <v>139.41202479120903</v>
      </c>
      <c r="Q55" s="183">
        <v>168.03175130326127</v>
      </c>
      <c r="R55" s="183" cm="1">
        <f t="array" ref="R55:Y55">TRANSPOSE([60]Alfa!$G$18:$G$25)</f>
        <v>127.16863480435443</v>
      </c>
      <c r="S55" s="183">
        <v>142.44466318425239</v>
      </c>
      <c r="T55" s="183">
        <v>158.92921414607159</v>
      </c>
      <c r="U55" s="183">
        <v>174.01254040589933</v>
      </c>
      <c r="V55" s="183">
        <v>188.74234460297623</v>
      </c>
      <c r="W55" s="183">
        <v>205.6139711358104</v>
      </c>
      <c r="X55" s="183">
        <v>224.13978816483484</v>
      </c>
      <c r="Y55" s="183">
        <v>267.51960999166897</v>
      </c>
      <c r="Z55" s="183" cm="1">
        <f t="array" ref="Z55:AG55">TRANSPOSE([60]Alfa!$F$127:$F$134)</f>
        <v>9.606104459577958E-3</v>
      </c>
      <c r="AA55" s="183">
        <v>0.21618020440242014</v>
      </c>
      <c r="AB55" s="183">
        <v>1.4920489027484975E-2</v>
      </c>
      <c r="AC55" s="183">
        <v>0.14792010455506002</v>
      </c>
      <c r="AD55" s="183">
        <v>1.3251995931146376E-2</v>
      </c>
      <c r="AE55" s="183">
        <v>0.47515738898668974</v>
      </c>
      <c r="AF55" s="183">
        <v>6.3146495207382677E-2</v>
      </c>
      <c r="AG55" s="183">
        <v>0.582485960521825</v>
      </c>
      <c r="AH55" s="35" cm="1">
        <f t="array" ref="AH55:AO55">TRANSPOSE('[60]Silumos kiekio nustat.'!$F$25:$F$32)</f>
        <v>208.17187756139333</v>
      </c>
      <c r="AI55" s="35">
        <v>218.84799333590169</v>
      </c>
      <c r="AJ55" s="35">
        <v>230.69070213908182</v>
      </c>
      <c r="AK55" s="35">
        <v>243.6528616141976</v>
      </c>
      <c r="AL55" s="35">
        <v>257.68811353905511</v>
      </c>
      <c r="AM55" s="35">
        <v>272.75240393601973</v>
      </c>
      <c r="AN55" s="35">
        <v>288.80599560792797</v>
      </c>
      <c r="AO55" s="35">
        <v>305.81603452043407</v>
      </c>
      <c r="AP55" s="313">
        <f t="shared" si="5"/>
        <v>0.13548123032015147</v>
      </c>
      <c r="AQ55" s="35">
        <f t="shared" si="6"/>
        <v>34.317835653561858</v>
      </c>
      <c r="AR55" s="183" cm="1">
        <f t="array" ref="AR55:AY55">TRANSPOSE([60]Alfa!$E$127:$E$134)</f>
        <v>0.11362667587625558</v>
      </c>
      <c r="AS55" s="183">
        <v>9.4918955154644283E-2</v>
      </c>
      <c r="AT55" s="183">
        <v>0.10584110905898636</v>
      </c>
      <c r="AU55" s="183">
        <v>5.6111417807041493E-2</v>
      </c>
      <c r="AV55" s="183">
        <v>8.8342252358845408E-2</v>
      </c>
      <c r="AW55" s="183">
        <v>7.106803588942999E-2</v>
      </c>
      <c r="AX55" s="183">
        <v>8.2546074024700419E-2</v>
      </c>
      <c r="AY55" s="183">
        <v>7.891653686146613E-2</v>
      </c>
      <c r="AZ55" s="183">
        <f t="shared" si="32"/>
        <v>219.51219512195121</v>
      </c>
      <c r="BA55" s="183">
        <f>'Su K. oro stendu'!P100</f>
        <v>64.694000000000003</v>
      </c>
      <c r="BB55" s="183">
        <f t="shared" si="21"/>
        <v>219.48983739837399</v>
      </c>
      <c r="BC55" s="143">
        <v>66.126999999999995</v>
      </c>
      <c r="BD55" s="183">
        <f t="shared" si="22"/>
        <v>218.98780487804879</v>
      </c>
      <c r="BE55" s="143">
        <v>66.088999999999999</v>
      </c>
      <c r="BF55" s="183">
        <f t="shared" si="26"/>
        <v>217.27642276422765</v>
      </c>
      <c r="BG55" s="143">
        <v>65.957999999999998</v>
      </c>
      <c r="BH55" s="183">
        <f t="shared" si="27"/>
        <v>215.91056910569105</v>
      </c>
      <c r="BI55" s="304">
        <v>65.852999999999994</v>
      </c>
      <c r="BJ55" s="183">
        <f t="shared" si="28"/>
        <v>215.78861788617886</v>
      </c>
      <c r="BK55" s="143">
        <v>65.843999999999994</v>
      </c>
      <c r="BL55" s="183">
        <f t="shared" si="29"/>
        <v>211.4308943089431</v>
      </c>
      <c r="BM55" s="304">
        <v>65.503</v>
      </c>
      <c r="BN55" s="183">
        <f t="shared" si="30"/>
        <v>210.85365853658536</v>
      </c>
      <c r="BO55" s="143">
        <v>65.456999999999994</v>
      </c>
      <c r="BP55" s="183">
        <f t="shared" si="31"/>
        <v>205.54471544715446</v>
      </c>
      <c r="BQ55" s="143">
        <v>65.028999999999996</v>
      </c>
      <c r="BR55" s="183" cm="1">
        <f t="array" ref="BR55:BY55">TRANSPOSE('[60]Keithley Matavimai'!$W$6:$W$13)</f>
        <v>60.1100276513776</v>
      </c>
      <c r="BS55" s="183">
        <v>58.71384681738914</v>
      </c>
      <c r="BT55" s="183">
        <v>55.610541860947841</v>
      </c>
      <c r="BU55" s="183">
        <v>52.017276318122072</v>
      </c>
      <c r="BV55" s="183">
        <v>48.995412932645309</v>
      </c>
      <c r="BW55" s="183">
        <v>45.648959623247663</v>
      </c>
      <c r="BX55" s="183">
        <v>42.954343718158668</v>
      </c>
      <c r="BY55" s="183">
        <v>39.221331954473278</v>
      </c>
      <c r="BZ55" s="183" cm="1">
        <f t="array" ref="BZ55:CH55">TRANSPOSE('[60]Keithley Matavimai'!$V$5:$V$13)</f>
        <v>143.88198316581187</v>
      </c>
      <c r="CA55" s="183">
        <v>135.97474415154161</v>
      </c>
      <c r="CB55" s="183">
        <v>129.84161350296094</v>
      </c>
      <c r="CC55" s="183">
        <v>122.32280720492251</v>
      </c>
      <c r="CD55" s="183">
        <v>118.64834337847465</v>
      </c>
      <c r="CE55" s="183">
        <v>112.27080420368816</v>
      </c>
      <c r="CF55" s="183">
        <v>108.11201842168616</v>
      </c>
      <c r="CG55" s="183">
        <v>102.0416840416071</v>
      </c>
      <c r="CH55" s="183">
        <v>97.229747548132863</v>
      </c>
      <c r="CI55" s="183" cm="1">
        <f t="array" ref="CI55:CQ55">TRANSPOSE('[60]Silumos kiekio nustat.'!$B$24:$B$32)</f>
        <v>49.715241746581285</v>
      </c>
      <c r="CJ55" s="183">
        <v>45.70704335787137</v>
      </c>
      <c r="CK55" s="183">
        <v>41.459226947301822</v>
      </c>
      <c r="CL55" s="183">
        <v>36.943872093548421</v>
      </c>
      <c r="CM55" s="183">
        <v>32.133058375286964</v>
      </c>
      <c r="CN55" s="183">
        <v>26.998865371193233</v>
      </c>
      <c r="CO55" s="183">
        <v>21.513372659943009</v>
      </c>
      <c r="CP55" s="183">
        <v>15.648659820212082</v>
      </c>
      <c r="CQ55" s="183">
        <v>9.3768064306762327</v>
      </c>
      <c r="CR55" s="183">
        <f>'Su K. oro stendu'!P100</f>
        <v>64.694000000000003</v>
      </c>
      <c r="CS55" s="183"/>
      <c r="CT55" s="183"/>
      <c r="CU55" s="183">
        <f>[60]Alfa!$F$15</f>
        <v>900</v>
      </c>
      <c r="CV55" s="177">
        <f>'Su K. oro stendu'!J100</f>
        <v>1</v>
      </c>
      <c r="CW55" s="183">
        <f>'Su K. oro stendu'!D100</f>
        <v>3000</v>
      </c>
      <c r="CX55" s="183">
        <f>'Su K. oro stendu'!G100</f>
        <v>20</v>
      </c>
      <c r="CY55" s="183">
        <f>[61]Alfa!$F$16</f>
        <v>0.11453333333333333</v>
      </c>
      <c r="CZ55" s="183">
        <f>'Su K. oro stendu'!H100</f>
        <v>25.1</v>
      </c>
      <c r="DA55" s="183">
        <v>123</v>
      </c>
      <c r="DB55" s="183">
        <f>'Su K. oro stendu'!E100</f>
        <v>27</v>
      </c>
      <c r="DC55" s="183">
        <f>'Su K. oro stendu'!I100</f>
        <v>135</v>
      </c>
      <c r="DD55" s="183">
        <f>'Su K. oro stendu'!K100</f>
        <v>8.9</v>
      </c>
      <c r="DE55" s="183">
        <f>'Su K. oro stendu'!L100</f>
        <v>41.7</v>
      </c>
      <c r="DF55" s="183">
        <f>'Su K. oro stendu'!F100</f>
        <v>145</v>
      </c>
      <c r="DG55" s="253">
        <f>[61]Alfa!$D$29</f>
        <v>1885.429278136103</v>
      </c>
      <c r="DH55" s="253">
        <f>[61]Alfa!$D$26</f>
        <v>6250.9335556203359</v>
      </c>
      <c r="DI55" s="253">
        <f>[61]Alfa!$D$27</f>
        <v>4568.0062292747607</v>
      </c>
      <c r="DJ55" s="253">
        <f t="shared" si="14"/>
        <v>6453.4355074108635</v>
      </c>
      <c r="DK55" s="253">
        <f t="shared" si="20"/>
        <v>6352.1845315155997</v>
      </c>
      <c r="DL55" s="253">
        <f t="shared" si="16"/>
        <v>3.2395473410280304E-2</v>
      </c>
      <c r="DM55" s="183">
        <f>New!AC55</f>
        <v>3.9961797088923632E-5</v>
      </c>
      <c r="DN55" s="183">
        <f t="shared" si="23"/>
        <v>4.2388323940559999E-5</v>
      </c>
      <c r="DO55" s="183">
        <f t="shared" si="17"/>
        <v>0.94275482901756102</v>
      </c>
      <c r="DP55" s="183">
        <f t="shared" si="24"/>
        <v>186.07134580448354</v>
      </c>
      <c r="DQ55" s="297">
        <f>DH55/((DA55/3600)*New!BV55*(Sheet3!BZ55-Sheet3!CP55)*1000)</f>
        <v>1.1710902675629178</v>
      </c>
      <c r="DR55" s="166">
        <f>(DB55*0.018)/(0.011*New!IV55*3600)</f>
        <v>885.33932494581825</v>
      </c>
      <c r="DS55" s="166">
        <f>(New!IV55*New!CE55*1000)/New!AU55</f>
        <v>0.64719895598215416</v>
      </c>
      <c r="DT55" s="166">
        <f>IF(DR55&gt;2300,0.023*((DR55^(4/5)*DS55^(1/3))/(1+12.7*(DS55^(2/3)-1)))*(New!IV55/DV55)^0.14, 0.943*(DR55*DS55*New!IV55/Sheet3!DV55)^0.4)</f>
        <v>13.341263177971015</v>
      </c>
      <c r="DU55" s="166">
        <f t="shared" si="25"/>
        <v>-1048.943900240389</v>
      </c>
      <c r="DV55" s="166">
        <f>_xlfn.FORECAST.LINEAR(AVERAGE(_xlfn.ANCHORARRAY(BR55)),Sheet2!$AK$2:$AK$69,Sheet2!$AJ$2:$AJ$69)</f>
        <v>1.0550322728822765E-5</v>
      </c>
    </row>
    <row r="56" spans="1:126" x14ac:dyDescent="0.3">
      <c r="A56" s="184" t="str">
        <f>'Su K. oro stendu'!B101</f>
        <v>2023.01.17-2</v>
      </c>
      <c r="B56" s="183" cm="1">
        <f t="array" ref="B56:I56">'[62]Kondensacijos efektyvumas'!$B$4:$I$4</f>
        <v>2</v>
      </c>
      <c r="C56" s="183">
        <v>156</v>
      </c>
      <c r="D56" s="183">
        <v>8</v>
      </c>
      <c r="E56" s="183">
        <v>163</v>
      </c>
      <c r="F56" s="183">
        <v>2</v>
      </c>
      <c r="G56" s="183">
        <v>470</v>
      </c>
      <c r="H56" s="183">
        <v>59</v>
      </c>
      <c r="I56" s="183">
        <v>594</v>
      </c>
      <c r="J56" s="183" cm="1">
        <f t="array" ref="J56:Q56">TRANSPOSE('[62]Nu kitimas'!$G$4:$G$11)</f>
        <v>45.573879155836735</v>
      </c>
      <c r="K56" s="183">
        <v>50.889246211783011</v>
      </c>
      <c r="L56" s="183">
        <v>57.880087621756424</v>
      </c>
      <c r="M56" s="183">
        <v>64.562458547611016</v>
      </c>
      <c r="N56" s="183">
        <v>72.584381844143678</v>
      </c>
      <c r="O56" s="183">
        <v>82.813574291374266</v>
      </c>
      <c r="P56" s="183">
        <v>95.536450738678042</v>
      </c>
      <c r="Q56" s="183">
        <v>118.73677359697955</v>
      </c>
      <c r="R56" s="183" cm="1">
        <f t="array" ref="R56:Y56">TRANSPOSE([62]Alfa!$G$18:$G$25)</f>
        <v>92.385655769994528</v>
      </c>
      <c r="S56" s="183">
        <v>100.46348673552535</v>
      </c>
      <c r="T56" s="183">
        <v>110.83899806358686</v>
      </c>
      <c r="U56" s="183">
        <v>121.88157703611402</v>
      </c>
      <c r="V56" s="183">
        <v>133.90241511493974</v>
      </c>
      <c r="W56" s="183">
        <v>149.84937317659606</v>
      </c>
      <c r="X56" s="183">
        <v>168.82315966406873</v>
      </c>
      <c r="Y56" s="183">
        <v>206.07049199928872</v>
      </c>
      <c r="Z56" s="183" cm="1">
        <f t="array" ref="Z56:AG56">TRANSPOSE([62]Alfa!$F$127:$F$134)</f>
        <v>9.5819749622039121E-3</v>
      </c>
      <c r="AA56" s="183">
        <v>7.8635890960629493E-2</v>
      </c>
      <c r="AB56" s="183">
        <v>1.4895536875211704E-2</v>
      </c>
      <c r="AC56" s="183">
        <v>0.156398981349439</v>
      </c>
      <c r="AD56" s="183">
        <v>1.1455248847804375E-2</v>
      </c>
      <c r="AE56" s="183">
        <v>0.41720729649186522</v>
      </c>
      <c r="AF56" s="183">
        <v>5.7654351787079207E-2</v>
      </c>
      <c r="AG56" s="183">
        <v>0.53787402753469549</v>
      </c>
      <c r="AH56" s="35" cm="1">
        <f t="array" ref="AH56:AO56">TRANSPOSE('[62]Silumos kiekio nustat.'!$F$25:$F$32)</f>
        <v>256.69559218743933</v>
      </c>
      <c r="AI56" s="35">
        <v>260.14282168679836</v>
      </c>
      <c r="AJ56" s="35">
        <v>267.66323467461564</v>
      </c>
      <c r="AK56" s="35">
        <v>279.11561199776463</v>
      </c>
      <c r="AL56" s="35">
        <v>294.3574451240533</v>
      </c>
      <c r="AM56" s="35">
        <v>313.24420067024164</v>
      </c>
      <c r="AN56" s="35">
        <v>335.63082519402138</v>
      </c>
      <c r="AO56" s="35">
        <v>361.37602027332775</v>
      </c>
      <c r="AP56" s="313">
        <f t="shared" si="5"/>
        <v>0.12808205016186852</v>
      </c>
      <c r="AQ56" s="35">
        <f t="shared" si="6"/>
        <v>37.915901192216829</v>
      </c>
      <c r="AR56" s="183" cm="1">
        <f t="array" ref="AR56:AY56">TRANSPOSE([62]Alfa!$E$127:$E$134)</f>
        <v>0.23939917962006316</v>
      </c>
      <c r="AS56" s="183">
        <v>0.18698542658953132</v>
      </c>
      <c r="AT56" s="183">
        <v>0.20915596898495023</v>
      </c>
      <c r="AU56" s="183">
        <v>0.10389380389254893</v>
      </c>
      <c r="AV56" s="183">
        <v>0.15452718263810725</v>
      </c>
      <c r="AW56" s="183">
        <v>0.14722531523382373</v>
      </c>
      <c r="AX56" s="183">
        <v>0.15553168541366832</v>
      </c>
      <c r="AY56" s="183">
        <v>0.14171965943622686</v>
      </c>
      <c r="AZ56" s="183">
        <f t="shared" si="32"/>
        <v>201.34228187919464</v>
      </c>
      <c r="BA56" s="183">
        <f>'Su K. oro stendu'!P101</f>
        <v>64.680999999999997</v>
      </c>
      <c r="BB56" s="183">
        <f t="shared" si="21"/>
        <v>201.33892617449663</v>
      </c>
      <c r="BC56" s="143">
        <v>64.680999999999997</v>
      </c>
      <c r="BD56" s="183">
        <f t="shared" si="22"/>
        <v>201.0771812080537</v>
      </c>
      <c r="BE56" s="143">
        <v>64.659000000000006</v>
      </c>
      <c r="BF56" s="183">
        <f t="shared" si="26"/>
        <v>200.2281879194631</v>
      </c>
      <c r="BG56" s="143">
        <v>64.587999999999994</v>
      </c>
      <c r="BH56" s="183">
        <f t="shared" si="27"/>
        <v>199.13422818791946</v>
      </c>
      <c r="BI56" s="143">
        <v>64.495000000000005</v>
      </c>
      <c r="BJ56" s="183">
        <f t="shared" si="28"/>
        <v>199.12080536912751</v>
      </c>
      <c r="BK56" s="143">
        <v>64.494</v>
      </c>
      <c r="BL56" s="183">
        <f t="shared" si="29"/>
        <v>195.96644295302013</v>
      </c>
      <c r="BM56" s="143">
        <v>64.224000000000004</v>
      </c>
      <c r="BN56" s="183">
        <f t="shared" si="30"/>
        <v>195.57046979865771</v>
      </c>
      <c r="BO56" s="143">
        <v>64.19</v>
      </c>
      <c r="BP56" s="183">
        <f t="shared" si="31"/>
        <v>191.58389261744966</v>
      </c>
      <c r="BQ56" s="143">
        <v>63.841000000000001</v>
      </c>
      <c r="BR56" s="183" cm="1">
        <f t="array" ref="BR56:BY56">TRANSPOSE('[62]Keithley Matavimai'!$W$6:$W$13)</f>
        <v>63.137219511385126</v>
      </c>
      <c r="BS56" s="183">
        <v>58.758192354424146</v>
      </c>
      <c r="BT56" s="183">
        <v>58.084557433213689</v>
      </c>
      <c r="BU56" s="183">
        <v>54.310059602803285</v>
      </c>
      <c r="BV56" s="183">
        <v>51.773465302984739</v>
      </c>
      <c r="BW56" s="183">
        <v>48.408198484539447</v>
      </c>
      <c r="BX56" s="183">
        <v>45.06000754546158</v>
      </c>
      <c r="BY56" s="183">
        <v>41.260629410823363</v>
      </c>
      <c r="BZ56" s="183" cm="1">
        <f t="array" ref="BZ56:CH56">TRANSPOSE('[62]Keithley Matavimai'!$V$5:$V$13)</f>
        <v>204.66824927575183</v>
      </c>
      <c r="CA56" s="183">
        <v>190.95785065936082</v>
      </c>
      <c r="CB56" s="183">
        <v>180.50401335292068</v>
      </c>
      <c r="CC56" s="183">
        <v>168.54878900516584</v>
      </c>
      <c r="CD56" s="183">
        <v>162.98666829348633</v>
      </c>
      <c r="CE56" s="183">
        <v>154.02308989325729</v>
      </c>
      <c r="CF56" s="183">
        <v>146.38623622709517</v>
      </c>
      <c r="CG56" s="183">
        <v>137.17746492627558</v>
      </c>
      <c r="CH56" s="183">
        <v>129.74859095684047</v>
      </c>
      <c r="CI56" s="183" cm="1">
        <f t="array" ref="CI56:CQ56">TRANSPOSE('[62]Silumos kiekio nustat.'!$B$24:$B$32)</f>
        <v>52.014034378271518</v>
      </c>
      <c r="CJ56" s="183">
        <v>47.584111170812974</v>
      </c>
      <c r="CK56" s="183">
        <v>43.054980921851637</v>
      </c>
      <c r="CL56" s="183">
        <v>38.353291414995979</v>
      </c>
      <c r="CM56" s="183">
        <v>33.405690433854446</v>
      </c>
      <c r="CN56" s="183">
        <v>28.138825762035523</v>
      </c>
      <c r="CO56" s="183">
        <v>22.479345183147664</v>
      </c>
      <c r="CP56" s="183">
        <v>16.353896480799335</v>
      </c>
      <c r="CQ56" s="183">
        <v>9.6891274385989945</v>
      </c>
      <c r="CR56" s="183">
        <f>'Su K. oro stendu'!P101</f>
        <v>64.680999999999997</v>
      </c>
      <c r="CS56" s="183"/>
      <c r="CT56" s="183"/>
      <c r="CU56" s="183">
        <f>[62]Alfa!$F$15</f>
        <v>900</v>
      </c>
      <c r="CV56" s="177">
        <f>'Su K. oro stendu'!J101</f>
        <v>1</v>
      </c>
      <c r="CW56" s="183">
        <f>'Su K. oro stendu'!D101</f>
        <v>3000</v>
      </c>
      <c r="CX56" s="183">
        <f>'Su K. oro stendu'!G101</f>
        <v>20</v>
      </c>
      <c r="CY56" s="183">
        <f>[62]Alfa!$F$16</f>
        <v>9.6666666666666651E-2</v>
      </c>
      <c r="CZ56" s="183">
        <f>'Su K. oro stendu'!H101</f>
        <v>19.3</v>
      </c>
      <c r="DA56" s="183">
        <f>'Su K. oro stendu'!C101</f>
        <v>149</v>
      </c>
      <c r="DB56" s="183">
        <f>'Su K. oro stendu'!E101</f>
        <v>30</v>
      </c>
      <c r="DC56" s="183">
        <f>'Su K. oro stendu'!I101</f>
        <v>150</v>
      </c>
      <c r="DD56" s="183">
        <f>'Su K. oro stendu'!K101</f>
        <v>8.8000000000000007</v>
      </c>
      <c r="DE56" s="183">
        <f>'Su K. oro stendu'!L101</f>
        <v>43</v>
      </c>
      <c r="DF56" s="183">
        <f>'Su K. oro stendu'!F101</f>
        <v>205</v>
      </c>
      <c r="DG56" s="253">
        <f>[62]Alfa!$D$29</f>
        <v>3717.137359299958</v>
      </c>
      <c r="DH56" s="253">
        <f>[62]Alfa!$D$26</f>
        <v>7260.9758790436726</v>
      </c>
      <c r="DI56" s="253">
        <f>[62]Alfa!$D$27</f>
        <v>3851.109926426785</v>
      </c>
      <c r="DJ56" s="253">
        <f t="shared" si="14"/>
        <v>7568.247285726743</v>
      </c>
      <c r="DK56" s="253">
        <f t="shared" si="20"/>
        <v>7414.6115823852078</v>
      </c>
      <c r="DL56" s="253">
        <f t="shared" si="16"/>
        <v>4.2318196865231902E-2</v>
      </c>
      <c r="DM56" s="183">
        <f>New!AC56</f>
        <v>5.3636229850179132E-5</v>
      </c>
      <c r="DN56" s="183">
        <f t="shared" si="23"/>
        <v>5.0323119098159997E-5</v>
      </c>
      <c r="DO56" s="183">
        <f t="shared" si="17"/>
        <v>1.0658367527965944</v>
      </c>
      <c r="DP56" s="183">
        <f t="shared" si="24"/>
        <v>135.52689469501425</v>
      </c>
      <c r="DQ56" s="297">
        <f>DH56/((DA56/3600)*New!BV56*(Sheet3!BZ56-Sheet3!CP56)*1000)</f>
        <v>0.76512848228306396</v>
      </c>
      <c r="DR56" s="166">
        <f>(DB56*0.018)/(0.011*New!IV56*3600)</f>
        <v>854.25287811372164</v>
      </c>
      <c r="DS56" s="166">
        <f>(New!IV56*New!CE56*1000)/New!AU56</f>
        <v>0.55193626425495013</v>
      </c>
      <c r="DT56" s="166">
        <f>IF(DR56&gt;2300,0.023*((DR56^(4/5)*DS56^(1/3))/(1+12.7*(DS56^(2/3)-1)))*(New!IV56/DV56)^0.14, 0.943*(DR56*DS56*New!IV56/Sheet3!DV56)^0.4)</f>
        <v>13.019142629746499</v>
      </c>
      <c r="DU56" s="166">
        <f t="shared" si="25"/>
        <v>-929.150579710903</v>
      </c>
      <c r="DV56" s="166">
        <f>_xlfn.FORECAST.LINEAR(AVERAGE(_xlfn.ANCHORARRAY(BR56)),Sheet2!$AK$2:$AK$69,Sheet2!$AJ$2:$AJ$69)</f>
        <v>1.062700226816638E-5</v>
      </c>
    </row>
    <row r="57" spans="1:126" x14ac:dyDescent="0.3">
      <c r="A57" s="184">
        <f>'Su K. oro stendu'!B102</f>
        <v>44944</v>
      </c>
      <c r="B57" s="183" cm="1">
        <f t="array" ref="B57:I57">'[63]Kondensacijos efektyvumas'!$B$4:$I$4</f>
        <v>13</v>
      </c>
      <c r="C57" s="183">
        <v>469</v>
      </c>
      <c r="D57" s="183">
        <v>17</v>
      </c>
      <c r="E57" s="183">
        <v>464</v>
      </c>
      <c r="F57" s="183">
        <v>12</v>
      </c>
      <c r="G57" s="183">
        <v>599</v>
      </c>
      <c r="H57" s="183">
        <v>11</v>
      </c>
      <c r="I57" s="183">
        <v>780</v>
      </c>
      <c r="J57" s="183" cm="1">
        <f t="array" ref="J57:Q57">TRANSPOSE('[63]Nu kitimas'!$K$4:$K$11)</f>
        <v>386.2354798729861</v>
      </c>
      <c r="K57" s="183">
        <v>344.21456301362252</v>
      </c>
      <c r="L57" s="183">
        <v>340.29689969071967</v>
      </c>
      <c r="M57" s="183">
        <v>366.20875297534724</v>
      </c>
      <c r="N57" s="183">
        <v>397.90535028000011</v>
      </c>
      <c r="O57" s="183">
        <v>429.52163181390932</v>
      </c>
      <c r="P57" s="183">
        <v>464.90415255781886</v>
      </c>
      <c r="Q57" s="183">
        <v>479.25643977637202</v>
      </c>
      <c r="R57" s="183" cm="1">
        <f t="array" ref="R57:Y57">TRANSPOSE([63]Alfa!$G$18:$G$25)</f>
        <v>586.88771193237312</v>
      </c>
      <c r="S57" s="183">
        <v>521.62556100395386</v>
      </c>
      <c r="T57" s="183">
        <v>512.9169493761849</v>
      </c>
      <c r="U57" s="183">
        <v>548.55657264565878</v>
      </c>
      <c r="V57" s="183">
        <v>595.743909087465</v>
      </c>
      <c r="W57" s="183">
        <v>641.51158194755567</v>
      </c>
      <c r="X57" s="183">
        <v>690.67888366950547</v>
      </c>
      <c r="Y57" s="183">
        <v>710.49778116900814</v>
      </c>
      <c r="Z57" s="183" cm="1">
        <f t="array" ref="Z57:AG57">TRANSPOSE([63]Alfa!$F$127:$F$134)</f>
        <v>1.8978383400285948E-2</v>
      </c>
      <c r="AA57" s="183">
        <v>0.68788231051276572</v>
      </c>
      <c r="AB57" s="183">
        <v>2.4996333696755538E-2</v>
      </c>
      <c r="AC57" s="183">
        <v>0.68313330431692931</v>
      </c>
      <c r="AD57" s="183">
        <v>1.7684853862632566E-2</v>
      </c>
      <c r="AE57" s="183">
        <v>0.88418840514687069</v>
      </c>
      <c r="AF57" s="183">
        <v>1.6287624982353945E-2</v>
      </c>
      <c r="AG57" s="183">
        <v>1.1612372596445397</v>
      </c>
      <c r="AH57" s="35" cm="1">
        <f t="array" ref="AH57:AO57">TRANSPOSE('[63]Silumos kiekio nustat.'!$F$25:$F$32)</f>
        <v>416.56166743399911</v>
      </c>
      <c r="AI57" s="35">
        <v>403.441437541884</v>
      </c>
      <c r="AJ57" s="35">
        <v>405.19210275377884</v>
      </c>
      <c r="AK57" s="35">
        <v>421.53136496898549</v>
      </c>
      <c r="AL57" s="35">
        <v>452.17455764953456</v>
      </c>
      <c r="AM57" s="35">
        <v>496.81445822301242</v>
      </c>
      <c r="AN57" s="35">
        <v>555.10628867352966</v>
      </c>
      <c r="AO57" s="35">
        <v>626.65948012609863</v>
      </c>
      <c r="AP57" s="313">
        <f t="shared" si="5"/>
        <v>0.17283002954672511</v>
      </c>
      <c r="AQ57" s="35">
        <f t="shared" si="6"/>
        <v>81.607776825825326</v>
      </c>
      <c r="AR57" s="183" cm="1">
        <f t="array" ref="AR57:AY57">TRANSPOSE([63]Alfa!$E$127:$E$134)</f>
        <v>7.284421173504034E-2</v>
      </c>
      <c r="AS57" s="183">
        <v>8.0695062754104138E-2</v>
      </c>
      <c r="AT57" s="183">
        <v>8.6239130272845035E-2</v>
      </c>
      <c r="AU57" s="183">
        <v>0.13454618401330651</v>
      </c>
      <c r="AV57" s="183">
        <v>8.6002809784264545E-3</v>
      </c>
      <c r="AW57" s="183">
        <v>8.6725097357524636E-2</v>
      </c>
      <c r="AX57" s="183">
        <v>8.2242624242797338E-2</v>
      </c>
      <c r="AY57" s="183">
        <v>9.6427119142689713E-2</v>
      </c>
      <c r="AZ57" s="183">
        <f t="shared" si="32"/>
        <v>200</v>
      </c>
      <c r="BA57" s="183">
        <f>'Su K. oro stendu'!P102</f>
        <v>64.569000000000003</v>
      </c>
      <c r="BB57" s="183">
        <f t="shared" si="21"/>
        <v>199.99187499999999</v>
      </c>
      <c r="BC57" s="143">
        <v>64.567999999999998</v>
      </c>
      <c r="BD57" s="183">
        <f t="shared" si="22"/>
        <v>199.69874999999999</v>
      </c>
      <c r="BE57" s="143">
        <v>64.543000000000006</v>
      </c>
      <c r="BF57" s="183">
        <f t="shared" si="26"/>
        <v>198.7525</v>
      </c>
      <c r="BG57" s="143">
        <v>64.462999999999994</v>
      </c>
      <c r="BH57" s="183">
        <f t="shared" si="27"/>
        <v>197.5925</v>
      </c>
      <c r="BI57" s="143">
        <v>64.364000000000004</v>
      </c>
      <c r="BJ57" s="183">
        <f t="shared" si="28"/>
        <v>197.5625</v>
      </c>
      <c r="BK57" s="143">
        <v>64.361999999999995</v>
      </c>
      <c r="BL57" s="183">
        <f t="shared" si="29"/>
        <v>196.065</v>
      </c>
      <c r="BM57" s="143">
        <v>64.233000000000004</v>
      </c>
      <c r="BN57" s="183">
        <f t="shared" si="30"/>
        <v>196.03749999999999</v>
      </c>
      <c r="BO57" s="143">
        <v>64.230999999999995</v>
      </c>
      <c r="BP57" s="183">
        <f t="shared" si="31"/>
        <v>194.08750000000001</v>
      </c>
      <c r="BQ57" s="143">
        <v>64.061000000000007</v>
      </c>
      <c r="BR57" s="183" cm="1">
        <f t="array" ref="BR57:BY57">TRANSPOSE('[63]Keithley Matavimai'!$W$6:$W$13)</f>
        <v>48.051605032980945</v>
      </c>
      <c r="BS57" s="183">
        <v>43.830582597877644</v>
      </c>
      <c r="BT57" s="183">
        <v>43.516380045614028</v>
      </c>
      <c r="BU57" s="183">
        <v>38.322701819847076</v>
      </c>
      <c r="BV57" s="183">
        <v>37.835661581857664</v>
      </c>
      <c r="BW57" s="183">
        <v>37.370794823567174</v>
      </c>
      <c r="BX57" s="183">
        <v>36.190146522918134</v>
      </c>
      <c r="BY57" s="183">
        <v>27.594263161171249</v>
      </c>
      <c r="BZ57" s="183" cm="1">
        <f t="array" ref="BZ57:CH57">TRANSPOSE('[63]Keithley Matavimai'!$V$5:$V$13)</f>
        <v>83.774629045195908</v>
      </c>
      <c r="CA57" s="183">
        <v>82.147661269670607</v>
      </c>
      <c r="CB57" s="183">
        <v>80.68454560180443</v>
      </c>
      <c r="CC57" s="183">
        <v>78.731851940142064</v>
      </c>
      <c r="CD57" s="183">
        <v>75.986132084511041</v>
      </c>
      <c r="CE57" s="183">
        <v>75.796382057067305</v>
      </c>
      <c r="CF57" s="183">
        <v>74.219623912377415</v>
      </c>
      <c r="CG57" s="183">
        <v>72.292482281221751</v>
      </c>
      <c r="CH57" s="183">
        <v>70.565311909051829</v>
      </c>
      <c r="CI57" s="183" cm="1">
        <f t="array" ref="CI57:CQ57">TRANSPOSE('[63]Silumos kiekio nustat.'!$B$24:$B$32)</f>
        <v>33.50429860207236</v>
      </c>
      <c r="CJ57" s="183">
        <v>30.750546141038853</v>
      </c>
      <c r="CK57" s="183">
        <v>28.070402837970995</v>
      </c>
      <c r="CL57" s="183">
        <v>25.365716238608641</v>
      </c>
      <c r="CM57" s="183">
        <v>22.538333888691646</v>
      </c>
      <c r="CN57" s="183">
        <v>19.490103333959869</v>
      </c>
      <c r="CO57" s="183">
        <v>16.122872120153176</v>
      </c>
      <c r="CP57" s="183">
        <v>12.338487793011424</v>
      </c>
      <c r="CQ57" s="183">
        <v>8.0387978982744706</v>
      </c>
      <c r="CR57" s="183">
        <f>'Su K. oro stendu'!P102</f>
        <v>64.569000000000003</v>
      </c>
      <c r="CS57" s="183"/>
      <c r="CT57" s="183"/>
      <c r="CU57" s="183">
        <f>[63]Alfa!$F$15</f>
        <v>545</v>
      </c>
      <c r="CV57" s="177">
        <f>'Su K. oro stendu'!J102</f>
        <v>1</v>
      </c>
      <c r="CW57" s="183">
        <f>'Su K. oro stendu'!D102</f>
        <v>10000</v>
      </c>
      <c r="CX57" s="183">
        <f>'Su K. oro stendu'!G102</f>
        <v>20</v>
      </c>
      <c r="CY57" s="183">
        <f>[63]Alfa!$F$16</f>
        <v>0.2603669724770642</v>
      </c>
      <c r="CZ57" s="183">
        <f>'Su K. oro stendu'!H102</f>
        <v>19.8</v>
      </c>
      <c r="DA57" s="183">
        <f>'Su K. oro stendu'!C102</f>
        <v>400</v>
      </c>
      <c r="DB57" s="183">
        <f>'Su K. oro stendu'!E102</f>
        <v>80</v>
      </c>
      <c r="DC57" s="183">
        <f>'Su K. oro stendu'!I102</f>
        <v>405</v>
      </c>
      <c r="DD57" s="183">
        <f>'Su K. oro stendu'!K102</f>
        <v>7.9</v>
      </c>
      <c r="DE57" s="183">
        <f>'Su K. oro stendu'!L102</f>
        <v>25.6</v>
      </c>
      <c r="DF57" s="183">
        <f>'Su K. oro stendu'!F102</f>
        <v>85</v>
      </c>
      <c r="DG57" s="253">
        <f>[63]Alfa!$D$29</f>
        <v>1786.3335998863915</v>
      </c>
      <c r="DH57" s="253">
        <f>[63]Alfa!$D$26</f>
        <v>11397.416391150171</v>
      </c>
      <c r="DI57" s="253">
        <f>[63]Alfa!$D$27</f>
        <v>10483.1654266894</v>
      </c>
      <c r="DJ57" s="253">
        <f t="shared" si="14"/>
        <v>12269.499026575792</v>
      </c>
      <c r="DK57" s="253">
        <f t="shared" si="20"/>
        <v>11833.457708862981</v>
      </c>
      <c r="DL57" s="253">
        <f t="shared" si="16"/>
        <v>7.6515817751711915E-2</v>
      </c>
      <c r="DM57" s="183">
        <f>New!AC57</f>
        <v>2.7939020648434932E-5</v>
      </c>
      <c r="DN57" s="183">
        <f t="shared" si="23"/>
        <v>3.5049529086959997E-5</v>
      </c>
      <c r="DO57" s="183">
        <f t="shared" si="17"/>
        <v>0.79712970120415982</v>
      </c>
      <c r="DP57" s="183">
        <f t="shared" si="24"/>
        <v>601.05236885396312</v>
      </c>
      <c r="DQ57" s="297">
        <f>DH57/((DA57/3600)*New!BV57*(Sheet3!BZ57-Sheet3!CP57)*1000)</f>
        <v>1.2100420816805022</v>
      </c>
      <c r="DR57" s="166">
        <f>(DB57*0.018)/(0.011*New!IV57*3600)</f>
        <v>3091.7687492697219</v>
      </c>
      <c r="DS57" s="166">
        <f>(New!IV57*New!CE57*1000)/New!AU57</f>
        <v>0.86323913019559584</v>
      </c>
      <c r="DT57" s="166">
        <f>IF(DR57&gt;2300,0.023*((DR57^(4/5)*DS57^(1/3))/(1+12.7*(DS57^(2/3)-1)))*(New!IV57/DV57)^0.14, 0.943*(DR57*DS57*New!IV57/Sheet3!DV57)^0.4)</f>
        <v>-74.459026300944842</v>
      </c>
      <c r="DU57" s="166">
        <f t="shared" si="25"/>
        <v>-1215.1449429746808</v>
      </c>
      <c r="DV57" s="166">
        <f>_xlfn.FORECAST.LINEAR(AVERAGE(_xlfn.ANCHORARRAY(BR57)),Sheet2!$AK$2:$AK$69,Sheet2!$AJ$2:$AJ$69)</f>
        <v>1.0153985088104036E-5</v>
      </c>
    </row>
    <row r="58" spans="1:126" x14ac:dyDescent="0.3">
      <c r="A58" s="184" t="str">
        <f>'Su K. oro stendu'!B103</f>
        <v>2023.01.19-1</v>
      </c>
      <c r="B58" s="183" cm="1">
        <f t="array" ref="B58:I58">'[64]Kondensacijos efektyvumas'!$B$4:$I$4</f>
        <v>0</v>
      </c>
      <c r="C58" s="183">
        <v>446</v>
      </c>
      <c r="D58" s="183">
        <v>0</v>
      </c>
      <c r="E58" s="183">
        <v>534</v>
      </c>
      <c r="F58" s="183">
        <v>0</v>
      </c>
      <c r="G58" s="183">
        <v>587</v>
      </c>
      <c r="H58" s="183">
        <v>0</v>
      </c>
      <c r="I58" s="183">
        <v>583</v>
      </c>
      <c r="J58" s="183" cm="1">
        <f t="array" ref="J58:Q58">TRANSPOSE('[64]Nu kitimas'!$G$4:$G$11)</f>
        <v>140.49049405706023</v>
      </c>
      <c r="K58" s="183">
        <v>137.85792118247466</v>
      </c>
      <c r="L58" s="183">
        <v>145.63279579867927</v>
      </c>
      <c r="M58" s="183">
        <v>159.88222544102521</v>
      </c>
      <c r="N58" s="183">
        <v>180.157140726769</v>
      </c>
      <c r="O58" s="183">
        <v>205.13729732659192</v>
      </c>
      <c r="P58" s="183">
        <v>229.62784085980812</v>
      </c>
      <c r="Q58" s="183">
        <v>248.14161904556548</v>
      </c>
      <c r="R58" s="183" cm="1">
        <f t="array" ref="R58:Y58">TRANSPOSE([64]Alfa!$G$18:$G$25)</f>
        <v>249.49974819910148</v>
      </c>
      <c r="S58" s="183">
        <v>242.13297507567373</v>
      </c>
      <c r="T58" s="183">
        <v>252.34776364204569</v>
      </c>
      <c r="U58" s="183">
        <v>274.931197782499</v>
      </c>
      <c r="V58" s="183">
        <v>306.70698214548872</v>
      </c>
      <c r="W58" s="183">
        <v>346.14159546237585</v>
      </c>
      <c r="X58" s="183">
        <v>383.7506434597268</v>
      </c>
      <c r="Y58" s="183">
        <v>410.53921661436561</v>
      </c>
      <c r="Z58" s="183" cm="1">
        <f t="array" ref="Z58:AG58">TRANSPOSE([64]Alfa!$F$127:$F$134)</f>
        <v>0</v>
      </c>
      <c r="AA58" s="183">
        <v>0.65393100660058445</v>
      </c>
      <c r="AB58" s="183">
        <v>0</v>
      </c>
      <c r="AC58" s="183">
        <v>0.78525451782118649</v>
      </c>
      <c r="AD58" s="183">
        <v>0</v>
      </c>
      <c r="AE58" s="183">
        <v>0.86434391434792124</v>
      </c>
      <c r="AF58" s="183">
        <v>0</v>
      </c>
      <c r="AG58" s="183">
        <v>0.86811301296036758</v>
      </c>
      <c r="AH58" s="35" cm="1">
        <f t="array" ref="AH58:AO58">TRANSPOSE('[64]Silumos kiekio nustat.'!$F$25:$F$32)</f>
        <v>471.88230540171935</v>
      </c>
      <c r="AI58" s="35">
        <v>464.53933709549602</v>
      </c>
      <c r="AJ58" s="35">
        <v>472.02225907040571</v>
      </c>
      <c r="AK58" s="35">
        <v>494.0374331920014</v>
      </c>
      <c r="AL58" s="35">
        <v>530.28321122809905</v>
      </c>
      <c r="AM58" s="35">
        <v>580.43338541375863</v>
      </c>
      <c r="AN58" s="35">
        <v>644.12580536118571</v>
      </c>
      <c r="AO58" s="35">
        <v>720.9576926619709</v>
      </c>
      <c r="AP58" s="313">
        <f t="shared" si="5"/>
        <v>0.17190735484384054</v>
      </c>
      <c r="AQ58" s="35">
        <f t="shared" si="6"/>
        <v>94.082347411787296</v>
      </c>
      <c r="AR58" s="183" cm="1">
        <f t="array" ref="AR58:AY58">TRANSPOSE([64]Alfa!$E$127:$E$134)</f>
        <v>0.2318480173726937</v>
      </c>
      <c r="AS58" s="183">
        <v>0.24828593888420372</v>
      </c>
      <c r="AT58" s="183">
        <v>0.26060798843733207</v>
      </c>
      <c r="AU58" s="183">
        <v>0.18502488169740275</v>
      </c>
      <c r="AV58" s="183">
        <v>0.18922962260786916</v>
      </c>
      <c r="AW58" s="183">
        <v>0.21278557011836774</v>
      </c>
      <c r="AX58" s="183">
        <v>0.17864222813957276</v>
      </c>
      <c r="AY58" s="183">
        <v>0.23780090508909177</v>
      </c>
      <c r="AZ58" s="183">
        <f t="shared" si="32"/>
        <v>200</v>
      </c>
      <c r="BA58" s="183">
        <f>'Su K. oro stendu'!P103</f>
        <v>64.569000000000003</v>
      </c>
      <c r="BB58" s="183">
        <f t="shared" si="21"/>
        <v>200</v>
      </c>
      <c r="BC58" s="143">
        <v>64.569000000000003</v>
      </c>
      <c r="BD58" s="183">
        <f t="shared" si="22"/>
        <v>199.75222222222223</v>
      </c>
      <c r="BE58" s="143">
        <v>64.548000000000002</v>
      </c>
      <c r="BF58" s="183">
        <f t="shared" si="26"/>
        <v>199.00888888888889</v>
      </c>
      <c r="BG58" s="143">
        <v>64.484999999999999</v>
      </c>
      <c r="BH58" s="183">
        <f t="shared" si="27"/>
        <v>197.82222222222222</v>
      </c>
      <c r="BI58" s="143">
        <v>64.384</v>
      </c>
      <c r="BJ58" s="183">
        <f t="shared" si="28"/>
        <v>197.82222222222222</v>
      </c>
      <c r="BK58" s="143">
        <v>64.384</v>
      </c>
      <c r="BL58" s="183">
        <f t="shared" si="29"/>
        <v>196.51777777777778</v>
      </c>
      <c r="BM58" s="143">
        <v>64.272000000000006</v>
      </c>
      <c r="BN58" s="183">
        <f t="shared" si="30"/>
        <v>196.51777777777778</v>
      </c>
      <c r="BO58" s="143">
        <v>64.272000000000006</v>
      </c>
      <c r="BP58" s="183">
        <f t="shared" si="31"/>
        <v>195.22222222222223</v>
      </c>
      <c r="BQ58" s="143">
        <v>64.16</v>
      </c>
      <c r="BR58" s="183" cm="1">
        <f t="array" ref="BR58:BY58">TRANSPOSE('[64]Keithley Matavimai'!$W$6:$W$13)</f>
        <v>49.59029515133026</v>
      </c>
      <c r="BS58" s="183">
        <v>43.872521439150923</v>
      </c>
      <c r="BT58" s="183">
        <v>44.264886674654498</v>
      </c>
      <c r="BU58" s="183">
        <v>39.230193153007711</v>
      </c>
      <c r="BV58" s="183">
        <v>40.154694447035119</v>
      </c>
      <c r="BW58" s="183">
        <v>39.99782843165773</v>
      </c>
      <c r="BX58" s="183">
        <v>37.793264437244964</v>
      </c>
      <c r="BY58" s="183">
        <v>27.528685959631588</v>
      </c>
      <c r="BZ58" s="183" cm="1">
        <f t="array" ref="BZ58:CH58">TRANSPOSE('[64]Keithley Matavimai'!$V$5:$V$13)</f>
        <v>144.07083286702004</v>
      </c>
      <c r="CA58" s="183">
        <v>139.58000444880793</v>
      </c>
      <c r="CB58" s="183">
        <v>135.23580635441786</v>
      </c>
      <c r="CC58" s="183">
        <v>130.10439166787361</v>
      </c>
      <c r="CD58" s="183">
        <v>127.00934319814685</v>
      </c>
      <c r="CE58" s="183">
        <v>123.21751704015905</v>
      </c>
      <c r="CF58" s="183">
        <v>119.52782894516581</v>
      </c>
      <c r="CG58" s="183">
        <v>115.88063654192301</v>
      </c>
      <c r="CH58" s="183">
        <v>111.56246242981007</v>
      </c>
      <c r="CI58" s="183" cm="1">
        <f t="array" ref="CI58:CQ58">TRANSPOSE('[64]Silumos kiekio nustat.'!$B$24:$B$32)</f>
        <v>34.332329282736893</v>
      </c>
      <c r="CJ58" s="183">
        <v>31.528929274073583</v>
      </c>
      <c r="CK58" s="183">
        <v>28.755150344254446</v>
      </c>
      <c r="CL58" s="183">
        <v>25.922553191004148</v>
      </c>
      <c r="CM58" s="183">
        <v>22.942698512047365</v>
      </c>
      <c r="CN58" s="183">
        <v>19.727147005108755</v>
      </c>
      <c r="CO58" s="183">
        <v>16.187459367912993</v>
      </c>
      <c r="CP58" s="183">
        <v>12.235196298184743</v>
      </c>
      <c r="CQ58" s="183">
        <v>7.7819184936486749</v>
      </c>
      <c r="CR58" s="183">
        <f>'Su K. oro stendu'!P103</f>
        <v>64.569000000000003</v>
      </c>
      <c r="CS58" s="183"/>
      <c r="CT58" s="183"/>
      <c r="CU58" s="183">
        <f>[64]Alfa!$F$15</f>
        <v>545</v>
      </c>
      <c r="CV58" s="172">
        <f>'Su K. oro stendu'!J103</f>
        <v>1</v>
      </c>
      <c r="CW58" s="183">
        <f>'Su K. oro stendu'!D103</f>
        <v>10000</v>
      </c>
      <c r="CX58" s="183">
        <f>'Su K. oro stendu'!G103</f>
        <v>20</v>
      </c>
      <c r="CY58" s="183">
        <f>[64]Alfa!$F$16</f>
        <v>0.236697247706422</v>
      </c>
      <c r="CZ58" s="183">
        <f>'Su K. oro stendu'!H103</f>
        <v>15.8</v>
      </c>
      <c r="DA58" s="183">
        <f>'Su K. oro stendu'!C103</f>
        <v>450</v>
      </c>
      <c r="DB58" s="183">
        <f>'Su K. oro stendu'!E103</f>
        <v>90</v>
      </c>
      <c r="DC58" s="183">
        <f>'Su K. oro stendu'!I103</f>
        <v>450</v>
      </c>
      <c r="DD58" s="183">
        <f>'Su K. oro stendu'!K103</f>
        <v>7.3</v>
      </c>
      <c r="DE58" s="183">
        <f>'Su K. oro stendu'!L103</f>
        <v>26.7</v>
      </c>
      <c r="DF58" s="183">
        <f>'Su K. oro stendu'!F103</f>
        <v>145</v>
      </c>
      <c r="DG58" s="253">
        <f>[64]Alfa!$D$29</f>
        <v>4847.8087610393104</v>
      </c>
      <c r="DH58" s="253">
        <f>[64]Alfa!$D$26</f>
        <v>13253.797744491803</v>
      </c>
      <c r="DI58" s="253">
        <f>[64]Alfa!$D$27</f>
        <v>9514.9273551901788</v>
      </c>
      <c r="DJ58" s="253">
        <f t="shared" si="14"/>
        <v>14362.736116229489</v>
      </c>
      <c r="DK58" s="253">
        <f t="shared" si="20"/>
        <v>13808.266930360645</v>
      </c>
      <c r="DL58" s="253">
        <f t="shared" si="16"/>
        <v>8.3669480485210654E-2</v>
      </c>
      <c r="DM58" s="183">
        <f>New!AC58</f>
        <v>3.9913233084562172E-5</v>
      </c>
      <c r="DN58" s="183">
        <f t="shared" si="23"/>
        <v>4.2388323940559999E-5</v>
      </c>
      <c r="DO58" s="183">
        <f t="shared" si="17"/>
        <v>0.94160913605669849</v>
      </c>
      <c r="DP58" s="183">
        <f t="shared" si="24"/>
        <v>308.25626529765958</v>
      </c>
      <c r="DQ58" s="297">
        <f>DH58/((DA58/3600)*New!BV58*(Sheet3!BZ58-Sheet3!CP58)*1000)</f>
        <v>0.66965644998048468</v>
      </c>
      <c r="DR58" s="166">
        <f>(DB58*0.018)/(0.011*New!IV58*3600)</f>
        <v>2951.1310831527276</v>
      </c>
      <c r="DS58" s="166">
        <f>(New!IV58*New!CE58*1000)/New!AU58</f>
        <v>0.64719895598215416</v>
      </c>
      <c r="DT58" s="166">
        <f>IF(DR58&gt;2300,0.023*((DR58^(4/5)*DS58^(1/3))/(1+12.7*(DS58^(2/3)-1)))*(New!IV58/DV58)^0.14, 0.943*(DR58*DS58*New!IV58/Sheet3!DV58)^0.4)</f>
        <v>-5.6420472670554647</v>
      </c>
      <c r="DU58" s="166">
        <f t="shared" si="25"/>
        <v>-988.00141127891209</v>
      </c>
      <c r="DV58" s="166">
        <f>_xlfn.FORECAST.LINEAR(AVERAGE(_xlfn.ANCHORARRAY(BR58)),Sheet2!$AK$2:$AK$69,Sheet2!$AJ$2:$AJ$69)</f>
        <v>1.0196526071373464E-5</v>
      </c>
    </row>
    <row r="59" spans="1:126" ht="15" thickBot="1" x14ac:dyDescent="0.35">
      <c r="A59" s="184" t="str">
        <f>'Su K. oro stendu'!B104</f>
        <v>2023.01.19-2</v>
      </c>
      <c r="B59" s="183" cm="1">
        <f t="array" ref="B59:I59">'[65]Kondensacijos efektyvumas'!$B$4:$I$4</f>
        <v>0</v>
      </c>
      <c r="C59" s="183">
        <v>321</v>
      </c>
      <c r="D59" s="183">
        <v>0</v>
      </c>
      <c r="E59" s="183">
        <v>433</v>
      </c>
      <c r="F59" s="183">
        <v>0</v>
      </c>
      <c r="G59" s="183">
        <v>529</v>
      </c>
      <c r="H59" s="183">
        <v>0</v>
      </c>
      <c r="I59" s="183">
        <v>566</v>
      </c>
      <c r="J59" s="183" cm="1">
        <f t="array" ref="J59:Q59">TRANSPOSE('[65]Nu kitimas'!$F$4:$F$11)</f>
        <v>93.543860142999591</v>
      </c>
      <c r="K59" s="183">
        <v>92.161750600214035</v>
      </c>
      <c r="L59" s="183">
        <v>97.461600566025453</v>
      </c>
      <c r="M59" s="183">
        <v>107.21116876448322</v>
      </c>
      <c r="N59" s="183">
        <v>121.74709216673908</v>
      </c>
      <c r="O59" s="183">
        <v>140.51166760671572</v>
      </c>
      <c r="P59" s="183">
        <v>162.2174667949395</v>
      </c>
      <c r="Q59" s="183">
        <v>186.72208274134007</v>
      </c>
      <c r="R59" s="183" cm="1">
        <f t="array" ref="R59:Y59">TRANSPOSE([65]Alfa!$G$18:$G$25)</f>
        <v>192.90258573969678</v>
      </c>
      <c r="S59" s="183">
        <v>186.8189598015025</v>
      </c>
      <c r="T59" s="183">
        <v>193.49094680990007</v>
      </c>
      <c r="U59" s="183">
        <v>210.14175808894777</v>
      </c>
      <c r="V59" s="183">
        <v>235.09639986478354</v>
      </c>
      <c r="W59" s="183">
        <v>268.00502459510261</v>
      </c>
      <c r="X59" s="183">
        <v>304.89845777085412</v>
      </c>
      <c r="Y59" s="183">
        <v>343.88420623302335</v>
      </c>
      <c r="Z59" s="183" cm="1">
        <f t="array" ref="Z59:AG59">TRANSPOSE([65]Alfa!$F$127:$F$134)</f>
        <v>0</v>
      </c>
      <c r="AA59" s="183">
        <v>0.46912820414633294</v>
      </c>
      <c r="AB59" s="183">
        <v>0</v>
      </c>
      <c r="AC59" s="183">
        <v>0.63484822566773502</v>
      </c>
      <c r="AD59" s="183">
        <v>0</v>
      </c>
      <c r="AE59" s="183">
        <v>0.7764159051326146</v>
      </c>
      <c r="AF59" s="183">
        <v>0</v>
      </c>
      <c r="AG59" s="183">
        <v>0.8397747861717102</v>
      </c>
      <c r="AH59" s="35" cm="1">
        <f t="array" ref="AH59:AO59">TRANSPOSE('[65]Silumos kiekio nustat.'!$F$25:$F$32)</f>
        <v>586.52809050210362</v>
      </c>
      <c r="AI59" s="35">
        <v>565.15886481086648</v>
      </c>
      <c r="AJ59" s="35">
        <v>565.97842049297037</v>
      </c>
      <c r="AK59" s="35">
        <v>588.50573253357493</v>
      </c>
      <c r="AL59" s="35">
        <v>632.25946808757749</v>
      </c>
      <c r="AM59" s="35">
        <v>696.72193189869779</v>
      </c>
      <c r="AN59" s="35">
        <v>781.31331361049877</v>
      </c>
      <c r="AO59" s="35">
        <v>885.37952301216148</v>
      </c>
      <c r="AP59" s="313">
        <f t="shared" si="5"/>
        <v>0.17662766480614109</v>
      </c>
      <c r="AQ59" s="35">
        <f t="shared" si="6"/>
        <v>117.0565703051943</v>
      </c>
      <c r="AR59" s="183" cm="1">
        <f t="array" ref="AR59:AY59">TRANSPOSE([65]Alfa!$E$127:$E$134)</f>
        <v>0.4168268592030539</v>
      </c>
      <c r="AS59" s="183">
        <v>0.41355399859661746</v>
      </c>
      <c r="AT59" s="183">
        <v>0.48091974935210463</v>
      </c>
      <c r="AU59" s="183">
        <v>0.31916879958019967</v>
      </c>
      <c r="AV59" s="183">
        <v>0.34003715448110022</v>
      </c>
      <c r="AW59" s="183">
        <v>0.31347854950382004</v>
      </c>
      <c r="AX59" s="183">
        <v>0.32823256797578104</v>
      </c>
      <c r="AY59" s="183">
        <v>0.48909092226956569</v>
      </c>
      <c r="AZ59" s="183">
        <f t="shared" si="32"/>
        <v>200</v>
      </c>
      <c r="BA59" s="183">
        <f>'Su K. oro stendu'!P104</f>
        <v>64.569000000000003</v>
      </c>
      <c r="BB59" s="183">
        <f t="shared" si="21"/>
        <v>200</v>
      </c>
      <c r="BC59" s="143">
        <v>64.569000000000003</v>
      </c>
      <c r="BD59" s="183">
        <f t="shared" si="22"/>
        <v>199.83949999999999</v>
      </c>
      <c r="BE59" s="143">
        <v>64.555000000000007</v>
      </c>
      <c r="BF59" s="183">
        <f t="shared" si="26"/>
        <v>199.358</v>
      </c>
      <c r="BG59" s="143">
        <v>64.513999999999996</v>
      </c>
      <c r="BH59" s="183">
        <f t="shared" si="27"/>
        <v>198.49199999999999</v>
      </c>
      <c r="BI59" s="143">
        <v>64.441000000000003</v>
      </c>
      <c r="BJ59" s="183">
        <f t="shared" si="28"/>
        <v>198.49199999999999</v>
      </c>
      <c r="BK59" s="304">
        <v>64.441000000000003</v>
      </c>
      <c r="BL59" s="183">
        <f t="shared" si="29"/>
        <v>197.434</v>
      </c>
      <c r="BM59" s="143">
        <v>64.350999999999999</v>
      </c>
      <c r="BN59" s="183">
        <f t="shared" si="30"/>
        <v>197.434</v>
      </c>
      <c r="BO59" s="143">
        <v>64.350999999999999</v>
      </c>
      <c r="BP59" s="183">
        <f t="shared" si="31"/>
        <v>196.30199999999999</v>
      </c>
      <c r="BQ59" s="143">
        <v>64.253</v>
      </c>
      <c r="BR59" s="183" cm="1">
        <f t="array" ref="BR59:BY59">TRANSPOSE('[65]Keithley Matavimai'!$W$6:$W$13)</f>
        <v>53.581416004367135</v>
      </c>
      <c r="BS59" s="183">
        <v>46.279876907121654</v>
      </c>
      <c r="BT59" s="183">
        <v>47.867907035992495</v>
      </c>
      <c r="BU59" s="183">
        <v>42.218433967651883</v>
      </c>
      <c r="BV59" s="183">
        <v>43.221440910696423</v>
      </c>
      <c r="BW59" s="183">
        <v>43.367666055632952</v>
      </c>
      <c r="BX59" s="183">
        <v>40.972658235898479</v>
      </c>
      <c r="BY59" s="183">
        <v>31.423584293510089</v>
      </c>
      <c r="BZ59" s="183" cm="1">
        <f t="array" ref="BZ59:CH59">TRANSPOSE('[65]Keithley Matavimai'!$V$5:$V$13)</f>
        <v>204.97835695158508</v>
      </c>
      <c r="CA59" s="183">
        <v>197.77011043391906</v>
      </c>
      <c r="CB59" s="183">
        <v>191.09375009619816</v>
      </c>
      <c r="CC59" s="183">
        <v>182.78905400170265</v>
      </c>
      <c r="CD59" s="183">
        <v>177.83721833388518</v>
      </c>
      <c r="CE59" s="183">
        <v>171.90983643727361</v>
      </c>
      <c r="CF59" s="183">
        <v>167.08387273077781</v>
      </c>
      <c r="CG59" s="183">
        <v>161.27564945421491</v>
      </c>
      <c r="CH59" s="183">
        <v>153.21088426554272</v>
      </c>
      <c r="CI59" s="183" cm="1">
        <f t="array" ref="CI59:CQ59">TRANSPOSE('[65]Silumos kiekio nustat.'!$B$24:$B$32)</f>
        <v>36.849025506425917</v>
      </c>
      <c r="CJ59" s="183">
        <v>33.732811668953808</v>
      </c>
      <c r="CK59" s="183">
        <v>30.713153035550107</v>
      </c>
      <c r="CL59" s="183">
        <v>27.67252017121568</v>
      </c>
      <c r="CM59" s="183">
        <v>24.493383640951379</v>
      </c>
      <c r="CN59" s="183">
        <v>21.058214009758057</v>
      </c>
      <c r="CO59" s="183">
        <v>17.249481842636573</v>
      </c>
      <c r="CP59" s="183">
        <v>12.949657704587779</v>
      </c>
      <c r="CQ59" s="183">
        <v>8.041212160612524</v>
      </c>
      <c r="CR59" s="183">
        <f>'Su K. oro stendu'!P104</f>
        <v>64.569000000000003</v>
      </c>
      <c r="CS59" s="183"/>
      <c r="CT59" s="183"/>
      <c r="CU59" s="183">
        <f>[65]Alfa!$F$15</f>
        <v>545</v>
      </c>
      <c r="CV59" s="172">
        <f>'Su K. oro stendu'!J104</f>
        <v>1</v>
      </c>
      <c r="CW59" s="183">
        <f>'Su K. oro stendu'!D104</f>
        <v>10000</v>
      </c>
      <c r="CX59" s="183">
        <f>'Su K. oro stendu'!G104</f>
        <v>20</v>
      </c>
      <c r="CY59" s="183">
        <f>[65]Alfa!$F$16</f>
        <v>0.20355963302752292</v>
      </c>
      <c r="CZ59" s="183">
        <f>'Su K. oro stendu'!H104</f>
        <v>12.2</v>
      </c>
      <c r="DA59" s="183">
        <f>'Su K. oro stendu'!C104</f>
        <v>500</v>
      </c>
      <c r="DB59" s="183">
        <f>'Su K. oro stendu'!E104</f>
        <v>100</v>
      </c>
      <c r="DC59" s="183">
        <f>'Su K. oro stendu'!I104</f>
        <v>500</v>
      </c>
      <c r="DD59" s="183">
        <f>'Su K. oro stendu'!K104</f>
        <v>7.6</v>
      </c>
      <c r="DE59" s="183">
        <f>'Su K. oro stendu'!L104</f>
        <v>29</v>
      </c>
      <c r="DF59" s="183">
        <f>'Su K. oro stendu'!F104</f>
        <v>205</v>
      </c>
      <c r="DG59" s="253">
        <f>[65]Alfa!$D$29</f>
        <v>8692.5685179852298</v>
      </c>
      <c r="DH59" s="253">
        <f>[65]Alfa!$D$26</f>
        <v>16077.331501044662</v>
      </c>
      <c r="DI59" s="253">
        <f>[65]Alfa!$D$27</f>
        <v>8160.5013633551771</v>
      </c>
      <c r="DJ59" s="253">
        <f t="shared" si="14"/>
        <v>16853.069881340409</v>
      </c>
      <c r="DK59" s="253">
        <f t="shared" si="20"/>
        <v>16465.200691192535</v>
      </c>
      <c r="DL59" s="253">
        <f t="shared" si="16"/>
        <v>4.8250443815588497E-2</v>
      </c>
      <c r="DM59" s="183">
        <f>New!AC59</f>
        <v>5.3609638726714553E-5</v>
      </c>
      <c r="DN59" s="183">
        <f t="shared" si="23"/>
        <v>5.0323119098159997E-5</v>
      </c>
      <c r="DO59" s="183">
        <f t="shared" si="17"/>
        <v>1.0653083450996725</v>
      </c>
      <c r="DP59" s="183">
        <f t="shared" si="24"/>
        <v>241.90479236297634</v>
      </c>
      <c r="DQ59" s="297">
        <f>DH59/((DA59/3600)*New!BV59*(Sheet3!BZ59-Sheet3!CP59)*1000)</f>
        <v>0.49558834028315918</v>
      </c>
      <c r="DR59" s="166">
        <f>(DB59*0.018)/(0.011*New!IV59*3600)</f>
        <v>2847.5095937124056</v>
      </c>
      <c r="DS59" s="166">
        <f>(New!IV59*New!CE59*1000)/New!AU59</f>
        <v>0.55193626425495013</v>
      </c>
      <c r="DT59" s="166">
        <f>IF(DR59&gt;2300,0.023*((DR59^(4/5)*DS59^(1/3))/(1+12.7*(DS59^(2/3)-1)))*(New!IV59/DV59)^0.14, 0.943*(DR59*DS59*New!IV59/Sheet3!DV59)^0.4)</f>
        <v>-3.6887226078307589</v>
      </c>
      <c r="DU59" s="166">
        <f t="shared" si="25"/>
        <v>-885.28068692744432</v>
      </c>
      <c r="DV59" s="166">
        <f>_xlfn.FORECAST.LINEAR(AVERAGE(_xlfn.ANCHORARRAY(BR59)),Sheet2!$AK$2:$AK$69,Sheet2!$AJ$2:$AJ$69)</f>
        <v>1.0312507039759549E-5</v>
      </c>
    </row>
    <row r="60" spans="1:126" x14ac:dyDescent="0.3">
      <c r="A60" s="184">
        <f>'Su K. oro stendu'!B105</f>
        <v>44946</v>
      </c>
      <c r="B60" s="183" cm="1">
        <f t="array" ref="B60:I60">'[66]Kondensacijos efektyvumas'!$B$4:$I$4</f>
        <v>18</v>
      </c>
      <c r="C60" s="183">
        <v>841</v>
      </c>
      <c r="D60" s="183">
        <v>23</v>
      </c>
      <c r="E60" s="183">
        <v>580</v>
      </c>
      <c r="F60" s="183">
        <v>18</v>
      </c>
      <c r="G60" s="183">
        <v>785</v>
      </c>
      <c r="H60" s="183">
        <v>17</v>
      </c>
      <c r="I60" s="183">
        <v>645</v>
      </c>
      <c r="J60" s="183" cm="1">
        <f t="array" ref="J60:Q60">TRANSPOSE('[66]Nu kitimas'!$J$4:$J$11)</f>
        <v>222.701028009493</v>
      </c>
      <c r="K60" s="183">
        <v>223.34247217696691</v>
      </c>
      <c r="L60" s="183">
        <v>222.5304961029648</v>
      </c>
      <c r="M60" s="183">
        <v>221.48431037318866</v>
      </c>
      <c r="N60" s="183">
        <v>230.31942169752699</v>
      </c>
      <c r="O60" s="183">
        <v>247.63340293715549</v>
      </c>
      <c r="P60" s="183">
        <v>263.28693952231674</v>
      </c>
      <c r="Q60" s="183">
        <v>294.64681463852202</v>
      </c>
      <c r="R60" s="183" cm="1">
        <f t="array" ref="R60:Y60">TRANSPOSE([66]Alfa!$G$18:$G$25)</f>
        <v>339.90274354157077</v>
      </c>
      <c r="S60" s="183">
        <v>333.3390955044527</v>
      </c>
      <c r="T60" s="183">
        <v>334.48506734919619</v>
      </c>
      <c r="U60" s="183">
        <v>333.7209408751977</v>
      </c>
      <c r="V60" s="183">
        <v>347.22652479027511</v>
      </c>
      <c r="W60" s="183">
        <v>370.20413707578109</v>
      </c>
      <c r="X60" s="183">
        <v>387.15838637401458</v>
      </c>
      <c r="Y60" s="183">
        <v>424.1789983573957</v>
      </c>
      <c r="Z60" s="183" cm="1">
        <f t="array" ref="Z60:AG60">TRANSPOSE([66]Alfa!$F$127:$F$134)</f>
        <v>1.5878763986554276E-2</v>
      </c>
      <c r="AA60" s="183">
        <v>0.74466213232870337</v>
      </c>
      <c r="AB60" s="183">
        <v>2.0403499103657744E-2</v>
      </c>
      <c r="AC60" s="183">
        <v>0.51490640749821059</v>
      </c>
      <c r="AD60" s="183">
        <v>1.5984960040890974E-2</v>
      </c>
      <c r="AE60" s="183">
        <v>0.697533110829201</v>
      </c>
      <c r="AF60" s="183">
        <v>1.5129242643113779E-2</v>
      </c>
      <c r="AG60" s="183">
        <v>0.57585044414790376</v>
      </c>
      <c r="AH60" s="35" cm="1">
        <f t="array" ref="AH60:AO60">TRANSPOSE('[66]Silumos kiekio nustat.'!$F$25:$F$32)</f>
        <v>378.04488925299603</v>
      </c>
      <c r="AI60" s="35">
        <v>363.43003203426645</v>
      </c>
      <c r="AJ60" s="35">
        <v>353.39916321499828</v>
      </c>
      <c r="AK60" s="35">
        <v>347.91282879169825</v>
      </c>
      <c r="AL60" s="35">
        <v>346.93447475888178</v>
      </c>
      <c r="AM60" s="35">
        <v>350.42923643256637</v>
      </c>
      <c r="AN60" s="35">
        <v>358.36282138523848</v>
      </c>
      <c r="AO60" s="35">
        <v>370.70048720926906</v>
      </c>
      <c r="AP60" s="313">
        <f t="shared" si="5"/>
        <v>3.1474613105639267E-2</v>
      </c>
      <c r="AQ60" s="35">
        <f t="shared" si="6"/>
        <v>11.288424807624983</v>
      </c>
      <c r="AR60" s="183" cm="1">
        <f t="array" ref="AR60:AY60">TRANSPOSE([66]Alfa!$E$127:$E$134)</f>
        <v>8.7981778754857173E-2</v>
      </c>
      <c r="AS60" s="183">
        <v>0.14355980451616052</v>
      </c>
      <c r="AT60" s="183">
        <v>2.7739470738162839E-2</v>
      </c>
      <c r="AU60" s="183">
        <v>4.5326921566736095E-2</v>
      </c>
      <c r="AV60" s="183">
        <v>6.7509595650953408E-2</v>
      </c>
      <c r="AW60" s="183">
        <v>7.7069806633782711E-2</v>
      </c>
      <c r="AX60" s="183">
        <v>4.5081083971102269E-2</v>
      </c>
      <c r="AY60" s="183">
        <v>6.2322336585330033E-2</v>
      </c>
      <c r="AZ60" s="183">
        <f t="shared" si="32"/>
        <v>197.96954314720813</v>
      </c>
      <c r="BA60" s="183">
        <f>'Su K. oro stendu'!P105</f>
        <v>64.396000000000001</v>
      </c>
      <c r="BB60" s="183">
        <f t="shared" si="21"/>
        <v>197.94670050761422</v>
      </c>
      <c r="BC60" s="183">
        <v>64.388999999999996</v>
      </c>
      <c r="BD60" s="183">
        <f t="shared" si="22"/>
        <v>196.87944162436548</v>
      </c>
      <c r="BE60" s="183">
        <v>64.02</v>
      </c>
      <c r="BF60" s="183">
        <f t="shared" si="26"/>
        <v>193.49238578680203</v>
      </c>
      <c r="BG60" s="183">
        <v>64.009</v>
      </c>
      <c r="BH60" s="183">
        <f t="shared" si="27"/>
        <v>190.54822335025381</v>
      </c>
      <c r="BI60" s="183">
        <v>63.749000000000002</v>
      </c>
      <c r="BJ60" s="183">
        <f t="shared" si="28"/>
        <v>190.45685279187816</v>
      </c>
      <c r="BK60" s="183">
        <v>63.741</v>
      </c>
      <c r="BL60" s="183">
        <f t="shared" si="29"/>
        <v>186.4720812182741</v>
      </c>
      <c r="BM60" s="183">
        <v>63.381999999999998</v>
      </c>
      <c r="BN60" s="183">
        <f t="shared" si="30"/>
        <v>186.38578680203045</v>
      </c>
      <c r="BO60" s="183">
        <v>63.374000000000002</v>
      </c>
      <c r="BP60" s="183">
        <f t="shared" si="31"/>
        <v>183.11167512690355</v>
      </c>
      <c r="BQ60" s="183">
        <v>63.072000000000003</v>
      </c>
      <c r="BR60" s="183" cm="1">
        <f t="array" ref="BR60:BY60">TRANSPOSE('[66]Keithley Matavimai'!$W$6:$W$13)</f>
        <v>28.428583260861259</v>
      </c>
      <c r="BS60" s="183">
        <v>23.473411142249574</v>
      </c>
      <c r="BT60" s="183">
        <v>24.185577893902888</v>
      </c>
      <c r="BU60" s="183">
        <v>20.583297799776947</v>
      </c>
      <c r="BV60" s="183">
        <v>20.883423690078644</v>
      </c>
      <c r="BW60" s="183">
        <v>20.772568704019573</v>
      </c>
      <c r="BX60" s="183">
        <v>19.467021845824409</v>
      </c>
      <c r="BY60" s="183">
        <v>15.302415561705565</v>
      </c>
      <c r="BZ60" s="183" cm="1">
        <f t="array" ref="BZ60:CH60">TRANSPOSE('[66]Keithley Matavimai'!$V$5:$V$13)</f>
        <v>84.360302906227631</v>
      </c>
      <c r="CA60" s="183">
        <v>80.352415903235155</v>
      </c>
      <c r="CB60" s="183">
        <v>74.394691468402996</v>
      </c>
      <c r="CC60" s="183">
        <v>73.106197146982026</v>
      </c>
      <c r="CD60" s="183">
        <v>71.447946969300048</v>
      </c>
      <c r="CE60" s="183">
        <v>68.209958052111716</v>
      </c>
      <c r="CF60" s="183">
        <v>65.079354278805496</v>
      </c>
      <c r="CG60" s="183">
        <v>62.856878595884154</v>
      </c>
      <c r="CH60" s="183">
        <v>60.234456262756559</v>
      </c>
      <c r="CI60" s="183" cm="1">
        <f t="array" ref="CI60:CQ60">TRANSPOSE('[66]Silumos kiekio nustat.'!$B$24:$B$32)</f>
        <v>17.425909758186322</v>
      </c>
      <c r="CJ60" s="183">
        <v>16.108424779982439</v>
      </c>
      <c r="CK60" s="183">
        <v>14.839187771142857</v>
      </c>
      <c r="CL60" s="183">
        <v>13.602472784500769</v>
      </c>
      <c r="CM60" s="183">
        <v>12.382553872889364</v>
      </c>
      <c r="CN60" s="183">
        <v>11.163705089141839</v>
      </c>
      <c r="CO60" s="183">
        <v>9.9302004860913851</v>
      </c>
      <c r="CP60" s="183">
        <v>8.666314116571197</v>
      </c>
      <c r="CQ60" s="183">
        <v>7.3563200334144643</v>
      </c>
      <c r="CR60" s="183">
        <f>'Su K. oro stendu'!P105</f>
        <v>64.396000000000001</v>
      </c>
      <c r="CS60" s="183"/>
      <c r="CT60" s="183"/>
      <c r="CU60" s="183">
        <f>[66]Alfa!$F$15</f>
        <v>920</v>
      </c>
      <c r="CV60" s="177">
        <f>'Su K. oro stendu'!J105</f>
        <v>4</v>
      </c>
      <c r="CW60" s="183">
        <f>'Su K. oro stendu'!D105</f>
        <v>5000</v>
      </c>
      <c r="CX60" s="183">
        <f>'Su K. oro stendu'!G105</f>
        <v>20</v>
      </c>
      <c r="CY60" s="183">
        <f>[66]Alfa!$F$16</f>
        <v>0.19089130434782609</v>
      </c>
      <c r="CZ60" s="183">
        <f>'Su K. oro stendu'!H105</f>
        <v>29</v>
      </c>
      <c r="DA60" s="183">
        <f>'Su K. oro stendu'!C105</f>
        <v>197</v>
      </c>
      <c r="DB60" s="183">
        <f>'Su K. oro stendu'!E105</f>
        <v>39</v>
      </c>
      <c r="DC60" s="183">
        <f>'Su K. oro stendu'!I105</f>
        <v>786</v>
      </c>
      <c r="DD60" s="183">
        <f>'Su K. oro stendu'!K105</f>
        <v>7.2</v>
      </c>
      <c r="DE60" s="183">
        <f>'Su K. oro stendu'!L105</f>
        <v>10</v>
      </c>
      <c r="DF60" s="183">
        <f>'Su K. oro stendu'!F105</f>
        <v>85</v>
      </c>
      <c r="DG60" s="253">
        <f>[66]Alfa!$D$29</f>
        <v>1669.7723952512551</v>
      </c>
      <c r="DH60" s="253">
        <f>[66]Alfa!$D$26</f>
        <v>8669.1400864663137</v>
      </c>
      <c r="DI60" s="253">
        <f>[66]Alfa!$D$27</f>
        <v>7801.0456817347058</v>
      </c>
      <c r="DJ60" s="253">
        <f t="shared" si="14"/>
        <v>9470.8180769859609</v>
      </c>
      <c r="DK60" s="253">
        <f t="shared" si="20"/>
        <v>9069.9790817261382</v>
      </c>
      <c r="DL60" s="253">
        <f t="shared" si="16"/>
        <v>9.2474914757828597E-2</v>
      </c>
      <c r="DM60" s="183">
        <f>New!AC60</f>
        <v>2.796185705837458E-5</v>
      </c>
      <c r="DN60" s="183">
        <f t="shared" si="23"/>
        <v>3.5049529086959997E-5</v>
      </c>
      <c r="DO60" s="183">
        <f t="shared" si="17"/>
        <v>0.79778124804471762</v>
      </c>
      <c r="DP60" s="183">
        <f t="shared" si="24"/>
        <v>358.7769867334855</v>
      </c>
      <c r="DQ60" s="297">
        <f>DH60/((DA60/3600)*New!BV60*(Sheet3!BZ60-Sheet3!CP60)*1000)</f>
        <v>1.7663127657265509</v>
      </c>
      <c r="DR60" s="166">
        <f>(DB60*0.018)/(0.011*New!IV60*3600)</f>
        <v>1507.2372652689894</v>
      </c>
      <c r="DS60" s="166">
        <f>(New!IV60*New!CE60*1000)/New!AU60</f>
        <v>0.86323913019559584</v>
      </c>
      <c r="DT60" s="166">
        <f>IF(DR60&gt;2300,0.023*((DR60^(4/5)*DS60^(1/3))/(1+12.7*(DS60^(2/3)-1)))*(New!IV60/DV60)^0.14, 0.943*(DR60*DS60*New!IV60/Sheet3!DV60)^0.4)</f>
        <v>18.052935649056387</v>
      </c>
      <c r="DU60" s="166">
        <f t="shared" si="25"/>
        <v>-1137.8771721241333</v>
      </c>
      <c r="DV60" s="166">
        <f>_xlfn.FORECAST.LINEAR(AVERAGE(_xlfn.ANCHORARRAY(BR60)),Sheet2!$AK$2:$AK$69,Sheet2!$AJ$2:$AJ$69)</f>
        <v>9.5429509438428973E-6</v>
      </c>
    </row>
    <row r="61" spans="1:126" x14ac:dyDescent="0.3">
      <c r="A61" s="184" t="str">
        <f>'Su K. oro stendu'!B106</f>
        <v>2023.01.23-1</v>
      </c>
      <c r="B61" s="183" cm="1">
        <f t="array" ref="B61:I61">'[67]Kondensacijos efektyvumas'!$B$4:$I$4</f>
        <v>4</v>
      </c>
      <c r="C61" s="183">
        <v>906</v>
      </c>
      <c r="D61" s="183">
        <v>8</v>
      </c>
      <c r="E61" s="183">
        <v>903</v>
      </c>
      <c r="F61" s="183">
        <v>6</v>
      </c>
      <c r="G61" s="183">
        <v>822</v>
      </c>
      <c r="H61" s="183">
        <v>8</v>
      </c>
      <c r="I61" s="183">
        <v>709</v>
      </c>
      <c r="J61" s="183" cm="1">
        <f t="array" ref="J61:Q61">TRANSPOSE('[68]Nu kitimas'!$K$4:$K$11)</f>
        <v>231.15507822176394</v>
      </c>
      <c r="K61" s="183">
        <v>211.15506025378602</v>
      </c>
      <c r="L61" s="183">
        <v>207.68573706040266</v>
      </c>
      <c r="M61" s="183">
        <v>211.07424732246946</v>
      </c>
      <c r="N61" s="183">
        <v>221.79143739647125</v>
      </c>
      <c r="O61" s="183">
        <v>242.5544282681949</v>
      </c>
      <c r="P61" s="183">
        <v>255.84571616503229</v>
      </c>
      <c r="Q61" s="183">
        <v>254.66477928588347</v>
      </c>
      <c r="R61" s="183" cm="1">
        <f t="array" ref="R61:Y61">TRANSPOSE([68]Alfa!$G$18:$G$25)</f>
        <v>348.95640939441807</v>
      </c>
      <c r="S61" s="183">
        <v>317.31433254107981</v>
      </c>
      <c r="T61" s="183">
        <v>308.40988559229959</v>
      </c>
      <c r="U61" s="183">
        <v>312.89691001776595</v>
      </c>
      <c r="V61" s="183">
        <v>325.66321843470581</v>
      </c>
      <c r="W61" s="183">
        <v>353.43690591370557</v>
      </c>
      <c r="X61" s="183">
        <v>371.10304325707415</v>
      </c>
      <c r="Y61" s="183">
        <v>368.14277344912244</v>
      </c>
      <c r="Z61" s="183" cm="1">
        <f t="array" ref="Z61:AG61">TRANSPOSE([67]Alfa!$F$127:$F$134)</f>
        <v>3.5578067998070961E-3</v>
      </c>
      <c r="AA61" s="183">
        <v>0.80944935192084533</v>
      </c>
      <c r="AB61" s="183">
        <v>7.1649777568651117E-3</v>
      </c>
      <c r="AC61" s="183">
        <v>0.80962719987760545</v>
      </c>
      <c r="AD61" s="183">
        <v>5.3814825289031131E-3</v>
      </c>
      <c r="AE61" s="183">
        <v>0.73743487593236845</v>
      </c>
      <c r="AF61" s="183">
        <v>7.1821811463893019E-3</v>
      </c>
      <c r="AG61" s="183">
        <v>0.63768041426450839</v>
      </c>
      <c r="AH61" s="35" cm="1">
        <f t="array" ref="AH61:AO61">TRANSPOSE('[67]Silumos kiekio nustat.'!$F$25:$F$32)</f>
        <v>493.63868639307492</v>
      </c>
      <c r="AI61" s="35">
        <v>452.21159549359231</v>
      </c>
      <c r="AJ61" s="35">
        <v>427.86203848707072</v>
      </c>
      <c r="AK61" s="35">
        <v>420.42568422819062</v>
      </c>
      <c r="AL61" s="35">
        <v>429.7558925255222</v>
      </c>
      <c r="AM61" s="35">
        <v>455.70912955840799</v>
      </c>
      <c r="AN61" s="35">
        <v>498.13167489043275</v>
      </c>
      <c r="AO61" s="35">
        <v>556.84776598514475</v>
      </c>
      <c r="AP61" s="313">
        <f t="shared" si="5"/>
        <v>9.9772841910004642E-2</v>
      </c>
      <c r="AQ61" s="35">
        <f t="shared" si="6"/>
        <v>46.576238266985278</v>
      </c>
      <c r="AR61" s="183" cm="1">
        <f t="array" ref="AR61:AY61">TRANSPOSE([67]Alfa!$E$127:$E$134)</f>
        <v>0.19659816522013149</v>
      </c>
      <c r="AS61" s="183">
        <v>0.1780555794298114</v>
      </c>
      <c r="AT61" s="183">
        <v>0.19404553513708722</v>
      </c>
      <c r="AU61" s="183">
        <v>0.10856300293806188</v>
      </c>
      <c r="AV61" s="183">
        <v>0.16008722578890067</v>
      </c>
      <c r="AW61" s="183">
        <v>0.11822161261291525</v>
      </c>
      <c r="AX61" s="183">
        <v>0.14214856428934997</v>
      </c>
      <c r="AY61" s="183">
        <v>0.12149767064540275</v>
      </c>
      <c r="AZ61" s="183">
        <f t="shared" ref="AZ61:AZ102" si="33">(DB61*1000)/DA61</f>
        <v>199.09502262443439</v>
      </c>
      <c r="BA61" s="183">
        <f>'Su K. oro stendu'!P106</f>
        <v>64.492000000000004</v>
      </c>
      <c r="BB61" s="183">
        <f t="shared" si="21"/>
        <v>199.09049773755657</v>
      </c>
      <c r="BC61" s="143">
        <v>64.492000000000004</v>
      </c>
      <c r="BD61" s="183">
        <f t="shared" si="22"/>
        <v>198.06561085972851</v>
      </c>
      <c r="BE61" s="143">
        <v>64.405000000000001</v>
      </c>
      <c r="BF61" s="183">
        <f t="shared" si="26"/>
        <v>194.94117647058823</v>
      </c>
      <c r="BG61" s="143">
        <v>64.135999999999996</v>
      </c>
      <c r="BH61" s="183">
        <f t="shared" si="27"/>
        <v>190.8552036199095</v>
      </c>
      <c r="BI61" s="143">
        <v>63.777000000000001</v>
      </c>
      <c r="BJ61" s="183">
        <f t="shared" si="28"/>
        <v>190.82805429864254</v>
      </c>
      <c r="BK61" s="143">
        <v>63.774000000000001</v>
      </c>
      <c r="BL61" s="183">
        <f t="shared" si="29"/>
        <v>187.10859728506787</v>
      </c>
      <c r="BM61" s="143">
        <v>63.44</v>
      </c>
      <c r="BN61" s="183">
        <f t="shared" si="30"/>
        <v>187.07239819004525</v>
      </c>
      <c r="BO61" s="143">
        <v>63.436999999999998</v>
      </c>
      <c r="BP61" s="183">
        <f t="shared" si="31"/>
        <v>183.86425339366517</v>
      </c>
      <c r="BQ61" s="143">
        <v>63.142000000000003</v>
      </c>
      <c r="BR61" s="183" cm="1">
        <f t="array" ref="BR61:BY61">TRANSPOSE('[67]Keithley Matavimai'!$W$6:$W$13)</f>
        <v>31.37164610841948</v>
      </c>
      <c r="BS61" s="183">
        <v>25.064603328976887</v>
      </c>
      <c r="BT61" s="183">
        <v>26.042928671230438</v>
      </c>
      <c r="BU61" s="183">
        <v>21.768338303886505</v>
      </c>
      <c r="BV61" s="183">
        <v>21.932746211231144</v>
      </c>
      <c r="BW61" s="183">
        <v>21.757830485031324</v>
      </c>
      <c r="BX61" s="183">
        <v>22.233135867744767</v>
      </c>
      <c r="BY61" s="183">
        <v>19.002621961523996</v>
      </c>
      <c r="BZ61" s="183" cm="1">
        <f t="array" ref="BZ61:CH61">TRANSPOSE('[67]Keithley Matavimai'!$V$5:$V$13)</f>
        <v>143.76605911557212</v>
      </c>
      <c r="CA61" s="183">
        <v>136.01825999043288</v>
      </c>
      <c r="CB61" s="183">
        <v>130.07949082510513</v>
      </c>
      <c r="CC61" s="183">
        <v>122.16306058248317</v>
      </c>
      <c r="CD61" s="183">
        <v>118.81351745454278</v>
      </c>
      <c r="CE61" s="183">
        <v>112.05864383176008</v>
      </c>
      <c r="CF61" s="183">
        <v>107.98953039563298</v>
      </c>
      <c r="CG61" s="183">
        <v>101.80492778069492</v>
      </c>
      <c r="CH61" s="183">
        <v>97.248088135613671</v>
      </c>
      <c r="CI61" s="183" cm="1">
        <f t="array" ref="CI61:CQ61">TRANSPOSE('[67]Silumos kiekio nustat.'!$B$24:$B$32)</f>
        <v>18.722418090761057</v>
      </c>
      <c r="CJ61" s="183">
        <v>17.191714142250262</v>
      </c>
      <c r="CK61" s="183">
        <v>15.786066872314123</v>
      </c>
      <c r="CL61" s="183">
        <v>14.453129745017463</v>
      </c>
      <c r="CM61" s="183">
        <v>13.140556224425103</v>
      </c>
      <c r="CN61" s="183">
        <v>11.795999774601867</v>
      </c>
      <c r="CO61" s="183">
        <v>10.367113859612576</v>
      </c>
      <c r="CP61" s="183">
        <v>8.8015519435220568</v>
      </c>
      <c r="CQ61" s="183">
        <v>7.0469674903951329</v>
      </c>
      <c r="CR61" s="183">
        <f>'Su K. oro stendu'!P106</f>
        <v>64.492000000000004</v>
      </c>
      <c r="CS61" s="183"/>
      <c r="CT61" s="183"/>
      <c r="CU61" s="183">
        <f>[67]Alfa!$F$15</f>
        <v>910</v>
      </c>
      <c r="CV61" s="177">
        <f>'Su K. oro stendu'!J106</f>
        <v>4</v>
      </c>
      <c r="CW61" s="183">
        <f>'Su K. oro stendu'!D106</f>
        <v>5000</v>
      </c>
      <c r="CX61" s="183">
        <f>'Su K. oro stendu'!G106</f>
        <v>20</v>
      </c>
      <c r="CY61" s="183">
        <f>[67]Alfa!$F$16</f>
        <v>0.22193406593406595</v>
      </c>
      <c r="CZ61" s="183">
        <f>'Su K. oro stendu'!H106</f>
        <v>30.2</v>
      </c>
      <c r="DA61" s="183">
        <f>'Su K. oro stendu'!C106</f>
        <v>221</v>
      </c>
      <c r="DB61" s="183">
        <f>'Su K. oro stendu'!E106</f>
        <v>44</v>
      </c>
      <c r="DC61" s="183">
        <f>'Su K. oro stendu'!I106</f>
        <v>895</v>
      </c>
      <c r="DD61" s="183">
        <f>'Su K. oro stendu'!K106</f>
        <v>6.8</v>
      </c>
      <c r="DE61" s="183">
        <f>'Su K. oro stendu'!L106</f>
        <v>11.7</v>
      </c>
      <c r="DF61" s="183">
        <f>'Su K. oro stendu'!F106</f>
        <v>145</v>
      </c>
      <c r="DG61" s="253">
        <f>[67]Alfa!$D$29</f>
        <v>3094.9580542886911</v>
      </c>
      <c r="DH61" s="253">
        <f>[67]Alfa!$D$26</f>
        <v>11291.79335488445</v>
      </c>
      <c r="DI61" s="253">
        <f>[67]Alfa!$D$27</f>
        <v>9052.4348706818764</v>
      </c>
      <c r="DJ61" s="253">
        <f t="shared" si="14"/>
        <v>12147.392924970567</v>
      </c>
      <c r="DK61" s="253">
        <f t="shared" si="20"/>
        <v>11719.593139927509</v>
      </c>
      <c r="DL61" s="253">
        <f t="shared" si="16"/>
        <v>7.5771805522460531E-2</v>
      </c>
      <c r="DM61" s="183">
        <f>New!AC61</f>
        <v>3.9910918516455531E-5</v>
      </c>
      <c r="DN61" s="183">
        <f t="shared" si="23"/>
        <v>4.2388323940559999E-5</v>
      </c>
      <c r="DO61" s="183">
        <f t="shared" si="17"/>
        <v>0.94155453214950258</v>
      </c>
      <c r="DP61" s="183">
        <f t="shared" si="24"/>
        <v>338.24043482502145</v>
      </c>
      <c r="DQ61" s="297">
        <f>DH61/((DA61/3600)*New!BV61*(Sheet3!BZ61-Sheet3!CP61)*1000)</f>
        <v>1.1355286691661974</v>
      </c>
      <c r="DR61" s="166">
        <f>(DB61*0.018)/(0.011*New!IV61*3600)</f>
        <v>1442.7751962080001</v>
      </c>
      <c r="DS61" s="166">
        <f>(New!IV61*New!CE61*1000)/New!AU61</f>
        <v>0.64719895598215416</v>
      </c>
      <c r="DT61" s="166">
        <f>IF(DR61&gt;2300,0.023*((DR61^(4/5)*DS61^(1/3))/(1+12.7*(DS61^(2/3)-1)))*(New!IV61/DV61)^0.14, 0.943*(DR61*DS61*New!IV61/Sheet3!DV61)^0.4)</f>
        <v>16.834086153436189</v>
      </c>
      <c r="DU61" s="166">
        <f t="shared" si="25"/>
        <v>-966.05129366374308</v>
      </c>
      <c r="DV61" s="166">
        <f>_xlfn.FORECAST.LINEAR(AVERAGE(_xlfn.ANCHORARRAY(BR61)),Sheet2!$AK$2:$AK$69,Sheet2!$AJ$2:$AJ$69)</f>
        <v>9.6133149723425524E-6</v>
      </c>
    </row>
    <row r="62" spans="1:126" x14ac:dyDescent="0.3">
      <c r="A62" s="184" t="str">
        <f>'Su K. oro stendu'!B107</f>
        <v>2023.01.23-2</v>
      </c>
      <c r="B62" s="183" cm="1">
        <f t="array" ref="B62:I62">'[69]Kondensacijos efektyvumas'!$B$4:$I$4</f>
        <v>2</v>
      </c>
      <c r="C62" s="183">
        <v>845</v>
      </c>
      <c r="D62" s="183">
        <v>2</v>
      </c>
      <c r="E62" s="183">
        <v>843</v>
      </c>
      <c r="F62" s="183">
        <v>1</v>
      </c>
      <c r="G62" s="183">
        <v>831</v>
      </c>
      <c r="H62" s="183">
        <v>1</v>
      </c>
      <c r="I62" s="183">
        <v>739</v>
      </c>
      <c r="J62" s="183" cm="1">
        <f t="array" ref="J62:Q62">TRANSPOSE('[69]Nu kitimas'!$F$4:$F$11)</f>
        <v>92.977207842719608</v>
      </c>
      <c r="K62" s="183">
        <v>90.954212574982563</v>
      </c>
      <c r="L62" s="183">
        <v>92.795361631706641</v>
      </c>
      <c r="M62" s="183">
        <v>95.913063467188266</v>
      </c>
      <c r="N62" s="183">
        <v>101.90445615841824</v>
      </c>
      <c r="O62" s="183">
        <v>111.84770190573329</v>
      </c>
      <c r="P62" s="183">
        <v>125.17966606698936</v>
      </c>
      <c r="Q62" s="183">
        <v>142.25705929729267</v>
      </c>
      <c r="R62" s="183" cm="1">
        <f t="array" ref="R62:Y62">TRANSPOSE([69]Alfa!$G$18:$G$25)</f>
        <v>189.50134404484007</v>
      </c>
      <c r="S62" s="183">
        <v>181.03958186553351</v>
      </c>
      <c r="T62" s="183">
        <v>179.46857498654819</v>
      </c>
      <c r="U62" s="183">
        <v>182.7184922689834</v>
      </c>
      <c r="V62" s="183">
        <v>190.20597642578053</v>
      </c>
      <c r="W62" s="183">
        <v>204.85499910238644</v>
      </c>
      <c r="X62" s="183">
        <v>224.71540467450706</v>
      </c>
      <c r="Y62" s="183">
        <v>249.73458437236644</v>
      </c>
      <c r="Z62" s="183" cm="1">
        <f t="array" ref="Z62:AG62">TRANSPOSE([69]Alfa!$F$127:$F$134)</f>
        <v>1.794981245239079E-3</v>
      </c>
      <c r="AA62" s="183">
        <v>0.76190661839363116</v>
      </c>
      <c r="AB62" s="183">
        <v>1.8075996589002003E-3</v>
      </c>
      <c r="AC62" s="183">
        <v>0.76264651540254924</v>
      </c>
      <c r="AD62" s="183">
        <v>9.0507431351815378E-4</v>
      </c>
      <c r="AE62" s="183">
        <v>0.75266666002038063</v>
      </c>
      <c r="AF62" s="183">
        <v>9.0741949572923882E-4</v>
      </c>
      <c r="AG62" s="183">
        <v>0.67312698782032776</v>
      </c>
      <c r="AH62" s="35" cm="1">
        <f t="array" ref="AH62:AO62">TRANSPOSE('[69]Silumos kiekio nustat.'!$F$25:$F$32)</f>
        <v>646.06589108613809</v>
      </c>
      <c r="AI62" s="35">
        <v>596.53771867093235</v>
      </c>
      <c r="AJ62" s="35">
        <v>562.56113431231051</v>
      </c>
      <c r="AK62" s="35">
        <v>543.95415314193997</v>
      </c>
      <c r="AL62" s="35">
        <v>540.55797291193073</v>
      </c>
      <c r="AM62" s="35">
        <v>552.22574116650981</v>
      </c>
      <c r="AN62" s="35">
        <v>578.81236310897202</v>
      </c>
      <c r="AO62" s="35">
        <v>620.16535710869368</v>
      </c>
      <c r="AP62" s="313">
        <f t="shared" si="5"/>
        <v>6.5748246875049307E-2</v>
      </c>
      <c r="AQ62" s="35">
        <f t="shared" si="6"/>
        <v>38.141218219188879</v>
      </c>
      <c r="AR62" s="183" cm="1">
        <f t="array" ref="AR62:AY62">TRANSPOSE([69]Alfa!$E$127:$E$134)</f>
        <v>0.33820073815662316</v>
      </c>
      <c r="AS62" s="183">
        <v>0.30290897312615722</v>
      </c>
      <c r="AT62" s="183">
        <v>0.32801855080840464</v>
      </c>
      <c r="AU62" s="183">
        <v>0.20359908708941324</v>
      </c>
      <c r="AV62" s="183">
        <v>0.22663526575641876</v>
      </c>
      <c r="AW62" s="183">
        <v>0.24207552208066249</v>
      </c>
      <c r="AX62" s="183">
        <v>0.21522608561598167</v>
      </c>
      <c r="AY62" s="183">
        <v>0.26823833373978784</v>
      </c>
      <c r="AZ62" s="183">
        <f t="shared" si="33"/>
        <v>200</v>
      </c>
      <c r="BA62" s="183">
        <f>'Su K. oro stendu'!P107</f>
        <v>64.569000000000003</v>
      </c>
      <c r="BB62" s="183">
        <f t="shared" si="21"/>
        <v>199.99799999999999</v>
      </c>
      <c r="BC62" s="143">
        <v>64.567999999999998</v>
      </c>
      <c r="BD62" s="183">
        <f t="shared" si="22"/>
        <v>199.15299999999999</v>
      </c>
      <c r="BE62" s="143">
        <v>64.497</v>
      </c>
      <c r="BF62" s="183">
        <f t="shared" si="26"/>
        <v>196.60400000000001</v>
      </c>
      <c r="BG62" s="143">
        <v>64.278999999999996</v>
      </c>
      <c r="BH62" s="183">
        <f t="shared" si="27"/>
        <v>193.232</v>
      </c>
      <c r="BI62" s="143">
        <v>63.987000000000002</v>
      </c>
      <c r="BJ62" s="183">
        <f t="shared" si="28"/>
        <v>193.22800000000001</v>
      </c>
      <c r="BK62" s="143">
        <v>63.985999999999997</v>
      </c>
      <c r="BL62" s="183">
        <f t="shared" si="29"/>
        <v>189.904</v>
      </c>
      <c r="BM62" s="143">
        <v>63.692</v>
      </c>
      <c r="BN62" s="183">
        <f t="shared" si="30"/>
        <v>189.9</v>
      </c>
      <c r="BO62" s="143">
        <v>63.692</v>
      </c>
      <c r="BP62" s="183">
        <f t="shared" si="31"/>
        <v>186.94399999999999</v>
      </c>
      <c r="BQ62" s="143">
        <v>63.424999999999997</v>
      </c>
      <c r="BR62" s="183" cm="1">
        <f t="array" ref="BR62:BY62">TRANSPOSE('[69]Keithley Matavimai'!$W$6:$W$13)</f>
        <v>33.539055743594538</v>
      </c>
      <c r="BS62" s="183">
        <v>26.952037669981753</v>
      </c>
      <c r="BT62" s="183">
        <v>28.290763075213004</v>
      </c>
      <c r="BU62" s="183">
        <v>23.42757821805785</v>
      </c>
      <c r="BV62" s="183">
        <v>24.351975718832424</v>
      </c>
      <c r="BW62" s="183">
        <v>24.04057919217286</v>
      </c>
      <c r="BX62" s="183">
        <v>21.684618865615494</v>
      </c>
      <c r="BY62" s="183">
        <v>17.594411733988824</v>
      </c>
      <c r="BZ62" s="183" cm="1">
        <f t="array" ref="BZ62:CH62">TRANSPOSE('[69]Keithley Matavimai'!$V$5:$V$13)</f>
        <v>204.75645177716919</v>
      </c>
      <c r="CA62" s="183">
        <v>193.10592792579257</v>
      </c>
      <c r="CB62" s="183">
        <v>184.02344787008451</v>
      </c>
      <c r="CC62" s="183">
        <v>172.54779710457944</v>
      </c>
      <c r="CD62" s="183">
        <v>166.65004942693352</v>
      </c>
      <c r="CE62" s="183">
        <v>158.5033393498386</v>
      </c>
      <c r="CF62" s="183">
        <v>150.88537556292576</v>
      </c>
      <c r="CG62" s="183">
        <v>142.9033412526334</v>
      </c>
      <c r="CH62" s="183">
        <v>133.79401274463967</v>
      </c>
      <c r="CI62" s="183" cm="1">
        <f t="array" ref="CI62:CQ62">TRANSPOSE('[69]Silumos kiekio nustat.'!$B$24:$B$32)</f>
        <v>20.461910760154922</v>
      </c>
      <c r="CJ62" s="183">
        <v>18.697264269932575</v>
      </c>
      <c r="CK62" s="183">
        <v>17.063268903839557</v>
      </c>
      <c r="CL62" s="183">
        <v>15.518295240169509</v>
      </c>
      <c r="CM62" s="183">
        <v>14.020713857216069</v>
      </c>
      <c r="CN62" s="183">
        <v>12.528895333272882</v>
      </c>
      <c r="CO62" s="183">
        <v>11.001210246633583</v>
      </c>
      <c r="CP62" s="183">
        <v>9.3960291755918135</v>
      </c>
      <c r="CQ62" s="183">
        <v>7.6717226984412186</v>
      </c>
      <c r="CR62" s="183">
        <f>'Su K. oro stendu'!P107</f>
        <v>64.569000000000003</v>
      </c>
      <c r="CS62" s="183"/>
      <c r="CT62" s="183"/>
      <c r="CU62" s="183">
        <f>[69]Alfa!$F$15</f>
        <v>900</v>
      </c>
      <c r="CV62" s="177">
        <f>'Su K. oro stendu'!J107</f>
        <v>4</v>
      </c>
      <c r="CW62" s="183">
        <f>'Su K. oro stendu'!D107</f>
        <v>5000</v>
      </c>
      <c r="CX62" s="183">
        <f>'Su K. oro stendu'!G107</f>
        <v>20</v>
      </c>
      <c r="CY62" s="183">
        <f>[69]Alfa!$F$16</f>
        <v>0.21759999999999999</v>
      </c>
      <c r="CZ62" s="183">
        <f>'Su K. oro stendu'!H107</f>
        <v>26</v>
      </c>
      <c r="DA62" s="183">
        <f>'Su K. oro stendu'!C107</f>
        <v>250</v>
      </c>
      <c r="DB62" s="183">
        <f>'Su K. oro stendu'!E107</f>
        <v>50</v>
      </c>
      <c r="DC62" s="183">
        <f>'Su K. oro stendu'!I107</f>
        <v>1002</v>
      </c>
      <c r="DD62" s="183">
        <f>'Su K. oro stendu'!K107</f>
        <v>7.5</v>
      </c>
      <c r="DE62" s="183">
        <f>'Su K. oro stendu'!L107</f>
        <v>12.8</v>
      </c>
      <c r="DF62" s="183">
        <f>'Su K. oro stendu'!F107</f>
        <v>205</v>
      </c>
      <c r="DG62" s="253">
        <f>[69]Alfa!$D$29</f>
        <v>5516.2362331515151</v>
      </c>
      <c r="DH62" s="253">
        <f>[69]Alfa!$D$26</f>
        <v>14047.610082268548</v>
      </c>
      <c r="DI62" s="253">
        <f>[69]Alfa!$D$27</f>
        <v>8867.2855690508259</v>
      </c>
      <c r="DJ62" s="253">
        <f t="shared" si="14"/>
        <v>14383.52180220234</v>
      </c>
      <c r="DK62" s="253">
        <f t="shared" si="20"/>
        <v>14215.565942235444</v>
      </c>
      <c r="DL62" s="253">
        <f t="shared" si="16"/>
        <v>2.3912374985250597E-2</v>
      </c>
      <c r="DM62" s="183">
        <f>New!AC62</f>
        <v>5.3609638726714553E-5</v>
      </c>
      <c r="DN62" s="183">
        <f t="shared" si="23"/>
        <v>5.0323119098159997E-5</v>
      </c>
      <c r="DO62" s="183">
        <f t="shared" si="17"/>
        <v>1.0653083450996725</v>
      </c>
      <c r="DP62" s="183">
        <f t="shared" si="24"/>
        <v>200.2798697176182</v>
      </c>
      <c r="DQ62" s="297">
        <f>DH62/((DA62/3600)*New!BV62*(Sheet3!BZ62-Sheet3!CP62)*1000)</f>
        <v>0.8512734867448678</v>
      </c>
      <c r="DR62" s="166">
        <f>(DB62*0.018)/(0.011*New!IV62*3600)</f>
        <v>1423.7547968562028</v>
      </c>
      <c r="DS62" s="166">
        <f>(New!IV62*New!CE62*1000)/New!AU62</f>
        <v>0.55193626425495013</v>
      </c>
      <c r="DT62" s="166">
        <f>IF(DR62&gt;2300,0.023*((DR62^(4/5)*DS62^(1/3))/(1+12.7*(DS62^(2/3)-1)))*(New!IV62/DV62)^0.14, 0.943*(DR62*DS62*New!IV62/Sheet3!DV62)^0.4)</f>
        <v>16.591749828248879</v>
      </c>
      <c r="DU62" s="166">
        <f t="shared" si="25"/>
        <v>-873.50019211486972</v>
      </c>
      <c r="DV62" s="166">
        <f>_xlfn.FORECAST.LINEAR(AVERAGE(_xlfn.ANCHORARRAY(BR62)),Sheet2!$AK$2:$AK$69,Sheet2!$AJ$2:$AJ$69)</f>
        <v>9.6601753158407825E-6</v>
      </c>
    </row>
    <row r="63" spans="1:126" ht="15" thickBot="1" x14ac:dyDescent="0.35">
      <c r="A63" s="184" t="str">
        <f>'Su K. oro stendu'!B108</f>
        <v>2023.01.24-1</v>
      </c>
      <c r="B63" s="183" cm="1">
        <f t="array" ref="B63:I63">'[70]Kondensacijos efektyvumas'!$B$4:$I$4</f>
        <v>159</v>
      </c>
      <c r="C63" s="183">
        <v>709</v>
      </c>
      <c r="D63" s="183">
        <v>29</v>
      </c>
      <c r="E63" s="183">
        <v>518</v>
      </c>
      <c r="F63" s="183">
        <v>63</v>
      </c>
      <c r="G63" s="183">
        <v>603</v>
      </c>
      <c r="H63" s="183">
        <v>31</v>
      </c>
      <c r="I63" s="183">
        <v>625</v>
      </c>
      <c r="J63" s="183" cm="1">
        <f t="array" ref="J63:Q63">TRANSPOSE('[70]Nu kitimas'!$J$4:$J$11)</f>
        <v>226.93183674945587</v>
      </c>
      <c r="K63" s="183">
        <v>208.43590498551561</v>
      </c>
      <c r="L63" s="183">
        <v>203.91203012901909</v>
      </c>
      <c r="M63" s="183">
        <v>204.84903348268492</v>
      </c>
      <c r="N63" s="183">
        <v>212.99643998072358</v>
      </c>
      <c r="O63" s="183">
        <v>233.31562106213437</v>
      </c>
      <c r="P63" s="183">
        <v>244.35798528190466</v>
      </c>
      <c r="Q63" s="183">
        <v>266.75563868861957</v>
      </c>
      <c r="R63" s="183" cm="1">
        <f t="array" ref="R63:Y63">TRANSPOSE([70]Alfa!$G$18:$G$25)</f>
        <v>342.61873678584573</v>
      </c>
      <c r="S63" s="183">
        <v>313.38192858879921</v>
      </c>
      <c r="T63" s="183">
        <v>302.94911008554755</v>
      </c>
      <c r="U63" s="183">
        <v>303.54297787328102</v>
      </c>
      <c r="V63" s="183">
        <v>312.42866370067185</v>
      </c>
      <c r="W63" s="183">
        <v>338.97752445941353</v>
      </c>
      <c r="X63" s="183">
        <v>354.2680840963979</v>
      </c>
      <c r="Y63" s="183">
        <v>384.85116643533911</v>
      </c>
      <c r="Z63" s="183" cm="1">
        <f t="array" ref="Z63:AG63">TRANSPOSE([70]Alfa!$F$127:$F$134)</f>
        <v>0.14097864502066668</v>
      </c>
      <c r="AA63" s="183">
        <v>0.63135580304999683</v>
      </c>
      <c r="AB63" s="183">
        <v>2.5889176655606402E-2</v>
      </c>
      <c r="AC63" s="183">
        <v>0.46309972293153923</v>
      </c>
      <c r="AD63" s="183">
        <v>5.6382192151891282E-2</v>
      </c>
      <c r="AE63" s="183">
        <v>0.54038337791134361</v>
      </c>
      <c r="AF63" s="183">
        <v>2.7844904374876991E-2</v>
      </c>
      <c r="AG63" s="183">
        <v>0.56358408009373351</v>
      </c>
      <c r="AH63" s="35" cm="1">
        <f t="array" ref="AH63:AO63">TRANSPOSE('[70]Silumos kiekio nustat.'!$F$25:$F$32)</f>
        <v>334.84398373445856</v>
      </c>
      <c r="AI63" s="35">
        <v>310.95835943473151</v>
      </c>
      <c r="AJ63" s="35">
        <v>293.73181555101166</v>
      </c>
      <c r="AK63" s="35">
        <v>283.07749577564135</v>
      </c>
      <c r="AL63" s="35">
        <v>278.91978147971093</v>
      </c>
      <c r="AM63" s="35">
        <v>281.18984754067299</v>
      </c>
      <c r="AN63" s="35">
        <v>289.82165200084285</v>
      </c>
      <c r="AO63" s="35">
        <v>304.748349691383</v>
      </c>
      <c r="AP63" s="313">
        <f t="shared" si="5"/>
        <v>6.384630725610603E-2</v>
      </c>
      <c r="AQ63" s="35">
        <f t="shared" si="6"/>
        <v>18.972658729085257</v>
      </c>
      <c r="AR63" s="183" cm="1">
        <f t="array" ref="AR63:AY63">TRANSPOSE([70]Alfa!$E$127:$E$134)</f>
        <v>6.0846378947632729E-2</v>
      </c>
      <c r="AS63" s="183">
        <v>5.3443551739191429E-2</v>
      </c>
      <c r="AT63" s="183">
        <v>5.5606307592850929E-2</v>
      </c>
      <c r="AU63" s="183">
        <v>3.7229367498474317E-2</v>
      </c>
      <c r="AV63" s="183">
        <v>4.7887424061363204E-2</v>
      </c>
      <c r="AW63" s="183">
        <v>7.0927469802282941E-2</v>
      </c>
      <c r="AX63" s="183">
        <v>1.057616410904077E-2</v>
      </c>
      <c r="AY63" s="183">
        <v>5.1712731766766599E-2</v>
      </c>
      <c r="AZ63" s="183">
        <f t="shared" si="33"/>
        <v>193.27731092436974</v>
      </c>
      <c r="BA63" s="183">
        <f>'Su K. oro stendu'!P108</f>
        <v>63.991</v>
      </c>
      <c r="BB63" s="183">
        <f t="shared" si="21"/>
        <v>192.94327731092437</v>
      </c>
      <c r="BC63" s="143">
        <v>63.960999999999999</v>
      </c>
      <c r="BD63" s="183">
        <f t="shared" si="22"/>
        <v>191.45378151260505</v>
      </c>
      <c r="BE63" s="143">
        <v>63.83</v>
      </c>
      <c r="BF63" s="183">
        <f t="shared" si="26"/>
        <v>185.73949579831933</v>
      </c>
      <c r="BG63" s="304">
        <v>63.314999999999998</v>
      </c>
      <c r="BH63" s="183">
        <f t="shared" si="27"/>
        <v>181.38655462184875</v>
      </c>
      <c r="BI63" s="143">
        <v>62.911000000000001</v>
      </c>
      <c r="BJ63" s="183">
        <f t="shared" si="28"/>
        <v>180.85714285714286</v>
      </c>
      <c r="BK63" s="143">
        <v>62.860999999999997</v>
      </c>
      <c r="BL63" s="183">
        <f t="shared" si="29"/>
        <v>175.78991596638656</v>
      </c>
      <c r="BM63" s="143">
        <v>62.375</v>
      </c>
      <c r="BN63" s="183">
        <f t="shared" si="30"/>
        <v>175.52941176470586</v>
      </c>
      <c r="BO63" s="143">
        <v>62.35</v>
      </c>
      <c r="BP63" s="183">
        <f t="shared" si="31"/>
        <v>170.27731092436971</v>
      </c>
      <c r="BQ63" s="143">
        <v>61.829000000000001</v>
      </c>
      <c r="BR63" s="183" cm="1">
        <f t="array" ref="BR63:BY63">TRANSPOSE('[70]Keithley Matavimai'!$W$6:$W$13)</f>
        <v>34.077727856233388</v>
      </c>
      <c r="BS63" s="183">
        <v>29.910026025962804</v>
      </c>
      <c r="BT63" s="183">
        <v>28.655792653668527</v>
      </c>
      <c r="BU63" s="183">
        <v>24.639285655894849</v>
      </c>
      <c r="BV63" s="183">
        <v>23.887769537639134</v>
      </c>
      <c r="BW63" s="183">
        <v>23.378193021691391</v>
      </c>
      <c r="BX63" s="183">
        <v>21.896720449794017</v>
      </c>
      <c r="BY63" s="183">
        <v>16.021936097450737</v>
      </c>
      <c r="BZ63" s="183" cm="1">
        <f t="array" ref="BZ63:CH63">TRANSPOSE('[70]Keithley Matavimai'!$V$5:$V$13)</f>
        <v>84.030849702282509</v>
      </c>
      <c r="CA63" s="183">
        <v>79.66000336218292</v>
      </c>
      <c r="CB63" s="183">
        <v>76.573604540267368</v>
      </c>
      <c r="CC63" s="183">
        <v>72.202520153543276</v>
      </c>
      <c r="CD63" s="183">
        <v>69.95726328569647</v>
      </c>
      <c r="CE63" s="183">
        <v>66.114396695606942</v>
      </c>
      <c r="CF63" s="183">
        <v>60.97072019382415</v>
      </c>
      <c r="CG63" s="183">
        <v>60.109706860317942</v>
      </c>
      <c r="CH63" s="183">
        <v>56.422229926362739</v>
      </c>
      <c r="CI63" s="183" cm="1">
        <f t="array" ref="CI63:CQ63">TRANSPOSE('[70]Silumos kiekio nustat.'!$B$24:$B$32)</f>
        <v>21.041767663218184</v>
      </c>
      <c r="CJ63" s="183">
        <v>19.122190385987409</v>
      </c>
      <c r="CK63" s="183">
        <v>17.334000816955815</v>
      </c>
      <c r="CL63" s="183">
        <v>15.640006766626678</v>
      </c>
      <c r="CM63" s="183">
        <v>14.003016045503266</v>
      </c>
      <c r="CN63" s="183">
        <v>12.385836464088843</v>
      </c>
      <c r="CO63" s="183">
        <v>10.75127583288668</v>
      </c>
      <c r="CP63" s="183">
        <v>9.0621419624000481</v>
      </c>
      <c r="CQ63" s="183">
        <v>7.2812426631322111</v>
      </c>
      <c r="CR63" s="183">
        <f>'Su K. oro stendu'!P108</f>
        <v>63.991</v>
      </c>
      <c r="CS63" s="183"/>
      <c r="CT63" s="183"/>
      <c r="CU63" s="183">
        <f>[70]Alfa!$F$15</f>
        <v>910</v>
      </c>
      <c r="CV63" s="177">
        <f>'Su K. oro stendu'!J108</f>
        <v>4</v>
      </c>
      <c r="CW63" s="183">
        <f>'Su K. oro stendu'!D108</f>
        <v>3000</v>
      </c>
      <c r="CX63" s="183">
        <f>'Su K. oro stendu'!G108</f>
        <v>20</v>
      </c>
      <c r="CY63" s="183">
        <f>[70]Alfa!$F$16</f>
        <v>0.18046153846153848</v>
      </c>
      <c r="CZ63" s="183">
        <f>'Su K. oro stendu'!H108</f>
        <v>45</v>
      </c>
      <c r="DA63" s="183">
        <f>'Su K. oro stendu'!C108</f>
        <v>119</v>
      </c>
      <c r="DB63" s="183">
        <f>'Su K. oro stendu'!E108</f>
        <v>23</v>
      </c>
      <c r="DC63" s="183">
        <f>'Su K. oro stendu'!I108</f>
        <v>477</v>
      </c>
      <c r="DD63" s="183">
        <f>'Su K. oro stendu'!K108</f>
        <v>7.2</v>
      </c>
      <c r="DE63" s="183">
        <f>'Su K. oro stendu'!L108</f>
        <v>13.8</v>
      </c>
      <c r="DF63" s="183">
        <f>'Su K. oro stendu'!F108</f>
        <v>85</v>
      </c>
      <c r="DG63" s="253">
        <f>[70]Alfa!$D$29</f>
        <v>1051.6933088362564</v>
      </c>
      <c r="DH63" s="253">
        <f>[70]Alfa!$D$26</f>
        <v>7183.7470362426629</v>
      </c>
      <c r="DI63" s="253">
        <f>[70]Alfa!$D$27</f>
        <v>7348.5537065689641</v>
      </c>
      <c r="DJ63" s="253">
        <f t="shared" si="14"/>
        <v>8400.2470154052207</v>
      </c>
      <c r="DK63" s="253">
        <f t="shared" si="20"/>
        <v>7791.9970258239418</v>
      </c>
      <c r="DL63" s="253">
        <f t="shared" si="16"/>
        <v>0.16934059245477379</v>
      </c>
      <c r="DM63" s="183">
        <f>New!AC63</f>
        <v>2.80148839669975E-5</v>
      </c>
      <c r="DN63" s="183">
        <f t="shared" si="23"/>
        <v>3.5049529086959997E-5</v>
      </c>
      <c r="DO63" s="183">
        <f t="shared" si="17"/>
        <v>0.79929416162741829</v>
      </c>
      <c r="DP63" s="183">
        <f t="shared" si="24"/>
        <v>331.62727400316203</v>
      </c>
      <c r="DQ63" s="297">
        <f>DH63/((DA63/3600)*New!BV63*(Sheet3!BZ63-Sheet3!CP63)*1000)</f>
        <v>2.454949159905889</v>
      </c>
      <c r="DR63" s="166">
        <f>(DB63*0.018)/(0.011*New!IV63*3600)</f>
        <v>888.88351541504505</v>
      </c>
      <c r="DS63" s="166">
        <f>(New!IV63*New!CE63*1000)/New!AU63</f>
        <v>0.86323913019559584</v>
      </c>
      <c r="DT63" s="166">
        <f>IF(DR63&gt;2300,0.023*((DR63^(4/5)*DS63^(1/3))/(1+12.7*(DS63^(2/3)-1)))*(New!IV63/DV63)^0.14, 0.943*(DR63*DS63*New!IV63/Sheet3!DV63)^0.4)</f>
        <v>14.537467565010177</v>
      </c>
      <c r="DU63" s="166">
        <f t="shared" si="25"/>
        <v>-1170.0854314673693</v>
      </c>
      <c r="DV63" s="166">
        <f>_xlfn.FORECAST.LINEAR(AVERAGE(_xlfn.ANCHORARRAY(BR63)),Sheet2!$AK$2:$AK$69,Sheet2!$AJ$2:$AJ$69)</f>
        <v>9.6714949322325295E-6</v>
      </c>
    </row>
    <row r="64" spans="1:126" x14ac:dyDescent="0.3">
      <c r="A64" s="184" t="str">
        <f>'Su K. oro stendu'!B109</f>
        <v>2023.01.24-2</v>
      </c>
      <c r="B64" s="183" cm="1">
        <f t="array" ref="B64:I64">'[71]Kondensacijos efektyvumas'!$B$4:$I$4</f>
        <v>13</v>
      </c>
      <c r="C64" s="183">
        <v>849</v>
      </c>
      <c r="D64" s="183">
        <v>21</v>
      </c>
      <c r="E64" s="183">
        <v>535</v>
      </c>
      <c r="F64" s="183">
        <v>30</v>
      </c>
      <c r="G64" s="183">
        <v>774</v>
      </c>
      <c r="H64" s="183">
        <v>22</v>
      </c>
      <c r="I64" s="183">
        <v>650</v>
      </c>
      <c r="J64" s="183" cm="1">
        <f t="array" ref="J64:Q64">TRANSPOSE('[71]Nu kitimas'!$H$4:$H$11)</f>
        <v>117.4765656701538</v>
      </c>
      <c r="K64" s="183">
        <v>114.81676713755544</v>
      </c>
      <c r="L64" s="183">
        <v>117.5064884012391</v>
      </c>
      <c r="M64" s="183">
        <v>121.14161913027644</v>
      </c>
      <c r="N64" s="183">
        <v>128.19209204478497</v>
      </c>
      <c r="O64" s="183">
        <v>136.57404173346686</v>
      </c>
      <c r="P64" s="183">
        <v>147.39873214897369</v>
      </c>
      <c r="Q64" s="183">
        <v>169.6831434003013</v>
      </c>
      <c r="R64" s="183" cm="1">
        <f t="array" ref="R64:Y64">TRANSPOSE([71]Alfa!$G$18:$G$25)</f>
        <v>206.45016739454326</v>
      </c>
      <c r="S64" s="183">
        <v>198.46995497034081</v>
      </c>
      <c r="T64" s="183">
        <v>198.52466815233012</v>
      </c>
      <c r="U64" s="183">
        <v>202.52692284822129</v>
      </c>
      <c r="V64" s="183">
        <v>210.22805142586395</v>
      </c>
      <c r="W64" s="183">
        <v>221.91215382578994</v>
      </c>
      <c r="X64" s="183">
        <v>235.03981302007202</v>
      </c>
      <c r="Y64" s="183">
        <v>267.7864763922741</v>
      </c>
      <c r="Z64" s="183" cm="1">
        <f t="array" ref="Z64:AG64">TRANSPOSE([71]Alfa!$F$127:$F$134)</f>
        <v>1.1424163907180936E-2</v>
      </c>
      <c r="AA64" s="183">
        <v>0.7498137114387885</v>
      </c>
      <c r="AB64" s="183">
        <v>1.8600261413065658E-2</v>
      </c>
      <c r="AC64" s="183">
        <v>0.474643809501887</v>
      </c>
      <c r="AD64" s="183">
        <v>2.6648013029987108E-2</v>
      </c>
      <c r="AE64" s="183">
        <v>0.68861600019522806</v>
      </c>
      <c r="AF64" s="183">
        <v>1.9627059149881349E-2</v>
      </c>
      <c r="AG64" s="183">
        <v>0.58260247156040912</v>
      </c>
      <c r="AH64" s="35" cm="1">
        <f t="array" ref="AH64:AO64">TRANSPOSE('[71]Silumos kiekio nustat.'!$F$25:$F$32)</f>
        <v>428.12126148685195</v>
      </c>
      <c r="AI64" s="35">
        <v>401.62211392620407</v>
      </c>
      <c r="AJ64" s="35">
        <v>381.88779929544006</v>
      </c>
      <c r="AK64" s="35">
        <v>368.8160683462379</v>
      </c>
      <c r="AL64" s="35">
        <v>362.31722085329812</v>
      </c>
      <c r="AM64" s="35">
        <v>362.30992923284009</v>
      </c>
      <c r="AN64" s="35">
        <v>368.71750272576236</v>
      </c>
      <c r="AO64" s="35">
        <v>381.46457999702227</v>
      </c>
      <c r="AP64" s="313">
        <f t="shared" si="5"/>
        <v>5.9691362756991287E-2</v>
      </c>
      <c r="AQ64" s="35">
        <f t="shared" si="6"/>
        <v>22.796552827053038</v>
      </c>
      <c r="AR64" s="183" cm="1">
        <f t="array" ref="AR64:AY64">TRANSPOSE([71]Alfa!$E$127:$E$134)</f>
        <v>0.12497358143599219</v>
      </c>
      <c r="AS64" s="183">
        <v>0.13174963146217886</v>
      </c>
      <c r="AT64" s="183">
        <v>0.12790067472457131</v>
      </c>
      <c r="AU64" s="183">
        <v>8.2852161322637369E-2</v>
      </c>
      <c r="AV64" s="183">
        <v>0.10459183017702263</v>
      </c>
      <c r="AW64" s="183">
        <v>8.6898613688137338E-2</v>
      </c>
      <c r="AX64" s="183">
        <v>9.7737849074452932E-2</v>
      </c>
      <c r="AY64" s="183">
        <v>8.5376376676555357E-2</v>
      </c>
      <c r="AZ64" s="183">
        <f t="shared" si="33"/>
        <v>201.49253731343285</v>
      </c>
      <c r="BA64" s="183">
        <f>'Su K. oro stendu'!P109</f>
        <v>64.694000000000003</v>
      </c>
      <c r="BB64" s="183">
        <f t="shared" si="21"/>
        <v>201.46828358208955</v>
      </c>
      <c r="BC64" s="143">
        <v>64.691999999999993</v>
      </c>
      <c r="BD64" s="183">
        <f t="shared" si="22"/>
        <v>199.88432835820896</v>
      </c>
      <c r="BE64" s="143">
        <v>64.558999999999997</v>
      </c>
      <c r="BF64" s="183">
        <f t="shared" si="26"/>
        <v>194.90298507462686</v>
      </c>
      <c r="BG64" s="143">
        <v>64.132000000000005</v>
      </c>
      <c r="BH64" s="183">
        <f t="shared" si="27"/>
        <v>190.91044776119404</v>
      </c>
      <c r="BI64" s="143">
        <v>63.781999999999996</v>
      </c>
      <c r="BJ64" s="183">
        <f t="shared" si="28"/>
        <v>190.68656716417911</v>
      </c>
      <c r="BK64" s="143">
        <v>63.762</v>
      </c>
      <c r="BL64" s="183">
        <f t="shared" si="29"/>
        <v>184.91044776119404</v>
      </c>
      <c r="BM64" s="143">
        <v>63.238999999999997</v>
      </c>
      <c r="BN64" s="183">
        <f t="shared" si="30"/>
        <v>184.74626865671641</v>
      </c>
      <c r="BO64" s="143">
        <v>63.223999999999997</v>
      </c>
      <c r="BP64" s="183">
        <f t="shared" si="31"/>
        <v>179.8955223880597</v>
      </c>
      <c r="BQ64" s="143">
        <v>62.77</v>
      </c>
      <c r="BR64" s="183" cm="1">
        <f t="array" ref="BR64:BY64">TRANSPOSE('[71]Keithley Matavimai'!$W$6:$W$13)</f>
        <v>37.869937392334577</v>
      </c>
      <c r="BS64" s="183">
        <v>32.118465583959328</v>
      </c>
      <c r="BT64" s="183">
        <v>31.595124254940057</v>
      </c>
      <c r="BU64" s="183">
        <v>26.721073738068117</v>
      </c>
      <c r="BV64" s="183">
        <v>26.224379685836212</v>
      </c>
      <c r="BW64" s="183">
        <v>25.755276241366271</v>
      </c>
      <c r="BX64" s="183">
        <v>22.399055317437259</v>
      </c>
      <c r="BY64" s="183">
        <v>16.969439742619162</v>
      </c>
      <c r="BZ64" s="183" cm="1">
        <f t="array" ref="BZ64:CH64">TRANSPOSE('[71]Keithley Matavimai'!$V$5:$V$13)</f>
        <v>142.71559631224923</v>
      </c>
      <c r="CA64" s="183">
        <v>134.60396567821877</v>
      </c>
      <c r="CB64" s="183">
        <v>127.62630579996534</v>
      </c>
      <c r="CC64" s="183">
        <v>118.90147642324375</v>
      </c>
      <c r="CD64" s="183">
        <v>114.22536839440035</v>
      </c>
      <c r="CE64" s="183">
        <v>106.85706665766754</v>
      </c>
      <c r="CF64" s="183">
        <v>102.04663265653873</v>
      </c>
      <c r="CG64" s="183">
        <v>94.811412410860669</v>
      </c>
      <c r="CH64" s="183">
        <v>89.507156216244582</v>
      </c>
      <c r="CI64" s="183" cm="1">
        <f t="array" ref="CI64:CQ64">TRANSPOSE('[71]Silumos kiekio nustat.'!$B$24:$B$32)</f>
        <v>23.2121106497125</v>
      </c>
      <c r="CJ64" s="183">
        <v>21.045638170060755</v>
      </c>
      <c r="CK64" s="183">
        <v>19.005993583294369</v>
      </c>
      <c r="CL64" s="183">
        <v>17.060093363895817</v>
      </c>
      <c r="CM64" s="183">
        <v>15.174853986347571</v>
      </c>
      <c r="CN64" s="183">
        <v>13.317191925132111</v>
      </c>
      <c r="CO64" s="183">
        <v>11.454023654731913</v>
      </c>
      <c r="CP64" s="183">
        <v>9.5522656496294491</v>
      </c>
      <c r="CQ64" s="183">
        <v>7.5788343843071964</v>
      </c>
      <c r="CR64" s="183">
        <f>'Su K. oro stendu'!P109</f>
        <v>64.694000000000003</v>
      </c>
      <c r="CS64" s="183"/>
      <c r="CT64" s="183"/>
      <c r="CU64" s="183">
        <f>[71]Alfa!$F$15</f>
        <v>915</v>
      </c>
      <c r="CV64" s="177">
        <f>'Su K. oro stendu'!J109</f>
        <v>4</v>
      </c>
      <c r="CW64" s="183">
        <f>'Su K. oro stendu'!D109</f>
        <v>3000</v>
      </c>
      <c r="CX64" s="183">
        <f>'Su K. oro stendu'!G109</f>
        <v>20</v>
      </c>
      <c r="CY64" s="183">
        <f>[71]Alfa!$F$16</f>
        <v>0.18977049180327871</v>
      </c>
      <c r="CZ64" s="183">
        <f>'Su K. oro stendu'!H109</f>
        <v>42.4</v>
      </c>
      <c r="DA64" s="183">
        <f>'Su K. oro stendu'!C109</f>
        <v>134</v>
      </c>
      <c r="DB64" s="183">
        <f>'Su K. oro stendu'!E109</f>
        <v>27</v>
      </c>
      <c r="DC64" s="183">
        <f>'Su K. oro stendu'!I109</f>
        <v>537</v>
      </c>
      <c r="DD64" s="183">
        <f>'Su K. oro stendu'!K109</f>
        <v>7.4</v>
      </c>
      <c r="DE64" s="183">
        <f>'Su K. oro stendu'!L109</f>
        <v>15.8</v>
      </c>
      <c r="DF64" s="183">
        <f>'Su K. oro stendu'!F109</f>
        <v>145</v>
      </c>
      <c r="DG64" s="253">
        <f>[71]Alfa!$D$29</f>
        <v>2305.6860693075923</v>
      </c>
      <c r="DH64" s="253">
        <f>[71]Alfa!$D$26</f>
        <v>9249.8365375674639</v>
      </c>
      <c r="DI64" s="253">
        <f>[71]Alfa!$D$27</f>
        <v>7715.926470589282</v>
      </c>
      <c r="DJ64" s="253">
        <f t="shared" si="14"/>
        <v>10021.612539896874</v>
      </c>
      <c r="DK64" s="253">
        <f t="shared" si="20"/>
        <v>9635.7245387321691</v>
      </c>
      <c r="DL64" s="253">
        <f t="shared" si="16"/>
        <v>8.343671795657194E-2</v>
      </c>
      <c r="DM64" s="183">
        <f>New!AC64</f>
        <v>3.9917038136810175E-5</v>
      </c>
      <c r="DN64" s="183">
        <f t="shared" si="23"/>
        <v>4.2388323940559999E-5</v>
      </c>
      <c r="DO64" s="183">
        <f t="shared" si="17"/>
        <v>0.94169890257479294</v>
      </c>
      <c r="DP64" s="183">
        <f t="shared" si="24"/>
        <v>217.61727600367945</v>
      </c>
      <c r="DQ64" s="297">
        <f>DH64/((DA64/3600)*New!BV64*(Sheet3!BZ64-Sheet3!CP64)*1000)</f>
        <v>1.5521147962735249</v>
      </c>
      <c r="DR64" s="166">
        <f>(DB64*0.018)/(0.011*New!IV64*3600)</f>
        <v>885.33932494581825</v>
      </c>
      <c r="DS64" s="166">
        <f>(New!IV64*New!CE64*1000)/New!AU64</f>
        <v>0.64719895598215416</v>
      </c>
      <c r="DT64" s="166">
        <f>IF(DR64&gt;2300,0.023*((DR64^(4/5)*DS64^(1/3))/(1+12.7*(DS64^(2/3)-1)))*(New!IV64/DV64)^0.14, 0.943*(DR64*DS64*New!IV64/Sheet3!DV64)^0.4)</f>
        <v>13.770828945716151</v>
      </c>
      <c r="DU64" s="166">
        <f t="shared" si="25"/>
        <v>-987.77038069273146</v>
      </c>
      <c r="DV64" s="166">
        <f>_xlfn.FORECAST.LINEAR(AVERAGE(_xlfn.ANCHORARRAY(BR64)),Sheet2!$AK$2:$AK$69,Sheet2!$AJ$2:$AJ$69)</f>
        <v>9.7467070700954562E-6</v>
      </c>
    </row>
    <row r="65" spans="1:126" ht="15" thickBot="1" x14ac:dyDescent="0.35">
      <c r="A65" s="184">
        <f>'Su K. oro stendu'!B110</f>
        <v>44951</v>
      </c>
      <c r="B65" s="183" cm="1">
        <f t="array" ref="B65:I65">'[72]Kondensacijos efektyvumas'!$B$4:$I$4</f>
        <v>4</v>
      </c>
      <c r="C65" s="183">
        <v>760</v>
      </c>
      <c r="D65" s="183">
        <v>5</v>
      </c>
      <c r="E65" s="183">
        <v>746</v>
      </c>
      <c r="F65" s="183">
        <v>5</v>
      </c>
      <c r="G65" s="183">
        <v>687</v>
      </c>
      <c r="H65" s="183">
        <v>8</v>
      </c>
      <c r="I65" s="183">
        <v>588</v>
      </c>
      <c r="J65" s="183" cm="1">
        <f t="array" ref="J65:Q65">TRANSPOSE('[72]Nu kitimas'!$G$4:$G$11)</f>
        <v>74.172406326785705</v>
      </c>
      <c r="K65" s="183">
        <v>74.786942915626071</v>
      </c>
      <c r="L65" s="183">
        <v>78.655756581681402</v>
      </c>
      <c r="M65" s="183">
        <v>82.937808426315684</v>
      </c>
      <c r="N65" s="183">
        <v>89.391770808850751</v>
      </c>
      <c r="O65" s="183">
        <v>97.88517001270607</v>
      </c>
      <c r="P65" s="183">
        <v>108.19741685671904</v>
      </c>
      <c r="Q65" s="183">
        <v>127.51519069076092</v>
      </c>
      <c r="R65" s="183" cm="1">
        <f t="array" ref="R65:Y65">TRANSPOSE([72]Alfa!$G$18:$G$25)</f>
        <v>150.03362534012643</v>
      </c>
      <c r="S65" s="183">
        <v>147.20554036155175</v>
      </c>
      <c r="T65" s="183">
        <v>149.65373952311711</v>
      </c>
      <c r="U65" s="183">
        <v>155.15678043806039</v>
      </c>
      <c r="V65" s="183">
        <v>163.04622096016524</v>
      </c>
      <c r="W65" s="183">
        <v>175.0591454055259</v>
      </c>
      <c r="X65" s="183">
        <v>188.67861623778828</v>
      </c>
      <c r="Y65" s="183">
        <v>217.99927849091625</v>
      </c>
      <c r="Z65" s="183" cm="1">
        <f t="array" ref="Z65:AG65">TRANSPOSE([72]Alfa!$F$127:$F$134)</f>
        <v>3.5492489987107002E-3</v>
      </c>
      <c r="AA65" s="183">
        <v>0.67842735076158023</v>
      </c>
      <c r="AB65" s="183">
        <v>4.4760884066114585E-3</v>
      </c>
      <c r="AC65" s="183">
        <v>0.66851066786819457</v>
      </c>
      <c r="AD65" s="183">
        <v>4.4826202871389399E-3</v>
      </c>
      <c r="AE65" s="183">
        <v>0.61660146179537345</v>
      </c>
      <c r="AF65" s="183">
        <v>7.201955671027379E-3</v>
      </c>
      <c r="AG65" s="183">
        <v>0.53257669105428918</v>
      </c>
      <c r="AH65" s="35" cm="1">
        <f t="array" ref="AH65:AO65">TRANSPOSE('[72]Silumos kiekio nustat.'!$F$25:$F$32)</f>
        <v>487.75346354841628</v>
      </c>
      <c r="AI65" s="35">
        <v>459.24359569346979</v>
      </c>
      <c r="AJ65" s="35">
        <v>438.94922030952409</v>
      </c>
      <c r="AK65" s="35">
        <v>426.74576824661386</v>
      </c>
      <c r="AL65" s="35">
        <v>422.52282786840965</v>
      </c>
      <c r="AM65" s="35">
        <v>426.17878201177149</v>
      </c>
      <c r="AN65" s="35">
        <v>437.61604387020265</v>
      </c>
      <c r="AO65" s="35">
        <v>456.73689363941986</v>
      </c>
      <c r="AP65" s="313">
        <f t="shared" si="5"/>
        <v>4.9948511753668469E-2</v>
      </c>
      <c r="AQ65" s="35">
        <f t="shared" si="6"/>
        <v>22.200531325350735</v>
      </c>
      <c r="AR65" s="183" cm="1">
        <f t="array" ref="AR65:AY65">TRANSPOSE([72]Alfa!$E$127:$E$134)</f>
        <v>0.24910379353560141</v>
      </c>
      <c r="AS65" s="183">
        <v>0.22016512890277673</v>
      </c>
      <c r="AT65" s="183">
        <v>0.22499566655055814</v>
      </c>
      <c r="AU65" s="183">
        <v>0.1402777844701506</v>
      </c>
      <c r="AV65" s="183">
        <v>0.15924690045615728</v>
      </c>
      <c r="AW65" s="183">
        <v>0.14974039228818756</v>
      </c>
      <c r="AX65" s="183">
        <v>0.15192364579744988</v>
      </c>
      <c r="AY65" s="183">
        <v>0.14397765376313237</v>
      </c>
      <c r="AZ65" s="183">
        <f t="shared" si="33"/>
        <v>201.34228187919464</v>
      </c>
      <c r="BA65" s="183">
        <f>'Su K. oro stendu'!P110</f>
        <v>64.680999999999997</v>
      </c>
      <c r="BB65" s="183">
        <f t="shared" ref="BB65:BB96" si="34">((DB65-(B65/4000))*1000)/DA65</f>
        <v>201.33557046979865</v>
      </c>
      <c r="BC65" s="143">
        <v>64.680999999999997</v>
      </c>
      <c r="BD65" s="183">
        <f t="shared" ref="BD65:BD96" si="35">((DB65-((B65+C65)/4000))*1000)/DA65</f>
        <v>200.06040268456377</v>
      </c>
      <c r="BE65" s="143">
        <v>64.573999999999998</v>
      </c>
      <c r="BF65" s="183">
        <f t="shared" si="26"/>
        <v>196.18120805369128</v>
      </c>
      <c r="BG65" s="143">
        <v>64.242999999999995</v>
      </c>
      <c r="BH65" s="183">
        <f t="shared" si="27"/>
        <v>191.17449664429529</v>
      </c>
      <c r="BI65" s="304">
        <v>63.805</v>
      </c>
      <c r="BJ65" s="183">
        <f t="shared" si="28"/>
        <v>191.14093959731542</v>
      </c>
      <c r="BK65" s="143">
        <v>63.802</v>
      </c>
      <c r="BL65" s="183">
        <f t="shared" si="29"/>
        <v>186.53020134228188</v>
      </c>
      <c r="BM65" s="143">
        <v>63.387</v>
      </c>
      <c r="BN65" s="183">
        <f t="shared" si="30"/>
        <v>186.47651006711411</v>
      </c>
      <c r="BO65" s="143">
        <v>63.383000000000003</v>
      </c>
      <c r="BP65" s="183">
        <f t="shared" si="31"/>
        <v>182.53020134228188</v>
      </c>
      <c r="BQ65" s="143">
        <v>63.018000000000001</v>
      </c>
      <c r="BR65" s="183" cm="1">
        <f t="array" ref="BR65:BY65">TRANSPOSE('[72]Keithley Matavimai'!$W$6:$W$13)</f>
        <v>39.155176926651869</v>
      </c>
      <c r="BS65" s="183">
        <v>32.270598852907213</v>
      </c>
      <c r="BT65" s="183">
        <v>32.572146343822013</v>
      </c>
      <c r="BU65" s="183">
        <v>27.565615193406092</v>
      </c>
      <c r="BV65" s="183">
        <v>27.659730088940218</v>
      </c>
      <c r="BW65" s="183">
        <v>27.492307706651037</v>
      </c>
      <c r="BX65" s="183">
        <v>25.616980251572212</v>
      </c>
      <c r="BY65" s="183">
        <v>17.08602509214656</v>
      </c>
      <c r="BZ65" s="183" cm="1">
        <f t="array" ref="BZ65:CH65">TRANSPOSE('[72]Keithley Matavimai'!$V$5:$V$13)</f>
        <v>204.38615683924391</v>
      </c>
      <c r="CA65" s="183">
        <v>190.07588019964896</v>
      </c>
      <c r="CB65" s="183">
        <v>179.3253865767638</v>
      </c>
      <c r="CC65" s="183">
        <v>166.02436881483837</v>
      </c>
      <c r="CD65" s="183">
        <v>159.45248056179935</v>
      </c>
      <c r="CE65" s="183">
        <v>149.64415946192133</v>
      </c>
      <c r="CF65" s="183">
        <v>141.85566760338784</v>
      </c>
      <c r="CG65" s="183">
        <v>132.09482833500709</v>
      </c>
      <c r="CH65" s="183">
        <v>123.93898253048216</v>
      </c>
      <c r="CI65" s="183" cm="1">
        <f t="array" ref="CI65:CQ65">TRANSPOSE('[72]Silumos kiekio nustat.'!$B$24:$B$32)</f>
        <v>23.794619064227181</v>
      </c>
      <c r="CJ65" s="183">
        <v>21.581498284794559</v>
      </c>
      <c r="CK65" s="183">
        <v>19.490081628537006</v>
      </c>
      <c r="CL65" s="183">
        <v>17.484199402714331</v>
      </c>
      <c r="CM65" s="183">
        <v>15.527681914586344</v>
      </c>
      <c r="CN65" s="183">
        <v>13.584359471412849</v>
      </c>
      <c r="CO65" s="183">
        <v>11.618062380453663</v>
      </c>
      <c r="CP65" s="183">
        <v>9.592620948968591</v>
      </c>
      <c r="CQ65" s="183">
        <v>7.4718654842174423</v>
      </c>
      <c r="CR65" s="183">
        <f>'Su K. oro stendu'!P110</f>
        <v>64.680999999999997</v>
      </c>
      <c r="CS65" s="183"/>
      <c r="CT65" s="183"/>
      <c r="CU65" s="183">
        <f>[72]Alfa!$F$15</f>
        <v>905</v>
      </c>
      <c r="CV65" s="177">
        <f>'Su K. oro stendu'!J110</f>
        <v>4</v>
      </c>
      <c r="CW65" s="183">
        <f>'Su K. oro stendu'!D110</f>
        <v>3000</v>
      </c>
      <c r="CX65" s="183">
        <f>'Su K. oro stendu'!G110</f>
        <v>20</v>
      </c>
      <c r="CY65" s="183">
        <f>[72]Alfa!$F$16</f>
        <v>0.1858342541436464</v>
      </c>
      <c r="CZ65" s="183">
        <f>'Su K. oro stendu'!H110</f>
        <v>37.1</v>
      </c>
      <c r="DA65" s="183">
        <f>'Su K. oro stendu'!C110</f>
        <v>149</v>
      </c>
      <c r="DB65" s="183">
        <f>'Su K. oro stendu'!E110</f>
        <v>30</v>
      </c>
      <c r="DC65" s="183">
        <f>'Su K. oro stendu'!I110</f>
        <v>600</v>
      </c>
      <c r="DD65" s="183">
        <f>'Su K. oro stendu'!K110</f>
        <v>6.8</v>
      </c>
      <c r="DE65" s="183">
        <f>'Su K. oro stendu'!L110</f>
        <v>16.2</v>
      </c>
      <c r="DF65" s="183">
        <f>'Su K. oro stendu'!F110</f>
        <v>205</v>
      </c>
      <c r="DG65" s="253">
        <f>[72]Alfa!$D$29</f>
        <v>3976.7528887827648</v>
      </c>
      <c r="DH65" s="253">
        <f>[72]Alfa!$D$26</f>
        <v>10764.315517743098</v>
      </c>
      <c r="DI65" s="253">
        <f>[72]Alfa!$D$27</f>
        <v>7547.4782545287762</v>
      </c>
      <c r="DJ65" s="253">
        <f t="shared" si="14"/>
        <v>11524.231143311541</v>
      </c>
      <c r="DK65" s="253">
        <f t="shared" si="20"/>
        <v>11144.27333052732</v>
      </c>
      <c r="DL65" s="253">
        <f t="shared" si="16"/>
        <v>7.0595814877021629E-2</v>
      </c>
      <c r="DM65" s="183">
        <f>New!AC65</f>
        <v>5.3636229850179132E-5</v>
      </c>
      <c r="DN65" s="183">
        <f t="shared" si="23"/>
        <v>5.0323119098159997E-5</v>
      </c>
      <c r="DO65" s="183">
        <f t="shared" si="17"/>
        <v>1.0658367527965944</v>
      </c>
      <c r="DP65" s="183">
        <f t="shared" si="24"/>
        <v>168.3541183446564</v>
      </c>
      <c r="DQ65" s="297">
        <f>DH65/((DA65/3600)*New!BV65*(Sheet3!BZ65-Sheet3!CP65)*1000)</f>
        <v>1.0965657451989019</v>
      </c>
      <c r="DR65" s="166">
        <f>(DB65*0.018)/(0.011*New!IV65*3600)</f>
        <v>854.25287811372164</v>
      </c>
      <c r="DS65" s="166">
        <f>(New!IV65*New!CE65*1000)/New!AU65</f>
        <v>0.55193626425495013</v>
      </c>
      <c r="DT65" s="166">
        <f>IF(DR65&gt;2300,0.023*((DR65^(4/5)*DS65^(1/3))/(1+12.7*(DS65^(2/3)-1)))*(New!IV65/DV65)^0.14, 0.943*(DR65*DS65*New!IV65/Sheet3!DV65)^0.4)</f>
        <v>13.453752060119884</v>
      </c>
      <c r="DU65" s="166">
        <f t="shared" si="25"/>
        <v>-890.21000452326814</v>
      </c>
      <c r="DV65" s="166">
        <f>_xlfn.FORECAST.LINEAR(AVERAGE(_xlfn.ANCHORARRAY(BR65)),Sheet2!$AK$2:$AK$69,Sheet2!$AJ$2:$AJ$69)</f>
        <v>9.7894475989963131E-6</v>
      </c>
    </row>
    <row r="66" spans="1:126" x14ac:dyDescent="0.3">
      <c r="A66" s="184">
        <f>'Su K. oro stendu'!B111</f>
        <v>44952</v>
      </c>
      <c r="B66" s="183" cm="1">
        <f t="array" ref="B66:I66">'[73]Kondensacijos efektyvumas'!$B$4:$I$4</f>
        <v>17</v>
      </c>
      <c r="C66" s="183">
        <v>817</v>
      </c>
      <c r="D66" s="183">
        <v>17</v>
      </c>
      <c r="E66" s="183">
        <v>885</v>
      </c>
      <c r="F66" s="183">
        <v>11</v>
      </c>
      <c r="G66" s="183">
        <v>818</v>
      </c>
      <c r="H66" s="183">
        <v>13</v>
      </c>
      <c r="I66" s="183">
        <v>734</v>
      </c>
      <c r="J66" s="183" cm="1">
        <f t="array" ref="J66:Q66">TRANSPOSE('[73]Nu kitimas'!$J$4:$J$11)</f>
        <v>345.98705875587126</v>
      </c>
      <c r="K66" s="183">
        <v>347.51046503324</v>
      </c>
      <c r="L66" s="183">
        <v>357.93066207902064</v>
      </c>
      <c r="M66" s="183">
        <v>369.77837787199724</v>
      </c>
      <c r="N66" s="183">
        <v>380.10707739152593</v>
      </c>
      <c r="O66" s="183">
        <v>395.4355465559359</v>
      </c>
      <c r="P66" s="183">
        <v>390.30829352265977</v>
      </c>
      <c r="Q66" s="183">
        <v>365.72998573364356</v>
      </c>
      <c r="R66" s="183" cm="1">
        <f t="array" ref="R66:Y66">TRANSPOSE([73]Alfa!$G$18:$G$25)</f>
        <v>518.73395950241536</v>
      </c>
      <c r="S66" s="183">
        <v>518.85000797950488</v>
      </c>
      <c r="T66" s="183">
        <v>530.29107130348757</v>
      </c>
      <c r="U66" s="183">
        <v>546.03543089862126</v>
      </c>
      <c r="V66" s="183">
        <v>558.10961187208181</v>
      </c>
      <c r="W66" s="183">
        <v>575.40414034858361</v>
      </c>
      <c r="X66" s="183">
        <v>567.84160997271408</v>
      </c>
      <c r="Y66" s="183">
        <v>530.45211602850361</v>
      </c>
      <c r="Z66" s="183" cm="1">
        <f t="array" ref="Z66:AG66">TRANSPOSE([73]Alfa!$F$127:$F$134)</f>
        <v>2.3062010006946295E-2</v>
      </c>
      <c r="AA66" s="183">
        <v>1.1114932826606356</v>
      </c>
      <c r="AB66" s="183">
        <v>2.3160820654337711E-2</v>
      </c>
      <c r="AC66" s="183">
        <v>1.2064744106496323</v>
      </c>
      <c r="AD66" s="183">
        <v>1.5001916555284557E-2</v>
      </c>
      <c r="AE66" s="183">
        <v>1.1164867763408297</v>
      </c>
      <c r="AF66" s="183">
        <v>1.777508150453648E-2</v>
      </c>
      <c r="AG66" s="183">
        <v>1.0069334667738887</v>
      </c>
      <c r="AH66" s="35" cm="1">
        <f t="array" ref="AH66:AO66">TRANSPOSE('[73]Silumos kiekio nustat.'!$F$25:$F$32)</f>
        <v>613.73463462337179</v>
      </c>
      <c r="AI66" s="35">
        <v>621.43943618929995</v>
      </c>
      <c r="AJ66" s="35">
        <v>625.67864579593106</v>
      </c>
      <c r="AK66" s="35">
        <v>626.47671322366148</v>
      </c>
      <c r="AL66" s="35">
        <v>623.85781891914837</v>
      </c>
      <c r="AM66" s="35">
        <v>617.84552936546504</v>
      </c>
      <c r="AN66" s="35">
        <v>608.46247678182453</v>
      </c>
      <c r="AO66" s="35">
        <v>595.73006324378809</v>
      </c>
      <c r="AP66" s="313">
        <f t="shared" si="5"/>
        <v>1.6981334826902252E-2</v>
      </c>
      <c r="AQ66" s="35">
        <f t="shared" si="6"/>
        <v>10.471593862991126</v>
      </c>
      <c r="AR66" s="183" cm="1">
        <f t="array" ref="AR66:AY66">TRANSPOSE([73]Alfa!$E$127:$E$134)</f>
        <v>0.11684376623041337</v>
      </c>
      <c r="AS66" s="183">
        <v>0.11223291130706579</v>
      </c>
      <c r="AT66" s="183">
        <v>0.12161997048959884</v>
      </c>
      <c r="AU66" s="183">
        <v>9.8936272042662254E-2</v>
      </c>
      <c r="AV66" s="183">
        <v>8.7187066099194174E-2</v>
      </c>
      <c r="AW66" s="183">
        <v>0.18730454814369171</v>
      </c>
      <c r="AX66" s="183">
        <v>3.581311834071173E-3</v>
      </c>
      <c r="AY66" s="183">
        <v>0.10502060040776502</v>
      </c>
      <c r="AZ66" s="183">
        <f t="shared" si="33"/>
        <v>200</v>
      </c>
      <c r="BA66" s="183">
        <f>'Su K. oro stendu'!P111</f>
        <v>64.569000000000003</v>
      </c>
      <c r="BB66" s="183">
        <f t="shared" si="34"/>
        <v>199.989375</v>
      </c>
      <c r="BC66" s="143">
        <v>64.567999999999998</v>
      </c>
      <c r="BD66" s="183">
        <f t="shared" si="35"/>
        <v>199.47874999999999</v>
      </c>
      <c r="BE66" s="143">
        <v>64.525000000000006</v>
      </c>
      <c r="BF66" s="183">
        <f t="shared" si="26"/>
        <v>197.8725</v>
      </c>
      <c r="BG66" s="143">
        <v>64.388000000000005</v>
      </c>
      <c r="BH66" s="183">
        <f t="shared" si="27"/>
        <v>195.66</v>
      </c>
      <c r="BI66" s="143">
        <v>64.197999999999993</v>
      </c>
      <c r="BJ66" s="183">
        <f t="shared" si="28"/>
        <v>195.63249999999999</v>
      </c>
      <c r="BK66" s="143">
        <v>64.195999999999998</v>
      </c>
      <c r="BL66" s="183">
        <f t="shared" si="29"/>
        <v>193.58750000000001</v>
      </c>
      <c r="BM66" s="143">
        <v>64.018000000000001</v>
      </c>
      <c r="BN66" s="183">
        <f t="shared" si="30"/>
        <v>193.55500000000001</v>
      </c>
      <c r="BO66" s="143">
        <v>64.015000000000001</v>
      </c>
      <c r="BP66" s="183">
        <f t="shared" si="31"/>
        <v>191.72</v>
      </c>
      <c r="BQ66" s="143">
        <v>63.853000000000002</v>
      </c>
      <c r="BR66" s="183" cm="1">
        <f t="array" ref="BR66:BY66">TRANSPOSE('[73]Keithley Matavimai'!$W$6:$W$13)</f>
        <v>25.414617639520362</v>
      </c>
      <c r="BS66" s="183">
        <v>21.231651295747014</v>
      </c>
      <c r="BT66" s="183">
        <v>22.420768117455353</v>
      </c>
      <c r="BU66" s="183">
        <v>19.171715994979447</v>
      </c>
      <c r="BV66" s="183">
        <v>19.271136343824143</v>
      </c>
      <c r="BW66" s="183">
        <v>18.715083295694452</v>
      </c>
      <c r="BX66" s="183">
        <v>17.380428883579519</v>
      </c>
      <c r="BY66" s="183">
        <v>13.014049830551887</v>
      </c>
      <c r="BZ66" s="183" cm="1">
        <f t="array" ref="BZ66:CH66">TRANSPOSE('[73]Keithley Matavimai'!$V$5:$V$13)</f>
        <v>84.051336698469996</v>
      </c>
      <c r="CA66" s="183">
        <v>81.431985621314382</v>
      </c>
      <c r="CB66" s="183">
        <v>79.444053642290186</v>
      </c>
      <c r="CC66" s="183">
        <v>76.655904578564972</v>
      </c>
      <c r="CD66" s="183">
        <v>74.951898863430131</v>
      </c>
      <c r="CE66" s="183">
        <v>72.904052503615517</v>
      </c>
      <c r="CF66" s="183">
        <v>68.961674285208161</v>
      </c>
      <c r="CG66" s="183">
        <v>68.88398470993566</v>
      </c>
      <c r="CH66" s="183">
        <v>66.801330505105057</v>
      </c>
      <c r="CI66" s="183" cm="1">
        <f t="array" ref="CI66:CQ66">TRANSPOSE('[73]Silumos kiekio nustat.'!$B$24:$B$32)</f>
        <v>16.382112731347831</v>
      </c>
      <c r="CJ66" s="183">
        <v>15.315126516419728</v>
      </c>
      <c r="CK66" s="183">
        <v>14.232854720820274</v>
      </c>
      <c r="CL66" s="183">
        <v>13.141287593986695</v>
      </c>
      <c r="CM66" s="183">
        <v>12.046415385356212</v>
      </c>
      <c r="CN66" s="183">
        <v>10.954228344366047</v>
      </c>
      <c r="CO66" s="183">
        <v>9.8707167204534265</v>
      </c>
      <c r="CP66" s="183">
        <v>8.8018707630555681</v>
      </c>
      <c r="CQ66" s="183">
        <v>7.7536807216096975</v>
      </c>
      <c r="CR66" s="183">
        <f>'Su K. oro stendu'!P111</f>
        <v>64.569000000000003</v>
      </c>
      <c r="CS66" s="183"/>
      <c r="CT66" s="183"/>
      <c r="CU66" s="183">
        <f>[73]Alfa!$F$15</f>
        <v>600</v>
      </c>
      <c r="CV66" s="177">
        <f>'Su K. oro stendu'!J111</f>
        <v>4</v>
      </c>
      <c r="CW66" s="183">
        <f>'Su K. oro stendu'!D111</f>
        <v>10000</v>
      </c>
      <c r="CX66" s="183">
        <f>'Su K. oro stendu'!G111</f>
        <v>20</v>
      </c>
      <c r="CY66" s="183">
        <f>[73]Alfa!$F$16</f>
        <v>0.33119999999999994</v>
      </c>
      <c r="CZ66" s="183">
        <f>'Su K. oro stendu'!H111</f>
        <v>24.8</v>
      </c>
      <c r="DA66" s="309">
        <f>'Su K. oro stendu'!C111</f>
        <v>400</v>
      </c>
      <c r="DB66" s="183">
        <f>'Su K. oro stendu'!E111</f>
        <v>80</v>
      </c>
      <c r="DC66" s="309">
        <f>'Su K. oro stendu'!I111</f>
        <v>1580</v>
      </c>
      <c r="DD66" s="183">
        <f>'Su K. oro stendu'!K111</f>
        <v>7.6</v>
      </c>
      <c r="DE66" s="183">
        <f>'Su K. oro stendu'!L111</f>
        <v>8.6</v>
      </c>
      <c r="DF66" s="309">
        <f>'Su K. oro stendu'!F111</f>
        <v>85</v>
      </c>
      <c r="DG66" s="253">
        <f>[73]Alfa!$D$29</f>
        <v>2288.1838052287603</v>
      </c>
      <c r="DH66" s="253">
        <f>[73]Alfa!$D$26</f>
        <v>14843.202003932454</v>
      </c>
      <c r="DI66" s="253">
        <f>[73]Alfa!$D$27</f>
        <v>13561.163295438273</v>
      </c>
      <c r="DJ66" s="253">
        <f t="shared" si="14"/>
        <v>15849.347100667033</v>
      </c>
      <c r="DK66" s="253">
        <f t="shared" si="20"/>
        <v>15346.274552299743</v>
      </c>
      <c r="DL66" s="253">
        <f t="shared" si="16"/>
        <v>6.7784908975032337E-2</v>
      </c>
      <c r="DM66" s="183">
        <f>New!AC66</f>
        <v>2.7939020648434932E-5</v>
      </c>
      <c r="DN66" s="183">
        <f t="shared" ref="DN66:DN102" si="36" xml:space="preserve"> (6.057 * (10^(-6)))
+ (4.055 * (10^(-8)) * (DF66 + 273))
+ (1.25 * (10^(-10)) * (DF66 + 273)^2)
- (3.367 * (10^(-14)) * (DF66 + 273)^3)</f>
        <v>3.5049529086959997E-5</v>
      </c>
      <c r="DO66" s="183">
        <f t="shared" ref="DO66:DO102" si="37">DM66/DN66</f>
        <v>0.79712970120415982</v>
      </c>
      <c r="DP66" s="183">
        <f t="shared" ref="DP66:DP96" si="38">AVERAGE(_xlfn.ANCHORARRAY(R66))</f>
        <v>543.21474348823904</v>
      </c>
      <c r="DQ66" s="297">
        <f>DH66/((DA66/3600)*New!BV66*(Sheet3!BZ66-Sheet3!CP66)*1000)</f>
        <v>1.4960159446708154</v>
      </c>
      <c r="DR66" s="166">
        <f>(DB66*0.018)/(0.011*New!IV66*3600)</f>
        <v>3091.7687492697219</v>
      </c>
      <c r="DS66" s="166">
        <f>(New!IV66*New!CE66*1000)/New!AU66</f>
        <v>0.86323913019559584</v>
      </c>
      <c r="DT66" s="166">
        <f>IF(DR66&gt;2300,0.023*((DR66^(4/5)*DS66^(1/3))/(1+12.7*(DS66^(2/3)-1)))*(New!IV66/DV66)^0.14, 0.943*(DR66*DS66*New!IV66/Sheet3!DV66)^0.4)</f>
        <v>-75.188614073272475</v>
      </c>
      <c r="DU66" s="166">
        <f t="shared" si="25"/>
        <v>-1106.5664867855273</v>
      </c>
      <c r="DV66" s="166">
        <f>_xlfn.FORECAST.LINEAR(AVERAGE(_xlfn.ANCHORARRAY(BR66)),Sheet2!$AK$2:$AK$69,Sheet2!$AJ$2:$AJ$69)</f>
        <v>9.4708393744642866E-6</v>
      </c>
    </row>
    <row r="67" spans="1:126" x14ac:dyDescent="0.3">
      <c r="A67" s="184">
        <f>'Su K. oro stendu'!B112</f>
        <v>44953</v>
      </c>
      <c r="B67" s="183" cm="1">
        <f t="array" ref="B67:I67">'[74]Kondensacijos efektyvumas'!$B$4:$I$4</f>
        <v>0</v>
      </c>
      <c r="C67" s="183">
        <v>923</v>
      </c>
      <c r="D67" s="183">
        <v>2</v>
      </c>
      <c r="E67" s="183">
        <v>888</v>
      </c>
      <c r="F67" s="183">
        <v>0</v>
      </c>
      <c r="G67" s="183">
        <v>886</v>
      </c>
      <c r="H67" s="183">
        <v>0</v>
      </c>
      <c r="I67" s="183">
        <v>804</v>
      </c>
      <c r="J67" s="183" cm="1">
        <f t="array" ref="J67:Q67">TRANSPOSE('[74]Nu kitimas'!$F$4:$F$11)</f>
        <v>214.67257594652375</v>
      </c>
      <c r="K67" s="183">
        <v>202.20249287574373</v>
      </c>
      <c r="L67" s="183">
        <v>199.32914748666994</v>
      </c>
      <c r="M67" s="183">
        <v>201.60107041633992</v>
      </c>
      <c r="N67" s="183">
        <v>207.27692219598856</v>
      </c>
      <c r="O67" s="183">
        <v>217.40288989578113</v>
      </c>
      <c r="P67" s="183">
        <v>230.74301319572069</v>
      </c>
      <c r="Q67" s="183">
        <v>245.09274158795827</v>
      </c>
      <c r="R67" s="183" cm="1">
        <f t="array" ref="R67:Y67">TRANSPOSE([74]Alfa!$G$18:$G$25)</f>
        <v>380.45644801331724</v>
      </c>
      <c r="S67" s="183">
        <v>354.02513155703156</v>
      </c>
      <c r="T67" s="183">
        <v>343.5959147933691</v>
      </c>
      <c r="U67" s="183">
        <v>343.9464929342289</v>
      </c>
      <c r="V67" s="183">
        <v>350.29855656092889</v>
      </c>
      <c r="W67" s="183">
        <v>363.8617537598314</v>
      </c>
      <c r="X67" s="183">
        <v>382.26999320066216</v>
      </c>
      <c r="Y67" s="183">
        <v>401.67084508962733</v>
      </c>
      <c r="Z67" s="183" cm="1">
        <f t="array" ref="Z67:AG67">TRANSPOSE([74]Alfa!$F$127:$F$134)</f>
        <v>0</v>
      </c>
      <c r="AA67" s="183">
        <v>1.252796527861767</v>
      </c>
      <c r="AB67" s="183">
        <v>2.7191574154958359E-3</v>
      </c>
      <c r="AC67" s="183">
        <v>1.207959547834023</v>
      </c>
      <c r="AD67" s="183">
        <v>0</v>
      </c>
      <c r="AE67" s="183">
        <v>1.2064651372455641</v>
      </c>
      <c r="AF67" s="183">
        <v>0</v>
      </c>
      <c r="AG67" s="183">
        <v>1.1017953342971964</v>
      </c>
      <c r="AH67" s="35" cm="1">
        <f t="array" ref="AH67:AO67">TRANSPOSE('[74]Silumos kiekio nustat.'!$F$25:$F$32)</f>
        <v>881.69316365373493</v>
      </c>
      <c r="AI67" s="35">
        <v>813.9532204111822</v>
      </c>
      <c r="AJ67" s="35">
        <v>764.8573148848501</v>
      </c>
      <c r="AK67" s="35">
        <v>734.21529775788179</v>
      </c>
      <c r="AL67" s="35">
        <v>721.86231162190506</v>
      </c>
      <c r="AM67" s="35">
        <v>727.6484760165514</v>
      </c>
      <c r="AN67" s="35">
        <v>751.42940219712159</v>
      </c>
      <c r="AO67" s="35">
        <v>793.05750569143072</v>
      </c>
      <c r="AP67" s="313">
        <f t="shared" ref="AP67:AP102" si="39">AQ67/AVERAGE(_xlfn.ANCHORARRAY(AH67))</f>
        <v>7.0122733151285671E-2</v>
      </c>
      <c r="AQ67" s="35">
        <f t="shared" ref="AQ67:AQ102" si="40">_xlfn.STDEV.S(_xlfn.ANCHORARRAY(AH67))</f>
        <v>54.246216144809779</v>
      </c>
      <c r="AR67" s="183" cm="1">
        <f t="array" ref="AR67:AY67">TRANSPOSE([74]Alfa!$E$127:$E$134)</f>
        <v>0.24264543135549324</v>
      </c>
      <c r="AS67" s="183">
        <v>0.29024751787995412</v>
      </c>
      <c r="AT67" s="183">
        <v>0.29596067385777852</v>
      </c>
      <c r="AU67" s="183">
        <v>0.24884266715644068</v>
      </c>
      <c r="AV67" s="183">
        <v>0.17480661664923916</v>
      </c>
      <c r="AW67" s="183">
        <v>0.23461350923688143</v>
      </c>
      <c r="AX67" s="183">
        <v>0.1836896131686282</v>
      </c>
      <c r="AY67" s="183">
        <v>0.2465126259182838</v>
      </c>
      <c r="AZ67" s="183">
        <f t="shared" si="33"/>
        <v>200</v>
      </c>
      <c r="BA67" s="183">
        <f>'Su K. oro stendu'!P112</f>
        <v>64.569000000000003</v>
      </c>
      <c r="BB67" s="183">
        <f t="shared" si="34"/>
        <v>200</v>
      </c>
      <c r="BC67" s="143">
        <v>64.569000000000003</v>
      </c>
      <c r="BD67" s="183">
        <f t="shared" si="35"/>
        <v>199.48722222222221</v>
      </c>
      <c r="BE67" s="143">
        <v>64.525000000000006</v>
      </c>
      <c r="BF67" s="183">
        <f t="shared" ref="BF67:BF102" si="41">((DB67-((B67+C67+D67)/1000))*1000)/DA67</f>
        <v>197.94444444444446</v>
      </c>
      <c r="BG67" s="143">
        <v>64.394000000000005</v>
      </c>
      <c r="BH67" s="183">
        <f t="shared" ref="BH67:BH102" si="42">((DB67-((B67+C67+D67+E67)/1000))*1000)/DA67</f>
        <v>195.9711111111111</v>
      </c>
      <c r="BI67" s="143">
        <v>64.224999999999994</v>
      </c>
      <c r="BJ67" s="183">
        <f t="shared" ref="BJ67:BJ102" si="43">((DB67-((B67+C67+D67+E67+F67)/1000))*1000)/DA67</f>
        <v>195.9711111111111</v>
      </c>
      <c r="BK67" s="143">
        <v>64.224999999999994</v>
      </c>
      <c r="BL67" s="183">
        <f t="shared" ref="BL67:BL102" si="44">((DB67-((B67+C67+D67+E67+F67+G67)/1000))*1000)/DA67</f>
        <v>194.00222222222223</v>
      </c>
      <c r="BM67" s="143">
        <v>64.054000000000002</v>
      </c>
      <c r="BN67" s="183">
        <f t="shared" ref="BN67:BN102" si="45">((DB67-((B67+C67+D67+E67+F67+G67+H67)/1000))*1000)/DA67</f>
        <v>194.00222222222223</v>
      </c>
      <c r="BO67" s="143">
        <v>64.054000000000002</v>
      </c>
      <c r="BP67" s="183">
        <f t="shared" ref="BP67:BP102" si="46">((DB67-((B67+C67+D67+E67+F67+G67+H67+I67)/1000))*1000)/DA67</f>
        <v>192.21555555555557</v>
      </c>
      <c r="BQ67" s="143">
        <v>63.896999999999998</v>
      </c>
      <c r="BR67" s="183" cm="1">
        <f t="array" ref="BR67:BY67">TRANSPOSE('[74]Keithley Matavimai'!$W$6:$W$13)</f>
        <v>28.569324702796695</v>
      </c>
      <c r="BS67" s="183">
        <v>23.747080217459942</v>
      </c>
      <c r="BT67" s="183">
        <v>25.076951363173421</v>
      </c>
      <c r="BU67" s="183">
        <v>21.191280188550181</v>
      </c>
      <c r="BV67" s="183">
        <v>21.404804552295044</v>
      </c>
      <c r="BW67" s="183">
        <v>21.050193014196065</v>
      </c>
      <c r="BX67" s="183">
        <v>20.242236164199223</v>
      </c>
      <c r="BY67" s="183">
        <v>13.854255971830337</v>
      </c>
      <c r="BZ67" s="183" cm="1">
        <f t="array" ref="BZ67:CH67">TRANSPOSE('[74]Keithley Matavimai'!$V$5:$V$13)</f>
        <v>143.50626936806222</v>
      </c>
      <c r="CA67" s="183">
        <v>138.80427482783298</v>
      </c>
      <c r="CB67" s="183">
        <v>134.04946101848145</v>
      </c>
      <c r="CC67" s="183">
        <v>128.16324019999638</v>
      </c>
      <c r="CD67" s="183">
        <v>124.01928142921581</v>
      </c>
      <c r="CE67" s="183">
        <v>120.4531682267047</v>
      </c>
      <c r="CF67" s="183">
        <v>116.45329934894202</v>
      </c>
      <c r="CG67" s="183">
        <v>112.61343061419846</v>
      </c>
      <c r="CH67" s="183">
        <v>108.13592782139858</v>
      </c>
      <c r="CI67" s="183" cm="1">
        <f t="array" ref="CI67:CQ67">TRANSPOSE('[74]Silumos kiekio nustat.'!$B$24:$B$32)</f>
        <v>18.163772365498104</v>
      </c>
      <c r="CJ67" s="183">
        <v>16.640614833707232</v>
      </c>
      <c r="CK67" s="183">
        <v>15.231086683160335</v>
      </c>
      <c r="CL67" s="183">
        <v>13.903627151785406</v>
      </c>
      <c r="CM67" s="183">
        <v>12.626675477510435</v>
      </c>
      <c r="CN67" s="183">
        <v>11.368670898263414</v>
      </c>
      <c r="CO67" s="183">
        <v>10.098052651972335</v>
      </c>
      <c r="CP67" s="183">
        <v>8.7832599765651871</v>
      </c>
      <c r="CQ67" s="183">
        <v>7.3927321099699608</v>
      </c>
      <c r="CR67" s="183">
        <f>'Su K. oro stendu'!P112</f>
        <v>64.569000000000003</v>
      </c>
      <c r="CS67" s="183"/>
      <c r="CT67" s="183"/>
      <c r="CU67" s="183">
        <f>[74]Alfa!$F$15</f>
        <v>600</v>
      </c>
      <c r="CV67" s="177">
        <f>'Su K. oro stendu'!J112</f>
        <v>4</v>
      </c>
      <c r="CW67" s="183">
        <f>'Su K. oro stendu'!D112</f>
        <v>10000</v>
      </c>
      <c r="CX67" s="183">
        <f>'Su K. oro stendu'!G112</f>
        <v>20</v>
      </c>
      <c r="CY67" s="183">
        <f>[74]Alfa!$F$16</f>
        <v>0.3503</v>
      </c>
      <c r="CZ67" s="183">
        <f>'Su K. oro stendu'!H112</f>
        <v>23.3</v>
      </c>
      <c r="DA67" s="183">
        <f>'Su K. oro stendu'!C112</f>
        <v>450</v>
      </c>
      <c r="DB67" s="183">
        <f>'Su K. oro stendu'!E112</f>
        <v>90</v>
      </c>
      <c r="DC67" s="183">
        <f>'Su K. oro stendu'!I112</f>
        <v>1580</v>
      </c>
      <c r="DD67" s="183">
        <f>'Su K. oro stendu'!K112</f>
        <v>7.2</v>
      </c>
      <c r="DE67" s="183">
        <f>'Su K. oro stendu'!L112</f>
        <v>10.9</v>
      </c>
      <c r="DF67" s="183">
        <f>'Su K. oro stendu'!F112</f>
        <v>145</v>
      </c>
      <c r="DG67" s="253">
        <f>[74]Alfa!$D$29</f>
        <v>5322.7169154808098</v>
      </c>
      <c r="DH67" s="253">
        <f>[74]Alfa!$D$26</f>
        <v>18772.161095141775</v>
      </c>
      <c r="DI67" s="253">
        <f>[74]Alfa!$D$27</f>
        <v>14315.207113962138</v>
      </c>
      <c r="DJ67" s="253">
        <f t="shared" ref="DJ67:DJ102" si="47">DI67+DG67</f>
        <v>19637.924029442947</v>
      </c>
      <c r="DK67" s="253">
        <f t="shared" si="20"/>
        <v>19205.042562292361</v>
      </c>
      <c r="DL67" s="253">
        <f t="shared" ref="DL67:DL102" si="48">ABS(DJ67-DH67)/DH67</f>
        <v>4.6119513353485506E-2</v>
      </c>
      <c r="DM67" s="183">
        <f>New!AC67</f>
        <v>3.9913233084562172E-5</v>
      </c>
      <c r="DN67" s="183">
        <f t="shared" si="36"/>
        <v>4.2388323940559999E-5</v>
      </c>
      <c r="DO67" s="183">
        <f t="shared" si="37"/>
        <v>0.94160913605669849</v>
      </c>
      <c r="DP67" s="183">
        <f t="shared" si="38"/>
        <v>365.01564198862457</v>
      </c>
      <c r="DQ67" s="297">
        <f>DH67/((DA67/3600)*New!BV67*(Sheet3!BZ67-Sheet3!CP67)*1000)</f>
        <v>0.92814757642955725</v>
      </c>
      <c r="DR67" s="166">
        <f>(DB67*0.018)/(0.011*New!IV67*3600)</f>
        <v>2951.1310831527276</v>
      </c>
      <c r="DS67" s="166">
        <f>(New!IV67*New!CE67*1000)/New!AU67</f>
        <v>0.64719895598215416</v>
      </c>
      <c r="DT67" s="166">
        <f>IF(DR67&gt;2300,0.023*((DR67^(4/5)*DS67^(1/3))/(1+12.7*(DS67^(2/3)-1)))*(New!IV67/DV67)^0.14, 0.943*(DR67*DS67*New!IV67/Sheet3!DV67)^0.4)</f>
        <v>-5.6938707374220918</v>
      </c>
      <c r="DU67" s="166">
        <f t="shared" ref="DU67:DU102" si="49">((2.85^0.05)*((3.7+28.7)-(2438+458.3)))/((AVERAGE(_xlfn.ANCHORARRAY(BZ67))-AVERAGE(_xlfn.ANCHORARRAY(BR67)))^0.25)</f>
        <v>-946.75345863090092</v>
      </c>
      <c r="DV67" s="166">
        <f>_xlfn.FORECAST.LINEAR(AVERAGE(_xlfn.ANCHORARRAY(BR67)),Sheet2!$AK$2:$AK$69,Sheet2!$AJ$2:$AJ$69)</f>
        <v>9.5518783230109566E-6</v>
      </c>
    </row>
    <row r="68" spans="1:126" x14ac:dyDescent="0.3">
      <c r="A68" s="184" t="str">
        <f>'Su K. oro stendu'!B113</f>
        <v>2023.01.30-1</v>
      </c>
      <c r="B68" s="183" cm="1">
        <f t="array" ref="B68:I68">'[75]Kondensacijos efektyvumas'!$B$4:$I$4</f>
        <v>142</v>
      </c>
      <c r="C68" s="183">
        <v>656</v>
      </c>
      <c r="D68" s="183">
        <v>27</v>
      </c>
      <c r="E68" s="183">
        <v>670</v>
      </c>
      <c r="F68" s="183">
        <v>319</v>
      </c>
      <c r="G68" s="183">
        <v>209</v>
      </c>
      <c r="H68" s="183">
        <v>29</v>
      </c>
      <c r="I68" s="183">
        <v>703</v>
      </c>
      <c r="J68" s="183" cm="1">
        <f t="array" ref="J68:Q68">TRANSPOSE('[75]Nu kitimas'!$H$4:$H$11)</f>
        <v>263.72100900454114</v>
      </c>
      <c r="K68" s="183">
        <v>246.4017560171815</v>
      </c>
      <c r="L68" s="183">
        <v>242.01014245661821</v>
      </c>
      <c r="M68" s="183">
        <v>241.35699233329987</v>
      </c>
      <c r="N68" s="183">
        <v>242.72205967888544</v>
      </c>
      <c r="O68" s="183">
        <v>248.8792312005412</v>
      </c>
      <c r="P68" s="183">
        <v>255.42256027204073</v>
      </c>
      <c r="Q68" s="183">
        <v>278.69300129737553</v>
      </c>
      <c r="R68" s="183" cm="1">
        <f t="array" ref="R68:Y68">TRANSPOSE([75]Alfa!$G$18:$G$25)</f>
        <v>398.87939225747471</v>
      </c>
      <c r="S68" s="183">
        <v>371.28911576937338</v>
      </c>
      <c r="T68" s="183">
        <v>360.72961868688014</v>
      </c>
      <c r="U68" s="183">
        <v>358.85216967994893</v>
      </c>
      <c r="V68" s="183">
        <v>358.87737118983409</v>
      </c>
      <c r="W68" s="183">
        <v>365.39591771453252</v>
      </c>
      <c r="X68" s="183">
        <v>372.20302890184365</v>
      </c>
      <c r="Y68" s="183">
        <v>405.34568010235466</v>
      </c>
      <c r="Z68" s="183" cm="1">
        <f t="array" ref="Z68:AG68">TRANSPOSE([75]Alfa!$F$127:$F$134)</f>
        <v>9.9555795114817158E-2</v>
      </c>
      <c r="AA68" s="183">
        <v>0.58531060059364892</v>
      </c>
      <c r="AB68" s="183">
        <v>3.2803686277359793E-2</v>
      </c>
      <c r="AC68" s="183">
        <v>0.57493932644018209</v>
      </c>
      <c r="AD68" s="183">
        <v>0.24223380879134063</v>
      </c>
      <c r="AE68" s="183">
        <v>0.18479013717977286</v>
      </c>
      <c r="AF68" s="183">
        <v>3.6708652091054124E-2</v>
      </c>
      <c r="AG68" s="183">
        <v>0.6443871812995724</v>
      </c>
      <c r="AH68" s="35" cm="1">
        <f t="array" ref="AH68:AO68">TRANSPOSE('[75]Silumos kiekio nustat.'!$F$25:$F$32)</f>
        <v>337.09422896870444</v>
      </c>
      <c r="AI68" s="35">
        <v>318.57444838099974</v>
      </c>
      <c r="AJ68" s="35">
        <v>305.18930749180464</v>
      </c>
      <c r="AK68" s="35">
        <v>296.84715601834574</v>
      </c>
      <c r="AL68" s="35">
        <v>293.46680228645295</v>
      </c>
      <c r="AM68" s="35">
        <v>294.97395006661549</v>
      </c>
      <c r="AN68" s="35">
        <v>301.29807640105361</v>
      </c>
      <c r="AO68" s="35">
        <v>312.36975293923166</v>
      </c>
      <c r="AP68" s="313">
        <f t="shared" si="39"/>
        <v>4.8133894962766884E-2</v>
      </c>
      <c r="AQ68" s="35">
        <f t="shared" si="40"/>
        <v>14.80005191866859</v>
      </c>
      <c r="AR68" s="183" cm="1">
        <f t="array" ref="AR68:AY68">TRANSPOSE([75]Alfa!$E$127:$E$134)</f>
        <v>4.3782121613671954E-2</v>
      </c>
      <c r="AS68" s="183">
        <v>4.9135043827943835E-2</v>
      </c>
      <c r="AT68" s="183">
        <v>5.1199211353582359E-2</v>
      </c>
      <c r="AU68" s="183">
        <v>4.381344709058365E-2</v>
      </c>
      <c r="AV68" s="183">
        <v>3.9638941739538906E-2</v>
      </c>
      <c r="AW68" s="183">
        <v>4.1106649250563634E-2</v>
      </c>
      <c r="AX68" s="183">
        <v>3.3889880022986749E-2</v>
      </c>
      <c r="AY68" s="183">
        <v>4.372509089226112E-2</v>
      </c>
      <c r="AZ68" s="183">
        <f t="shared" si="33"/>
        <v>193.27731092436974</v>
      </c>
      <c r="BA68" s="183">
        <f>'Su K. oro stendu'!P113</f>
        <v>63.991</v>
      </c>
      <c r="BB68" s="183">
        <f t="shared" si="34"/>
        <v>192.97899159663865</v>
      </c>
      <c r="BC68" s="183">
        <v>63.886000000000003</v>
      </c>
      <c r="BD68" s="183">
        <f t="shared" si="35"/>
        <v>191.60084033613447</v>
      </c>
      <c r="BE68" s="183">
        <v>63.390999999999998</v>
      </c>
      <c r="BF68" s="183">
        <f t="shared" si="41"/>
        <v>186.34453781512605</v>
      </c>
      <c r="BG68" s="183">
        <v>63.37</v>
      </c>
      <c r="BH68" s="183">
        <f t="shared" si="42"/>
        <v>180.71428571428572</v>
      </c>
      <c r="BI68" s="183">
        <v>62.847999999999999</v>
      </c>
      <c r="BJ68" s="183">
        <f t="shared" si="43"/>
        <v>178.03361344537817</v>
      </c>
      <c r="BK68" s="183">
        <v>62.591999999999999</v>
      </c>
      <c r="BL68" s="183">
        <f t="shared" si="44"/>
        <v>176.27731092436974</v>
      </c>
      <c r="BM68" s="183">
        <v>62.423000000000002</v>
      </c>
      <c r="BN68" s="183">
        <f t="shared" si="45"/>
        <v>176.03361344537817</v>
      </c>
      <c r="BO68" s="183">
        <v>62.399000000000001</v>
      </c>
      <c r="BP68" s="183">
        <f t="shared" si="46"/>
        <v>170.12605042016807</v>
      </c>
      <c r="BQ68" s="183">
        <v>61.814</v>
      </c>
      <c r="BR68" s="183" cm="1">
        <f t="array" ref="BR68:BY68">TRANSPOSE('[75]Keithley Matavimai'!$W$6:$W$13)</f>
        <v>40.63553573618622</v>
      </c>
      <c r="BS68" s="183">
        <v>37.534867287302028</v>
      </c>
      <c r="BT68" s="183">
        <v>34.891156320762597</v>
      </c>
      <c r="BU68" s="183">
        <v>31.156330352921788</v>
      </c>
      <c r="BV68" s="183">
        <v>29.646958419273734</v>
      </c>
      <c r="BW68" s="183">
        <v>28.132577971019881</v>
      </c>
      <c r="BX68" s="183">
        <v>23.8167724069347</v>
      </c>
      <c r="BY68" s="183">
        <v>20.195498432184774</v>
      </c>
      <c r="BZ68" s="183" cm="1">
        <f t="array" ref="BZ68:CH68">TRANSPOSE('[75]Keithley Matavimai'!$V$5:$V$13)</f>
        <v>83.480642177927805</v>
      </c>
      <c r="CA68" s="183">
        <v>80.339839145519861</v>
      </c>
      <c r="CB68" s="183">
        <v>77.541644460667428</v>
      </c>
      <c r="CC68" s="183">
        <v>73.554496152536601</v>
      </c>
      <c r="CD68" s="183">
        <v>70.980904504777712</v>
      </c>
      <c r="CE68" s="183">
        <v>68.104318352763173</v>
      </c>
      <c r="CF68" s="183">
        <v>64.950734078466141</v>
      </c>
      <c r="CG68" s="183">
        <v>62.137297978397619</v>
      </c>
      <c r="CH68" s="183">
        <v>59.33450256400058</v>
      </c>
      <c r="CI68" s="183" cm="1">
        <f t="array" ref="CI68:CQ68">TRANSPOSE('[75]Silumos kiekio nustat.'!$B$24:$B$32)</f>
        <v>26.317102416762296</v>
      </c>
      <c r="CJ68" s="183">
        <v>23.75690139899887</v>
      </c>
      <c r="CK68" s="183">
        <v>21.326893764597216</v>
      </c>
      <c r="CL68" s="183">
        <v>18.989527629194846</v>
      </c>
      <c r="CM68" s="183">
        <v>16.707251108429269</v>
      </c>
      <c r="CN68" s="183">
        <v>14.442512317937997</v>
      </c>
      <c r="CO68" s="183">
        <v>12.157759373358527</v>
      </c>
      <c r="CP68" s="183">
        <v>9.8154403903283765</v>
      </c>
      <c r="CQ68" s="183">
        <v>7.3780034844850455</v>
      </c>
      <c r="CR68" s="183">
        <f>'Su K. oro stendu'!P113</f>
        <v>63.991</v>
      </c>
      <c r="CS68" s="183"/>
      <c r="CT68" s="183"/>
      <c r="CU68" s="183">
        <f>[75]Alfa!$F$15</f>
        <v>910</v>
      </c>
      <c r="CV68" s="177">
        <f>'Su K. oro stendu'!J113</f>
        <v>3</v>
      </c>
      <c r="CW68" s="183">
        <f>'Su K. oro stendu'!D113</f>
        <v>3000</v>
      </c>
      <c r="CX68" s="183">
        <f>'Su K. oro stendu'!G113</f>
        <v>20</v>
      </c>
      <c r="CY68" s="183">
        <f>[75]Alfa!$F$16</f>
        <v>0.17775824175824176</v>
      </c>
      <c r="CZ68" s="183">
        <f>'Su K. oro stendu'!H113</f>
        <v>44.4</v>
      </c>
      <c r="DA68" s="183">
        <f>'Su K. oro stendu'!C113</f>
        <v>119</v>
      </c>
      <c r="DB68" s="183">
        <f>'Su K. oro stendu'!E113</f>
        <v>23</v>
      </c>
      <c r="DC68" s="183">
        <f>'Su K. oro stendu'!I113</f>
        <v>360</v>
      </c>
      <c r="DD68" s="183">
        <f>'Su K. oro stendu'!K113</f>
        <v>7.1</v>
      </c>
      <c r="DE68" s="183">
        <f>'Su K. oro stendu'!L113</f>
        <v>19</v>
      </c>
      <c r="DF68" s="183">
        <f>'Su K. oro stendu'!F113</f>
        <v>85</v>
      </c>
      <c r="DG68" s="253">
        <f>[75]Alfa!$D$29</f>
        <v>939.0674007402522</v>
      </c>
      <c r="DH68" s="253">
        <f>[75]Alfa!$D$26</f>
        <v>7436.1835322141342</v>
      </c>
      <c r="DI68" s="253">
        <f>[75]Alfa!$D$27</f>
        <v>7202.1875633632435</v>
      </c>
      <c r="DJ68" s="253">
        <f t="shared" si="47"/>
        <v>8141.2549641034957</v>
      </c>
      <c r="DK68" s="253">
        <f t="shared" si="20"/>
        <v>7788.7192481588154</v>
      </c>
      <c r="DL68" s="253">
        <f t="shared" si="48"/>
        <v>9.4816303125781709E-2</v>
      </c>
      <c r="DM68" s="183">
        <f>New!AC68</f>
        <v>2.80148839669975E-5</v>
      </c>
      <c r="DN68" s="183">
        <f t="shared" si="36"/>
        <v>3.5049529086959997E-5</v>
      </c>
      <c r="DO68" s="183">
        <f t="shared" si="37"/>
        <v>0.79929416162741829</v>
      </c>
      <c r="DP68" s="183">
        <f t="shared" si="38"/>
        <v>373.94653678778025</v>
      </c>
      <c r="DQ68" s="297">
        <f>DH68/((DA68/3600)*New!BV68*(Sheet3!BZ68-Sheet3!CP68)*1000)</f>
        <v>2.5861827685545005</v>
      </c>
      <c r="DR68" s="166">
        <f>(DB68*0.018)/(0.011*New!IV68*3600)</f>
        <v>888.88351541504505</v>
      </c>
      <c r="DS68" s="166">
        <f>(New!IV68*New!CE68*1000)/New!AU68</f>
        <v>0.86323913019559584</v>
      </c>
      <c r="DT68" s="166">
        <f>IF(DR68&gt;2300,0.023*((DR68^(4/5)*DS68^(1/3))/(1+12.7*(DS68^(2/3)-1)))*(New!IV68/DV68)^0.14, 0.943*(DR68*DS68*New!IV68/Sheet3!DV68)^0.4)</f>
        <v>14.424446556825368</v>
      </c>
      <c r="DU68" s="166">
        <f t="shared" si="49"/>
        <v>-1196.9769851998842</v>
      </c>
      <c r="DV68" s="166">
        <f>_xlfn.FORECAST.LINEAR(AVERAGE(_xlfn.ANCHORARRAY(BR68)),Sheet2!$AK$2:$AK$69,Sheet2!$AJ$2:$AJ$69)</f>
        <v>9.8620592666124356E-6</v>
      </c>
    </row>
    <row r="69" spans="1:126" x14ac:dyDescent="0.3">
      <c r="A69" s="184" t="str">
        <f>'Su K. oro stendu'!B114</f>
        <v>2023.01.30-2</v>
      </c>
      <c r="B69" s="183" cm="1">
        <f t="array" ref="B69:I69">'[76]Kondensacijos efektyvumas'!$B$4:$I$4</f>
        <v>12</v>
      </c>
      <c r="C69" s="183">
        <v>728</v>
      </c>
      <c r="D69" s="183">
        <v>12</v>
      </c>
      <c r="E69" s="183">
        <v>645</v>
      </c>
      <c r="F69" s="183">
        <v>209</v>
      </c>
      <c r="G69" s="183">
        <v>223</v>
      </c>
      <c r="H69" s="183">
        <v>55</v>
      </c>
      <c r="I69" s="183">
        <v>787</v>
      </c>
      <c r="J69" s="183" cm="1">
        <f t="array" ref="J69:Q69">TRANSPOSE('[76]Nu kitimas'!$H$4:$H$11)</f>
        <v>116.19484846590078</v>
      </c>
      <c r="K69" s="183">
        <v>109.15929997748205</v>
      </c>
      <c r="L69" s="183">
        <v>108.49837238957973</v>
      </c>
      <c r="M69" s="183">
        <v>110.98641909522038</v>
      </c>
      <c r="N69" s="183">
        <v>118.911639403199</v>
      </c>
      <c r="O69" s="183">
        <v>131.71046386383455</v>
      </c>
      <c r="P69" s="183">
        <v>149.44966381403304</v>
      </c>
      <c r="Q69" s="183">
        <v>182.55423664577296</v>
      </c>
      <c r="R69" s="183" cm="1">
        <f t="array" ref="R69:Y69">TRANSPOSE([76]Alfa!$G$18:$G$25)</f>
        <v>205.18492583965846</v>
      </c>
      <c r="S69" s="183">
        <v>189.72822765186933</v>
      </c>
      <c r="T69" s="183">
        <v>184.36526310509399</v>
      </c>
      <c r="U69" s="183">
        <v>186.68406225631526</v>
      </c>
      <c r="V69" s="183">
        <v>196.47384341142853</v>
      </c>
      <c r="W69" s="183">
        <v>215.00207783234245</v>
      </c>
      <c r="X69" s="183">
        <v>239.67293900470153</v>
      </c>
      <c r="Y69" s="183">
        <v>289.85783088872682</v>
      </c>
      <c r="Z69" s="183" cm="1">
        <f t="array" ref="Z69:AG69">TRANSPOSE([76]Alfa!$F$127:$F$134)</f>
        <v>1.5747282337987063E-2</v>
      </c>
      <c r="AA69" s="183">
        <v>0.64364107050346542</v>
      </c>
      <c r="AB69" s="183">
        <v>2.4693692913685051E-2</v>
      </c>
      <c r="AC69" s="183">
        <v>0.56542296610168818</v>
      </c>
      <c r="AD69" s="183">
        <v>0.18312931141309607</v>
      </c>
      <c r="AE69" s="183">
        <v>0.20738474814088029</v>
      </c>
      <c r="AF69" s="183">
        <v>5.4223392698349408E-2</v>
      </c>
      <c r="AG69" s="183">
        <v>0.70392883389763439</v>
      </c>
      <c r="AH69" s="35" cm="1">
        <f t="array" ref="AH69:AO69">TRANSPOSE('[76]Silumos kiekio nustat.'!$F$25:$F$32)</f>
        <v>408.59756956856148</v>
      </c>
      <c r="AI69" s="35">
        <v>367.26161017459441</v>
      </c>
      <c r="AJ69" s="35">
        <v>339.60564889078643</v>
      </c>
      <c r="AK69" s="35">
        <v>325.37658083359469</v>
      </c>
      <c r="AL69" s="35">
        <v>324.36269356285879</v>
      </c>
      <c r="AM69" s="35">
        <v>336.37187637227709</v>
      </c>
      <c r="AN69" s="35">
        <v>361.21262977666186</v>
      </c>
      <c r="AO69" s="35">
        <v>398.6779790103152</v>
      </c>
      <c r="AP69" s="313">
        <f t="shared" si="39"/>
        <v>9.0358734290289358E-2</v>
      </c>
      <c r="AQ69" s="35">
        <f t="shared" si="40"/>
        <v>32.319812390346179</v>
      </c>
      <c r="AR69" s="183" cm="1">
        <f t="array" ref="AR69:AY69">TRANSPOSE([76]Alfa!$E$127:$E$134)</f>
        <v>0.13958088897006196</v>
      </c>
      <c r="AS69" s="183">
        <v>0.12287064170941782</v>
      </c>
      <c r="AT69" s="183">
        <v>0.12705879945232801</v>
      </c>
      <c r="AU69" s="183">
        <v>8.5991485180952454E-2</v>
      </c>
      <c r="AV69" s="183">
        <v>0.10558678022813615</v>
      </c>
      <c r="AW69" s="183">
        <v>7.5327145024007142E-2</v>
      </c>
      <c r="AX69" s="183">
        <v>9.5066693355605511E-2</v>
      </c>
      <c r="AY69" s="183">
        <v>9.0368162985441439E-2</v>
      </c>
      <c r="AZ69" s="183">
        <f t="shared" si="33"/>
        <v>201.49253731343285</v>
      </c>
      <c r="BA69" s="183">
        <f>'Su K. oro stendu'!P114</f>
        <v>64.694000000000003</v>
      </c>
      <c r="BB69" s="183">
        <f t="shared" si="34"/>
        <v>201.47014925373134</v>
      </c>
      <c r="BC69" s="183">
        <v>64.686000000000007</v>
      </c>
      <c r="BD69" s="183">
        <f t="shared" si="35"/>
        <v>200.11194029850745</v>
      </c>
      <c r="BE69" s="183">
        <v>64.224999999999994</v>
      </c>
      <c r="BF69" s="183">
        <f t="shared" si="41"/>
        <v>195.88059701492537</v>
      </c>
      <c r="BG69" s="183">
        <v>64.216999999999999</v>
      </c>
      <c r="BH69" s="183">
        <f t="shared" si="42"/>
        <v>191.06716417910448</v>
      </c>
      <c r="BI69" s="183">
        <v>63.795999999999999</v>
      </c>
      <c r="BJ69" s="183">
        <f t="shared" si="43"/>
        <v>189.50746268656715</v>
      </c>
      <c r="BK69" s="183">
        <v>63.656999999999996</v>
      </c>
      <c r="BL69" s="183">
        <f t="shared" si="44"/>
        <v>187.84328358208955</v>
      </c>
      <c r="BM69" s="183">
        <v>63.506999999999998</v>
      </c>
      <c r="BN69" s="183">
        <f t="shared" si="45"/>
        <v>187.43283582089552</v>
      </c>
      <c r="BO69" s="183">
        <v>63.47</v>
      </c>
      <c r="BP69" s="183">
        <f t="shared" si="46"/>
        <v>181.5597014925373</v>
      </c>
      <c r="BQ69" s="183">
        <v>62.927</v>
      </c>
      <c r="BR69" s="183" cm="1">
        <f t="array" ref="BR69:BY69">TRANSPOSE('[76]Keithley Matavimai'!$W$6:$W$13)</f>
        <v>42.07061711482244</v>
      </c>
      <c r="BS69" s="183">
        <v>37.357568429973121</v>
      </c>
      <c r="BT69" s="183">
        <v>35.778125831508262</v>
      </c>
      <c r="BU69" s="183">
        <v>31.174401238303805</v>
      </c>
      <c r="BV69" s="183">
        <v>30.101641437115124</v>
      </c>
      <c r="BW69" s="183">
        <v>29.200209151433327</v>
      </c>
      <c r="BX69" s="183">
        <v>27.454341445829453</v>
      </c>
      <c r="BY69" s="183">
        <v>20.07427786552563</v>
      </c>
      <c r="BZ69" s="183" cm="1">
        <f t="array" ref="BZ69:CH69">TRANSPOSE('[76]Keithley Matavimai'!$V$5:$V$13)</f>
        <v>143.71723808422772</v>
      </c>
      <c r="CA69" s="183">
        <v>134.66713816580582</v>
      </c>
      <c r="CB69" s="183">
        <v>128.05675901738419</v>
      </c>
      <c r="CC69" s="183">
        <v>119.45260752633124</v>
      </c>
      <c r="CD69" s="183">
        <v>114.79053149921151</v>
      </c>
      <c r="CE69" s="183">
        <v>107.67683087000852</v>
      </c>
      <c r="CF69" s="183">
        <v>102.68650788987219</v>
      </c>
      <c r="CG69" s="183">
        <v>95.84930156552754</v>
      </c>
      <c r="CH69" s="183">
        <v>90.492683140187253</v>
      </c>
      <c r="CI69" s="183" cm="1">
        <f t="array" ref="CI69:CQ69">TRANSPOSE('[76]Silumos kiekio nustat.'!$B$24:$B$32)</f>
        <v>26.820340802714338</v>
      </c>
      <c r="CJ69" s="183">
        <v>24.086861352027086</v>
      </c>
      <c r="CK69" s="183">
        <v>21.618813353589793</v>
      </c>
      <c r="CL69" s="183">
        <v>19.327340932267155</v>
      </c>
      <c r="CM69" s="183">
        <v>17.123588212923856</v>
      </c>
      <c r="CN69" s="183">
        <v>14.918699320424581</v>
      </c>
      <c r="CO69" s="183">
        <v>12.62381837963402</v>
      </c>
      <c r="CP69" s="183">
        <v>10.150089515416862</v>
      </c>
      <c r="CQ69" s="183">
        <v>7.4086568526377938</v>
      </c>
      <c r="CR69" s="183">
        <f>'Su K. oro stendu'!P114</f>
        <v>64.694000000000003</v>
      </c>
      <c r="CS69" s="183"/>
      <c r="CT69" s="183"/>
      <c r="CU69" s="183">
        <f>[76]Alfa!$F$15</f>
        <v>915</v>
      </c>
      <c r="CV69" s="172">
        <f>'Su K. oro stendu'!J114</f>
        <v>3</v>
      </c>
      <c r="CW69" s="183">
        <f>'Su K. oro stendu'!D114</f>
        <v>3000</v>
      </c>
      <c r="CX69" s="183">
        <f>'Su K. oro stendu'!G114</f>
        <v>20</v>
      </c>
      <c r="CY69" s="183">
        <f>[76]Alfa!$F$16</f>
        <v>0.17757377049180328</v>
      </c>
      <c r="CZ69" s="183">
        <f>'Su K. oro stendu'!H114</f>
        <v>39.5</v>
      </c>
      <c r="DA69" s="183">
        <f>'Su K. oro stendu'!C114</f>
        <v>134</v>
      </c>
      <c r="DB69" s="183">
        <f>'Su K. oro stendu'!E114</f>
        <v>27</v>
      </c>
      <c r="DC69" s="183">
        <f>'Su K. oro stendu'!I114</f>
        <v>402</v>
      </c>
      <c r="DD69" s="183">
        <f>'Su K. oro stendu'!K114</f>
        <v>7.1</v>
      </c>
      <c r="DE69" s="183">
        <f>'Su K. oro stendu'!L114</f>
        <v>19.7</v>
      </c>
      <c r="DF69" s="183">
        <f>'Su K. oro stendu'!F114</f>
        <v>145</v>
      </c>
      <c r="DG69" s="253">
        <f>[76]Alfa!$D$29</f>
        <v>2305.0731254102652</v>
      </c>
      <c r="DH69" s="253">
        <f>[76]Alfa!$D$26</f>
        <v>8689.5835283692741</v>
      </c>
      <c r="DI69" s="253">
        <f>[76]Alfa!$D$27</f>
        <v>7194.5138940203569</v>
      </c>
      <c r="DJ69" s="253">
        <f t="shared" si="47"/>
        <v>9499.5870194306226</v>
      </c>
      <c r="DK69" s="253">
        <f t="shared" si="20"/>
        <v>9094.5852738999492</v>
      </c>
      <c r="DL69" s="253">
        <f t="shared" si="48"/>
        <v>9.3215456001647684E-2</v>
      </c>
      <c r="DM69" s="183">
        <f>New!AC69</f>
        <v>3.9917038136810175E-5</v>
      </c>
      <c r="DN69" s="183">
        <f t="shared" si="36"/>
        <v>4.2388323940559999E-5</v>
      </c>
      <c r="DO69" s="183">
        <f t="shared" si="37"/>
        <v>0.94169890257479294</v>
      </c>
      <c r="DP69" s="183">
        <f t="shared" si="38"/>
        <v>213.37114624876702</v>
      </c>
      <c r="DQ69" s="297">
        <f>DH69/((DA69/3600)*New!BV69*(Sheet3!BZ69-Sheet3!CP69)*1000)</f>
        <v>1.4536964765156968</v>
      </c>
      <c r="DR69" s="166">
        <f>(DB69*0.018)/(0.011*New!IV69*3600)</f>
        <v>885.33932494581825</v>
      </c>
      <c r="DS69" s="166">
        <f>(New!IV69*New!CE69*1000)/New!AU69</f>
        <v>0.64719895598215416</v>
      </c>
      <c r="DT69" s="166">
        <f>IF(DR69&gt;2300,0.023*((DR69^(4/5)*DS69^(1/3))/(1+12.7*(DS69^(2/3)-1)))*(New!IV69/DV69)^0.14, 0.943*(DR69*DS69*New!IV69/Sheet3!DV69)^0.4)</f>
        <v>13.688690891726543</v>
      </c>
      <c r="DU69" s="166">
        <f t="shared" si="49"/>
        <v>-997.99920571362168</v>
      </c>
      <c r="DV69" s="166">
        <f>_xlfn.FORECAST.LINEAR(AVERAGE(_xlfn.ANCHORARRAY(BR69)),Sheet2!$AK$2:$AK$69,Sheet2!$AJ$2:$AJ$69)</f>
        <v>9.8935768488548887E-6</v>
      </c>
    </row>
    <row r="70" spans="1:126" x14ac:dyDescent="0.3">
      <c r="A70" s="184" t="str">
        <f>'Su K. oro stendu'!B115</f>
        <v>01.31.2023</v>
      </c>
      <c r="B70" s="183" cm="1">
        <f t="array" ref="B70:I70">'[77]Kondensacijos efektyvumas'!$B$4:$I$4</f>
        <v>7</v>
      </c>
      <c r="C70" s="183">
        <v>694</v>
      </c>
      <c r="D70" s="183">
        <v>12</v>
      </c>
      <c r="E70" s="183">
        <v>626</v>
      </c>
      <c r="F70" s="183">
        <v>11</v>
      </c>
      <c r="G70" s="183">
        <v>683</v>
      </c>
      <c r="H70" s="183">
        <v>10</v>
      </c>
      <c r="I70" s="183">
        <v>627</v>
      </c>
      <c r="J70" s="183" cm="1">
        <f t="array" ref="J70:Q70">TRANSPOSE('[77]Nu kitimas'!$I$4:$I$11)</f>
        <v>82.79657733563468</v>
      </c>
      <c r="K70" s="183">
        <v>77.851256316891224</v>
      </c>
      <c r="L70" s="183">
        <v>77.210703737314802</v>
      </c>
      <c r="M70" s="183">
        <v>78.716104410334566</v>
      </c>
      <c r="N70" s="183">
        <v>84.93778470471571</v>
      </c>
      <c r="O70" s="183">
        <v>95.653324125235741</v>
      </c>
      <c r="P70" s="183">
        <v>112.15388933155049</v>
      </c>
      <c r="Q70" s="183">
        <v>143.93817457495319</v>
      </c>
      <c r="R70" s="183" cm="1">
        <f t="array" ref="R70:Y70">TRANSPOSE([77]Alfa!$G$18:$G$25)</f>
        <v>167.89119766312129</v>
      </c>
      <c r="S70" s="183">
        <v>153.48541481964668</v>
      </c>
      <c r="T70" s="183">
        <v>147.36042320617611</v>
      </c>
      <c r="U70" s="183">
        <v>147.69727700577414</v>
      </c>
      <c r="V70" s="183">
        <v>155.26153998991649</v>
      </c>
      <c r="W70" s="183">
        <v>171.82794399925601</v>
      </c>
      <c r="X70" s="183">
        <v>196.35702727125724</v>
      </c>
      <c r="Y70" s="183">
        <v>246.98712574544473</v>
      </c>
      <c r="Z70" s="183" cm="1">
        <f t="array" ref="Z70:AG70">TRANSPOSE([77]Alfa!$F$127:$F$134)</f>
        <v>6.2059153741702211E-3</v>
      </c>
      <c r="AA70" s="183">
        <v>0.61887330960898113</v>
      </c>
      <c r="AB70" s="183">
        <v>1.0735757056396669E-2</v>
      </c>
      <c r="AC70" s="183">
        <v>0.56102283395882713</v>
      </c>
      <c r="AD70" s="183">
        <v>9.8707048430500006E-3</v>
      </c>
      <c r="AE70" s="183">
        <v>0.61398710257858158</v>
      </c>
      <c r="AF70" s="183">
        <v>9.0195470290271515E-3</v>
      </c>
      <c r="AG70" s="183">
        <v>0.56881135508475</v>
      </c>
      <c r="AH70" s="35" cm="1">
        <f t="array" ref="AH70:AO70">TRANSPOSE('[77]Silumos kiekio nustat.'!$F$25:$F$32)</f>
        <v>526.23295332335647</v>
      </c>
      <c r="AI70" s="35">
        <v>460.63602875261671</v>
      </c>
      <c r="AJ70" s="35">
        <v>416.30112775519655</v>
      </c>
      <c r="AK70" s="35">
        <v>392.76557071396297</v>
      </c>
      <c r="AL70" s="35">
        <v>389.65837420019102</v>
      </c>
      <c r="AM70" s="35">
        <v>406.65183161182296</v>
      </c>
      <c r="AN70" s="35">
        <v>443.41974036594542</v>
      </c>
      <c r="AO70" s="35">
        <v>499.60244329352133</v>
      </c>
      <c r="AP70" s="313">
        <f t="shared" si="39"/>
        <v>0.11422688843327147</v>
      </c>
      <c r="AQ70" s="35">
        <f t="shared" si="40"/>
        <v>50.477833926936839</v>
      </c>
      <c r="AR70" s="183" cm="1">
        <f t="array" ref="AR70:AY70">TRANSPOSE([77]Alfa!$E$127:$E$134)</f>
        <v>0.24142855375401193</v>
      </c>
      <c r="AS70" s="183">
        <v>0.21788424764955039</v>
      </c>
      <c r="AT70" s="183">
        <v>0.21947679423585578</v>
      </c>
      <c r="AU70" s="183">
        <v>0.1386738869818355</v>
      </c>
      <c r="AV70" s="183">
        <v>0.17024708385847684</v>
      </c>
      <c r="AW70" s="183">
        <v>0.14167419079270047</v>
      </c>
      <c r="AX70" s="183">
        <v>0.16045838775815055</v>
      </c>
      <c r="AY70" s="183">
        <v>0.15249372280725373</v>
      </c>
      <c r="AZ70" s="183">
        <f t="shared" si="33"/>
        <v>201.34228187919464</v>
      </c>
      <c r="BA70" s="183">
        <f>'Su K. oro stendu'!P115</f>
        <v>64.680999999999997</v>
      </c>
      <c r="BB70" s="183">
        <f t="shared" si="34"/>
        <v>201.33053691275168</v>
      </c>
      <c r="BC70" s="183">
        <v>64.677000000000007</v>
      </c>
      <c r="BD70" s="183">
        <f t="shared" si="35"/>
        <v>200.16610738255034</v>
      </c>
      <c r="BE70" s="183">
        <v>64.281999999999996</v>
      </c>
      <c r="BF70" s="183">
        <f t="shared" si="41"/>
        <v>196.55704697986576</v>
      </c>
      <c r="BG70" s="183">
        <v>64.275000000000006</v>
      </c>
      <c r="BH70" s="183">
        <f t="shared" si="42"/>
        <v>192.35570469798657</v>
      </c>
      <c r="BI70" s="183">
        <v>63.91</v>
      </c>
      <c r="BJ70" s="183">
        <f t="shared" si="43"/>
        <v>192.28187919463087</v>
      </c>
      <c r="BK70" s="183">
        <v>63.902999999999999</v>
      </c>
      <c r="BL70" s="183">
        <f t="shared" si="44"/>
        <v>187.69798657718121</v>
      </c>
      <c r="BM70" s="183">
        <v>63.494</v>
      </c>
      <c r="BN70" s="183">
        <f t="shared" si="45"/>
        <v>187.63087248322148</v>
      </c>
      <c r="BO70" s="183">
        <v>63.487000000000002</v>
      </c>
      <c r="BP70" s="183">
        <f t="shared" si="46"/>
        <v>183.4228187919463</v>
      </c>
      <c r="BQ70" s="183">
        <v>63.100999999999999</v>
      </c>
      <c r="BR70" s="183" cm="1">
        <f t="array" ref="BR70:BY70">TRANSPOSE('[77]Keithley Matavimai'!$W$6:$W$13)</f>
        <v>45.452134434829013</v>
      </c>
      <c r="BS70" s="183">
        <v>39.4363954547647</v>
      </c>
      <c r="BT70" s="183">
        <v>38.55343678772423</v>
      </c>
      <c r="BU70" s="183">
        <v>32.935118279729778</v>
      </c>
      <c r="BV70" s="183">
        <v>32.679001440121063</v>
      </c>
      <c r="BW70" s="183">
        <v>32.265274423116495</v>
      </c>
      <c r="BX70" s="183">
        <v>28.657335308321269</v>
      </c>
      <c r="BY70" s="183">
        <v>21.54235668350438</v>
      </c>
      <c r="BZ70" s="183" cm="1">
        <f t="array" ref="BZ70:CH70">TRANSPOSE('[77]Keithley Matavimai'!$V$5:$V$13)</f>
        <v>204.92857884161126</v>
      </c>
      <c r="CA70" s="183">
        <v>191.03983293745247</v>
      </c>
      <c r="CB70" s="183">
        <v>180.26017865023945</v>
      </c>
      <c r="CC70" s="183">
        <v>167.31999116341322</v>
      </c>
      <c r="CD70" s="183">
        <v>160.58352061801159</v>
      </c>
      <c r="CE70" s="183">
        <v>150.17845400146564</v>
      </c>
      <c r="CF70" s="183">
        <v>142.95073159320495</v>
      </c>
      <c r="CG70" s="183">
        <v>132.71200091395849</v>
      </c>
      <c r="CH70" s="183">
        <v>124.12939735992616</v>
      </c>
      <c r="CI70" s="183" cm="1">
        <f t="array" ref="CI70:CQ70">TRANSPOSE('[77]Silumos kiekio nustat.'!$B$24:$B$32)</f>
        <v>29.255026286832376</v>
      </c>
      <c r="CJ70" s="183">
        <v>26.07776157807708</v>
      </c>
      <c r="CK70" s="183">
        <v>23.281926831527798</v>
      </c>
      <c r="CL70" s="183">
        <v>20.7435366968237</v>
      </c>
      <c r="CM70" s="183">
        <v>18.338605823603949</v>
      </c>
      <c r="CN70" s="183">
        <v>15.943148861507712</v>
      </c>
      <c r="CO70" s="183">
        <v>13.433180460174157</v>
      </c>
      <c r="CP70" s="183">
        <v>10.684715269242439</v>
      </c>
      <c r="CQ70" s="183">
        <v>7.5737679383517289</v>
      </c>
      <c r="CR70" s="183">
        <f>'Su K. oro stendu'!P115</f>
        <v>64.680999999999997</v>
      </c>
      <c r="CS70" s="183"/>
      <c r="CT70" s="183"/>
      <c r="CU70" s="183">
        <f>[77]Alfa!$F$15</f>
        <v>900</v>
      </c>
      <c r="CV70" s="177">
        <f>'Su K. oro stendu'!J115</f>
        <v>3</v>
      </c>
      <c r="CW70" s="183">
        <f>'Su K. oro stendu'!D115</f>
        <v>3000</v>
      </c>
      <c r="CX70" s="183">
        <f>'Su K. oro stendu'!G115</f>
        <v>20</v>
      </c>
      <c r="CY70" s="183">
        <f>[77]Alfa!$F$16</f>
        <v>0.17799999999999999</v>
      </c>
      <c r="CZ70" s="183">
        <f>'Su K. oro stendu'!H115</f>
        <v>35.6</v>
      </c>
      <c r="DA70" s="183">
        <f>'Su K. oro stendu'!C115</f>
        <v>149</v>
      </c>
      <c r="DB70" s="183">
        <f>'Su K. oro stendu'!E115</f>
        <v>30</v>
      </c>
      <c r="DC70" s="183">
        <f>'Su K. oro stendu'!I115</f>
        <v>450</v>
      </c>
      <c r="DD70" s="183">
        <f>'Su K. oro stendu'!K115</f>
        <v>7.2</v>
      </c>
      <c r="DE70" s="183">
        <f>'Su K. oro stendu'!L115</f>
        <v>22</v>
      </c>
      <c r="DF70" s="183">
        <f>'Su K. oro stendu'!F115</f>
        <v>205</v>
      </c>
      <c r="DG70" s="253">
        <f>[77]Alfa!$D$29</f>
        <v>3988.5107994272526</v>
      </c>
      <c r="DH70" s="253">
        <f>[77]Alfa!$D$26</f>
        <v>10765.096693108373</v>
      </c>
      <c r="DI70" s="253">
        <f>[77]Alfa!$D$27</f>
        <v>7195.5795766013507</v>
      </c>
      <c r="DJ70" s="253">
        <f t="shared" si="47"/>
        <v>11184.090376028604</v>
      </c>
      <c r="DK70" s="253">
        <f t="shared" si="20"/>
        <v>10974.593534568488</v>
      </c>
      <c r="DL70" s="253">
        <f t="shared" si="48"/>
        <v>3.892149739708916E-2</v>
      </c>
      <c r="DM70" s="183">
        <f>New!AC70</f>
        <v>5.3636229850179132E-5</v>
      </c>
      <c r="DN70" s="183">
        <f t="shared" si="36"/>
        <v>5.0323119098159997E-5</v>
      </c>
      <c r="DO70" s="183">
        <f t="shared" si="37"/>
        <v>1.0658367527965944</v>
      </c>
      <c r="DP70" s="183">
        <f t="shared" si="38"/>
        <v>173.3584937125741</v>
      </c>
      <c r="DQ70" s="297">
        <f>DH70/((DA70/3600)*New!BV70*(Sheet3!BZ70-Sheet3!CP70)*1000)</f>
        <v>1.099748616658925</v>
      </c>
      <c r="DR70" s="166">
        <f>(DB70*0.018)/(0.011*New!IV70*3600)</f>
        <v>854.25287811372164</v>
      </c>
      <c r="DS70" s="166">
        <f>(New!IV70*New!CE70*1000)/New!AU70</f>
        <v>0.55193626425495013</v>
      </c>
      <c r="DT70" s="166">
        <f>IF(DR70&gt;2300,0.023*((DR70^(4/5)*DS70^(1/3))/(1+12.7*(DS70^(2/3)-1)))*(New!IV70/DV70)^0.14, 0.943*(DR70*DS70*New!IV70/Sheet3!DV70)^0.4)</f>
        <v>13.353772935289863</v>
      </c>
      <c r="DU70" s="166">
        <f t="shared" si="49"/>
        <v>-897.87234218667993</v>
      </c>
      <c r="DV70" s="166">
        <f>_xlfn.FORECAST.LINEAR(AVERAGE(_xlfn.ANCHORARRAY(BR70)),Sheet2!$AK$2:$AK$69,Sheet2!$AJ$2:$AJ$69)</f>
        <v>9.9737107095573025E-6</v>
      </c>
    </row>
    <row r="71" spans="1:126" ht="15" thickBot="1" x14ac:dyDescent="0.35">
      <c r="A71" s="184" t="str">
        <f>'Su K. oro stendu'!B116</f>
        <v>2023.02.01-1</v>
      </c>
      <c r="B71" s="183" cm="1">
        <f t="array" ref="B71:I71">'[78]Kondensacijos efektyvumas'!$B$4:$I$4</f>
        <v>20</v>
      </c>
      <c r="C71" s="183">
        <v>749</v>
      </c>
      <c r="D71" s="183">
        <v>21</v>
      </c>
      <c r="E71" s="183">
        <v>596</v>
      </c>
      <c r="F71" s="183">
        <v>21</v>
      </c>
      <c r="G71" s="183">
        <v>649</v>
      </c>
      <c r="H71" s="183">
        <v>19</v>
      </c>
      <c r="I71" s="183">
        <v>683</v>
      </c>
      <c r="J71" s="183" cm="1">
        <f t="array" ref="J71:Q71">TRANSPOSE('[78]Nu kitimas'!$I$4:$I$11)</f>
        <v>215.41992237826889</v>
      </c>
      <c r="K71" s="183">
        <v>204.9028426205885</v>
      </c>
      <c r="L71" s="183">
        <v>205.42809255241249</v>
      </c>
      <c r="M71" s="183">
        <v>208.92700840920051</v>
      </c>
      <c r="N71" s="183">
        <v>219.26536958954208</v>
      </c>
      <c r="O71" s="183">
        <v>233.43636961547858</v>
      </c>
      <c r="P71" s="183">
        <v>246.82976071695262</v>
      </c>
      <c r="Q71" s="183">
        <v>279.95021700278693</v>
      </c>
      <c r="R71" s="183" cm="1">
        <f t="array" ref="R71:Y71">TRANSPOSE([78]Alfa!$G$18:$G$25)</f>
        <v>329.85645710117723</v>
      </c>
      <c r="S71" s="183">
        <v>311.46090802660268</v>
      </c>
      <c r="T71" s="183">
        <v>308.99993648974555</v>
      </c>
      <c r="U71" s="183">
        <v>313.26770124155672</v>
      </c>
      <c r="V71" s="183">
        <v>325.64069094073182</v>
      </c>
      <c r="W71" s="183">
        <v>345.53877225808264</v>
      </c>
      <c r="X71" s="183">
        <v>362.84414905614534</v>
      </c>
      <c r="Y71" s="183">
        <v>409.14685823832963</v>
      </c>
      <c r="Z71" s="183" cm="1">
        <f t="array" ref="Z71:AG71">TRANSPOSE([78]Alfa!$F$127:$F$134)</f>
        <v>1.7595149427001119E-2</v>
      </c>
      <c r="AA71" s="183">
        <v>0.66134661208088186</v>
      </c>
      <c r="AB71" s="183">
        <v>1.8580860995113871E-2</v>
      </c>
      <c r="AC71" s="183">
        <v>0.52792504956629183</v>
      </c>
      <c r="AD71" s="183">
        <v>1.8614943051082224E-2</v>
      </c>
      <c r="AE71" s="183">
        <v>0.57582891839727113</v>
      </c>
      <c r="AF71" s="183">
        <v>1.6886849972585802E-2</v>
      </c>
      <c r="AG71" s="183">
        <v>0.60889892421099001</v>
      </c>
      <c r="AH71" s="35" cm="1">
        <f t="array" ref="AH71:AO71">TRANSPOSE('[78]Silumos kiekio nustat.'!$F$25:$F$32)</f>
        <v>351.76820460465086</v>
      </c>
      <c r="AI71" s="35">
        <v>332.8794903226069</v>
      </c>
      <c r="AJ71" s="35">
        <v>320.12615402714511</v>
      </c>
      <c r="AK71" s="35">
        <v>313.4426923811742</v>
      </c>
      <c r="AL71" s="35">
        <v>312.76981916222815</v>
      </c>
      <c r="AM71" s="35">
        <v>318.05156421459014</v>
      </c>
      <c r="AN71" s="35">
        <v>329.23263636848219</v>
      </c>
      <c r="AO71" s="35">
        <v>346.25605589023633</v>
      </c>
      <c r="AP71" s="313">
        <f t="shared" si="39"/>
        <v>4.5040278971759745E-2</v>
      </c>
      <c r="AQ71" s="35">
        <f t="shared" si="40"/>
        <v>14.776176374648474</v>
      </c>
      <c r="AR71" s="183" cm="1">
        <f t="array" ref="AR71:AY71">TRANSPOSE([78]Alfa!$E$127:$E$134)</f>
        <v>7.9981597634803295E-2</v>
      </c>
      <c r="AS71" s="183">
        <v>9.4731767408288356E-2</v>
      </c>
      <c r="AT71" s="183">
        <v>8.119707520565328E-2</v>
      </c>
      <c r="AU71" s="183">
        <v>5.2242968861414045E-2</v>
      </c>
      <c r="AV71" s="183">
        <v>7.2372583366697482E-2</v>
      </c>
      <c r="AW71" s="183">
        <v>6.0353644763425113E-2</v>
      </c>
      <c r="AX71" s="183">
        <v>5.1464886217246771E-2</v>
      </c>
      <c r="AY71" s="183">
        <v>7.4006312673523325E-2</v>
      </c>
      <c r="AZ71" s="183">
        <f t="shared" si="33"/>
        <v>197.96954314720813</v>
      </c>
      <c r="BA71" s="183">
        <f>'Su K. oro stendu'!P116</f>
        <v>64.396000000000001</v>
      </c>
      <c r="BB71" s="183">
        <f t="shared" si="34"/>
        <v>197.94416243654823</v>
      </c>
      <c r="BC71" s="143">
        <v>64.394000000000005</v>
      </c>
      <c r="BD71" s="183">
        <f t="shared" si="35"/>
        <v>196.99365482233503</v>
      </c>
      <c r="BE71" s="143">
        <v>64.313000000000002</v>
      </c>
      <c r="BF71" s="183">
        <f t="shared" si="41"/>
        <v>193.95939086294416</v>
      </c>
      <c r="BG71" s="143">
        <v>64.05</v>
      </c>
      <c r="BH71" s="183">
        <f t="shared" si="42"/>
        <v>190.93401015228426</v>
      </c>
      <c r="BI71" s="143">
        <v>63.783999999999999</v>
      </c>
      <c r="BJ71" s="183">
        <f t="shared" si="43"/>
        <v>190.82741116751268</v>
      </c>
      <c r="BK71" s="143">
        <v>63.774000000000001</v>
      </c>
      <c r="BL71" s="183">
        <f t="shared" si="44"/>
        <v>187.53299492385787</v>
      </c>
      <c r="BM71" s="143">
        <v>63.478999999999999</v>
      </c>
      <c r="BN71" s="183">
        <f t="shared" si="45"/>
        <v>187.43654822335026</v>
      </c>
      <c r="BO71" s="304">
        <v>63.47</v>
      </c>
      <c r="BP71" s="183">
        <f t="shared" si="46"/>
        <v>183.96954314720813</v>
      </c>
      <c r="BQ71" s="143">
        <v>63.152000000000001</v>
      </c>
      <c r="BR71" s="183" cm="1">
        <f t="array" ref="BR71:BY71">TRANSPOSE('[78]Keithley Matavimai'!$W$6:$W$13)</f>
        <v>31.05960548277837</v>
      </c>
      <c r="BS71" s="183">
        <v>26.934224690401951</v>
      </c>
      <c r="BT71" s="183">
        <v>26.677489700980875</v>
      </c>
      <c r="BU71" s="183">
        <v>22.821555552655312</v>
      </c>
      <c r="BV71" s="183">
        <v>22.684507538140036</v>
      </c>
      <c r="BW71" s="183">
        <v>22.719899407127723</v>
      </c>
      <c r="BX71" s="183">
        <v>20.773571341267282</v>
      </c>
      <c r="BY71" s="183">
        <v>16.835527600898043</v>
      </c>
      <c r="BZ71" s="183" cm="1">
        <f t="array" ref="BZ71:CH71">TRANSPOSE('[78]Keithley Matavimai'!$V$5:$V$13)</f>
        <v>84.784445670379895</v>
      </c>
      <c r="CA71" s="183">
        <v>81.138473134583833</v>
      </c>
      <c r="CB71" s="183">
        <v>77.408394076381327</v>
      </c>
      <c r="CC71" s="183">
        <v>73.602407903310265</v>
      </c>
      <c r="CD71" s="183">
        <v>71.631475100719271</v>
      </c>
      <c r="CE71" s="183">
        <v>68.16349884900184</v>
      </c>
      <c r="CF71" s="183">
        <v>65.755054308177591</v>
      </c>
      <c r="CG71" s="183">
        <v>63.230830635124128</v>
      </c>
      <c r="CH71" s="183">
        <v>60.062106324402116</v>
      </c>
      <c r="CI71" s="183" cm="1">
        <f t="array" ref="CI71:CQ71">TRANSPOSE('[78]Silumos kiekio nustat.'!$B$24:$B$32)</f>
        <v>19.413859476402223</v>
      </c>
      <c r="CJ71" s="183">
        <v>17.790445540584408</v>
      </c>
      <c r="CK71" s="183">
        <v>16.250168485660588</v>
      </c>
      <c r="CL71" s="183">
        <v>14.765225960371859</v>
      </c>
      <c r="CM71" s="183">
        <v>13.307815613459333</v>
      </c>
      <c r="CN71" s="183">
        <v>11.850135093664106</v>
      </c>
      <c r="CO71" s="183">
        <v>10.364382049727286</v>
      </c>
      <c r="CP71" s="183">
        <v>8.8227541303899812</v>
      </c>
      <c r="CQ71" s="183">
        <v>7.1974489843932936</v>
      </c>
      <c r="CR71" s="183">
        <f>'Su K. oro stendu'!P116</f>
        <v>64.396000000000001</v>
      </c>
      <c r="CS71" s="183"/>
      <c r="CT71" s="183"/>
      <c r="CU71" s="183">
        <f>[78]Alfa!$F$15</f>
        <v>920</v>
      </c>
      <c r="CV71" s="177">
        <f>'Su K. oro stendu'!J116</f>
        <v>3</v>
      </c>
      <c r="CW71" s="183">
        <f>'Su K. oro stendu'!D116</f>
        <v>5000</v>
      </c>
      <c r="CX71" s="183">
        <f>'Su K. oro stendu'!G116</f>
        <v>20</v>
      </c>
      <c r="CY71" s="183">
        <f>[78]Alfa!$F$16</f>
        <v>0.17986956521739134</v>
      </c>
      <c r="CZ71" s="183">
        <f>'Su K. oro stendu'!H116</f>
        <v>27.6</v>
      </c>
      <c r="DA71" s="183">
        <f>'Su K. oro stendu'!C116</f>
        <v>197</v>
      </c>
      <c r="DB71" s="183">
        <f>'Su K. oro stendu'!E116</f>
        <v>39</v>
      </c>
      <c r="DC71" s="183">
        <f>'Su K. oro stendu'!I116</f>
        <v>588</v>
      </c>
      <c r="DD71" s="183">
        <f>'Su K. oro stendu'!K116</f>
        <v>7</v>
      </c>
      <c r="DE71" s="183">
        <f>'Su K. oro stendu'!L116</f>
        <v>12.3</v>
      </c>
      <c r="DF71" s="183">
        <f>'Su K. oro stendu'!F116</f>
        <v>85</v>
      </c>
      <c r="DG71" s="253">
        <f>[78]Alfa!$D$29</f>
        <v>1599.052508393155</v>
      </c>
      <c r="DH71" s="253">
        <f>[78]Alfa!$D$26</f>
        <v>7958.1688424165222</v>
      </c>
      <c r="DI71" s="253">
        <f>[78]Alfa!$D$27</f>
        <v>7337.0319231036538</v>
      </c>
      <c r="DJ71" s="253">
        <f t="shared" si="47"/>
        <v>8936.084431496809</v>
      </c>
      <c r="DK71" s="253">
        <f t="shared" si="20"/>
        <v>8447.1266369566656</v>
      </c>
      <c r="DL71" s="253">
        <f t="shared" si="48"/>
        <v>0.12288198559800093</v>
      </c>
      <c r="DM71" s="183">
        <f>New!AC71</f>
        <v>2.796185705837458E-5</v>
      </c>
      <c r="DN71" s="183">
        <f t="shared" si="36"/>
        <v>3.5049529086959997E-5</v>
      </c>
      <c r="DO71" s="183">
        <f t="shared" si="37"/>
        <v>0.79778124804471762</v>
      </c>
      <c r="DP71" s="183">
        <f t="shared" si="38"/>
        <v>338.34443416904645</v>
      </c>
      <c r="DQ71" s="297">
        <f>DH71/((DA71/3600)*New!BV71*(Sheet3!BZ71-Sheet3!CP71)*1000)</f>
        <v>1.6157400874980035</v>
      </c>
      <c r="DR71" s="166">
        <f>(DB71*0.018)/(0.011*New!IV71*3600)</f>
        <v>1507.2372652689894</v>
      </c>
      <c r="DS71" s="166">
        <f>(New!IV71*New!CE71*1000)/New!AU71</f>
        <v>0.86323913019559584</v>
      </c>
      <c r="DT71" s="166">
        <f>IF(DR71&gt;2300,0.023*((DR71^(4/5)*DS71^(1/3))/(1+12.7*(DS71^(2/3)-1)))*(New!IV71/DV71)^0.14, 0.943*(DR71*DS71*New!IV71/Sheet3!DV71)^0.4)</f>
        <v>17.995598239336921</v>
      </c>
      <c r="DU71" s="166">
        <f t="shared" si="49"/>
        <v>-1146.9020742647615</v>
      </c>
      <c r="DV71" s="166">
        <f>_xlfn.FORECAST.LINEAR(AVERAGE(_xlfn.ANCHORARRAY(BR71)),Sheet2!$AK$2:$AK$69,Sheet2!$AJ$2:$AJ$69)</f>
        <v>9.6191468434488459E-6</v>
      </c>
    </row>
    <row r="72" spans="1:126" x14ac:dyDescent="0.3">
      <c r="A72" s="184" t="str">
        <f>'Su K. oro stendu'!B117</f>
        <v>2023.02.01-2</v>
      </c>
      <c r="B72" s="183" cm="1">
        <f t="array" ref="B72:I72">'[79]Kondensacijos efektyvumas'!$B$4:$I$4</f>
        <v>9</v>
      </c>
      <c r="C72" s="183">
        <v>784</v>
      </c>
      <c r="D72" s="183">
        <v>10</v>
      </c>
      <c r="E72" s="183">
        <v>606</v>
      </c>
      <c r="F72" s="183">
        <v>9</v>
      </c>
      <c r="G72" s="183">
        <v>748</v>
      </c>
      <c r="H72" s="183">
        <v>13</v>
      </c>
      <c r="I72" s="183">
        <v>786</v>
      </c>
      <c r="J72" s="183" cm="1">
        <f t="array" ref="J72:Q72">TRANSPOSE('[79]Nu kitimas'!$G$4:$G$11)</f>
        <v>120.34902320735895</v>
      </c>
      <c r="K72" s="183">
        <v>114.1276017731614</v>
      </c>
      <c r="L72" s="183">
        <v>115.06209996294052</v>
      </c>
      <c r="M72" s="183">
        <v>118.55825245709424</v>
      </c>
      <c r="N72" s="183">
        <v>127.31834804908395</v>
      </c>
      <c r="O72" s="183">
        <v>141.18115362460651</v>
      </c>
      <c r="P72" s="183">
        <v>160.31279053960449</v>
      </c>
      <c r="Q72" s="183">
        <v>183.09471996939016</v>
      </c>
      <c r="R72" s="183" cm="1">
        <f t="array" ref="R72:Y72">TRANSPOSE([79]Alfa!$G$18:$G$25)</f>
        <v>212.65764931769658</v>
      </c>
      <c r="S72" s="183">
        <v>198.8673441639537</v>
      </c>
      <c r="T72" s="183">
        <v>195.91577680980399</v>
      </c>
      <c r="U72" s="183">
        <v>200.18496858689363</v>
      </c>
      <c r="V72" s="183">
        <v>211.19969152143841</v>
      </c>
      <c r="W72" s="183">
        <v>231.86163160947982</v>
      </c>
      <c r="X72" s="183">
        <v>259.21488007596952</v>
      </c>
      <c r="Y72" s="183">
        <v>292.84056010069474</v>
      </c>
      <c r="Z72" s="183" cm="1">
        <f t="array" ref="Z72:AG72">TRANSPOSE([79]Alfa!$F$127:$F$134)</f>
        <v>7.9758160688841555E-3</v>
      </c>
      <c r="AA72" s="183">
        <v>0.69802576302617136</v>
      </c>
      <c r="AB72" s="183">
        <v>8.9268169476276887E-3</v>
      </c>
      <c r="AC72" s="183">
        <v>0.54167042303358537</v>
      </c>
      <c r="AD72" s="183">
        <v>8.0498527246114799E-3</v>
      </c>
      <c r="AE72" s="183">
        <v>0.66947448015909183</v>
      </c>
      <c r="AF72" s="183">
        <v>1.1650676677126917E-2</v>
      </c>
      <c r="AG72" s="183">
        <v>0.7062734094154034</v>
      </c>
      <c r="AH72" s="35" cm="1">
        <f t="array" ref="AH72:AO72">TRANSPOSE('[79]Silumos kiekio nustat.'!$F$25:$F$32)</f>
        <v>462.82975026015151</v>
      </c>
      <c r="AI72" s="35">
        <v>425.0595412338796</v>
      </c>
      <c r="AJ72" s="35">
        <v>400.72280065018163</v>
      </c>
      <c r="AK72" s="35">
        <v>389.65276061854411</v>
      </c>
      <c r="AL72" s="35">
        <v>391.70353573913781</v>
      </c>
      <c r="AM72" s="35">
        <v>406.73773906717076</v>
      </c>
      <c r="AN72" s="35">
        <v>434.615360253311</v>
      </c>
      <c r="AO72" s="35">
        <v>475.18397451772347</v>
      </c>
      <c r="AP72" s="313">
        <f t="shared" si="39"/>
        <v>7.6288015350110414E-2</v>
      </c>
      <c r="AQ72" s="35">
        <f t="shared" si="40"/>
        <v>32.293722586779289</v>
      </c>
      <c r="AR72" s="183" cm="1">
        <f t="array" ref="AR72:AY72">TRANSPOSE([79]Alfa!$E$127:$E$134)</f>
        <v>0.19691074876972384</v>
      </c>
      <c r="AS72" s="183">
        <v>0.16768735364367218</v>
      </c>
      <c r="AT72" s="183">
        <v>0.21575680818167151</v>
      </c>
      <c r="AU72" s="183">
        <v>0.10563309784347753</v>
      </c>
      <c r="AV72" s="183">
        <v>0.16112421609161087</v>
      </c>
      <c r="AW72" s="183">
        <v>0.12601372186986778</v>
      </c>
      <c r="AX72" s="183">
        <v>0.13768755119410359</v>
      </c>
      <c r="AY72" s="183">
        <v>0.13354737413850365</v>
      </c>
      <c r="AZ72" s="183">
        <f t="shared" si="33"/>
        <v>199.09502262443439</v>
      </c>
      <c r="BA72" s="183">
        <f>'Su K. oro stendu'!P117</f>
        <v>64.492000000000004</v>
      </c>
      <c r="BB72" s="183">
        <f t="shared" si="34"/>
        <v>199.08484162895928</v>
      </c>
      <c r="BC72" s="183">
        <v>64.489000000000004</v>
      </c>
      <c r="BD72" s="183">
        <f t="shared" si="35"/>
        <v>198.19796380090497</v>
      </c>
      <c r="BE72" s="183">
        <v>64.185000000000002</v>
      </c>
      <c r="BF72" s="183">
        <f t="shared" si="41"/>
        <v>195.46153846153845</v>
      </c>
      <c r="BG72" s="183">
        <v>64.180999999999997</v>
      </c>
      <c r="BH72" s="183">
        <f t="shared" si="42"/>
        <v>192.71945701357467</v>
      </c>
      <c r="BI72" s="183">
        <v>63.942</v>
      </c>
      <c r="BJ72" s="183">
        <f t="shared" si="43"/>
        <v>192.6787330316742</v>
      </c>
      <c r="BK72" s="183">
        <v>63.938000000000002</v>
      </c>
      <c r="BL72" s="183">
        <f t="shared" si="44"/>
        <v>189.29411764705881</v>
      </c>
      <c r="BM72" s="183">
        <v>63.637</v>
      </c>
      <c r="BN72" s="183">
        <f t="shared" si="45"/>
        <v>189.23529411764707</v>
      </c>
      <c r="BO72" s="183">
        <v>63.631999999999998</v>
      </c>
      <c r="BP72" s="183">
        <f t="shared" si="46"/>
        <v>185.6787330316742</v>
      </c>
      <c r="BQ72" s="183">
        <v>63.31</v>
      </c>
      <c r="BR72" s="183" cm="1">
        <f t="array" ref="BR72:BY72">TRANSPOSE('[79]Keithley Matavimai'!$W$6:$W$13)</f>
        <v>35.007816767338007</v>
      </c>
      <c r="BS72" s="183">
        <v>28.985262739923119</v>
      </c>
      <c r="BT72" s="183">
        <v>29.518787465941955</v>
      </c>
      <c r="BU72" s="183">
        <v>24.757537660359343</v>
      </c>
      <c r="BV72" s="183">
        <v>24.691303160631989</v>
      </c>
      <c r="BW72" s="183">
        <v>24.649129047878045</v>
      </c>
      <c r="BX72" s="183">
        <v>23.962869227581411</v>
      </c>
      <c r="BY72" s="183">
        <v>19.987575712932479</v>
      </c>
      <c r="BZ72" s="183" cm="1">
        <f t="array" ref="BZ72:CH72">TRANSPOSE('[79]Keithley Matavimai'!$V$5:$V$13)</f>
        <v>144.53335054458341</v>
      </c>
      <c r="CA72" s="183">
        <v>136.78339259429916</v>
      </c>
      <c r="CB72" s="183">
        <v>131.12033537409604</v>
      </c>
      <c r="CC72" s="183">
        <v>122.3527675776777</v>
      </c>
      <c r="CD72" s="183">
        <v>118.76885091209373</v>
      </c>
      <c r="CE72" s="183">
        <v>112.05673768253392</v>
      </c>
      <c r="CF72" s="183">
        <v>107.61150849637927</v>
      </c>
      <c r="CG72" s="183">
        <v>101.71387503172468</v>
      </c>
      <c r="CH72" s="183">
        <v>96.765843752342278</v>
      </c>
      <c r="CI72" s="183" cm="1">
        <f t="array" ref="CI72:CQ72">TRANSPOSE('[79]Silumos kiekio nustat.'!$B$24:$B$32)</f>
        <v>21.283935791356154</v>
      </c>
      <c r="CJ72" s="183">
        <v>19.380121705537153</v>
      </c>
      <c r="CK72" s="183">
        <v>17.626299537082183</v>
      </c>
      <c r="CL72" s="183">
        <v>15.968214252633052</v>
      </c>
      <c r="CM72" s="183">
        <v>14.351610818831576</v>
      </c>
      <c r="CN72" s="183">
        <v>12.722234202319562</v>
      </c>
      <c r="CO72" s="183">
        <v>11.02582936973883</v>
      </c>
      <c r="CP72" s="183">
        <v>9.2081412877311841</v>
      </c>
      <c r="CQ72" s="183">
        <v>7.2149149229384406</v>
      </c>
      <c r="CR72" s="183">
        <f>'Su K. oro stendu'!P117</f>
        <v>64.492000000000004</v>
      </c>
      <c r="CS72" s="183"/>
      <c r="CT72" s="183"/>
      <c r="CU72" s="183">
        <f>[79]Alfa!$F$15</f>
        <v>910</v>
      </c>
      <c r="CV72" s="172">
        <f>'Su K. oro stendu'!J117</f>
        <v>3</v>
      </c>
      <c r="CW72" s="183">
        <f>'Su K. oro stendu'!D117</f>
        <v>5000</v>
      </c>
      <c r="CX72" s="183">
        <f>'Su K. oro stendu'!G117</f>
        <v>20</v>
      </c>
      <c r="CY72" s="183">
        <f>[79]Alfa!$F$16</f>
        <v>0.19549450549450548</v>
      </c>
      <c r="CZ72" s="183">
        <f>'Su K. oro stendu'!H117</f>
        <v>26.8</v>
      </c>
      <c r="DA72" s="183">
        <f>'Su K. oro stendu'!C117</f>
        <v>221</v>
      </c>
      <c r="DB72" s="183">
        <f>'Su K. oro stendu'!E117</f>
        <v>44</v>
      </c>
      <c r="DC72" s="183">
        <f>'Su K. oro stendu'!I117</f>
        <v>663</v>
      </c>
      <c r="DD72" s="183">
        <f>'Su K. oro stendu'!K117</f>
        <v>7.1</v>
      </c>
      <c r="DE72" s="183">
        <f>'Su K. oro stendu'!L117</f>
        <v>14.6</v>
      </c>
      <c r="DF72" s="183">
        <f>'Su K. oro stendu'!F117</f>
        <v>145</v>
      </c>
      <c r="DG72" s="253">
        <f>[79]Alfa!$D$29</f>
        <v>3164.3355165244398</v>
      </c>
      <c r="DH72" s="253">
        <f>[79]Alfa!$D$26</f>
        <v>10269.306658169662</v>
      </c>
      <c r="DI72" s="253">
        <f>[79]Alfa!$D$27</f>
        <v>7956.1417141575066</v>
      </c>
      <c r="DJ72" s="253">
        <f t="shared" si="47"/>
        <v>11120.477230681947</v>
      </c>
      <c r="DK72" s="253">
        <f t="shared" si="20"/>
        <v>10694.891944425804</v>
      </c>
      <c r="DL72" s="253">
        <f t="shared" si="48"/>
        <v>8.2884911401018779E-2</v>
      </c>
      <c r="DM72" s="183">
        <f>New!AC72</f>
        <v>3.9910918516455531E-5</v>
      </c>
      <c r="DN72" s="183">
        <f t="shared" si="36"/>
        <v>4.2388323940559999E-5</v>
      </c>
      <c r="DO72" s="183">
        <f t="shared" si="37"/>
        <v>0.94155453214950258</v>
      </c>
      <c r="DP72" s="183">
        <f t="shared" si="38"/>
        <v>225.34281277324135</v>
      </c>
      <c r="DQ72" s="297">
        <f>DH72/((DA72/3600)*New!BV72*(Sheet3!BZ72-Sheet3!CP72)*1000)</f>
        <v>1.02995243907542</v>
      </c>
      <c r="DR72" s="166">
        <f>(DB72*0.018)/(0.011*New!IV72*3600)</f>
        <v>1442.7751962080001</v>
      </c>
      <c r="DS72" s="166">
        <f>(New!IV72*New!CE72*1000)/New!AU72</f>
        <v>0.64719895598215416</v>
      </c>
      <c r="DT72" s="166">
        <f>IF(DR72&gt;2300,0.023*((DR72^(4/5)*DS72^(1/3))/(1+12.7*(DS72^(2/3)-1)))*(New!IV72/DV72)^0.14, 0.943*(DR72*DS72*New!IV72/Sheet3!DV72)^0.4)</f>
        <v>16.765945258844702</v>
      </c>
      <c r="DU72" s="166">
        <f t="shared" si="49"/>
        <v>-972.76535380172345</v>
      </c>
      <c r="DV72" s="166">
        <f>_xlfn.FORECAST.LINEAR(AVERAGE(_xlfn.ANCHORARRAY(BR72)),Sheet2!$AK$2:$AK$69,Sheet2!$AJ$2:$AJ$69)</f>
        <v>9.7112900590997679E-6</v>
      </c>
    </row>
    <row r="73" spans="1:126" x14ac:dyDescent="0.3">
      <c r="A73" s="184" t="str">
        <f>'Su K. oro stendu'!B118</f>
        <v>2023.02.02-1</v>
      </c>
      <c r="B73" s="183" cm="1">
        <f t="array" ref="B73:I73">'[80]Kondensacijos efektyvumas'!$B$4:$I$4</f>
        <v>0</v>
      </c>
      <c r="C73" s="183">
        <v>849</v>
      </c>
      <c r="D73" s="183">
        <v>2</v>
      </c>
      <c r="E73" s="183">
        <v>909</v>
      </c>
      <c r="F73" s="183">
        <v>1</v>
      </c>
      <c r="G73" s="183">
        <v>857</v>
      </c>
      <c r="H73" s="183">
        <v>2</v>
      </c>
      <c r="I73" s="183">
        <v>762</v>
      </c>
      <c r="J73" s="183" cm="1">
        <f t="array" ref="J73:Q73">TRANSPOSE('[80]Nu kitimas'!$G$4:$G$11)</f>
        <v>93.307358420998597</v>
      </c>
      <c r="K73" s="183">
        <v>89.630746931629986</v>
      </c>
      <c r="L73" s="183">
        <v>90.685139997904869</v>
      </c>
      <c r="M73" s="183">
        <v>93.915913603251454</v>
      </c>
      <c r="N73" s="183">
        <v>100.68089256507085</v>
      </c>
      <c r="O73" s="183">
        <v>111.56534761287313</v>
      </c>
      <c r="P73" s="183">
        <v>126.1357338423029</v>
      </c>
      <c r="Q73" s="183">
        <v>142.01976621931055</v>
      </c>
      <c r="R73" s="183" cm="1">
        <f t="array" ref="R73:Y73">TRANSPOSE([80]Alfa!$G$18:$G$25)</f>
        <v>189.89421847253189</v>
      </c>
      <c r="S73" s="183">
        <v>178.62613554048716</v>
      </c>
      <c r="T73" s="183">
        <v>175.70997177076416</v>
      </c>
      <c r="U73" s="183">
        <v>179.33639037737248</v>
      </c>
      <c r="V73" s="183">
        <v>188.36218995745025</v>
      </c>
      <c r="W73" s="183">
        <v>205.04227136426718</v>
      </c>
      <c r="X73" s="183">
        <v>227.04005811796145</v>
      </c>
      <c r="Y73" s="183">
        <v>251.23516584091331</v>
      </c>
      <c r="Z73" s="183" cm="1">
        <f t="array" ref="Z73:AG73">TRANSPOSE([80]Alfa!$F$127:$F$134)</f>
        <v>0</v>
      </c>
      <c r="AA73" s="183">
        <v>0.76212193329777367</v>
      </c>
      <c r="AB73" s="183">
        <v>1.7998461820174626E-3</v>
      </c>
      <c r="AC73" s="183">
        <v>0.818744784678198</v>
      </c>
      <c r="AD73" s="183">
        <v>9.0106820639360575E-4</v>
      </c>
      <c r="AE73" s="183">
        <v>0.77304039848940009</v>
      </c>
      <c r="AF73" s="183">
        <v>1.8092360872777621E-3</v>
      </c>
      <c r="AG73" s="183">
        <v>0.69328026042796631</v>
      </c>
      <c r="AH73" s="35" cm="1">
        <f t="array" ref="AH73:AO73">TRANSPOSE('[80]Silumos kiekio nustat.'!$F$25:$F$32)</f>
        <v>624.43910535863097</v>
      </c>
      <c r="AI73" s="35">
        <v>571.44448930412545</v>
      </c>
      <c r="AJ73" s="35">
        <v>536.70117019485224</v>
      </c>
      <c r="AK73" s="35">
        <v>519.93457023358474</v>
      </c>
      <c r="AL73" s="35">
        <v>520.90743771438258</v>
      </c>
      <c r="AM73" s="35">
        <v>539.39932583111818</v>
      </c>
      <c r="AN73" s="35">
        <v>575.18845131910427</v>
      </c>
      <c r="AO73" s="35">
        <v>628.03604766033493</v>
      </c>
      <c r="AP73" s="313">
        <f t="shared" si="39"/>
        <v>7.6578348436557989E-2</v>
      </c>
      <c r="AQ73" s="35">
        <f t="shared" si="40"/>
        <v>43.22896202767177</v>
      </c>
      <c r="AR73" s="183" cm="1">
        <f t="array" ref="AR73:AY73">TRANSPOSE([80]Alfa!$E$127:$E$134)</f>
        <v>0.33809783545321515</v>
      </c>
      <c r="AS73" s="183">
        <v>0.27299225311344844</v>
      </c>
      <c r="AT73" s="183">
        <v>0.32211500743444937</v>
      </c>
      <c r="AU73" s="183">
        <v>0.20067887025529929</v>
      </c>
      <c r="AV73" s="183">
        <v>0.22733657011887468</v>
      </c>
      <c r="AW73" s="183">
        <v>0.23150909741740222</v>
      </c>
      <c r="AX73" s="183">
        <v>0.22399616704541092</v>
      </c>
      <c r="AY73" s="183">
        <v>0.21831901868126299</v>
      </c>
      <c r="AZ73" s="183">
        <f t="shared" si="33"/>
        <v>200</v>
      </c>
      <c r="BA73" s="183">
        <f>'Su K. oro stendu'!P118</f>
        <v>64.569000000000003</v>
      </c>
      <c r="BB73" s="183">
        <f t="shared" si="34"/>
        <v>200</v>
      </c>
      <c r="BC73" s="183">
        <v>64.569000000000003</v>
      </c>
      <c r="BD73" s="183">
        <f t="shared" si="35"/>
        <v>199.15100000000001</v>
      </c>
      <c r="BE73" s="183">
        <v>64.278999999999996</v>
      </c>
      <c r="BF73" s="183">
        <f t="shared" si="41"/>
        <v>196.596</v>
      </c>
      <c r="BG73" s="183">
        <v>64.278999999999996</v>
      </c>
      <c r="BH73" s="183">
        <f t="shared" si="42"/>
        <v>192.96</v>
      </c>
      <c r="BI73" s="183">
        <v>63.963000000000001</v>
      </c>
      <c r="BJ73" s="183">
        <f t="shared" si="43"/>
        <v>192.95599999999999</v>
      </c>
      <c r="BK73" s="183">
        <v>63.962000000000003</v>
      </c>
      <c r="BL73" s="183">
        <f t="shared" si="44"/>
        <v>189.52799999999999</v>
      </c>
      <c r="BM73" s="183">
        <v>63.658000000000001</v>
      </c>
      <c r="BN73" s="183">
        <f t="shared" si="45"/>
        <v>189.52</v>
      </c>
      <c r="BO73" s="183">
        <v>63.658000000000001</v>
      </c>
      <c r="BP73" s="183">
        <f t="shared" si="46"/>
        <v>186.47200000000001</v>
      </c>
      <c r="BQ73" s="183">
        <v>63.381999999999998</v>
      </c>
      <c r="BR73" s="183" cm="1">
        <f t="array" ref="BR73:BY73">TRANSPOSE('[80]Keithley Matavimai'!$W$6:$W$13)</f>
        <v>38.577329366994299</v>
      </c>
      <c r="BS73" s="183">
        <v>31.944636061667627</v>
      </c>
      <c r="BT73" s="183">
        <v>33.004438629460267</v>
      </c>
      <c r="BU73" s="183">
        <v>27.661394534653066</v>
      </c>
      <c r="BV73" s="183">
        <v>28.633095138168688</v>
      </c>
      <c r="BW73" s="183">
        <v>28.5707314572293</v>
      </c>
      <c r="BX73" s="183">
        <v>25.345555653010972</v>
      </c>
      <c r="BY73" s="183">
        <v>18.598618216289719</v>
      </c>
      <c r="BZ73" s="183" cm="1">
        <f t="array" ref="BZ73:CH73">TRANSPOSE('[80]Keithley Matavimai'!$V$5:$V$13)</f>
        <v>204.12360969653739</v>
      </c>
      <c r="CA73" s="183">
        <v>192.51612751970865</v>
      </c>
      <c r="CB73" s="183">
        <v>184.50103066295927</v>
      </c>
      <c r="CC73" s="183">
        <v>173.26669700886225</v>
      </c>
      <c r="CD73" s="183">
        <v>167.59139755044933</v>
      </c>
      <c r="CE73" s="183">
        <v>159.43356887236806</v>
      </c>
      <c r="CF73" s="183">
        <v>152.25908173623364</v>
      </c>
      <c r="CG73" s="183">
        <v>143.96441303912266</v>
      </c>
      <c r="CH73" s="183">
        <v>136.80349537612628</v>
      </c>
      <c r="CI73" s="183" cm="1">
        <f t="array" ref="CI73:CQ73">TRANSPOSE('[80]Silumos kiekio nustat.'!$B$24:$B$32)</f>
        <v>23.696639302519323</v>
      </c>
      <c r="CJ73" s="183">
        <v>21.429501208895797</v>
      </c>
      <c r="CK73" s="183">
        <v>19.347074292146772</v>
      </c>
      <c r="CL73" s="183">
        <v>17.384611531168435</v>
      </c>
      <c r="CM73" s="183">
        <v>15.477365904856979</v>
      </c>
      <c r="CN73" s="183">
        <v>13.560590392108594</v>
      </c>
      <c r="CO73" s="183">
        <v>11.569537971819472</v>
      </c>
      <c r="CP73" s="183">
        <v>9.4394616228857977</v>
      </c>
      <c r="CQ73" s="183">
        <v>7.1056143242037706</v>
      </c>
      <c r="CR73" s="183">
        <f>'Su K. oro stendu'!P118</f>
        <v>64.569000000000003</v>
      </c>
      <c r="CS73" s="183"/>
      <c r="CT73" s="183"/>
      <c r="CU73" s="183">
        <f>[80]Alfa!$F$15</f>
        <v>900</v>
      </c>
      <c r="CV73" s="172">
        <f>'Su K. oro stendu'!J118</f>
        <v>3</v>
      </c>
      <c r="CW73" s="183">
        <f>'Su K. oro stendu'!D118</f>
        <v>5000</v>
      </c>
      <c r="CX73" s="183">
        <f>'Su K. oro stendu'!G118</f>
        <v>20</v>
      </c>
      <c r="CY73" s="183">
        <f>[80]Alfa!$F$16</f>
        <v>0.22546666666666668</v>
      </c>
      <c r="CZ73" s="183">
        <f>'Su K. oro stendu'!H118</f>
        <v>26.6</v>
      </c>
      <c r="DA73" s="183">
        <f>'Su K. oro stendu'!C118</f>
        <v>250</v>
      </c>
      <c r="DB73" s="183">
        <f>'Su K. oro stendu'!E118</f>
        <v>50</v>
      </c>
      <c r="DC73" s="183">
        <f>'Su K. oro stendu'!I118</f>
        <v>750</v>
      </c>
      <c r="DD73" s="183">
        <f>'Su K. oro stendu'!K118</f>
        <v>6.8</v>
      </c>
      <c r="DE73" s="183">
        <f>'Su K. oro stendu'!L118</f>
        <v>16.7</v>
      </c>
      <c r="DF73" s="183">
        <f>'Su K. oro stendu'!F118</f>
        <v>205</v>
      </c>
      <c r="DG73" s="253">
        <f>[80]Alfa!$D$29</f>
        <v>5279.0181046944153</v>
      </c>
      <c r="DH73" s="253">
        <f>[80]Alfa!$D$26</f>
        <v>13698.124755663785</v>
      </c>
      <c r="DI73" s="253">
        <f>[80]Alfa!$D$27</f>
        <v>9155.0925821070814</v>
      </c>
      <c r="DJ73" s="253">
        <f t="shared" si="47"/>
        <v>14434.110686801498</v>
      </c>
      <c r="DK73" s="253">
        <f t="shared" si="20"/>
        <v>14066.11772123264</v>
      </c>
      <c r="DL73" s="253">
        <f t="shared" si="48"/>
        <v>5.372895518661442E-2</v>
      </c>
      <c r="DM73" s="183">
        <f>New!AC73</f>
        <v>5.3609638726714553E-5</v>
      </c>
      <c r="DN73" s="183">
        <f t="shared" si="36"/>
        <v>5.0323119098159997E-5</v>
      </c>
      <c r="DO73" s="183">
        <f t="shared" si="37"/>
        <v>1.0653083450996725</v>
      </c>
      <c r="DP73" s="183">
        <f t="shared" si="38"/>
        <v>199.40580018021851</v>
      </c>
      <c r="DQ73" s="297">
        <f>DH73/((DA73/3600)*New!BV73*(Sheet3!BZ73-Sheet3!CP73)*1000)</f>
        <v>0.83297846839070344</v>
      </c>
      <c r="DR73" s="166">
        <f>(DB73*0.018)/(0.011*New!IV73*3600)</f>
        <v>1423.7547968562028</v>
      </c>
      <c r="DS73" s="166">
        <f>(New!IV73*New!CE73*1000)/New!AU73</f>
        <v>0.55193626425495013</v>
      </c>
      <c r="DT73" s="166">
        <f>IF(DR73&gt;2300,0.023*((DR73^(4/5)*DS73^(1/3))/(1+12.7*(DS73^(2/3)-1)))*(New!IV73/DV73)^0.14, 0.943*(DR73*DS73*New!IV73/Sheet3!DV73)^0.4)</f>
        <v>16.49515898897938</v>
      </c>
      <c r="DU73" s="166">
        <f t="shared" si="49"/>
        <v>-878.54877487444696</v>
      </c>
      <c r="DV73" s="166">
        <f>_xlfn.FORECAST.LINEAR(AVERAGE(_xlfn.ANCHORARRAY(BR73)),Sheet2!$AK$2:$AK$69,Sheet2!$AJ$2:$AJ$69)</f>
        <v>9.8022149198588672E-6</v>
      </c>
    </row>
    <row r="74" spans="1:126" x14ac:dyDescent="0.3">
      <c r="A74" s="184" t="str">
        <f>'Su K. oro stendu'!B119</f>
        <v>2023.02.02-2</v>
      </c>
      <c r="B74" s="183" cm="1">
        <f t="array" ref="B74:I74">'[81]Kondensacijos efektyvumas'!$B$4:$I$4</f>
        <v>0</v>
      </c>
      <c r="C74" s="183">
        <v>756</v>
      </c>
      <c r="D74" s="183">
        <v>0</v>
      </c>
      <c r="E74" s="183">
        <v>778</v>
      </c>
      <c r="F74" s="183">
        <v>0</v>
      </c>
      <c r="G74" s="183">
        <v>738</v>
      </c>
      <c r="H74" s="183">
        <v>0</v>
      </c>
      <c r="I74" s="183">
        <v>683</v>
      </c>
      <c r="J74" s="183" cm="1">
        <f t="array" ref="J74:Q74">TRANSPOSE('[81]Nu kitimas'!$G$4:$G$11)</f>
        <v>142.99711264757735</v>
      </c>
      <c r="K74" s="183">
        <v>130.79881922989691</v>
      </c>
      <c r="L74" s="183">
        <v>125.55530713515169</v>
      </c>
      <c r="M74" s="183">
        <v>125.9675772319078</v>
      </c>
      <c r="N74" s="183">
        <v>131.72540225053214</v>
      </c>
      <c r="O74" s="183">
        <v>143.99380510995752</v>
      </c>
      <c r="P74" s="183">
        <v>165.19495095141602</v>
      </c>
      <c r="Q74" s="183">
        <v>194.45081897292042</v>
      </c>
      <c r="R74" s="183" cm="1">
        <f t="array" ref="R74:Y74">TRANSPOSE([81]Alfa!$G$18:$G$25)</f>
        <v>294.04141183733554</v>
      </c>
      <c r="S74" s="183">
        <v>264.15326847097577</v>
      </c>
      <c r="T74" s="183">
        <v>248.21072939711442</v>
      </c>
      <c r="U74" s="183">
        <v>244.876983984677</v>
      </c>
      <c r="V74" s="183">
        <v>252.57498104421501</v>
      </c>
      <c r="W74" s="183">
        <v>272.64925653121384</v>
      </c>
      <c r="X74" s="183">
        <v>307.6748183940403</v>
      </c>
      <c r="Y74" s="183">
        <v>357.12075100900114</v>
      </c>
      <c r="Z74" s="183" cm="1">
        <f t="array" ref="Z74:AG74">TRANSPOSE([81]Alfa!$F$127:$F$134)</f>
        <v>0</v>
      </c>
      <c r="AA74" s="183">
        <v>1.1358630741698843</v>
      </c>
      <c r="AB74" s="183">
        <v>0</v>
      </c>
      <c r="AC74" s="183">
        <v>1.1727097150941972</v>
      </c>
      <c r="AD74" s="183">
        <v>0</v>
      </c>
      <c r="AE74" s="183">
        <v>1.1141916450368843</v>
      </c>
      <c r="AF74" s="183">
        <v>0</v>
      </c>
      <c r="AG74" s="183">
        <v>1.0347999895741029</v>
      </c>
      <c r="AH74" s="35" cm="1">
        <f t="array" ref="AH74:AO74">TRANSPOSE('[81]Silumos kiekio nustat.'!$F$25:$F$32)</f>
        <v>1017.1910420455364</v>
      </c>
      <c r="AI74" s="35">
        <v>893.82820123147872</v>
      </c>
      <c r="AJ74" s="35">
        <v>811.14972979930599</v>
      </c>
      <c r="AK74" s="35">
        <v>768.66455782115099</v>
      </c>
      <c r="AL74" s="35">
        <v>765.97030936820875</v>
      </c>
      <c r="AM74" s="35">
        <v>802.7022661147422</v>
      </c>
      <c r="AN74" s="35">
        <v>878.48698697374778</v>
      </c>
      <c r="AO74" s="35">
        <v>992.90065964370933</v>
      </c>
      <c r="AP74" s="313">
        <f t="shared" si="39"/>
        <v>0.11240703767292268</v>
      </c>
      <c r="AQ74" s="35">
        <f t="shared" si="40"/>
        <v>97.385154400032135</v>
      </c>
      <c r="AR74" s="183" cm="1">
        <f t="array" ref="AR74:AY74">TRANSPOSE([81]Alfa!$E$127:$E$134)</f>
        <v>0.4240356875818061</v>
      </c>
      <c r="AS74" s="183">
        <v>0.47085745282071462</v>
      </c>
      <c r="AT74" s="183">
        <v>0.48666265240236944</v>
      </c>
      <c r="AU74" s="183">
        <v>0.43281984312933858</v>
      </c>
      <c r="AV74" s="183">
        <v>0.30549103308631048</v>
      </c>
      <c r="AW74" s="183">
        <v>0.32823122101847624</v>
      </c>
      <c r="AX74" s="183">
        <v>0.35782791226897537</v>
      </c>
      <c r="AY74" s="183">
        <v>0.34932765342283217</v>
      </c>
      <c r="AZ74" s="183">
        <f t="shared" si="33"/>
        <v>200</v>
      </c>
      <c r="BA74" s="183">
        <f>'Su K. oro stendu'!P119</f>
        <v>64.569000000000003</v>
      </c>
      <c r="BB74" s="183">
        <f t="shared" si="34"/>
        <v>200</v>
      </c>
      <c r="BC74" s="183">
        <v>64.569000000000003</v>
      </c>
      <c r="BD74" s="183">
        <f t="shared" si="35"/>
        <v>199.62200000000001</v>
      </c>
      <c r="BE74" s="183">
        <v>64.44</v>
      </c>
      <c r="BF74" s="183">
        <f t="shared" si="41"/>
        <v>198.488</v>
      </c>
      <c r="BG74" s="183">
        <v>64.44</v>
      </c>
      <c r="BH74" s="183">
        <f t="shared" si="42"/>
        <v>196.93199999999999</v>
      </c>
      <c r="BI74" s="183">
        <v>64.308000000000007</v>
      </c>
      <c r="BJ74" s="183">
        <f t="shared" si="43"/>
        <v>196.93199999999999</v>
      </c>
      <c r="BK74" s="183">
        <v>64.308000000000007</v>
      </c>
      <c r="BL74" s="183">
        <f t="shared" si="44"/>
        <v>195.45599999999999</v>
      </c>
      <c r="BM74" s="183">
        <v>64.180000000000007</v>
      </c>
      <c r="BN74" s="183">
        <f t="shared" si="45"/>
        <v>195.45599999999999</v>
      </c>
      <c r="BO74" s="183">
        <v>64.180000000000007</v>
      </c>
      <c r="BP74" s="183">
        <f t="shared" si="46"/>
        <v>194.09</v>
      </c>
      <c r="BQ74" s="183">
        <v>64.061999999999998</v>
      </c>
      <c r="BR74" s="183" cm="1">
        <f t="array" ref="BR74:BY74">TRANSPOSE('[81]Keithley Matavimai'!$W$6:$W$13)</f>
        <v>32.527116804037405</v>
      </c>
      <c r="BS74" s="183">
        <v>26.998302120794893</v>
      </c>
      <c r="BT74" s="183">
        <v>28.802918186877985</v>
      </c>
      <c r="BU74" s="183">
        <v>24.164098087457592</v>
      </c>
      <c r="BV74" s="183">
        <v>24.138396697168229</v>
      </c>
      <c r="BW74" s="183">
        <v>23.488997349206983</v>
      </c>
      <c r="BX74" s="183">
        <v>22.59871420955821</v>
      </c>
      <c r="BY74" s="183">
        <v>19.601556763681948</v>
      </c>
      <c r="BZ74" s="183" cm="1">
        <f t="array" ref="BZ74:CH74">TRANSPOSE('[81]Keithley Matavimai'!$V$5:$V$13)</f>
        <v>203.95066546168559</v>
      </c>
      <c r="CA74" s="183">
        <v>196.62545784083605</v>
      </c>
      <c r="CB74" s="183">
        <v>189.55571517230348</v>
      </c>
      <c r="CC74" s="183">
        <v>181.07386173694636</v>
      </c>
      <c r="CD74" s="183">
        <v>174.51851264445517</v>
      </c>
      <c r="CE74" s="183">
        <v>169.09672532970737</v>
      </c>
      <c r="CF74" s="183">
        <v>164.18016273632483</v>
      </c>
      <c r="CG74" s="183">
        <v>157.69649130028651</v>
      </c>
      <c r="CH74" s="183">
        <v>152.14944269540482</v>
      </c>
      <c r="CI74" s="183" cm="1">
        <f t="array" ref="CI74:CQ74">TRANSPOSE('[81]Silumos kiekio nustat.'!$B$24:$B$32)</f>
        <v>20.307231117807369</v>
      </c>
      <c r="CJ74" s="183">
        <v>18.450683290453902</v>
      </c>
      <c r="CK74" s="183">
        <v>16.814538636183251</v>
      </c>
      <c r="CL74" s="183">
        <v>15.32591215231964</v>
      </c>
      <c r="CM74" s="183">
        <v>13.911918836187294</v>
      </c>
      <c r="CN74" s="183">
        <v>12.499673685110434</v>
      </c>
      <c r="CO74" s="183">
        <v>11.016291696413294</v>
      </c>
      <c r="CP74" s="183">
        <v>9.3888878674200917</v>
      </c>
      <c r="CQ74" s="183">
        <v>7.5445771954550587</v>
      </c>
      <c r="CR74" s="183">
        <f>'Su K. oro stendu'!P119</f>
        <v>64.569000000000003</v>
      </c>
      <c r="CS74" s="183"/>
      <c r="CT74" s="183"/>
      <c r="CU74" s="183">
        <f>[81]Alfa!$F$15</f>
        <v>540</v>
      </c>
      <c r="CV74" s="172">
        <f>'Su K. oro stendu'!J119</f>
        <v>3</v>
      </c>
      <c r="CW74" s="183">
        <f>'Su K. oro stendu'!D119</f>
        <v>10000</v>
      </c>
      <c r="CX74" s="183">
        <f>'Su K. oro stendu'!G119</f>
        <v>20</v>
      </c>
      <c r="CY74" s="183">
        <f>[81]Alfa!$F$16</f>
        <v>0.32833333333333337</v>
      </c>
      <c r="CZ74" s="183">
        <f>'Su K. oro stendu'!H119</f>
        <v>19.7</v>
      </c>
      <c r="DA74" s="183">
        <f>'Su K. oro stendu'!C119</f>
        <v>500</v>
      </c>
      <c r="DB74" s="183">
        <f>'Su K. oro stendu'!E119</f>
        <v>100</v>
      </c>
      <c r="DC74" s="183">
        <f>'Su K. oro stendu'!I119</f>
        <v>1500</v>
      </c>
      <c r="DD74" s="183">
        <f>'Su K. oro stendu'!K119</f>
        <v>7.3</v>
      </c>
      <c r="DE74" s="183">
        <f>'Su K. oro stendu'!L119</f>
        <v>13</v>
      </c>
      <c r="DF74" s="183">
        <f>'Su K. oro stendu'!F119</f>
        <v>205</v>
      </c>
      <c r="DG74" s="253">
        <f>[81]Alfa!$D$29</f>
        <v>8827.8187164002338</v>
      </c>
      <c r="DH74" s="253">
        <f>[81]Alfa!$D$26</f>
        <v>21112.640472073927</v>
      </c>
      <c r="DI74" s="253">
        <f>[81]Alfa!$D$27</f>
        <v>13372.693271625205</v>
      </c>
      <c r="DJ74" s="253">
        <f t="shared" si="47"/>
        <v>22200.511988025439</v>
      </c>
      <c r="DK74" s="253">
        <f t="shared" si="20"/>
        <v>21656.576230049683</v>
      </c>
      <c r="DL74" s="253">
        <f t="shared" si="48"/>
        <v>5.1527023225278697E-2</v>
      </c>
      <c r="DM74" s="183">
        <f>New!AC74</f>
        <v>5.3609638726714553E-5</v>
      </c>
      <c r="DN74" s="183">
        <f t="shared" si="36"/>
        <v>5.0323119098159997E-5</v>
      </c>
      <c r="DO74" s="183">
        <f t="shared" si="37"/>
        <v>1.0653083450996725</v>
      </c>
      <c r="DP74" s="183">
        <f t="shared" si="38"/>
        <v>280.16277508357166</v>
      </c>
      <c r="DQ74" s="297">
        <f>DH74/((DA74/3600)*New!BV74*(Sheet3!BZ74-Sheet3!CP74)*1000)</f>
        <v>0.6423301096056343</v>
      </c>
      <c r="DR74" s="166">
        <f>(DB74*0.018)/(0.011*New!IV74*3600)</f>
        <v>2847.5095937124056</v>
      </c>
      <c r="DS74" s="166">
        <f>(New!IV74*New!CE74*1000)/New!AU74</f>
        <v>0.55193626425495013</v>
      </c>
      <c r="DT74" s="166">
        <f>IF(DR74&gt;2300,0.023*((DR74^(4/5)*DS74^(1/3))/(1+12.7*(DS74^(2/3)-1)))*(New!IV74/DV74)^0.14, 0.943*(DR74*DS74*New!IV74/Sheet3!DV74)^0.4)</f>
        <v>-3.7220477700645267</v>
      </c>
      <c r="DU74" s="166">
        <f t="shared" si="49"/>
        <v>-860.55233971528287</v>
      </c>
      <c r="DV74" s="166">
        <f>_xlfn.FORECAST.LINEAR(AVERAGE(_xlfn.ANCHORARRAY(BR74)),Sheet2!$AK$2:$AK$69,Sheet2!$AJ$2:$AJ$69)</f>
        <v>9.6708500444921343E-6</v>
      </c>
    </row>
    <row r="75" spans="1:126" x14ac:dyDescent="0.3">
      <c r="A75" s="184">
        <f>'Su K. oro stendu'!B120</f>
        <v>44960</v>
      </c>
      <c r="B75" s="183" cm="1">
        <f t="array" ref="B75:I75">'[82]Kondensacijos efektyvumas'!$B$4:$I$4</f>
        <v>17</v>
      </c>
      <c r="C75" s="183">
        <v>786</v>
      </c>
      <c r="D75" s="183">
        <v>17</v>
      </c>
      <c r="E75" s="183">
        <v>768</v>
      </c>
      <c r="F75" s="183">
        <v>14</v>
      </c>
      <c r="G75" s="183">
        <v>746</v>
      </c>
      <c r="H75" s="183">
        <v>13</v>
      </c>
      <c r="I75" s="183">
        <v>709</v>
      </c>
      <c r="J75" s="183" cm="1">
        <f t="array" ref="J75:Q75">TRANSPOSE('[82]Nu kitimas'!$L$4:$L$11)</f>
        <v>405.79063074121314</v>
      </c>
      <c r="K75" s="183">
        <v>354.24473558144251</v>
      </c>
      <c r="L75" s="183">
        <v>331.4509407979366</v>
      </c>
      <c r="M75" s="183">
        <v>325.37691894813236</v>
      </c>
      <c r="N75" s="183">
        <v>334.28855599249601</v>
      </c>
      <c r="O75" s="183">
        <v>354.70398577753809</v>
      </c>
      <c r="P75" s="183">
        <v>383.09661498368575</v>
      </c>
      <c r="Q75" s="183">
        <v>406.26730962243653</v>
      </c>
      <c r="R75" s="183" cm="1">
        <f t="array" ref="R75:Y75">TRANSPOSE([82]Alfa!$G$18:$G$25)</f>
        <v>614.96142391981664</v>
      </c>
      <c r="S75" s="183">
        <v>535.38927479531026</v>
      </c>
      <c r="T75" s="183">
        <v>497.31336950572745</v>
      </c>
      <c r="U75" s="183">
        <v>487.33094544545753</v>
      </c>
      <c r="V75" s="183">
        <v>497.79540928882648</v>
      </c>
      <c r="W75" s="183">
        <v>526.68834152032503</v>
      </c>
      <c r="X75" s="183">
        <v>565.02041332672388</v>
      </c>
      <c r="Y75" s="183">
        <v>597.79975961894127</v>
      </c>
      <c r="Z75" s="183" cm="1">
        <f t="array" ref="Z75:AG75">TRANSPOSE([82]Alfa!$F$127:$F$134)</f>
        <v>2.5075738449183805E-2</v>
      </c>
      <c r="AA75" s="183">
        <v>1.1636243508497741</v>
      </c>
      <c r="AB75" s="183">
        <v>2.5212609465265611E-2</v>
      </c>
      <c r="AC75" s="183">
        <v>1.1398500838305776</v>
      </c>
      <c r="AD75" s="183">
        <v>2.078772891447191E-2</v>
      </c>
      <c r="AE75" s="183">
        <v>1.1087091965935472</v>
      </c>
      <c r="AF75" s="183">
        <v>1.9362324417390074E-2</v>
      </c>
      <c r="AG75" s="183">
        <v>1.0603440679512646</v>
      </c>
      <c r="AH75" s="35" cm="1">
        <f t="array" ref="AH75:AO75">TRANSPOSE('[82]Silumos kiekio nustat.'!$F$25:$F$32)</f>
        <v>679.85058965090252</v>
      </c>
      <c r="AI75" s="35">
        <v>610.48921628182075</v>
      </c>
      <c r="AJ75" s="35">
        <v>563.75750821886697</v>
      </c>
      <c r="AK75" s="35">
        <v>539.42969513265996</v>
      </c>
      <c r="AL75" s="35">
        <v>537.31479525365376</v>
      </c>
      <c r="AM75" s="35">
        <v>557.23720143567868</v>
      </c>
      <c r="AN75" s="35">
        <v>599.01883393245987</v>
      </c>
      <c r="AO75" s="35">
        <v>662.46287551962871</v>
      </c>
      <c r="AP75" s="313">
        <f t="shared" si="39"/>
        <v>9.184060452283499E-2</v>
      </c>
      <c r="AQ75" s="35">
        <f t="shared" si="40"/>
        <v>54.525315915325287</v>
      </c>
      <c r="AR75" s="183" cm="1">
        <f t="array" ref="AR75:AY75">TRANSPOSE([82]Alfa!$E$127:$E$134)</f>
        <v>0.11054969096535723</v>
      </c>
      <c r="AS75" s="183">
        <v>0.10575310200600224</v>
      </c>
      <c r="AT75" s="183">
        <v>0.11491375268712296</v>
      </c>
      <c r="AU75" s="183">
        <v>8.9816786221915981E-2</v>
      </c>
      <c r="AV75" s="183">
        <v>8.9698602165103225E-2</v>
      </c>
      <c r="AW75" s="183">
        <v>0.10440942766284307</v>
      </c>
      <c r="AX75" s="183">
        <v>0.10256263434367956</v>
      </c>
      <c r="AY75" s="183">
        <v>9.3173369191324532E-2</v>
      </c>
      <c r="AZ75" s="183">
        <f t="shared" si="33"/>
        <v>200</v>
      </c>
      <c r="BA75" s="183">
        <f>'Su K. oro stendu'!P120</f>
        <v>64.569000000000003</v>
      </c>
      <c r="BB75" s="183">
        <f t="shared" si="34"/>
        <v>199.989375</v>
      </c>
      <c r="BC75" s="183">
        <v>64.564999999999998</v>
      </c>
      <c r="BD75" s="183">
        <f t="shared" si="35"/>
        <v>199.49812499999999</v>
      </c>
      <c r="BE75" s="183">
        <v>64.397999999999996</v>
      </c>
      <c r="BF75" s="183">
        <f t="shared" si="41"/>
        <v>197.95</v>
      </c>
      <c r="BG75" s="183">
        <v>64.394999999999996</v>
      </c>
      <c r="BH75" s="183">
        <f t="shared" si="42"/>
        <v>196.03</v>
      </c>
      <c r="BI75" s="183">
        <v>64.23</v>
      </c>
      <c r="BJ75" s="183">
        <f t="shared" si="43"/>
        <v>195.995</v>
      </c>
      <c r="BK75" s="183">
        <v>64.227000000000004</v>
      </c>
      <c r="BL75" s="183">
        <f t="shared" si="44"/>
        <v>194.13</v>
      </c>
      <c r="BM75" s="183">
        <v>64.064999999999998</v>
      </c>
      <c r="BN75" s="183">
        <f t="shared" si="45"/>
        <v>194.0975</v>
      </c>
      <c r="BO75" s="183">
        <v>64.061999999999998</v>
      </c>
      <c r="BP75" s="183">
        <f t="shared" si="46"/>
        <v>192.32499999999999</v>
      </c>
      <c r="BQ75" s="183">
        <v>63.906999999999996</v>
      </c>
      <c r="BR75" s="183" cm="1">
        <f t="array" ref="BR75:BY75">TRANSPOSE('[82]Keithley Matavimai'!$W$6:$W$13)</f>
        <v>28.768422363150279</v>
      </c>
      <c r="BS75" s="183">
        <v>23.819572525952015</v>
      </c>
      <c r="BT75" s="183">
        <v>25.375130520345763</v>
      </c>
      <c r="BU75" s="183">
        <v>20.873276816868508</v>
      </c>
      <c r="BV75" s="183">
        <v>20.975841597589962</v>
      </c>
      <c r="BW75" s="183">
        <v>20.730382489411625</v>
      </c>
      <c r="BX75" s="183">
        <v>19.577072651602197</v>
      </c>
      <c r="BY75" s="183">
        <v>13.456869320690563</v>
      </c>
      <c r="BZ75" s="183" cm="1">
        <f t="array" ref="BZ75:CH75">TRANSPOSE('[82]Keithley Matavimai'!$V$5:$V$13)</f>
        <v>83.662503378285749</v>
      </c>
      <c r="CA75" s="183">
        <v>81.190273170501143</v>
      </c>
      <c r="CB75" s="183">
        <v>79.380699559058613</v>
      </c>
      <c r="CC75" s="183">
        <v>76.75037317843001</v>
      </c>
      <c r="CD75" s="183">
        <v>75.232464666997501</v>
      </c>
      <c r="CE75" s="183">
        <v>73.132756565253089</v>
      </c>
      <c r="CF75" s="183">
        <v>71.191735978672412</v>
      </c>
      <c r="CG75" s="183">
        <v>68.733860983815077</v>
      </c>
      <c r="CH75" s="183">
        <v>66.970341355971115</v>
      </c>
      <c r="CI75" s="183" cm="1">
        <f t="array" ref="CI75:CQ75">TRANSPOSE('[82]Silumos kiekio nustat.'!$B$24:$B$32)</f>
        <v>18.174532179368793</v>
      </c>
      <c r="CJ75" s="183">
        <v>16.629947875275338</v>
      </c>
      <c r="CK75" s="183">
        <v>15.239598667227174</v>
      </c>
      <c r="CL75" s="183">
        <v>13.952879603018509</v>
      </c>
      <c r="CM75" s="183">
        <v>12.719185730443552</v>
      </c>
      <c r="CN75" s="183">
        <v>11.487912097296508</v>
      </c>
      <c r="CO75" s="183">
        <v>10.208453751371589</v>
      </c>
      <c r="CP75" s="183">
        <v>8.8302057404630023</v>
      </c>
      <c r="CQ75" s="183">
        <v>7.3025631123649575</v>
      </c>
      <c r="CR75" s="183">
        <f>'Su K. oro stendu'!P120</f>
        <v>64.569000000000003</v>
      </c>
      <c r="CS75" s="183"/>
      <c r="CT75" s="183"/>
      <c r="CU75" s="183">
        <f>[82]Alfa!$F$15</f>
        <v>550</v>
      </c>
      <c r="CV75" s="172">
        <f>'Su K. oro stendu'!J120</f>
        <v>3</v>
      </c>
      <c r="CW75" s="183">
        <f>'Su K. oro stendu'!D120</f>
        <v>10000</v>
      </c>
      <c r="CX75" s="183">
        <f>'Su K. oro stendu'!G120</f>
        <v>20</v>
      </c>
      <c r="CY75" s="183">
        <f>[82]Alfa!$F$16</f>
        <v>0.33490909090909093</v>
      </c>
      <c r="CZ75" s="183">
        <f>'Su K. oro stendu'!H120</f>
        <v>25.3</v>
      </c>
      <c r="DA75" s="183">
        <f>'Su K. oro stendu'!C120</f>
        <v>400</v>
      </c>
      <c r="DB75" s="183">
        <f>'Su K. oro stendu'!E120</f>
        <v>80</v>
      </c>
      <c r="DC75" s="183">
        <f>'Su K. oro stendu'!I120</f>
        <v>1200</v>
      </c>
      <c r="DD75" s="183">
        <f>'Su K. oro stendu'!K120</f>
        <v>6.9</v>
      </c>
      <c r="DE75" s="183">
        <f>'Su K. oro stendu'!L120</f>
        <v>10.199999999999999</v>
      </c>
      <c r="DF75" s="183">
        <f>'Su K. oro stendu'!F120</f>
        <v>85</v>
      </c>
      <c r="DG75" s="253">
        <f>[82]Alfa!$D$29</f>
        <v>2218.0340446302876</v>
      </c>
      <c r="DH75" s="253">
        <f>[82]Alfa!$D$26</f>
        <v>14375.013212651764</v>
      </c>
      <c r="DI75" s="253">
        <f>[82]Alfa!$D$27</f>
        <v>13688.898301414423</v>
      </c>
      <c r="DJ75" s="253">
        <f t="shared" si="47"/>
        <v>15906.93234604471</v>
      </c>
      <c r="DK75" s="253">
        <f t="shared" si="20"/>
        <v>15140.972779348238</v>
      </c>
      <c r="DL75" s="253">
        <f t="shared" si="48"/>
        <v>0.10656818958918737</v>
      </c>
      <c r="DM75" s="183">
        <f>New!AC75</f>
        <v>2.7939020648434932E-5</v>
      </c>
      <c r="DN75" s="183">
        <f t="shared" si="36"/>
        <v>3.5049529086959997E-5</v>
      </c>
      <c r="DO75" s="183">
        <f t="shared" si="37"/>
        <v>0.79712970120415982</v>
      </c>
      <c r="DP75" s="183">
        <f t="shared" si="38"/>
        <v>540.28736717764116</v>
      </c>
      <c r="DQ75" s="297">
        <f>DH75/((DA75/3600)*New!BV75*(Sheet3!BZ75-Sheet3!CP75)*1000)</f>
        <v>1.4569049504542604</v>
      </c>
      <c r="DR75" s="166">
        <f>(DB75*0.018)/(0.011*New!IV75*3600)</f>
        <v>3091.7687492697219</v>
      </c>
      <c r="DS75" s="166">
        <f>(New!IV75*New!CE75*1000)/New!AU75</f>
        <v>0.86323913019559584</v>
      </c>
      <c r="DT75" s="166">
        <f>IF(DR75&gt;2300,0.023*((DR75^(4/5)*DS75^(1/3))/(1+12.7*(DS75^(2/3)-1)))*(New!IV75/DV75)^0.14, 0.943*(DR75*DS75*New!IV75/Sheet3!DV75)^0.4)</f>
        <v>-75.106495545995784</v>
      </c>
      <c r="DU75" s="166">
        <f t="shared" si="49"/>
        <v>-1116.17145978848</v>
      </c>
      <c r="DV75" s="166">
        <f>_xlfn.FORECAST.LINEAR(AVERAGE(_xlfn.ANCHORARRAY(BR75)),Sheet2!$AK$2:$AK$69,Sheet2!$AJ$2:$AJ$69)</f>
        <v>9.5450528571504998E-6</v>
      </c>
    </row>
    <row r="76" spans="1:126" s="176" customFormat="1" x14ac:dyDescent="0.3">
      <c r="A76" s="240" t="str">
        <f>'Su K. oro stendu'!B121</f>
        <v>2023.02.06-1</v>
      </c>
      <c r="B76" s="252" cm="1">
        <f t="array" ref="B76:I76">'[83]Kondensacijos efektyvumas'!$B$4:$I$4</f>
        <v>14</v>
      </c>
      <c r="C76" s="252">
        <v>728</v>
      </c>
      <c r="D76" s="252">
        <v>14</v>
      </c>
      <c r="E76" s="252">
        <v>743</v>
      </c>
      <c r="F76" s="252">
        <v>13</v>
      </c>
      <c r="G76" s="252">
        <v>676</v>
      </c>
      <c r="H76" s="252">
        <v>13</v>
      </c>
      <c r="I76" s="252">
        <v>607</v>
      </c>
      <c r="J76" s="252" cm="1">
        <f t="array" ref="J76:Q76">TRANSPOSE('[83]Nu kitimas'!$I$4:$I$11)</f>
        <v>360.497065387725</v>
      </c>
      <c r="K76" s="252">
        <v>319.65655166100527</v>
      </c>
      <c r="L76" s="252">
        <v>305.01379704728572</v>
      </c>
      <c r="M76" s="252">
        <v>304.66488628526218</v>
      </c>
      <c r="N76" s="252">
        <v>316.5449194545136</v>
      </c>
      <c r="O76" s="252">
        <v>336.66752739893775</v>
      </c>
      <c r="P76" s="252">
        <v>359.96918134517284</v>
      </c>
      <c r="Q76" s="252">
        <v>375.05680128366248</v>
      </c>
      <c r="R76" s="252" cm="1">
        <f t="array" ref="R76:Y76">TRANSPOSE([83]Alfa!$G$18:$G$25)</f>
        <v>547.38799389226381</v>
      </c>
      <c r="S76" s="252">
        <v>483.46772516152402</v>
      </c>
      <c r="T76" s="252">
        <v>457.71320764087295</v>
      </c>
      <c r="U76" s="252">
        <v>456.06107827056661</v>
      </c>
      <c r="V76" s="252">
        <v>471.04378610573775</v>
      </c>
      <c r="W76" s="252">
        <v>499.41643234332514</v>
      </c>
      <c r="X76" s="252">
        <v>530.68393103872779</v>
      </c>
      <c r="Y76" s="252">
        <v>551.25153717487558</v>
      </c>
      <c r="Z76" s="252" cm="1">
        <f t="array" ref="Z76:AG76">TRANSPOSE([83]Alfa!$F$127:$F$134)</f>
        <v>2.0860388566343323E-2</v>
      </c>
      <c r="AA76" s="252">
        <v>1.088922329707503</v>
      </c>
      <c r="AB76" s="252">
        <v>2.0975989823127258E-2</v>
      </c>
      <c r="AC76" s="252">
        <v>1.113713056710268</v>
      </c>
      <c r="AD76" s="252">
        <v>1.9488154337972838E-2</v>
      </c>
      <c r="AE76" s="252">
        <v>1.014048278096513</v>
      </c>
      <c r="AF76" s="252">
        <v>1.9541890457635588E-2</v>
      </c>
      <c r="AG76" s="252">
        <v>0.91647284955654273</v>
      </c>
      <c r="AH76" s="257" cm="1">
        <f t="array" ref="AH76:AO76">TRANSPOSE('[83]Silumos kiekio nustat.'!$F$25:$F$32)</f>
        <v>624.22782592396231</v>
      </c>
      <c r="AI76" s="257">
        <v>568.76780368609707</v>
      </c>
      <c r="AJ76" s="257">
        <v>531.64604045285944</v>
      </c>
      <c r="AK76" s="257">
        <v>512.69517894007083</v>
      </c>
      <c r="AL76" s="257">
        <v>511.77042781794643</v>
      </c>
      <c r="AM76" s="257">
        <v>528.73690308500932</v>
      </c>
      <c r="AN76" s="257">
        <v>563.45794516661999</v>
      </c>
      <c r="AO76" s="257">
        <v>615.78442782173499</v>
      </c>
      <c r="AP76" s="313">
        <f t="shared" si="39"/>
        <v>7.9131048649568048E-2</v>
      </c>
      <c r="AQ76" s="35">
        <f t="shared" si="40"/>
        <v>44.086741606551804</v>
      </c>
      <c r="AR76" s="252" cm="1">
        <f t="array" ref="AR76:AY76">TRANSPOSE([83]Alfa!$E$127:$E$134)</f>
        <v>0.10816499060668443</v>
      </c>
      <c r="AS76" s="252">
        <v>0.12024771763230314</v>
      </c>
      <c r="AT76" s="252">
        <v>0.12396394476792023</v>
      </c>
      <c r="AU76" s="252">
        <v>9.8238216147821578E-2</v>
      </c>
      <c r="AV76" s="252">
        <v>9.2047256140240064E-2</v>
      </c>
      <c r="AW76" s="252">
        <v>0.10275059487203593</v>
      </c>
      <c r="AX76" s="252">
        <v>9.4405672301765997E-2</v>
      </c>
      <c r="AY76" s="252">
        <v>9.4996330430928921E-2</v>
      </c>
      <c r="AZ76" s="183">
        <f t="shared" si="33"/>
        <v>200</v>
      </c>
      <c r="BA76" s="252">
        <f>'Su K. oro stendu'!P121</f>
        <v>64.569000000000003</v>
      </c>
      <c r="BB76" s="183">
        <f t="shared" si="34"/>
        <v>199.99125000000001</v>
      </c>
      <c r="BC76" s="252">
        <v>64.566000000000003</v>
      </c>
      <c r="BD76" s="183">
        <f t="shared" si="35"/>
        <v>199.53625</v>
      </c>
      <c r="BE76" s="252">
        <v>64.411000000000001</v>
      </c>
      <c r="BF76" s="252">
        <f t="shared" si="41"/>
        <v>198.11</v>
      </c>
      <c r="BG76" s="252">
        <v>64.408000000000001</v>
      </c>
      <c r="BH76" s="252">
        <f t="shared" si="42"/>
        <v>196.2525</v>
      </c>
      <c r="BI76" s="252">
        <v>64.248999999999995</v>
      </c>
      <c r="BJ76" s="252">
        <f t="shared" si="43"/>
        <v>196.22</v>
      </c>
      <c r="BK76" s="252">
        <v>64.245999999999995</v>
      </c>
      <c r="BL76" s="252">
        <f t="shared" si="44"/>
        <v>194.53</v>
      </c>
      <c r="BM76" s="252">
        <v>64.099999999999994</v>
      </c>
      <c r="BN76" s="252">
        <f t="shared" si="45"/>
        <v>194.4975</v>
      </c>
      <c r="BO76" s="252">
        <v>64.096999999999994</v>
      </c>
      <c r="BP76" s="252">
        <f t="shared" si="46"/>
        <v>192.98</v>
      </c>
      <c r="BQ76" s="252">
        <v>63.963999999999999</v>
      </c>
      <c r="BR76" s="252" cm="1">
        <f t="array" ref="BR76:BY76">TRANSPOSE('[83]Keithley Matavimai'!$W$6:$W$13)</f>
        <v>27.762768173703723</v>
      </c>
      <c r="BS76" s="252">
        <v>22.583883403093939</v>
      </c>
      <c r="BT76" s="252">
        <v>24.195115538929642</v>
      </c>
      <c r="BU76" s="252">
        <v>20.037186767218476</v>
      </c>
      <c r="BV76" s="252">
        <v>20.673507786245704</v>
      </c>
      <c r="BW76" s="252">
        <v>20.522676828478499</v>
      </c>
      <c r="BX76" s="252">
        <v>19.393280498669039</v>
      </c>
      <c r="BY76" s="252">
        <v>13.086768027863036</v>
      </c>
      <c r="BZ76" s="252" cm="1">
        <f t="array" ref="BZ76:CH76">TRANSPOSE('[83]Keithley Matavimai'!$V$5:$V$13)</f>
        <v>84.311887758675709</v>
      </c>
      <c r="CA76" s="252">
        <v>81.89191791245301</v>
      </c>
      <c r="CB76" s="252">
        <v>79.717498271011209</v>
      </c>
      <c r="CC76" s="252">
        <v>76.881323623504372</v>
      </c>
      <c r="CD76" s="252">
        <v>75.155442088181829</v>
      </c>
      <c r="CE76" s="252">
        <v>73.004145888468429</v>
      </c>
      <c r="CF76" s="252">
        <v>71.060259854354513</v>
      </c>
      <c r="CG76" s="252">
        <v>68.807401379727537</v>
      </c>
      <c r="CH76" s="252">
        <v>66.939634263180949</v>
      </c>
      <c r="CI76" s="252" cm="1">
        <f t="array" ref="CI76:CQ76">TRANSPOSE('[83]Silumos kiekio nustat.'!$B$24:$B$32)</f>
        <v>17.334565876236468</v>
      </c>
      <c r="CJ76" s="252">
        <v>15.914534388115591</v>
      </c>
      <c r="CK76" s="252">
        <v>14.617789892229071</v>
      </c>
      <c r="CL76" s="252">
        <v>13.403214064987484</v>
      </c>
      <c r="CM76" s="252">
        <v>12.229688582801401</v>
      </c>
      <c r="CN76" s="252">
        <v>11.056095122081395</v>
      </c>
      <c r="CO76" s="252">
        <v>9.8413153592380347</v>
      </c>
      <c r="CP76" s="252">
        <v>8.5442309706818929</v>
      </c>
      <c r="CQ76" s="252">
        <v>7.1237236328235412</v>
      </c>
      <c r="CR76" s="252">
        <f>'Su K. oro stendu'!P121</f>
        <v>64.569000000000003</v>
      </c>
      <c r="CS76" s="252"/>
      <c r="CT76" s="252"/>
      <c r="CU76" s="252">
        <f>[83]Alfa!$F$15</f>
        <v>545</v>
      </c>
      <c r="CV76" s="189">
        <f>'Su K. oro stendu'!J121</f>
        <v>3</v>
      </c>
      <c r="CW76" s="252">
        <f>'Su K. oro stendu'!D121</f>
        <v>10000</v>
      </c>
      <c r="CX76" s="252">
        <f>'Su K. oro stendu'!G121</f>
        <v>20</v>
      </c>
      <c r="CY76" s="252">
        <f>[83]Alfa!$F$16</f>
        <v>0.30913761467889916</v>
      </c>
      <c r="CZ76" s="252">
        <f>'Su K. oro stendu'!H121</f>
        <v>23.3</v>
      </c>
      <c r="DA76" s="252">
        <f>'Su K. oro stendu'!C121</f>
        <v>400</v>
      </c>
      <c r="DB76" s="252">
        <f>'Su K. oro stendu'!E121</f>
        <v>80</v>
      </c>
      <c r="DC76" s="252">
        <f>'Su K. oro stendu'!I121</f>
        <v>1200</v>
      </c>
      <c r="DD76" s="252">
        <f>'Su K. oro stendu'!K121</f>
        <v>6.5</v>
      </c>
      <c r="DE76" s="252">
        <f>'Su K. oro stendu'!L121</f>
        <v>9.8000000000000007</v>
      </c>
      <c r="DF76" s="252">
        <f>'Su K. oro stendu'!F121</f>
        <v>85</v>
      </c>
      <c r="DG76" s="258">
        <f>[83]Alfa!$D$29</f>
        <v>2276.1853196246348</v>
      </c>
      <c r="DH76" s="258">
        <f>[83]Alfa!$D$26</f>
        <v>13479.335977109926</v>
      </c>
      <c r="DI76" s="258">
        <f>[83]Alfa!$D$27</f>
        <v>12642.068811767718</v>
      </c>
      <c r="DJ76" s="253">
        <f t="shared" si="47"/>
        <v>14918.254131392354</v>
      </c>
      <c r="DK76" s="253">
        <f t="shared" si="20"/>
        <v>14198.795054251139</v>
      </c>
      <c r="DL76" s="253">
        <f t="shared" si="48"/>
        <v>0.10674992868535527</v>
      </c>
      <c r="DM76" s="183">
        <f>New!AC76</f>
        <v>2.7939020648434932E-5</v>
      </c>
      <c r="DN76" s="183">
        <f t="shared" si="36"/>
        <v>3.5049529086959997E-5</v>
      </c>
      <c r="DO76" s="252">
        <f t="shared" si="37"/>
        <v>0.79712970120415982</v>
      </c>
      <c r="DP76" s="183">
        <f t="shared" si="38"/>
        <v>499.6282114534867</v>
      </c>
      <c r="DQ76" s="297">
        <f>DH76/((DA76/3600)*New!BV76*(Sheet3!BZ76-Sheet3!CP76)*1000)</f>
        <v>1.3492632401632598</v>
      </c>
      <c r="DR76" s="166">
        <f>(DB76*0.018)/(0.011*New!IV76*3600)</f>
        <v>3091.7687492697219</v>
      </c>
      <c r="DS76" s="166">
        <f>(New!IV76*New!CE76*1000)/New!AU76</f>
        <v>0.86323913019559584</v>
      </c>
      <c r="DT76" s="166">
        <f>IF(DR76&gt;2300,0.023*((DR76^(4/5)*DS76^(1/3))/(1+12.7*(DS76^(2/3)-1)))*(New!IV76/DV76)^0.14, 0.943*(DR76*DS76*New!IV76/Sheet3!DV76)^0.4)</f>
        <v>-75.132186900513958</v>
      </c>
      <c r="DU76" s="166">
        <f t="shared" si="49"/>
        <v>-1111.8558461537027</v>
      </c>
      <c r="DV76" s="166">
        <f>_xlfn.FORECAST.LINEAR(AVERAGE(_xlfn.ANCHORARRAY(BR76)),Sheet2!$AK$2:$AK$69,Sheet2!$AJ$2:$AJ$69)</f>
        <v>9.5217636247411337E-6</v>
      </c>
    </row>
    <row r="77" spans="1:126" x14ac:dyDescent="0.3">
      <c r="A77" s="184" t="str">
        <f>'Su K. oro stendu'!B122</f>
        <v>2023.02.06-2</v>
      </c>
      <c r="B77" s="183" cm="1">
        <f t="array" ref="B77:I77">'[84]Kondensacijos efektyvumas'!$B$4:$I$4</f>
        <v>5</v>
      </c>
      <c r="C77" s="183">
        <v>734</v>
      </c>
      <c r="D77" s="183">
        <v>6</v>
      </c>
      <c r="E77" s="183">
        <v>829</v>
      </c>
      <c r="F77" s="183">
        <v>4</v>
      </c>
      <c r="G77" s="183">
        <v>776</v>
      </c>
      <c r="H77" s="183">
        <v>6</v>
      </c>
      <c r="I77" s="183">
        <v>711</v>
      </c>
      <c r="J77" s="183" cm="1">
        <f t="array" ref="J77:Q77">TRANSPOSE('[84]Nu kitimas'!$G$4:$G$11)</f>
        <v>200.99392916016933</v>
      </c>
      <c r="K77" s="183">
        <v>188.74219155054706</v>
      </c>
      <c r="L77" s="183">
        <v>186.88057388705792</v>
      </c>
      <c r="M77" s="183">
        <v>190.79028481021675</v>
      </c>
      <c r="N77" s="183">
        <v>200.92792599648854</v>
      </c>
      <c r="O77" s="183">
        <v>217.15939178341731</v>
      </c>
      <c r="P77" s="183">
        <v>236.61960734686451</v>
      </c>
      <c r="Q77" s="183">
        <v>254.90631711920253</v>
      </c>
      <c r="R77" s="183" cm="1">
        <f t="array" ref="R77:Y77">TRANSPOSE([84]Alfa!$G$18:$G$25)</f>
        <v>356.25135319849812</v>
      </c>
      <c r="S77" s="183">
        <v>330.4704772426071</v>
      </c>
      <c r="T77" s="183">
        <v>322.35735424587438</v>
      </c>
      <c r="U77" s="183">
        <v>326.15029664437577</v>
      </c>
      <c r="V77" s="183">
        <v>339.56961057172049</v>
      </c>
      <c r="W77" s="183">
        <v>363.29369221559637</v>
      </c>
      <c r="X77" s="183">
        <v>391.82808041216822</v>
      </c>
      <c r="Y77" s="183">
        <v>418.72957246540329</v>
      </c>
      <c r="Z77" s="183" cm="1">
        <f t="array" ref="Z77:AG77">TRANSPOSE([84]Alfa!$F$127:$F$134)</f>
        <v>7.426725166724938E-3</v>
      </c>
      <c r="AA77" s="183">
        <v>1.0947148838340657</v>
      </c>
      <c r="AB77" s="183">
        <v>8.965557920857856E-3</v>
      </c>
      <c r="AC77" s="183">
        <v>1.2395395388152768</v>
      </c>
      <c r="AD77" s="183">
        <v>5.982828752904925E-3</v>
      </c>
      <c r="AE77" s="183">
        <v>1.1617388605369754</v>
      </c>
      <c r="AF77" s="183">
        <v>9.0043210281588962E-3</v>
      </c>
      <c r="AG77" s="183">
        <v>1.0721381086598987</v>
      </c>
      <c r="AH77" s="35" cm="1">
        <f t="array" ref="AH77:AO77">TRANSPOSE('[84]Silumos kiekio nustat.'!$F$25:$F$32)</f>
        <v>807.64118714922176</v>
      </c>
      <c r="AI77" s="35">
        <v>746.32774787777362</v>
      </c>
      <c r="AJ77" s="35">
        <v>706.63619738264765</v>
      </c>
      <c r="AK77" s="35">
        <v>688.33707559700997</v>
      </c>
      <c r="AL77" s="35">
        <v>691.22758082431778</v>
      </c>
      <c r="AM77" s="35">
        <v>715.11585520860524</v>
      </c>
      <c r="AN77" s="35">
        <v>759.80668972347678</v>
      </c>
      <c r="AO77" s="35">
        <v>825.08871292155243</v>
      </c>
      <c r="AP77" s="313">
        <f t="shared" si="39"/>
        <v>7.0122172120821058E-2</v>
      </c>
      <c r="AQ77" s="35">
        <f t="shared" si="40"/>
        <v>52.067299723057111</v>
      </c>
      <c r="AR77" s="183" cm="1">
        <f t="array" ref="AR77:AY77">TRANSPOSE([84]Alfa!$E$127:$E$134)</f>
        <v>0.23786013793813154</v>
      </c>
      <c r="AS77" s="183">
        <v>0.28583972037099625</v>
      </c>
      <c r="AT77" s="183">
        <v>0.28467235573994232</v>
      </c>
      <c r="AU77" s="183">
        <v>0.22623497329241635</v>
      </c>
      <c r="AV77" s="183">
        <v>0.21218487500564373</v>
      </c>
      <c r="AW77" s="183">
        <v>0.24155139271750137</v>
      </c>
      <c r="AX77" s="183">
        <v>0.18457477002905687</v>
      </c>
      <c r="AY77" s="183">
        <v>0.19675677205338174</v>
      </c>
      <c r="AZ77" s="183">
        <f t="shared" si="33"/>
        <v>200</v>
      </c>
      <c r="BA77" s="183">
        <f>'Su K. oro stendu'!P122</f>
        <v>64.569000000000003</v>
      </c>
      <c r="BB77" s="183">
        <f t="shared" si="34"/>
        <v>199.99722222222223</v>
      </c>
      <c r="BC77" s="183">
        <v>64.567999999999998</v>
      </c>
      <c r="BD77" s="183">
        <f t="shared" si="35"/>
        <v>199.58944444444444</v>
      </c>
      <c r="BE77" s="183">
        <v>64.534000000000006</v>
      </c>
      <c r="BF77" s="183">
        <f t="shared" si="41"/>
        <v>198.34444444444443</v>
      </c>
      <c r="BG77" s="183">
        <v>64.427999999999997</v>
      </c>
      <c r="BH77" s="183">
        <f t="shared" si="42"/>
        <v>196.50222222222223</v>
      </c>
      <c r="BI77" s="183">
        <v>64.271000000000001</v>
      </c>
      <c r="BJ77" s="183">
        <f t="shared" si="43"/>
        <v>196.49333333333334</v>
      </c>
      <c r="BK77" s="183">
        <v>64.27</v>
      </c>
      <c r="BL77" s="183">
        <f t="shared" si="44"/>
        <v>194.76888888888888</v>
      </c>
      <c r="BM77" s="183">
        <v>64.120999999999995</v>
      </c>
      <c r="BN77" s="183">
        <f t="shared" si="45"/>
        <v>194.75555555555556</v>
      </c>
      <c r="BO77" s="183">
        <v>64.12</v>
      </c>
      <c r="BP77" s="183">
        <f t="shared" si="46"/>
        <v>193.17555555555555</v>
      </c>
      <c r="BQ77" s="183">
        <v>63.981999999999999</v>
      </c>
      <c r="BR77" s="183" cm="1">
        <f t="array" ref="BR77:BY77">TRANSPOSE('[84]Keithley Matavimai'!$W$6:$W$13)</f>
        <v>31.094825457541152</v>
      </c>
      <c r="BS77" s="183">
        <v>25.469379084934406</v>
      </c>
      <c r="BT77" s="183">
        <v>27.187864893644463</v>
      </c>
      <c r="BU77" s="183">
        <v>22.752795911006402</v>
      </c>
      <c r="BV77" s="183">
        <v>22.95282933019514</v>
      </c>
      <c r="BW77" s="183">
        <v>22.58789771036081</v>
      </c>
      <c r="BX77" s="183">
        <v>21.281411660956454</v>
      </c>
      <c r="BY77" s="183">
        <v>14.429519966613578</v>
      </c>
      <c r="BZ77" s="183" cm="1">
        <f t="array" ref="BZ77:CH77">TRANSPOSE('[84]Keithley Matavimai'!$V$5:$V$13)</f>
        <v>143.44744629335733</v>
      </c>
      <c r="CA77" s="183">
        <v>138.84364415244622</v>
      </c>
      <c r="CB77" s="183">
        <v>134.06348817032</v>
      </c>
      <c r="CC77" s="183">
        <v>128.42007270329734</v>
      </c>
      <c r="CD77" s="183">
        <v>124.7700362987274</v>
      </c>
      <c r="CE77" s="183">
        <v>120.45413693087994</v>
      </c>
      <c r="CF77" s="183">
        <v>116.28665152452616</v>
      </c>
      <c r="CG77" s="183">
        <v>112.44317511679976</v>
      </c>
      <c r="CH77" s="183">
        <v>109.01484833667973</v>
      </c>
      <c r="CI77" s="183" cm="1">
        <f t="array" ref="CI77:CQ77">TRANSPOSE('[84]Silumos kiekio nustat.'!$B$24:$B$32)</f>
        <v>19.445363920912289</v>
      </c>
      <c r="CJ77" s="183">
        <v>17.805427598105844</v>
      </c>
      <c r="CK77" s="183">
        <v>16.286014457068724</v>
      </c>
      <c r="CL77" s="183">
        <v>14.843910694792953</v>
      </c>
      <c r="CM77" s="183">
        <v>13.435902508270557</v>
      </c>
      <c r="CN77" s="183">
        <v>12.018776094493559</v>
      </c>
      <c r="CO77" s="183">
        <v>10.549317650453981</v>
      </c>
      <c r="CP77" s="183">
        <v>8.9843133731438449</v>
      </c>
      <c r="CQ77" s="183">
        <v>7.2805494595551785</v>
      </c>
      <c r="CR77" s="183">
        <f>'Su K. oro stendu'!P122</f>
        <v>64.569000000000003</v>
      </c>
      <c r="CS77" s="183"/>
      <c r="CT77" s="183"/>
      <c r="CU77" s="183">
        <f>[84]Alfa!$F$15</f>
        <v>545</v>
      </c>
      <c r="CV77" s="172">
        <f>'Su K. oro stendu'!J122</f>
        <v>3</v>
      </c>
      <c r="CW77" s="183">
        <f>'Su K. oro stendu'!D122</f>
        <v>10000</v>
      </c>
      <c r="CX77" s="183">
        <f>'Su K. oro stendu'!G122</f>
        <v>20</v>
      </c>
      <c r="CY77" s="183">
        <f>[84]Alfa!$F$16</f>
        <v>0.33809174311926593</v>
      </c>
      <c r="CZ77" s="183">
        <f>'Su K. oro stendu'!H122</f>
        <v>23.3</v>
      </c>
      <c r="DA77" s="183">
        <f>'Su K. oro stendu'!C122</f>
        <v>450</v>
      </c>
      <c r="DB77" s="183">
        <f>'Su K. oro stendu'!E122</f>
        <v>90</v>
      </c>
      <c r="DC77" s="183">
        <f>'Su K. oro stendu'!I122</f>
        <v>1350</v>
      </c>
      <c r="DD77" s="183">
        <f>'Su K. oro stendu'!K122</f>
        <v>7</v>
      </c>
      <c r="DE77" s="183">
        <f>'Su K. oro stendu'!L122</f>
        <v>19</v>
      </c>
      <c r="DF77" s="183">
        <f>'Su K. oro stendu'!F122</f>
        <v>145</v>
      </c>
      <c r="DG77" s="253">
        <f>[84]Alfa!$D$29</f>
        <v>5188.599947904243</v>
      </c>
      <c r="DH77" s="253">
        <f>[84]Alfa!$D$26</f>
        <v>18009.201001568425</v>
      </c>
      <c r="DI77" s="253">
        <f>[84]Alfa!$D$27</f>
        <v>13798.532474144589</v>
      </c>
      <c r="DJ77" s="253">
        <f t="shared" si="47"/>
        <v>18987.132422048831</v>
      </c>
      <c r="DK77" s="253">
        <f t="shared" ref="DK77:DK102" si="50">(DJ77+DH77)/2</f>
        <v>18498.166711808626</v>
      </c>
      <c r="DL77" s="253">
        <f t="shared" si="48"/>
        <v>5.4301766102518294E-2</v>
      </c>
      <c r="DM77" s="183">
        <f>New!AC77</f>
        <v>3.9913233084562172E-5</v>
      </c>
      <c r="DN77" s="183">
        <f t="shared" si="36"/>
        <v>4.2388323940559999E-5</v>
      </c>
      <c r="DO77" s="183">
        <f t="shared" si="37"/>
        <v>0.94160913605669849</v>
      </c>
      <c r="DP77" s="183">
        <f t="shared" si="38"/>
        <v>356.08130462453045</v>
      </c>
      <c r="DQ77" s="297">
        <f>DH77/((DA77/3600)*New!BV77*(Sheet3!BZ77-Sheet3!CP77)*1000)</f>
        <v>0.89214563976173533</v>
      </c>
      <c r="DR77" s="166">
        <f>(DB77*0.018)/(0.011*New!IV77*3600)</f>
        <v>2951.1310831527276</v>
      </c>
      <c r="DS77" s="166">
        <f>(New!IV77*New!CE77*1000)/New!AU77</f>
        <v>0.64719895598215416</v>
      </c>
      <c r="DT77" s="166">
        <f>IF(DR77&gt;2300,0.023*((DR77^(4/5)*DS77^(1/3))/(1+12.7*(DS77^(2/3)-1)))*(New!IV77/DV77)^0.14, 0.943*(DR77*DS77*New!IV77/Sheet3!DV77)^0.4)</f>
        <v>-5.6892764010188186</v>
      </c>
      <c r="DU77" s="166">
        <f t="shared" si="49"/>
        <v>-950.004232164923</v>
      </c>
      <c r="DV77" s="166">
        <f>_xlfn.FORECAST.LINEAR(AVERAGE(_xlfn.ANCHORARRAY(BR77)),Sheet2!$AK$2:$AK$69,Sheet2!$AJ$2:$AJ$69)</f>
        <v>9.607111985846482E-6</v>
      </c>
    </row>
    <row r="78" spans="1:126" ht="15" thickBot="1" x14ac:dyDescent="0.35">
      <c r="A78" s="184" t="str">
        <f>'Su K. oro stendu'!B123</f>
        <v>2023.02.08</v>
      </c>
      <c r="B78" s="183" cm="1">
        <f t="array" ref="B78:I78">'[85]Kondensacijos efektyvumas'!$B$4:$I$4</f>
        <v>237</v>
      </c>
      <c r="C78" s="183">
        <v>83</v>
      </c>
      <c r="D78" s="183">
        <v>31</v>
      </c>
      <c r="E78" s="183">
        <v>278</v>
      </c>
      <c r="F78" s="183">
        <v>13</v>
      </c>
      <c r="G78" s="183">
        <v>333</v>
      </c>
      <c r="H78" s="183">
        <v>14</v>
      </c>
      <c r="I78" s="183">
        <v>310</v>
      </c>
      <c r="J78" s="183" cm="1">
        <f t="array" ref="J78:Q78">TRANSPOSE('[85]Nu kitimas'!$M$4:$M$11)</f>
        <v>147.66027373636746</v>
      </c>
      <c r="K78" s="183">
        <v>126.13246763072958</v>
      </c>
      <c r="L78" s="183">
        <v>119.6112668038357</v>
      </c>
      <c r="M78" s="183">
        <v>119.35402218249901</v>
      </c>
      <c r="N78" s="183">
        <v>125.43720577737007</v>
      </c>
      <c r="O78" s="183">
        <v>138.17202637123961</v>
      </c>
      <c r="P78" s="183">
        <v>153.3500075809842</v>
      </c>
      <c r="Q78" s="183">
        <v>163.12287982760913</v>
      </c>
      <c r="R78" s="183" cm="1">
        <f t="array" ref="R78:Y78">TRANSPOSE([85]Alfa!$G$18:$G$25)</f>
        <v>228.60125211925808</v>
      </c>
      <c r="S78" s="183">
        <v>193.72845235215615</v>
      </c>
      <c r="T78" s="183">
        <v>181.80584862741208</v>
      </c>
      <c r="U78" s="183">
        <v>180.95765982920528</v>
      </c>
      <c r="V78" s="183">
        <v>188.66039840531568</v>
      </c>
      <c r="W78" s="183">
        <v>206.74512677329409</v>
      </c>
      <c r="X78" s="183">
        <v>227.5489725858466</v>
      </c>
      <c r="Y78" s="183">
        <v>240.94289703271517</v>
      </c>
      <c r="Z78" s="183" cm="1">
        <f t="array" ref="Z78:AG78">TRANSPOSE([85]Alfa!$F$127:$F$134)</f>
        <v>0.20841278234932284</v>
      </c>
      <c r="AA78" s="183">
        <v>7.3459944499649626E-2</v>
      </c>
      <c r="AB78" s="183">
        <v>2.7528962641231908E-2</v>
      </c>
      <c r="AC78" s="183">
        <v>0.2472081242545571</v>
      </c>
      <c r="AD78" s="183">
        <v>1.156464623004741E-2</v>
      </c>
      <c r="AE78" s="183">
        <v>0.29636271352384164</v>
      </c>
      <c r="AF78" s="183">
        <v>1.2478191177552542E-2</v>
      </c>
      <c r="AG78" s="183">
        <v>0.277273311923869</v>
      </c>
      <c r="AH78" s="35" cm="1">
        <f t="array" ref="AH78:AO78">TRANSPOSE('[85]Silumos kiekio nustat.'!$F$25:$F$32)</f>
        <v>187.44162277077993</v>
      </c>
      <c r="AI78" s="35">
        <v>170.69600367514352</v>
      </c>
      <c r="AJ78" s="35">
        <v>159.26647334593008</v>
      </c>
      <c r="AK78" s="35">
        <v>153.01583641456236</v>
      </c>
      <c r="AL78" s="35">
        <v>151.8285959820812</v>
      </c>
      <c r="AM78" s="35">
        <v>155.60110366295933</v>
      </c>
      <c r="AN78" s="35">
        <v>164.23323531454713</v>
      </c>
      <c r="AO78" s="35">
        <v>177.62165998087875</v>
      </c>
      <c r="AP78" s="313">
        <f t="shared" si="39"/>
        <v>7.7165473797994155E-2</v>
      </c>
      <c r="AQ78" s="35">
        <f t="shared" si="40"/>
        <v>12.729453177413614</v>
      </c>
      <c r="AR78" s="183" cm="1">
        <f t="array" ref="AR78:AY78">TRANSPOSE([85]Alfa!$E$127:$E$134)</f>
        <v>5.883742164067287E-2</v>
      </c>
      <c r="AS78" s="183">
        <v>4.7167030022358968E-2</v>
      </c>
      <c r="AT78" s="183">
        <v>5.7167068601956868E-2</v>
      </c>
      <c r="AU78" s="183">
        <v>2.8451015977480551E-2</v>
      </c>
      <c r="AV78" s="183">
        <v>4.2508248299569763E-2</v>
      </c>
      <c r="AW78" s="183">
        <v>4.4643753043668306E-2</v>
      </c>
      <c r="AX78" s="183">
        <v>4.3130351773934018E-2</v>
      </c>
      <c r="AY78" s="183">
        <v>3.9846371044127145E-2</v>
      </c>
      <c r="AZ78" s="183">
        <f t="shared" si="33"/>
        <v>106.06060606060606</v>
      </c>
      <c r="BA78" s="183">
        <f>'Su K. oro stendu'!P123</f>
        <v>53.561</v>
      </c>
      <c r="BB78" s="183">
        <f t="shared" si="34"/>
        <v>105.61174242424242</v>
      </c>
      <c r="BC78" s="143">
        <v>53.485999999999997</v>
      </c>
      <c r="BD78" s="183">
        <f t="shared" si="35"/>
        <v>105.45454545454545</v>
      </c>
      <c r="BE78" s="143">
        <v>53.46</v>
      </c>
      <c r="BF78" s="183">
        <f t="shared" si="41"/>
        <v>103.40151515151516</v>
      </c>
      <c r="BG78" s="143">
        <v>53.112000000000002</v>
      </c>
      <c r="BH78" s="183">
        <f t="shared" si="42"/>
        <v>101.29545454545455</v>
      </c>
      <c r="BI78" s="143">
        <v>52.749000000000002</v>
      </c>
      <c r="BJ78" s="183">
        <f t="shared" si="43"/>
        <v>101.1969696969697</v>
      </c>
      <c r="BK78" s="143">
        <v>52.731999999999999</v>
      </c>
      <c r="BL78" s="183">
        <f t="shared" si="44"/>
        <v>98.674242424242422</v>
      </c>
      <c r="BM78" s="143">
        <v>52.286000000000001</v>
      </c>
      <c r="BN78" s="183">
        <f t="shared" si="45"/>
        <v>98.568181818181813</v>
      </c>
      <c r="BO78" s="304">
        <v>52.267000000000003</v>
      </c>
      <c r="BP78" s="183">
        <f t="shared" si="46"/>
        <v>96.219696969696969</v>
      </c>
      <c r="BQ78" s="143">
        <v>51.84</v>
      </c>
      <c r="BR78" s="183" cm="1">
        <f t="array" ref="BR78:BY78">TRANSPOSE('[85]Keithley Matavimai'!$W$6:$W$13)</f>
        <v>43.687890795193404</v>
      </c>
      <c r="BS78" s="183">
        <v>32.909754380426406</v>
      </c>
      <c r="BT78" s="183">
        <v>36.350712356409502</v>
      </c>
      <c r="BU78" s="183">
        <v>30.196963279519014</v>
      </c>
      <c r="BV78" s="183">
        <v>31.078076298315256</v>
      </c>
      <c r="BW78" s="183">
        <v>29.70422391208179</v>
      </c>
      <c r="BX78" s="183">
        <v>29.518920726202765</v>
      </c>
      <c r="BY78" s="183">
        <v>25.167479983864418</v>
      </c>
      <c r="BZ78" s="183" cm="1">
        <f t="array" ref="BZ78:CH78">TRANSPOSE('[85]Keithley Matavimai'!$V$5:$V$13)</f>
        <v>84.482659202118114</v>
      </c>
      <c r="CA78" s="183">
        <v>80.657519165647344</v>
      </c>
      <c r="CB78" s="183">
        <v>77.380558889504272</v>
      </c>
      <c r="CC78" s="183">
        <v>73.277657376822276</v>
      </c>
      <c r="CD78" s="183">
        <v>71.61322142311576</v>
      </c>
      <c r="CE78" s="183">
        <v>68.493071673515189</v>
      </c>
      <c r="CF78" s="183">
        <v>65.633933389483857</v>
      </c>
      <c r="CG78" s="183">
        <v>62.403884329476234</v>
      </c>
      <c r="CH78" s="183">
        <v>59.784380244762673</v>
      </c>
      <c r="CI78" s="183" cm="1">
        <f t="array" ref="CI78:CQ78">TRANSPOSE('[85]Silumos kiekio nustat.'!$B$24:$B$32)</f>
        <v>35.455755921843405</v>
      </c>
      <c r="CJ78" s="183">
        <v>31.829285587545129</v>
      </c>
      <c r="CK78" s="183">
        <v>28.505858229761323</v>
      </c>
      <c r="CL78" s="183">
        <v>25.387102925878107</v>
      </c>
      <c r="CM78" s="183">
        <v>22.374648753281605</v>
      </c>
      <c r="CN78" s="183">
        <v>19.370124789357934</v>
      </c>
      <c r="CO78" s="183">
        <v>16.275160111493225</v>
      </c>
      <c r="CP78" s="183">
        <v>12.991383797073603</v>
      </c>
      <c r="CQ78" s="183">
        <v>9.4204249234851787</v>
      </c>
      <c r="CR78" s="183">
        <f>'Su K. oro stendu'!P123</f>
        <v>53.561</v>
      </c>
      <c r="CS78" s="183"/>
      <c r="CT78" s="183"/>
      <c r="CU78" s="183">
        <f>[85]Alfa!$F$15</f>
        <v>910</v>
      </c>
      <c r="CV78" s="172">
        <f>'Su K. oro stendu'!J123</f>
        <v>1</v>
      </c>
      <c r="CW78" s="183">
        <f>'Su K. oro stendu'!D123</f>
        <v>3000</v>
      </c>
      <c r="CX78" s="183">
        <f>'Su K. oro stendu'!G123</f>
        <v>10</v>
      </c>
      <c r="CY78" s="183">
        <f>[85]Alfa!$F$16</f>
        <v>8.5648351648351662E-2</v>
      </c>
      <c r="CZ78" s="183">
        <f>'Su K. oro stendu'!H123</f>
        <v>36.71</v>
      </c>
      <c r="DA78" s="183">
        <f>'Su K. oro stendu'!C123</f>
        <v>132</v>
      </c>
      <c r="DB78" s="183">
        <f>'Su K. oro stendu'!E123</f>
        <v>14</v>
      </c>
      <c r="DC78" s="183">
        <f>'Su K. oro stendu'!I123</f>
        <v>138</v>
      </c>
      <c r="DD78" s="183">
        <f>'Su K. oro stendu'!K123</f>
        <v>8.11</v>
      </c>
      <c r="DE78" s="183">
        <f>'Su K. oro stendu'!L123</f>
        <v>27.15</v>
      </c>
      <c r="DF78" s="183">
        <f>'Su K. oro stendu'!F123</f>
        <v>85</v>
      </c>
      <c r="DG78" s="253">
        <f>[85]Alfa!$D$29</f>
        <v>981.76116655213707</v>
      </c>
      <c r="DH78" s="253">
        <f>[85]Alfa!$D$26</f>
        <v>4133.7863304909542</v>
      </c>
      <c r="DI78" s="253">
        <f>[85]Alfa!$D$27</f>
        <v>3462.866029800216</v>
      </c>
      <c r="DJ78" s="253">
        <f t="shared" si="47"/>
        <v>4444.6271963523532</v>
      </c>
      <c r="DK78" s="253">
        <f t="shared" si="50"/>
        <v>4289.2067634216537</v>
      </c>
      <c r="DL78" s="253">
        <f t="shared" si="48"/>
        <v>7.5195194190039699E-2</v>
      </c>
      <c r="DM78" s="183">
        <f>New!AC78</f>
        <v>2.9069592998975505E-5</v>
      </c>
      <c r="DN78" s="183">
        <f t="shared" si="36"/>
        <v>3.5049529086959997E-5</v>
      </c>
      <c r="DO78" s="183">
        <f t="shared" si="37"/>
        <v>0.82938612176078286</v>
      </c>
      <c r="DP78" s="183">
        <f t="shared" si="38"/>
        <v>206.12382596565035</v>
      </c>
      <c r="DQ78" s="297">
        <f>DH78/((DA78/3600)*New!BV78*(Sheet3!BZ78-Sheet3!CP78)*1000)</f>
        <v>1.4272253626841682</v>
      </c>
      <c r="DR78" s="166">
        <f>(DB78*0.018)/(0.011*New!IV78*3600)</f>
        <v>541.05953112220141</v>
      </c>
      <c r="DS78" s="166">
        <f>(New!IV78*New!CE78*1000)/New!AU78</f>
        <v>0.86323913019559584</v>
      </c>
      <c r="DT78" s="166">
        <f>IF(DR78&gt;2300,0.023*((DR78^(4/5)*DS78^(1/3))/(1+12.7*(DS78^(2/3)-1)))*(New!IV78/DV78)^0.14, 0.943*(DR78*DS78*New!IV78/Sheet3!DV78)^0.4)</f>
        <v>11.800224171007153</v>
      </c>
      <c r="DU78" s="166">
        <f t="shared" si="49"/>
        <v>-1206.0987018673984</v>
      </c>
      <c r="DV78" s="166">
        <f>_xlfn.FORECAST.LINEAR(AVERAGE(_xlfn.ANCHORARRAY(BR78)),Sheet2!$AK$2:$AK$69,Sheet2!$AJ$2:$AJ$69)</f>
        <v>9.9172225851826633E-6</v>
      </c>
    </row>
    <row r="79" spans="1:126" x14ac:dyDescent="0.3">
      <c r="A79" s="184" t="str">
        <f>'Su K. oro stendu'!B124</f>
        <v>2023.02.09-1</v>
      </c>
      <c r="B79" s="183" cm="1">
        <f t="array" ref="B79:I79">'[86]Kondensacijos efektyvumas'!$B$4:$I$4</f>
        <v>4</v>
      </c>
      <c r="C79" s="183">
        <v>220</v>
      </c>
      <c r="D79" s="183">
        <v>5</v>
      </c>
      <c r="E79" s="183">
        <v>267</v>
      </c>
      <c r="F79" s="183">
        <v>5</v>
      </c>
      <c r="G79" s="183">
        <v>300</v>
      </c>
      <c r="H79" s="183">
        <v>9</v>
      </c>
      <c r="I79" s="183">
        <v>285</v>
      </c>
      <c r="J79" s="183" cm="1">
        <f t="array" ref="J79:Q79">TRANSPOSE('[86]Nu kitimas'!$K$4:$K$11)</f>
        <v>67.623856693408428</v>
      </c>
      <c r="K79" s="183">
        <v>62.147176572978523</v>
      </c>
      <c r="L79" s="183">
        <v>60.350593819260745</v>
      </c>
      <c r="M79" s="183">
        <v>60.987109658265148</v>
      </c>
      <c r="N79" s="183">
        <v>64.704036516212213</v>
      </c>
      <c r="O79" s="183">
        <v>71.606667091766752</v>
      </c>
      <c r="P79" s="183">
        <v>82.086674813718233</v>
      </c>
      <c r="Q79" s="183">
        <v>93.415127539413632</v>
      </c>
      <c r="R79" s="183" cm="1">
        <f t="array" ref="R79:Y79">TRANSPOSE([86]Alfa!$G$18:$G$25)</f>
        <v>119.65410634179615</v>
      </c>
      <c r="S79" s="183">
        <v>108.15118283391585</v>
      </c>
      <c r="T79" s="183">
        <v>102.97828050599124</v>
      </c>
      <c r="U79" s="183">
        <v>102.89736673092231</v>
      </c>
      <c r="V79" s="183">
        <v>107.52771504305512</v>
      </c>
      <c r="W79" s="183">
        <v>117.68164219717755</v>
      </c>
      <c r="X79" s="183">
        <v>132.72040604609364</v>
      </c>
      <c r="Y79" s="183">
        <v>149.48916459586999</v>
      </c>
      <c r="Z79" s="183" cm="1">
        <f t="array" ref="Z79:AG79">TRANSPOSE([86]Alfa!$F$127:$F$134)</f>
        <v>3.5287505589495726E-3</v>
      </c>
      <c r="AA79" s="183">
        <v>0.19524974960115613</v>
      </c>
      <c r="AB79" s="183">
        <v>4.4513466377340228E-3</v>
      </c>
      <c r="AC79" s="183">
        <v>0.23801293425782385</v>
      </c>
      <c r="AD79" s="183">
        <v>4.4594852995590521E-3</v>
      </c>
      <c r="AE79" s="183">
        <v>0.2677652417387047</v>
      </c>
      <c r="AF79" s="183">
        <v>8.0485417911819439E-3</v>
      </c>
      <c r="AG79" s="183">
        <v>0.25591895189982489</v>
      </c>
      <c r="AH79" s="35" cm="1">
        <f t="array" ref="AH79:AO79">TRANSPOSE('[86]Silumos kiekio nustat.'!$F$25:$F$32)</f>
        <v>234.09375186984204</v>
      </c>
      <c r="AI79" s="35">
        <v>206.14494770220278</v>
      </c>
      <c r="AJ79" s="35">
        <v>186.58905026048978</v>
      </c>
      <c r="AK79" s="35">
        <v>175.16281632611501</v>
      </c>
      <c r="AL79" s="35">
        <v>171.65696999749616</v>
      </c>
      <c r="AM79" s="35">
        <v>175.89197075019575</v>
      </c>
      <c r="AN79" s="35">
        <v>187.69773645677387</v>
      </c>
      <c r="AO79" s="35">
        <v>206.89735050410889</v>
      </c>
      <c r="AP79" s="313">
        <f t="shared" si="39"/>
        <v>0.11060261464148126</v>
      </c>
      <c r="AQ79" s="35">
        <f t="shared" si="40"/>
        <v>21.348165430009598</v>
      </c>
      <c r="AR79" s="183" cm="1">
        <f t="array" ref="AR79:AY79">TRANSPOSE([86]Alfa!$E$127:$E$134)</f>
        <v>0.1482696625824744</v>
      </c>
      <c r="AS79" s="183">
        <v>0.11705939675949224</v>
      </c>
      <c r="AT79" s="183">
        <v>0.12332129708119238</v>
      </c>
      <c r="AU79" s="183">
        <v>8.3619719846022733E-2</v>
      </c>
      <c r="AV79" s="183">
        <v>9.198113480038049E-2</v>
      </c>
      <c r="AW79" s="183">
        <v>8.2796585685938354E-2</v>
      </c>
      <c r="AX79" s="183">
        <v>9.6191649559939099E-2</v>
      </c>
      <c r="AY79" s="183">
        <v>7.5308312772584846E-2</v>
      </c>
      <c r="AZ79" s="183">
        <f t="shared" si="33"/>
        <v>101.3986013986014</v>
      </c>
      <c r="BA79" s="183">
        <f>'Su K. oro stendu'!P124</f>
        <v>52.767000000000003</v>
      </c>
      <c r="BB79" s="183">
        <f t="shared" si="34"/>
        <v>101.39160839160839</v>
      </c>
      <c r="BC79" s="143">
        <v>52.765999999999998</v>
      </c>
      <c r="BD79" s="183">
        <f t="shared" si="35"/>
        <v>101.00699300699301</v>
      </c>
      <c r="BE79" s="143">
        <v>52.698</v>
      </c>
      <c r="BF79" s="183">
        <f t="shared" si="41"/>
        <v>99.7972027972028</v>
      </c>
      <c r="BG79" s="143">
        <v>52.485999999999997</v>
      </c>
      <c r="BH79" s="183">
        <f t="shared" si="42"/>
        <v>97.930069930069934</v>
      </c>
      <c r="BI79" s="143">
        <v>52.152000000000001</v>
      </c>
      <c r="BJ79" s="183">
        <f t="shared" si="43"/>
        <v>97.895104895104893</v>
      </c>
      <c r="BK79" s="143">
        <v>52.145000000000003</v>
      </c>
      <c r="BL79" s="183">
        <f t="shared" si="44"/>
        <v>95.7972027972028</v>
      </c>
      <c r="BM79" s="143">
        <v>51.762999999999998</v>
      </c>
      <c r="BN79" s="183">
        <f t="shared" si="45"/>
        <v>95.734265734265733</v>
      </c>
      <c r="BO79" s="143">
        <v>51.750999999999998</v>
      </c>
      <c r="BP79" s="183">
        <f t="shared" si="46"/>
        <v>93.741258741258747</v>
      </c>
      <c r="BQ79" s="143">
        <v>51.378999999999998</v>
      </c>
      <c r="BR79" s="183" cm="1">
        <f t="array" ref="BR79:BY79">TRANSPOSE('[86]Keithley Matavimai'!$W$6:$W$13)</f>
        <v>46.565373522008294</v>
      </c>
      <c r="BS79" s="183">
        <v>34.705423698425427</v>
      </c>
      <c r="BT79" s="183">
        <v>38.98054068001975</v>
      </c>
      <c r="BU79" s="183">
        <v>34.601126205619487</v>
      </c>
      <c r="BV79" s="183">
        <v>34.313709817848455</v>
      </c>
      <c r="BW79" s="183">
        <v>32.148418649408946</v>
      </c>
      <c r="BX79" s="183">
        <v>31.002851269242012</v>
      </c>
      <c r="BY79" s="183">
        <v>27.273137534965805</v>
      </c>
      <c r="BZ79" s="183" cm="1">
        <f t="array" ref="BZ79:CH79">TRANSPOSE('[86]Keithley Matavimai'!$V$5:$V$13)</f>
        <v>144.77390637913996</v>
      </c>
      <c r="CA79" s="183">
        <v>135.2658826750073</v>
      </c>
      <c r="CB79" s="183">
        <v>128.02920851948136</v>
      </c>
      <c r="CC79" s="183">
        <v>119.76154307979776</v>
      </c>
      <c r="CD79" s="183">
        <v>114.69146230693877</v>
      </c>
      <c r="CE79" s="183">
        <v>108.39868187888777</v>
      </c>
      <c r="CF79" s="183">
        <v>103.29053643175375</v>
      </c>
      <c r="CG79" s="183">
        <v>96.575178336009984</v>
      </c>
      <c r="CH79" s="183">
        <v>91.793737836595767</v>
      </c>
      <c r="CI79" s="183" cm="1">
        <f t="array" ref="CI79:CQ79">TRANSPOSE('[86]Silumos kiekio nustat.'!$B$24:$B$32)</f>
        <v>37.936305840655542</v>
      </c>
      <c r="CJ79" s="183">
        <v>33.613022669807471</v>
      </c>
      <c r="CK79" s="183">
        <v>29.77725445594287</v>
      </c>
      <c r="CL79" s="183">
        <v>26.282422035904485</v>
      </c>
      <c r="CM79" s="183">
        <v>22.98194624653506</v>
      </c>
      <c r="CN79" s="183">
        <v>19.729247924677338</v>
      </c>
      <c r="CO79" s="183">
        <v>16.377747907174069</v>
      </c>
      <c r="CP79" s="183">
        <v>12.780867030868002</v>
      </c>
      <c r="CQ79" s="183">
        <v>8.7920261326018689</v>
      </c>
      <c r="CR79" s="183">
        <f>'Su K. oro stendu'!P124</f>
        <v>52.767000000000003</v>
      </c>
      <c r="CS79" s="183"/>
      <c r="CT79" s="183"/>
      <c r="CU79" s="183">
        <f>[86]Alfa!$F$15</f>
        <v>905</v>
      </c>
      <c r="CV79" s="172">
        <f>'Su K. oro stendu'!J124</f>
        <v>1</v>
      </c>
      <c r="CW79" s="183">
        <f>'Su K. oro stendu'!D124</f>
        <v>3000</v>
      </c>
      <c r="CX79" s="183">
        <f>'Su K. oro stendu'!G124</f>
        <v>10</v>
      </c>
      <c r="CY79" s="183">
        <f>[86]Alfa!$F$16</f>
        <v>7.2596685082872939E-2</v>
      </c>
      <c r="CZ79" s="183">
        <f>'Su K. oro stendu'!H124</f>
        <v>30.04</v>
      </c>
      <c r="DA79" s="183">
        <f>'Su K. oro stendu'!C124</f>
        <v>143</v>
      </c>
      <c r="DB79" s="183">
        <f>'Su K. oro stendu'!E124</f>
        <v>14.5</v>
      </c>
      <c r="DC79" s="183">
        <f>'Su K. oro stendu'!I124</f>
        <v>144</v>
      </c>
      <c r="DD79" s="183">
        <f>'Su K. oro stendu'!K124</f>
        <v>7.89</v>
      </c>
      <c r="DE79" s="183">
        <f>'Su K. oro stendu'!L124</f>
        <v>29.93</v>
      </c>
      <c r="DF79" s="183">
        <f>'Su K. oro stendu'!F124</f>
        <v>145</v>
      </c>
      <c r="DG79" s="253">
        <f>[86]Alfa!$D$29</f>
        <v>2200.8348040524538</v>
      </c>
      <c r="DH79" s="253">
        <f>[86]Alfa!$D$26</f>
        <v>4767.5617342710193</v>
      </c>
      <c r="DI79" s="253">
        <f>[86]Alfa!$D$27</f>
        <v>2932.3050053548022</v>
      </c>
      <c r="DJ79" s="253">
        <f t="shared" si="47"/>
        <v>5133.1398094072556</v>
      </c>
      <c r="DK79" s="253">
        <f t="shared" si="50"/>
        <v>4950.3507718391375</v>
      </c>
      <c r="DL79" s="253">
        <f t="shared" si="48"/>
        <v>7.6680302324839161E-2</v>
      </c>
      <c r="DM79" s="183">
        <f>New!AC79</f>
        <v>3.9624405977833252E-5</v>
      </c>
      <c r="DN79" s="183">
        <f t="shared" si="36"/>
        <v>4.2388323940559999E-5</v>
      </c>
      <c r="DO79" s="183">
        <f t="shared" si="37"/>
        <v>0.93479529960650209</v>
      </c>
      <c r="DP79" s="183">
        <f t="shared" si="38"/>
        <v>117.63748303685273</v>
      </c>
      <c r="DQ79" s="297">
        <f>DH79/((DA79/3600)*New!BV79*(Sheet3!BZ79-Sheet3!CP79)*1000)</f>
        <v>0.81650234478659223</v>
      </c>
      <c r="DR79" s="166">
        <f>(DB79*0.018)/(0.011*New!IV79*3600)</f>
        <v>475.46000784127273</v>
      </c>
      <c r="DS79" s="166">
        <f>(New!IV79*New!CE79*1000)/New!AU79</f>
        <v>0.64719895598215416</v>
      </c>
      <c r="DT79" s="166">
        <f>IF(DR79&gt;2300,0.023*((DR79^(4/5)*DS79^(1/3))/(1+12.7*(DS79^(2/3)-1)))*(New!IV79/DV79)^0.14, 0.943*(DR79*DS79*New!IV79/Sheet3!DV79)^0.4)</f>
        <v>10.625471107768471</v>
      </c>
      <c r="DU79" s="166">
        <f t="shared" si="49"/>
        <v>-1006.2868564037941</v>
      </c>
      <c r="DV79" s="166">
        <f>_xlfn.FORECAST.LINEAR(AVERAGE(_xlfn.ANCHORARRAY(BR79)),Sheet2!$AK$2:$AK$69,Sheet2!$AJ$2:$AJ$69)</f>
        <v>1.0009027315709387E-5</v>
      </c>
    </row>
    <row r="80" spans="1:126" x14ac:dyDescent="0.3">
      <c r="A80" s="184" t="str">
        <f>'Su K. oro stendu'!B125</f>
        <v>2023.02.09-2</v>
      </c>
      <c r="B80" s="183" cm="1">
        <f t="array" ref="B80:I80">'[87]Kondensacijos efektyvumas'!$B$4:$I$4</f>
        <v>3</v>
      </c>
      <c r="C80" s="183">
        <v>149</v>
      </c>
      <c r="D80" s="183">
        <v>5</v>
      </c>
      <c r="E80" s="183">
        <v>219</v>
      </c>
      <c r="F80" s="183">
        <v>5</v>
      </c>
      <c r="G80" s="183">
        <v>290</v>
      </c>
      <c r="H80" s="183">
        <v>8</v>
      </c>
      <c r="I80" s="183">
        <v>299</v>
      </c>
      <c r="J80" s="183" cm="1">
        <f t="array" ref="J80:Q80">TRANSPOSE('[87]Nu kitimas'!$I$4:$I$11)</f>
        <v>47.189729010840153</v>
      </c>
      <c r="K80" s="183">
        <v>46.228983947294182</v>
      </c>
      <c r="L80" s="183">
        <v>47.493194201952761</v>
      </c>
      <c r="M80" s="183">
        <v>48.909655911428963</v>
      </c>
      <c r="N80" s="183">
        <v>52.042988328495817</v>
      </c>
      <c r="O80" s="183">
        <v>57.137932720762741</v>
      </c>
      <c r="P80" s="183">
        <v>64.009844892758906</v>
      </c>
      <c r="Q80" s="183">
        <v>70.483194689203714</v>
      </c>
      <c r="R80" s="183" cm="1">
        <f t="array" ref="R80:Y80">TRANSPOSE([87]Alfa!$G$18:$G$25)</f>
        <v>94.047069149387866</v>
      </c>
      <c r="S80" s="183">
        <v>90.009198203684306</v>
      </c>
      <c r="T80" s="183">
        <v>89.708780249866976</v>
      </c>
      <c r="U80" s="183">
        <v>91.3474188780948</v>
      </c>
      <c r="V80" s="183">
        <v>95.003883620176921</v>
      </c>
      <c r="W80" s="183">
        <v>102.56272461244347</v>
      </c>
      <c r="X80" s="183">
        <v>112.23737815926005</v>
      </c>
      <c r="Y80" s="183">
        <v>121.73426369569718</v>
      </c>
      <c r="Z80" s="183" cm="1">
        <f t="array" ref="Z80:AG80">TRANSPOSE([86]Alfa!$F$127:$F$134)</f>
        <v>3.5287505589495726E-3</v>
      </c>
      <c r="AA80" s="183">
        <v>0.19524974960115613</v>
      </c>
      <c r="AB80" s="183">
        <v>4.4513466377340228E-3</v>
      </c>
      <c r="AC80" s="183">
        <v>0.23801293425782385</v>
      </c>
      <c r="AD80" s="183">
        <v>4.4594852995590521E-3</v>
      </c>
      <c r="AE80" s="183">
        <v>0.2677652417387047</v>
      </c>
      <c r="AF80" s="183">
        <v>8.0485417911819439E-3</v>
      </c>
      <c r="AG80" s="183">
        <v>0.25591895189982489</v>
      </c>
      <c r="AH80" s="35" cm="1">
        <f t="array" ref="AH80:AO80">TRANSPOSE('[86]Silumos kiekio nustat.'!$F$25:$F$32)</f>
        <v>234.09375186984204</v>
      </c>
      <c r="AI80" s="35">
        <v>206.14494770220278</v>
      </c>
      <c r="AJ80" s="35">
        <v>186.58905026048978</v>
      </c>
      <c r="AK80" s="35">
        <v>175.16281632611501</v>
      </c>
      <c r="AL80" s="35">
        <v>171.65696999749616</v>
      </c>
      <c r="AM80" s="35">
        <v>175.89197075019575</v>
      </c>
      <c r="AN80" s="35">
        <v>187.69773645677387</v>
      </c>
      <c r="AO80" s="35">
        <v>206.89735050410889</v>
      </c>
      <c r="AP80" s="313">
        <f t="shared" si="39"/>
        <v>0.11060261464148126</v>
      </c>
      <c r="AQ80" s="35">
        <f t="shared" si="40"/>
        <v>21.348165430009598</v>
      </c>
      <c r="AR80" s="183" cm="1">
        <f t="array" ref="AR80:AY80">TRANSPOSE([86]Alfa!$E$127:$E$134)</f>
        <v>0.1482696625824744</v>
      </c>
      <c r="AS80" s="183">
        <v>0.11705939675949224</v>
      </c>
      <c r="AT80" s="183">
        <v>0.12332129708119238</v>
      </c>
      <c r="AU80" s="183">
        <v>8.3619719846022733E-2</v>
      </c>
      <c r="AV80" s="183">
        <v>9.198113480038049E-2</v>
      </c>
      <c r="AW80" s="183">
        <v>8.2796585685938354E-2</v>
      </c>
      <c r="AX80" s="183">
        <v>9.6191649559939099E-2</v>
      </c>
      <c r="AY80" s="183">
        <v>7.5308312772584846E-2</v>
      </c>
      <c r="AZ80" s="183">
        <f t="shared" si="33"/>
        <v>102.56410256410257</v>
      </c>
      <c r="BA80" s="183">
        <f>'Su K. oro stendu'!P125</f>
        <v>52.969000000000001</v>
      </c>
      <c r="BB80" s="183">
        <f t="shared" si="34"/>
        <v>102.55929487179488</v>
      </c>
      <c r="BC80" s="143">
        <v>52.968000000000004</v>
      </c>
      <c r="BD80" s="183">
        <f t="shared" si="35"/>
        <v>102.32051282051282</v>
      </c>
      <c r="BE80" s="143">
        <v>52.927</v>
      </c>
      <c r="BF80" s="183">
        <f t="shared" si="41"/>
        <v>101.55769230769231</v>
      </c>
      <c r="BG80" s="143">
        <v>52.795000000000002</v>
      </c>
      <c r="BH80" s="183">
        <f t="shared" si="42"/>
        <v>100.15384615384616</v>
      </c>
      <c r="BI80" s="143">
        <v>52.548999999999999</v>
      </c>
      <c r="BJ80" s="183">
        <f t="shared" si="43"/>
        <v>100.12179487179488</v>
      </c>
      <c r="BK80" s="143">
        <v>52.542999999999999</v>
      </c>
      <c r="BL80" s="183">
        <f t="shared" si="44"/>
        <v>98.262820512820511</v>
      </c>
      <c r="BM80" s="143">
        <v>52.212000000000003</v>
      </c>
      <c r="BN80" s="183">
        <f t="shared" si="45"/>
        <v>98.211538461538467</v>
      </c>
      <c r="BO80" s="143">
        <v>52.203000000000003</v>
      </c>
      <c r="BP80" s="183">
        <f t="shared" si="46"/>
        <v>96.294871794871796</v>
      </c>
      <c r="BQ80" s="143">
        <v>51.853999999999999</v>
      </c>
      <c r="BR80" s="183" cm="1">
        <f t="array" ref="BR80:BY80">TRANSPOSE('[87]Keithley Matavimai'!$W$6:$W$13)</f>
        <v>51.563064900589602</v>
      </c>
      <c r="BS80" s="183">
        <v>39.056543850103765</v>
      </c>
      <c r="BT80" s="183">
        <v>44.355938450401418</v>
      </c>
      <c r="BU80" s="183">
        <v>39.777382131836042</v>
      </c>
      <c r="BV80" s="183">
        <v>39.79292111768536</v>
      </c>
      <c r="BW80" s="183">
        <v>37.789742457308911</v>
      </c>
      <c r="BX80" s="183">
        <v>35.595772402537101</v>
      </c>
      <c r="BY80" s="183">
        <v>30.761648762155126</v>
      </c>
      <c r="BZ80" s="183" cm="1">
        <f t="array" ref="BZ80:CH80">TRANSPOSE('[87]Keithley Matavimai'!$V$5:$V$13)</f>
        <v>202.43841643459481</v>
      </c>
      <c r="CA80" s="183">
        <v>187.51468707709125</v>
      </c>
      <c r="CB80" s="183">
        <v>177.07884336736856</v>
      </c>
      <c r="CC80" s="183">
        <v>163.53676867629233</v>
      </c>
      <c r="CD80" s="183">
        <v>158.5492912852005</v>
      </c>
      <c r="CE80" s="183">
        <v>148.50239356030571</v>
      </c>
      <c r="CF80" s="183">
        <v>141.01750141183393</v>
      </c>
      <c r="CG80" s="183">
        <v>130.8825718843311</v>
      </c>
      <c r="CH80" s="183">
        <v>124.10229761946563</v>
      </c>
      <c r="CI80" s="183" cm="1">
        <f t="array" ref="CI80:CQ80">TRANSPOSE('[87]Silumos kiekio nustat.'!$B$24:$B$32)</f>
        <v>42.500429812415291</v>
      </c>
      <c r="CJ80" s="183">
        <v>37.754329678376152</v>
      </c>
      <c r="CK80" s="183">
        <v>33.378948565062352</v>
      </c>
      <c r="CL80" s="183">
        <v>29.270637662459919</v>
      </c>
      <c r="CM80" s="183">
        <v>25.325748160554873</v>
      </c>
      <c r="CN80" s="183">
        <v>21.440631249333236</v>
      </c>
      <c r="CO80" s="183">
        <v>17.511638118781018</v>
      </c>
      <c r="CP80" s="183">
        <v>13.43511995888425</v>
      </c>
      <c r="CQ80" s="183">
        <v>9.10742795962895</v>
      </c>
      <c r="CR80" s="183">
        <f>'Su K. oro stendu'!P125</f>
        <v>52.969000000000001</v>
      </c>
      <c r="CS80" s="183"/>
      <c r="CT80" s="183"/>
      <c r="CU80" s="183">
        <f>[87]Alfa!$F$15</f>
        <v>900</v>
      </c>
      <c r="CV80" s="172">
        <f>'Su K. oro stendu'!J125</f>
        <v>1</v>
      </c>
      <c r="CW80" s="183">
        <f>'Su K. oro stendu'!D125</f>
        <v>3000</v>
      </c>
      <c r="CX80" s="183">
        <f>'Su K. oro stendu'!G125</f>
        <v>10</v>
      </c>
      <c r="CY80" s="183">
        <f>[87]Alfa!$F$16</f>
        <v>6.5199999999999994E-2</v>
      </c>
      <c r="CZ80" s="183">
        <f>'Su K. oro stendu'!H125</f>
        <v>24.45</v>
      </c>
      <c r="DA80" s="183">
        <f>'Su K. oro stendu'!C125</f>
        <v>156</v>
      </c>
      <c r="DB80" s="183">
        <f>'Su K. oro stendu'!E125</f>
        <v>16</v>
      </c>
      <c r="DC80" s="183">
        <f>'Su K. oro stendu'!I125</f>
        <v>156</v>
      </c>
      <c r="DD80" s="183">
        <f>'Su K. oro stendu'!K125</f>
        <v>7.97</v>
      </c>
      <c r="DE80" s="183">
        <f>'Su K. oro stendu'!L125</f>
        <v>34.33</v>
      </c>
      <c r="DF80" s="183">
        <f>'Su K. oro stendu'!F125</f>
        <v>205</v>
      </c>
      <c r="DG80" s="253">
        <f>[87]Alfa!$D$29</f>
        <v>3637.9818303852117</v>
      </c>
      <c r="DH80" s="253">
        <f>[87]Alfa!$D$26</f>
        <v>5950.8223731143889</v>
      </c>
      <c r="DI80" s="253">
        <f>[87]Alfa!$D$27</f>
        <v>2623.069550323617</v>
      </c>
      <c r="DJ80" s="253">
        <f t="shared" si="47"/>
        <v>6261.0513807088282</v>
      </c>
      <c r="DK80" s="253">
        <f t="shared" si="50"/>
        <v>6105.9368769116081</v>
      </c>
      <c r="DL80" s="253">
        <f t="shared" si="48"/>
        <v>5.2132123619761071E-2</v>
      </c>
      <c r="DM80" s="183">
        <f>New!AC80</f>
        <v>5.1503180963949295E-5</v>
      </c>
      <c r="DN80" s="183">
        <f t="shared" si="36"/>
        <v>5.0323119098159997E-5</v>
      </c>
      <c r="DO80" s="183">
        <f t="shared" si="37"/>
        <v>1.023449696420595</v>
      </c>
      <c r="DP80" s="183">
        <f t="shared" si="38"/>
        <v>99.581339571076455</v>
      </c>
      <c r="DQ80" s="297">
        <f>DH80/((DA80/3600)*New!BV80*(Sheet3!BZ80-Sheet3!CP80)*1000)</f>
        <v>0.64411496205218033</v>
      </c>
      <c r="DR80" s="166">
        <f>(DB80*0.018)/(0.011*New!IV80*3600)</f>
        <v>455.6015349939849</v>
      </c>
      <c r="DS80" s="166">
        <f>(New!IV80*New!CE80*1000)/New!AU80</f>
        <v>0.55193626425495013</v>
      </c>
      <c r="DT80" s="166">
        <f>IF(DR80&gt;2300,0.023*((DR80^(4/5)*DS80^(1/3))/(1+12.7*(DS80^(2/3)-1)))*(New!IV80/DV80)^0.14, 0.943*(DR80*DS80*New!IV80/Sheet3!DV80)^0.4)</f>
        <v>10.30016858630786</v>
      </c>
      <c r="DU80" s="166">
        <f t="shared" si="49"/>
        <v>-912.84953381107994</v>
      </c>
      <c r="DV80" s="166">
        <f>_xlfn.FORECAST.LINEAR(AVERAGE(_xlfn.ANCHORARRAY(BR80)),Sheet2!$AK$2:$AK$69,Sheet2!$AJ$2:$AJ$69)</f>
        <v>1.0180160635813993E-5</v>
      </c>
    </row>
    <row r="81" spans="1:126" ht="15" thickBot="1" x14ac:dyDescent="0.35">
      <c r="A81" s="184" t="str">
        <f>'Su K. oro stendu'!B126</f>
        <v>2023.02.10</v>
      </c>
      <c r="B81" s="183" cm="1">
        <f t="array" ref="B81:I81">'[88]Kondensacijos efektyvumas'!$B$4:$I$4</f>
        <v>12</v>
      </c>
      <c r="C81" s="183">
        <v>337</v>
      </c>
      <c r="D81" s="183">
        <v>12</v>
      </c>
      <c r="E81" s="183">
        <v>401</v>
      </c>
      <c r="F81" s="183">
        <v>8</v>
      </c>
      <c r="G81" s="183">
        <v>400</v>
      </c>
      <c r="H81" s="183">
        <v>10</v>
      </c>
      <c r="I81" s="183">
        <v>365</v>
      </c>
      <c r="J81" s="183" cm="1">
        <f t="array" ref="J81:Q81">TRANSPOSE('[88]Nu kitimas'!$J$4:$J$11)</f>
        <v>146.22773294537834</v>
      </c>
      <c r="K81" s="183">
        <v>146.68606168625931</v>
      </c>
      <c r="L81" s="183">
        <v>149.39507303164771</v>
      </c>
      <c r="M81" s="183">
        <v>150.35188844674974</v>
      </c>
      <c r="N81" s="183">
        <v>153.73081191658619</v>
      </c>
      <c r="O81" s="183">
        <v>162.97388954374074</v>
      </c>
      <c r="P81" s="183">
        <v>177.01328566796505</v>
      </c>
      <c r="Q81" s="183">
        <v>193.86236216272033</v>
      </c>
      <c r="R81" s="183" cm="1">
        <f t="array" ref="R81:Y81">TRANSPOSE([88]Alfa!$G$18:$G$25)</f>
        <v>226.33401412564993</v>
      </c>
      <c r="S81" s="183">
        <v>225.61144381338835</v>
      </c>
      <c r="T81" s="183">
        <v>227.6935981539317</v>
      </c>
      <c r="U81" s="183">
        <v>228.73026641736365</v>
      </c>
      <c r="V81" s="183">
        <v>232.13672086338903</v>
      </c>
      <c r="W81" s="183">
        <v>244.75717121912345</v>
      </c>
      <c r="X81" s="183">
        <v>263.81553331689486</v>
      </c>
      <c r="Y81" s="183">
        <v>287.85535210260139</v>
      </c>
      <c r="Z81" s="183" cm="1">
        <f t="array" ref="Z81:AG81">TRANSPOSE([88]Alfa!$F$127:$F$134)</f>
        <v>1.057781908076774E-2</v>
      </c>
      <c r="AA81" s="183">
        <v>0.29731618412820576</v>
      </c>
      <c r="AB81" s="183">
        <v>1.0603049695674271E-2</v>
      </c>
      <c r="AC81" s="183">
        <v>0.35503082867785546</v>
      </c>
      <c r="AD81" s="183">
        <v>7.0993682395873942E-3</v>
      </c>
      <c r="AE81" s="183">
        <v>0.35584398127812022</v>
      </c>
      <c r="AF81" s="183">
        <v>8.9178324649140887E-3</v>
      </c>
      <c r="AG81" s="183">
        <v>0.32623567497845957</v>
      </c>
      <c r="AH81" s="35" cm="1">
        <f t="array" ref="AH81:AO81">TRANSPOSE('[88]Silumos kiekio nustat.'!$F$25:$F$32)</f>
        <v>207.41834788001313</v>
      </c>
      <c r="AI81" s="35">
        <v>195.99899931305515</v>
      </c>
      <c r="AJ81" s="35">
        <v>189.86390221633121</v>
      </c>
      <c r="AK81" s="35">
        <v>188.91875571770157</v>
      </c>
      <c r="AL81" s="35">
        <v>193.0770962489386</v>
      </c>
      <c r="AM81" s="35">
        <v>202.25455509976996</v>
      </c>
      <c r="AN81" s="35">
        <v>216.36402240810591</v>
      </c>
      <c r="AO81" s="35">
        <v>235.31184495636757</v>
      </c>
      <c r="AP81" s="313">
        <f t="shared" si="39"/>
        <v>7.7809313042834574E-2</v>
      </c>
      <c r="AQ81" s="35">
        <f t="shared" si="40"/>
        <v>15.845939779278746</v>
      </c>
      <c r="AR81" s="183" cm="1">
        <f t="array" ref="AR81:AY81">TRANSPOSE([88]Alfa!$E$127:$E$134)</f>
        <v>7.3882938453703001E-2</v>
      </c>
      <c r="AS81" s="183">
        <v>7.0587005618550955E-2</v>
      </c>
      <c r="AT81" s="183">
        <v>7.5254889160927305E-2</v>
      </c>
      <c r="AU81" s="183">
        <v>3.6814320535932525E-2</v>
      </c>
      <c r="AV81" s="183">
        <v>6.0255683814912357E-2</v>
      </c>
      <c r="AW81" s="183">
        <v>6.5055700273516023E-2</v>
      </c>
      <c r="AX81" s="183">
        <v>6.072566983731878E-2</v>
      </c>
      <c r="AY81" s="183">
        <v>4.877548532019068E-2</v>
      </c>
      <c r="AZ81" s="183">
        <f t="shared" si="33"/>
        <v>100.96153846153847</v>
      </c>
      <c r="BA81" s="183">
        <f>'Su K. oro stendu'!P126</f>
        <v>52.691000000000003</v>
      </c>
      <c r="BB81" s="183">
        <f t="shared" si="34"/>
        <v>100.94711538461539</v>
      </c>
      <c r="BC81" s="143">
        <v>52.688000000000002</v>
      </c>
      <c r="BD81" s="183">
        <f t="shared" si="35"/>
        <v>100.54206730769231</v>
      </c>
      <c r="BE81" s="143">
        <v>52.616999999999997</v>
      </c>
      <c r="BF81" s="183">
        <f t="shared" si="41"/>
        <v>99.225961538461533</v>
      </c>
      <c r="BG81" s="143">
        <v>52.384</v>
      </c>
      <c r="BH81" s="183">
        <f t="shared" si="42"/>
        <v>97.29807692307692</v>
      </c>
      <c r="BI81" s="143">
        <v>52.036999999999999</v>
      </c>
      <c r="BJ81" s="183">
        <f t="shared" si="43"/>
        <v>97.259615384615387</v>
      </c>
      <c r="BK81" s="143">
        <v>52.03</v>
      </c>
      <c r="BL81" s="183">
        <f t="shared" si="44"/>
        <v>95.336538461538467</v>
      </c>
      <c r="BM81" s="304">
        <v>51.677</v>
      </c>
      <c r="BN81" s="183">
        <f t="shared" si="45"/>
        <v>95.288461538461533</v>
      </c>
      <c r="BO81" s="143">
        <v>51.667999999999999</v>
      </c>
      <c r="BP81" s="183">
        <f t="shared" si="46"/>
        <v>93.53365384615384</v>
      </c>
      <c r="BQ81" s="143">
        <v>51.34</v>
      </c>
      <c r="BR81" s="183" cm="1">
        <f t="array" ref="BR81:BY81">TRANSPOSE('[88]Keithley Matavimai'!$W$6:$W$13)</f>
        <v>37.511517919301596</v>
      </c>
      <c r="BS81" s="183">
        <v>38.524291172547585</v>
      </c>
      <c r="BT81" s="183">
        <v>35.186430964319527</v>
      </c>
      <c r="BU81" s="183">
        <v>33.172459661124869</v>
      </c>
      <c r="BV81" s="183">
        <v>30.903700681769838</v>
      </c>
      <c r="BW81" s="183">
        <v>28.682308993822193</v>
      </c>
      <c r="BX81" s="183">
        <v>26.82162632930552</v>
      </c>
      <c r="BY81" s="183">
        <v>23.290561553360646</v>
      </c>
      <c r="BZ81" s="183" cm="1">
        <f t="array" ref="BZ81:CH81">TRANSPOSE('[88]Keithley Matavimai'!$V$5:$V$13)</f>
        <v>84.337657737826945</v>
      </c>
      <c r="CA81" s="183">
        <v>80.909722930066252</v>
      </c>
      <c r="CB81" s="183">
        <v>77.949910872837265</v>
      </c>
      <c r="CC81" s="183">
        <v>74.408630968332389</v>
      </c>
      <c r="CD81" s="183">
        <v>73.057037453099184</v>
      </c>
      <c r="CE81" s="183">
        <v>70.176151327974935</v>
      </c>
      <c r="CF81" s="183">
        <v>67.407928948524713</v>
      </c>
      <c r="CG81" s="183">
        <v>64.46010244251984</v>
      </c>
      <c r="CH81" s="183">
        <v>62.392152340755565</v>
      </c>
      <c r="CI81" s="183" cm="1">
        <f t="array" ref="CI81:CQ81">TRANSPOSE('[88]Silumos kiekio nustat.'!$B$24:$B$32)</f>
        <v>29.311373807518159</v>
      </c>
      <c r="CJ81" s="183">
        <v>26.647156944443836</v>
      </c>
      <c r="CK81" s="183">
        <v>24.118071485597593</v>
      </c>
      <c r="CL81" s="183">
        <v>21.657533355456795</v>
      </c>
      <c r="CM81" s="183">
        <v>19.19895847849881</v>
      </c>
      <c r="CN81" s="183">
        <v>16.675762779201005</v>
      </c>
      <c r="CO81" s="183">
        <v>14.02136218204075</v>
      </c>
      <c r="CP81" s="183">
        <v>11.169172611495412</v>
      </c>
      <c r="CQ81" s="183">
        <v>8.0526099920423562</v>
      </c>
      <c r="CR81" s="183">
        <f>'Su K. oro stendu'!P126</f>
        <v>52.691000000000003</v>
      </c>
      <c r="CS81" s="183"/>
      <c r="CT81" s="183"/>
      <c r="CU81" s="183">
        <f>[88]Alfa!$F$15</f>
        <v>912</v>
      </c>
      <c r="CV81" s="172">
        <f>'Su K. oro stendu'!J126</f>
        <v>1</v>
      </c>
      <c r="CW81" s="183">
        <f>'Su K. oro stendu'!D126</f>
        <v>5000</v>
      </c>
      <c r="CX81" s="183">
        <f>'Su K. oro stendu'!G126</f>
        <v>10</v>
      </c>
      <c r="CY81" s="183">
        <f>[88]Alfa!$F$16</f>
        <v>0.10164473684210526</v>
      </c>
      <c r="CZ81" s="183">
        <f>'Su K. oro stendu'!H126</f>
        <v>29.04</v>
      </c>
      <c r="DA81" s="183">
        <f>'Su K. oro stendu'!C126</f>
        <v>208</v>
      </c>
      <c r="DB81" s="183">
        <f>'Su K. oro stendu'!E126</f>
        <v>21</v>
      </c>
      <c r="DC81" s="183">
        <f>'Su K. oro stendu'!I126</f>
        <v>210</v>
      </c>
      <c r="DD81" s="183">
        <f>'Su K. oro stendu'!K126</f>
        <v>7.16</v>
      </c>
      <c r="DE81" s="183">
        <f>'Su K. oro stendu'!L126</f>
        <v>21.62</v>
      </c>
      <c r="DF81" s="183">
        <f>'Su K. oro stendu'!F126</f>
        <v>85</v>
      </c>
      <c r="DG81" s="253">
        <f>[88]Alfa!$D$29</f>
        <v>1240.3432980463426</v>
      </c>
      <c r="DH81" s="253">
        <f>[88]Alfa!$D$26</f>
        <v>4972.7696707276154</v>
      </c>
      <c r="DI81" s="253">
        <f>[88]Alfa!$D$27</f>
        <v>4114.8742156307535</v>
      </c>
      <c r="DJ81" s="253">
        <f t="shared" si="47"/>
        <v>5355.2175136770966</v>
      </c>
      <c r="DK81" s="253">
        <f t="shared" si="50"/>
        <v>5163.993592202356</v>
      </c>
      <c r="DL81" s="253">
        <f t="shared" si="48"/>
        <v>7.6908416893059398E-2</v>
      </c>
      <c r="DM81" s="183">
        <f>New!AC81</f>
        <v>2.9135612439247162E-5</v>
      </c>
      <c r="DN81" s="183">
        <f t="shared" si="36"/>
        <v>3.5049529086959997E-5</v>
      </c>
      <c r="DO81" s="183">
        <f t="shared" si="37"/>
        <v>0.83126972596293514</v>
      </c>
      <c r="DP81" s="183">
        <f t="shared" si="38"/>
        <v>242.11676250154278</v>
      </c>
      <c r="DQ81" s="297">
        <f>DH81/((DA81/3600)*New!BV81*(Sheet3!BZ81-Sheet3!CP81)*1000)</f>
        <v>1.0688829139350928</v>
      </c>
      <c r="DR81" s="166">
        <f>(DB81*0.018)/(0.011*New!IV81*3600)</f>
        <v>811.58929668330188</v>
      </c>
      <c r="DS81" s="166">
        <f>(New!IV81*New!CE81*1000)/New!AU81</f>
        <v>0.86323913019559584</v>
      </c>
      <c r="DT81" s="166">
        <f>IF(DR81&gt;2300,0.023*((DR81^(4/5)*DS81^(1/3))/(1+12.7*(DS81^(2/3)-1)))*(New!IV81/DV81)^0.14, 0.943*(DR81*DS81*New!IV81/Sheet3!DV81)^0.4)</f>
        <v>13.889087372861034</v>
      </c>
      <c r="DU81" s="166">
        <f t="shared" si="49"/>
        <v>-1192.4278948481888</v>
      </c>
      <c r="DV81" s="166">
        <f>_xlfn.FORECAST.LINEAR(AVERAGE(_xlfn.ANCHORARRAY(BR81)),Sheet2!$AK$2:$AK$69,Sheet2!$AJ$2:$AJ$69)</f>
        <v>9.8974357078578245E-6</v>
      </c>
    </row>
    <row r="82" spans="1:126" x14ac:dyDescent="0.3">
      <c r="A82" s="184" t="str">
        <f>'Su K. oro stendu'!B127</f>
        <v>2023.02.13-1</v>
      </c>
      <c r="B82" s="183" cm="1">
        <f t="array" ref="B82:I82">'[89]Kondensacijos efektyvumas'!$B$4:$I$4</f>
        <v>1</v>
      </c>
      <c r="C82" s="183">
        <v>142</v>
      </c>
      <c r="D82" s="183">
        <v>3</v>
      </c>
      <c r="E82" s="183">
        <v>348</v>
      </c>
      <c r="F82" s="183">
        <v>0</v>
      </c>
      <c r="G82" s="183">
        <v>367</v>
      </c>
      <c r="H82" s="183">
        <v>3</v>
      </c>
      <c r="I82" s="183">
        <v>358</v>
      </c>
      <c r="J82" s="183" cm="1">
        <f t="array" ref="J82:Q82">TRANSPOSE('[89]Nu kitimas'!$J$4:$J$11)</f>
        <v>68.263351623641668</v>
      </c>
      <c r="K82" s="183">
        <v>69.100064986389796</v>
      </c>
      <c r="L82" s="183">
        <v>73.243828195872197</v>
      </c>
      <c r="M82" s="183">
        <v>78.951212876767954</v>
      </c>
      <c r="N82" s="183">
        <v>87.741293526909018</v>
      </c>
      <c r="O82" s="183">
        <v>99.997068813490415</v>
      </c>
      <c r="P82" s="183">
        <v>115.53459777285504</v>
      </c>
      <c r="Q82" s="183">
        <v>133.36702903818318</v>
      </c>
      <c r="R82" s="183" cm="1">
        <f t="array" ref="R82:Y82">TRANSPOSE([89]Alfa!$G$18:$G$25)</f>
        <v>121.30189555356449</v>
      </c>
      <c r="S82" s="183">
        <v>121.25011877587377</v>
      </c>
      <c r="T82" s="183">
        <v>126.26972829536409</v>
      </c>
      <c r="U82" s="183">
        <v>135.08374244654556</v>
      </c>
      <c r="V82" s="183">
        <v>147.96941795506109</v>
      </c>
      <c r="W82" s="183">
        <v>166.95793468968623</v>
      </c>
      <c r="X82" s="183">
        <v>190.32276876044247</v>
      </c>
      <c r="Y82" s="183">
        <v>217.53847517243847</v>
      </c>
      <c r="Z82" s="183" cm="1">
        <f t="array" ref="Z82:AG82">TRANSPOSE([89]Alfa!$F$127:$F$134)</f>
        <v>8.8271896222810048E-4</v>
      </c>
      <c r="AA82" s="183">
        <v>0.12570364950795451</v>
      </c>
      <c r="AB82" s="183">
        <v>2.661860734541529E-3</v>
      </c>
      <c r="AC82" s="183">
        <v>0.30940545025512034</v>
      </c>
      <c r="AD82" s="183">
        <v>0</v>
      </c>
      <c r="AE82" s="183">
        <v>0.32768796208532391</v>
      </c>
      <c r="AF82" s="183">
        <v>2.6858895104129236E-3</v>
      </c>
      <c r="AG82" s="183">
        <v>0.32160585925438484</v>
      </c>
      <c r="AH82" s="35" cm="1">
        <f t="array" ref="AH82:AO82">TRANSPOSE('[89]Silumos kiekio nustat.'!$F$25:$F$32)</f>
        <v>240.52744887448893</v>
      </c>
      <c r="AI82" s="35">
        <v>231.23668588076131</v>
      </c>
      <c r="AJ82" s="35">
        <v>229.94488968210257</v>
      </c>
      <c r="AK82" s="35">
        <v>236.50649643025503</v>
      </c>
      <c r="AL82" s="35">
        <v>250.77832422827683</v>
      </c>
      <c r="AM82" s="35">
        <v>272.60929319141911</v>
      </c>
      <c r="AN82" s="35">
        <v>301.83242712812057</v>
      </c>
      <c r="AO82" s="35">
        <v>338.25975156474533</v>
      </c>
      <c r="AP82" s="313">
        <f t="shared" si="39"/>
        <v>0.14897006624909209</v>
      </c>
      <c r="AQ82" s="35">
        <f t="shared" si="40"/>
        <v>39.136211325742813</v>
      </c>
      <c r="AR82" s="183" cm="1">
        <f t="array" ref="AR82:AY82">TRANSPOSE([89]Alfa!$E$127:$E$134)</f>
        <v>0.19050444929668567</v>
      </c>
      <c r="AS82" s="183">
        <v>0.14579040517055364</v>
      </c>
      <c r="AT82" s="183">
        <v>0.1870950071529407</v>
      </c>
      <c r="AU82" s="183">
        <v>9.9155201584479366E-2</v>
      </c>
      <c r="AV82" s="183">
        <v>0.14925169684408174</v>
      </c>
      <c r="AW82" s="183">
        <v>0.12329471141543387</v>
      </c>
      <c r="AX82" s="183">
        <v>0.13537642678710532</v>
      </c>
      <c r="AY82" s="183">
        <v>0.11899961662635918</v>
      </c>
      <c r="AZ82" s="183">
        <f t="shared" si="33"/>
        <v>100</v>
      </c>
      <c r="BA82" s="183">
        <f>'Su K. oro stendu'!P127</f>
        <v>52.521000000000001</v>
      </c>
      <c r="BB82" s="183">
        <f t="shared" si="34"/>
        <v>99.998958333333334</v>
      </c>
      <c r="BC82" s="143">
        <v>52.521000000000001</v>
      </c>
      <c r="BD82" s="183">
        <f t="shared" si="35"/>
        <v>99.85104166666666</v>
      </c>
      <c r="BE82" s="143">
        <v>52.494999999999997</v>
      </c>
      <c r="BF82" s="183">
        <f t="shared" si="41"/>
        <v>99.391666666666666</v>
      </c>
      <c r="BG82" s="143">
        <v>52.414000000000001</v>
      </c>
      <c r="BH82" s="183">
        <f t="shared" si="42"/>
        <v>97.941666666666663</v>
      </c>
      <c r="BI82" s="143">
        <v>52.154000000000003</v>
      </c>
      <c r="BJ82" s="183">
        <f t="shared" si="43"/>
        <v>97.941666666666663</v>
      </c>
      <c r="BK82" s="143">
        <v>52.154000000000003</v>
      </c>
      <c r="BL82" s="183">
        <f t="shared" si="44"/>
        <v>96.412499999999994</v>
      </c>
      <c r="BM82" s="143">
        <v>51.875999999999998</v>
      </c>
      <c r="BN82" s="183">
        <f t="shared" si="45"/>
        <v>96.4</v>
      </c>
      <c r="BO82" s="143">
        <v>51.872999999999998</v>
      </c>
      <c r="BP82" s="183">
        <f t="shared" si="46"/>
        <v>94.908333333333331</v>
      </c>
      <c r="BQ82" s="143">
        <v>51.597999999999999</v>
      </c>
      <c r="BR82" s="183" cm="1">
        <f t="array" ref="BR82:BY82">TRANSPOSE('[89]Keithley Matavimai'!$W$6:$W$13)</f>
        <v>43.863621200377878</v>
      </c>
      <c r="BS82" s="183">
        <v>42.653462295797119</v>
      </c>
      <c r="BT82" s="183">
        <v>39.40302206554275</v>
      </c>
      <c r="BU82" s="183">
        <v>36.542560208838886</v>
      </c>
      <c r="BV82" s="183">
        <v>34.562109416069944</v>
      </c>
      <c r="BW82" s="183">
        <v>32.520543172166391</v>
      </c>
      <c r="BX82" s="183">
        <v>31.511103588536951</v>
      </c>
      <c r="BY82" s="183">
        <v>25.777262404127988</v>
      </c>
      <c r="BZ82" s="183" cm="1">
        <f t="array" ref="BZ82:CH82">TRANSPOSE('[89]Keithley Matavimai'!$V$5:$V$13)</f>
        <v>144.5736898243614</v>
      </c>
      <c r="CA82" s="183">
        <v>137.06226609342542</v>
      </c>
      <c r="CB82" s="183">
        <v>131.49131657297573</v>
      </c>
      <c r="CC82" s="183">
        <v>124.02308587509155</v>
      </c>
      <c r="CD82" s="183">
        <v>120.52062657609497</v>
      </c>
      <c r="CE82" s="183">
        <v>114.46044867612363</v>
      </c>
      <c r="CF82" s="183">
        <v>109.89284978161363</v>
      </c>
      <c r="CG82" s="183">
        <v>104.30770646533392</v>
      </c>
      <c r="CH82" s="183">
        <v>99.790223147016945</v>
      </c>
      <c r="CI82" s="183" cm="1">
        <f t="array" ref="CI82:CQ82">TRANSPOSE('[89]Silumos kiekio nustat.'!$B$24:$B$32)</f>
        <v>31.717095158633946</v>
      </c>
      <c r="CJ82" s="183">
        <v>29.025337395899989</v>
      </c>
      <c r="CK82" s="183">
        <v>26.425279706925068</v>
      </c>
      <c r="CL82" s="183">
        <v>23.827898923291464</v>
      </c>
      <c r="CM82" s="183">
        <v>21.144171876581456</v>
      </c>
      <c r="CN82" s="183">
        <v>18.28507539837733</v>
      </c>
      <c r="CO82" s="183">
        <v>15.161586320261364</v>
      </c>
      <c r="CP82" s="183">
        <v>11.684681473815836</v>
      </c>
      <c r="CQ82" s="183">
        <v>7.7653376906230278</v>
      </c>
      <c r="CR82" s="183">
        <f>'Su K. oro stendu'!P127</f>
        <v>52.521000000000001</v>
      </c>
      <c r="CS82" s="183"/>
      <c r="CT82" s="183"/>
      <c r="CU82" s="183">
        <f>[89]Alfa!$F$15</f>
        <v>905</v>
      </c>
      <c r="CV82" s="172">
        <f>'Su K. oro stendu'!J127</f>
        <v>1</v>
      </c>
      <c r="CW82" s="183">
        <f>'Su K. oro stendu'!D127</f>
        <v>5000</v>
      </c>
      <c r="CX82" s="183">
        <f>'Su K. oro stendu'!G127</f>
        <v>10</v>
      </c>
      <c r="CY82" s="183">
        <f>[89]Alfa!$F$16</f>
        <v>8.1016574585635354E-2</v>
      </c>
      <c r="CZ82" s="183">
        <f>'Su K. oro stendu'!H127</f>
        <v>20.25</v>
      </c>
      <c r="DA82" s="183">
        <f>'Su K. oro stendu'!C127</f>
        <v>240</v>
      </c>
      <c r="DB82" s="183">
        <f>'Su K. oro stendu'!E127</f>
        <v>24</v>
      </c>
      <c r="DC82" s="183">
        <f>'Su K. oro stendu'!I127</f>
        <v>240</v>
      </c>
      <c r="DD82" s="183">
        <f>'Su K. oro stendu'!K127</f>
        <v>7.01</v>
      </c>
      <c r="DE82" s="183">
        <f>'Su K. oro stendu'!L127</f>
        <v>24.4</v>
      </c>
      <c r="DF82" s="183">
        <f>'Su K. oro stendu'!F127</f>
        <v>145</v>
      </c>
      <c r="DG82" s="253">
        <f>[89]Alfa!$D$29</f>
        <v>3448.4025446329179</v>
      </c>
      <c r="DH82" s="253">
        <f>[89]Alfa!$D$26</f>
        <v>6429.7417697396013</v>
      </c>
      <c r="DI82" s="253">
        <f>[89]Alfa!$D$27</f>
        <v>3271.9001709298982</v>
      </c>
      <c r="DJ82" s="253">
        <f t="shared" si="47"/>
        <v>6720.302715562816</v>
      </c>
      <c r="DK82" s="253">
        <f t="shared" si="50"/>
        <v>6575.0222426512082</v>
      </c>
      <c r="DL82" s="253">
        <f t="shared" si="48"/>
        <v>4.5190142346102684E-2</v>
      </c>
      <c r="DM82" s="183">
        <f>New!AC82</f>
        <v>3.9619719513071791E-5</v>
      </c>
      <c r="DN82" s="183">
        <f t="shared" si="36"/>
        <v>4.2388323940559999E-5</v>
      </c>
      <c r="DO82" s="183">
        <f t="shared" si="37"/>
        <v>0.93468473933127083</v>
      </c>
      <c r="DP82" s="183">
        <f t="shared" si="38"/>
        <v>153.33676020612202</v>
      </c>
      <c r="DQ82" s="297">
        <f>DH82/((DA82/3600)*New!BV82*(Sheet3!BZ82-Sheet3!CP82)*1000)</f>
        <v>0.65241630701770614</v>
      </c>
      <c r="DR82" s="166">
        <f>(DB82*0.018)/(0.011*New!IV82*3600)</f>
        <v>786.96828884072727</v>
      </c>
      <c r="DS82" s="166">
        <f>(New!IV82*New!CE82*1000)/New!AU82</f>
        <v>0.64719895598215416</v>
      </c>
      <c r="DT82" s="166">
        <f>IF(DR82&gt;2300,0.023*((DR82^(4/5)*DS82^(1/3))/(1+12.7*(DS82^(2/3)-1)))*(New!IV82/DV82)^0.14, 0.943*(DR82*DS82*New!IV82/Sheet3!DV82)^0.4)</f>
        <v>12.981837722924986</v>
      </c>
      <c r="DU82" s="166">
        <f t="shared" si="49"/>
        <v>-994.41530564407617</v>
      </c>
      <c r="DV82" s="166">
        <f>_xlfn.FORECAST.LINEAR(AVERAGE(_xlfn.ANCHORARRAY(BR82)),Sheet2!$AK$2:$AK$69,Sheet2!$AJ$2:$AJ$69)</f>
        <v>1.0040727038063041E-5</v>
      </c>
    </row>
    <row r="83" spans="1:126" x14ac:dyDescent="0.3">
      <c r="A83" s="184" t="str">
        <f>'Su K. oro stendu'!B128</f>
        <v>2023.02.13-2</v>
      </c>
      <c r="B83" s="183" cm="1">
        <f t="array" ref="B83:I83">'[90]Kondensacijos efektyvumas'!$B$4:$I$4</f>
        <v>0</v>
      </c>
      <c r="C83" s="183">
        <v>2</v>
      </c>
      <c r="D83" s="183">
        <v>0</v>
      </c>
      <c r="E83" s="183">
        <v>283</v>
      </c>
      <c r="F83" s="183">
        <v>0</v>
      </c>
      <c r="G83" s="183">
        <v>351</v>
      </c>
      <c r="H83" s="183">
        <v>1</v>
      </c>
      <c r="I83" s="183">
        <v>371</v>
      </c>
      <c r="J83" s="183" cm="1">
        <f t="array" ref="J83:Q83">TRANSPOSE('[90]Nu kitimas'!$G$4:$G$11)</f>
        <v>48.896379352481013</v>
      </c>
      <c r="K83" s="183">
        <v>49.76905836684405</v>
      </c>
      <c r="L83" s="183">
        <v>53.51520259713233</v>
      </c>
      <c r="M83" s="183">
        <v>58.795604748517583</v>
      </c>
      <c r="N83" s="183">
        <v>66.791050416196214</v>
      </c>
      <c r="O83" s="183">
        <v>78.057423224078065</v>
      </c>
      <c r="P83" s="183">
        <v>92.48973252717019</v>
      </c>
      <c r="Q83" s="183">
        <v>109.07022871395577</v>
      </c>
      <c r="R83" s="183" cm="1">
        <f t="array" ref="R83:Y83">TRANSPOSE([90]Alfa!$G$18:$G$25)</f>
        <v>98.731561937691495</v>
      </c>
      <c r="S83" s="183">
        <v>98.65760436152155</v>
      </c>
      <c r="T83" s="183">
        <v>103.48953620574481</v>
      </c>
      <c r="U83" s="183">
        <v>112.34426453200253</v>
      </c>
      <c r="V83" s="183">
        <v>125.21065082359731</v>
      </c>
      <c r="W83" s="183">
        <v>144.04450738780511</v>
      </c>
      <c r="X83" s="183">
        <v>167.51187448478865</v>
      </c>
      <c r="Y83" s="183">
        <v>194.49370703972255</v>
      </c>
      <c r="Z83" s="183" cm="1">
        <f t="array" ref="Z83:AG83">TRANSPOSE([90]Alfa!$F$127:$F$134)</f>
        <v>0</v>
      </c>
      <c r="AA83" s="183">
        <v>1.7516238595915309E-3</v>
      </c>
      <c r="AB83" s="183">
        <v>0</v>
      </c>
      <c r="AC83" s="183">
        <v>0.24893944096883672</v>
      </c>
      <c r="AD83" s="183">
        <v>0</v>
      </c>
      <c r="AE83" s="183">
        <v>0.31001971157940733</v>
      </c>
      <c r="AF83" s="183">
        <v>8.8612822091425165E-4</v>
      </c>
      <c r="AG83" s="183">
        <v>0.3303120114118413</v>
      </c>
      <c r="AH83" s="35" cm="1">
        <f t="array" ref="AH83:AO83">TRANSPOSE('[90]Silumos kiekio nustat.'!$F$25:$F$32)</f>
        <v>302.47212499807461</v>
      </c>
      <c r="AI83" s="35">
        <v>289.46034012989696</v>
      </c>
      <c r="AJ83" s="35">
        <v>288.05131705060478</v>
      </c>
      <c r="AK83" s="35">
        <v>297.99868050860584</v>
      </c>
      <c r="AL83" s="35">
        <v>319.05913351524106</v>
      </c>
      <c r="AM83" s="35">
        <v>350.97295853740439</v>
      </c>
      <c r="AN83" s="35">
        <v>393.44964744923038</v>
      </c>
      <c r="AO83" s="35">
        <v>446.16025426495577</v>
      </c>
      <c r="AP83" s="313">
        <f t="shared" si="39"/>
        <v>0.17054883157582623</v>
      </c>
      <c r="AQ83" s="35">
        <f t="shared" si="40"/>
        <v>57.296401345355889</v>
      </c>
      <c r="AR83" s="183" cm="1">
        <f t="array" ref="AR83:AY83">TRANSPOSE([90]Alfa!$E$127:$E$134)</f>
        <v>0.31719710428203796</v>
      </c>
      <c r="AS83" s="183">
        <v>0.23649187296193752</v>
      </c>
      <c r="AT83" s="183">
        <v>0.31432113770113385</v>
      </c>
      <c r="AU83" s="183">
        <v>0.16268895018818011</v>
      </c>
      <c r="AV83" s="183">
        <v>0.23621365412312301</v>
      </c>
      <c r="AW83" s="183">
        <v>0.20830853269759006</v>
      </c>
      <c r="AX83" s="183">
        <v>0.22455818608106071</v>
      </c>
      <c r="AY83" s="183">
        <v>0.20166921537094837</v>
      </c>
      <c r="AZ83" s="183">
        <f t="shared" si="33"/>
        <v>100</v>
      </c>
      <c r="BA83" s="183">
        <f>'Su K. oro stendu'!P128</f>
        <v>52.521000000000001</v>
      </c>
      <c r="BB83" s="183">
        <f t="shared" si="34"/>
        <v>100</v>
      </c>
      <c r="BC83" s="143">
        <v>52.521000000000001</v>
      </c>
      <c r="BD83" s="183">
        <f t="shared" si="35"/>
        <v>99.998076923076923</v>
      </c>
      <c r="BE83" s="143">
        <v>52.521000000000001</v>
      </c>
      <c r="BF83" s="183">
        <f t="shared" si="41"/>
        <v>99.992307692307691</v>
      </c>
      <c r="BG83" s="143">
        <v>52.52</v>
      </c>
      <c r="BH83" s="183">
        <f t="shared" si="42"/>
        <v>98.90384615384616</v>
      </c>
      <c r="BI83" s="143">
        <v>52.326999999999998</v>
      </c>
      <c r="BJ83" s="183">
        <f t="shared" si="43"/>
        <v>98.90384615384616</v>
      </c>
      <c r="BK83" s="143">
        <v>52.326999999999998</v>
      </c>
      <c r="BL83" s="183">
        <f t="shared" si="44"/>
        <v>97.553846153846152</v>
      </c>
      <c r="BM83" s="143">
        <v>52.084000000000003</v>
      </c>
      <c r="BN83" s="183">
        <f t="shared" si="45"/>
        <v>97.55</v>
      </c>
      <c r="BO83" s="143">
        <v>52.082999999999998</v>
      </c>
      <c r="BP83" s="183">
        <f t="shared" si="46"/>
        <v>96.123076923076923</v>
      </c>
      <c r="BQ83" s="143">
        <v>51.823</v>
      </c>
      <c r="BR83" s="183" cm="1">
        <f t="array" ref="BR83:BY83">TRANSPOSE('[90]Keithley Matavimai'!$W$6:$W$13)</f>
        <v>49.837035059486446</v>
      </c>
      <c r="BS83" s="183">
        <v>47.643402165070654</v>
      </c>
      <c r="BT83" s="183">
        <v>45.016359346263719</v>
      </c>
      <c r="BU83" s="183">
        <v>41.205206408683779</v>
      </c>
      <c r="BV83" s="183">
        <v>40.071876037053983</v>
      </c>
      <c r="BW83" s="183">
        <v>38.358691438516679</v>
      </c>
      <c r="BX83" s="183">
        <v>36.193522598910199</v>
      </c>
      <c r="BY83" s="183">
        <v>29.435108470513271</v>
      </c>
      <c r="BZ83" s="183" cm="1">
        <f t="array" ref="BZ83:CH83">TRANSPOSE('[90]Keithley Matavimai'!$V$5:$V$13)</f>
        <v>205.10895917475014</v>
      </c>
      <c r="CA83" s="183">
        <v>193.59746569480987</v>
      </c>
      <c r="CB83" s="183">
        <v>185.17242647009053</v>
      </c>
      <c r="CC83" s="183">
        <v>173.99819989315759</v>
      </c>
      <c r="CD83" s="183">
        <v>168.68804552163337</v>
      </c>
      <c r="CE83" s="183">
        <v>160.20245309596075</v>
      </c>
      <c r="CF83" s="183">
        <v>153.22569519888748</v>
      </c>
      <c r="CG83" s="183">
        <v>145.01892858904569</v>
      </c>
      <c r="CH83" s="183">
        <v>138.12765775202601</v>
      </c>
      <c r="CI83" s="183" cm="1">
        <f t="array" ref="CI83:CQ83">TRANSPOSE('[90]Silumos kiekio nustat.'!$B$24:$B$32)</f>
        <v>35.892479175975431</v>
      </c>
      <c r="CJ83" s="183">
        <v>32.802336151417506</v>
      </c>
      <c r="CK83" s="183">
        <v>29.828686220310395</v>
      </c>
      <c r="CL83" s="183">
        <v>26.853655108652276</v>
      </c>
      <c r="CM83" s="183">
        <v>23.759368542441337</v>
      </c>
      <c r="CN83" s="183">
        <v>20.427952247675769</v>
      </c>
      <c r="CO83" s="183">
        <v>16.74153195035375</v>
      </c>
      <c r="CP83" s="183">
        <v>12.582233376473475</v>
      </c>
      <c r="CQ83" s="183">
        <v>7.832182252033121</v>
      </c>
      <c r="CR83" s="183">
        <f>'Su K. oro stendu'!P128</f>
        <v>52.521000000000001</v>
      </c>
      <c r="CS83" s="183"/>
      <c r="CT83" s="183"/>
      <c r="CU83" s="183">
        <f>[90]Alfa!$F$15</f>
        <v>910</v>
      </c>
      <c r="CV83" s="172">
        <f>'Su K. oro stendu'!J128</f>
        <v>1</v>
      </c>
      <c r="CW83" s="183">
        <f>'Su K. oro stendu'!D128</f>
        <v>5000</v>
      </c>
      <c r="CX83" s="183">
        <f>'Su K. oro stendu'!G128</f>
        <v>10</v>
      </c>
      <c r="CY83" s="183">
        <f>[90]Alfa!$F$16</f>
        <v>6.6461538461538461E-2</v>
      </c>
      <c r="CZ83" s="183">
        <f>'Su K. oro stendu'!H128</f>
        <v>15.34</v>
      </c>
      <c r="DA83" s="183">
        <f>'Su K. oro stendu'!C128</f>
        <v>260</v>
      </c>
      <c r="DB83" s="183">
        <f>'Su K. oro stendu'!E128</f>
        <v>26</v>
      </c>
      <c r="DC83" s="183">
        <f>'Su K. oro stendu'!I128</f>
        <v>261</v>
      </c>
      <c r="DD83" s="183">
        <f>'Su K. oro stendu'!K128</f>
        <v>6.69</v>
      </c>
      <c r="DE83" s="183">
        <f>'Su K. oro stendu'!L128</f>
        <v>28.6</v>
      </c>
      <c r="DF83" s="183">
        <f>'Su K. oro stendu'!F128</f>
        <v>205</v>
      </c>
      <c r="DG83" s="253">
        <f>[90]Alfa!$D$29</f>
        <v>5704.3459602180346</v>
      </c>
      <c r="DH83" s="253">
        <f>[90]Alfa!$D$26</f>
        <v>8230.9899060798816</v>
      </c>
      <c r="DI83" s="253">
        <f>[90]Alfa!$D$27</f>
        <v>2675.7267481217737</v>
      </c>
      <c r="DJ83" s="253">
        <f t="shared" si="47"/>
        <v>8380.0727083398087</v>
      </c>
      <c r="DK83" s="253">
        <f t="shared" si="50"/>
        <v>8305.5313072098452</v>
      </c>
      <c r="DL83" s="253">
        <f t="shared" si="48"/>
        <v>1.811237821465508E-2</v>
      </c>
      <c r="DM83" s="183">
        <f>New!AC83</f>
        <v>5.1442633734049931E-5</v>
      </c>
      <c r="DN83" s="183">
        <f t="shared" si="36"/>
        <v>5.0323119098159997E-5</v>
      </c>
      <c r="DO83" s="183">
        <f t="shared" si="37"/>
        <v>1.0222465271619237</v>
      </c>
      <c r="DP83" s="183">
        <f t="shared" si="38"/>
        <v>130.56046334660925</v>
      </c>
      <c r="DQ83" s="297">
        <f>DH83/((DA83/3600)*New!BV83*(Sheet3!BZ83-Sheet3!CP83)*1000)</f>
        <v>0.52585232856243069</v>
      </c>
      <c r="DR83" s="166">
        <f>(DB83*0.018)/(0.011*New!IV83*3600)</f>
        <v>740.35249436522543</v>
      </c>
      <c r="DS83" s="166">
        <f>(New!IV83*New!CE83*1000)/New!AU83</f>
        <v>0.55193626425495013</v>
      </c>
      <c r="DT83" s="166">
        <f>IF(DR83&gt;2300,0.023*((DR83^(4/5)*DS83^(1/3))/(1+12.7*(DS83^(2/3)-1)))*(New!IV83/DV83)^0.14, 0.943*(DR83*DS83*New!IV83/Sheet3!DV83)^0.4)</f>
        <v>12.488485052586995</v>
      </c>
      <c r="DU83" s="166">
        <f t="shared" si="49"/>
        <v>-896.74887966028803</v>
      </c>
      <c r="DV83" s="166">
        <f>_xlfn.FORECAST.LINEAR(AVERAGE(_xlfn.ANCHORARRAY(BR83)),Sheet2!$AK$2:$AK$69,Sheet2!$AJ$2:$AJ$69)</f>
        <v>1.0219847911489981E-5</v>
      </c>
    </row>
    <row r="84" spans="1:126" ht="15" thickBot="1" x14ac:dyDescent="0.35">
      <c r="A84" s="184" t="str">
        <f>'Su K. oro stendu'!B129</f>
        <v>2023.02.14-1</v>
      </c>
      <c r="B84" s="183" cm="1">
        <f t="array" ref="B84:I84">'[91]Kondensacijos efektyvumas'!$B$4:$I$4</f>
        <v>9</v>
      </c>
      <c r="C84" s="183">
        <v>99</v>
      </c>
      <c r="D84" s="183">
        <v>7</v>
      </c>
      <c r="E84" s="183">
        <v>335</v>
      </c>
      <c r="F84" s="183">
        <v>6</v>
      </c>
      <c r="G84" s="183">
        <v>322</v>
      </c>
      <c r="H84" s="183">
        <v>8</v>
      </c>
      <c r="I84" s="183">
        <v>303</v>
      </c>
      <c r="J84" s="183" cm="1">
        <f t="array" ref="J84:Q84">TRANSPOSE('[91]Nu kitimas'!$G$4:$G$11)</f>
        <v>156.23228413978026</v>
      </c>
      <c r="K84" s="183">
        <v>156.41272877194342</v>
      </c>
      <c r="L84" s="183">
        <v>164.11330642150276</v>
      </c>
      <c r="M84" s="183">
        <v>178.14502837529432</v>
      </c>
      <c r="N84" s="183">
        <v>194.98264369587577</v>
      </c>
      <c r="O84" s="183">
        <v>214.05568471423126</v>
      </c>
      <c r="P84" s="183">
        <v>234.71997845811768</v>
      </c>
      <c r="Q84" s="183">
        <v>250.21785642885979</v>
      </c>
      <c r="R84" s="183" cm="1">
        <f t="array" ref="R84:Y84">TRANSPOSE([91]Alfa!$G$18:$G$25)</f>
        <v>240.91828323711061</v>
      </c>
      <c r="S84" s="183">
        <v>239.72707277751113</v>
      </c>
      <c r="T84" s="183">
        <v>249.8567339303724</v>
      </c>
      <c r="U84" s="183">
        <v>269.71766331338239</v>
      </c>
      <c r="V84" s="183">
        <v>294.12928751301899</v>
      </c>
      <c r="W84" s="183">
        <v>321.3765636975665</v>
      </c>
      <c r="X84" s="183">
        <v>350.30788535057292</v>
      </c>
      <c r="Y84" s="183">
        <v>371.60774741798548</v>
      </c>
      <c r="Z84" s="183" cm="1">
        <f t="array" ref="Z84:AG84">TRANSPOSE([91]Alfa!$F$127:$F$134)</f>
        <v>1.2120026499919981E-2</v>
      </c>
      <c r="AA84" s="183">
        <v>0.13369964518452562</v>
      </c>
      <c r="AB84" s="183">
        <v>9.4680688094038578E-3</v>
      </c>
      <c r="AC84" s="183">
        <v>0.45349179543511381</v>
      </c>
      <c r="AD84" s="183">
        <v>8.127986990008362E-3</v>
      </c>
      <c r="AE84" s="183">
        <v>0.43670764633497267</v>
      </c>
      <c r="AF84" s="183">
        <v>1.0873527104704741E-2</v>
      </c>
      <c r="AG84" s="183">
        <v>0.41337870462129661</v>
      </c>
      <c r="AH84" s="35" cm="1">
        <f t="array" ref="AH84:AO84">TRANSPOSE('[91]Silumos kiekio nustat.'!$F$25:$F$32)</f>
        <v>251.13078924477355</v>
      </c>
      <c r="AI84" s="35">
        <v>250.46606071657015</v>
      </c>
      <c r="AJ84" s="35">
        <v>255.65106110104975</v>
      </c>
      <c r="AK84" s="35">
        <v>266.62357730903591</v>
      </c>
      <c r="AL84" s="35">
        <v>283.31860123374349</v>
      </c>
      <c r="AM84" s="35">
        <v>305.66549266637531</v>
      </c>
      <c r="AN84" s="35">
        <v>333.5856339210722</v>
      </c>
      <c r="AO84" s="35">
        <v>366.99069146757745</v>
      </c>
      <c r="AP84" s="313">
        <f t="shared" si="39"/>
        <v>0.14851856748748635</v>
      </c>
      <c r="AQ84" s="35">
        <f t="shared" si="40"/>
        <v>42.94844911319192</v>
      </c>
      <c r="AR84" s="183" cm="1">
        <f t="array" ref="AR84:AY84">TRANSPOSE([91]Alfa!$E$127:$E$134)</f>
        <v>0.12543724285687732</v>
      </c>
      <c r="AS84" s="183">
        <v>0.11937194310929693</v>
      </c>
      <c r="AT84" s="183">
        <v>0.11013961849588656</v>
      </c>
      <c r="AU84" s="183">
        <v>0.11747613771392322</v>
      </c>
      <c r="AV84" s="183">
        <v>5.9796656472398076E-2</v>
      </c>
      <c r="AW84" s="183">
        <v>0.10194195125971994</v>
      </c>
      <c r="AX84" s="183">
        <v>9.561356872820366E-2</v>
      </c>
      <c r="AY84" s="183">
        <v>0.10211160575149957</v>
      </c>
      <c r="AZ84" s="183">
        <f t="shared" si="33"/>
        <v>100.2415458937198</v>
      </c>
      <c r="BA84" s="183">
        <f>'Su K. oro stendu'!P129</f>
        <v>52.564</v>
      </c>
      <c r="BB84" s="183">
        <f t="shared" si="34"/>
        <v>100.23611111111111</v>
      </c>
      <c r="BC84" s="143">
        <v>52.563000000000002</v>
      </c>
      <c r="BD84" s="183">
        <f t="shared" si="35"/>
        <v>100.17632850241546</v>
      </c>
      <c r="BE84" s="143">
        <v>52.552999999999997</v>
      </c>
      <c r="BF84" s="183">
        <f t="shared" si="41"/>
        <v>99.963768115942031</v>
      </c>
      <c r="BG84" s="143">
        <v>52.515000000000001</v>
      </c>
      <c r="BH84" s="183">
        <f t="shared" si="42"/>
        <v>99.154589371980677</v>
      </c>
      <c r="BI84" s="143">
        <v>52.371000000000002</v>
      </c>
      <c r="BJ84" s="183">
        <f t="shared" si="43"/>
        <v>99.140096618357489</v>
      </c>
      <c r="BK84" s="143">
        <v>52.369</v>
      </c>
      <c r="BL84" s="183">
        <f t="shared" si="44"/>
        <v>98.362318840579704</v>
      </c>
      <c r="BM84" s="143">
        <v>52.23</v>
      </c>
      <c r="BN84" s="183">
        <f t="shared" si="45"/>
        <v>98.34299516908213</v>
      </c>
      <c r="BO84" s="143">
        <v>52.225999999999999</v>
      </c>
      <c r="BP84" s="183">
        <f t="shared" si="46"/>
        <v>97.611111111111114</v>
      </c>
      <c r="BQ84" s="304">
        <v>52.094000000000001</v>
      </c>
      <c r="BR84" s="183" cm="1">
        <f t="array" ref="BR84:BY84">TRANSPOSE('[91]Keithley Matavimai'!$W$6:$W$13)</f>
        <v>32.269491624319556</v>
      </c>
      <c r="BS84" s="183">
        <v>30.8345210369109</v>
      </c>
      <c r="BT84" s="183">
        <v>29.371829448679676</v>
      </c>
      <c r="BU84" s="183">
        <v>25.963059902676076</v>
      </c>
      <c r="BV84" s="183">
        <v>26.046947361704024</v>
      </c>
      <c r="BW84" s="183">
        <v>25.732084189960457</v>
      </c>
      <c r="BX84" s="183">
        <v>24.582268833668781</v>
      </c>
      <c r="BY84" s="183">
        <v>18.49320994781403</v>
      </c>
      <c r="BZ84" s="183" cm="1">
        <f t="array" ref="BZ84:CH84">TRANSPOSE('[91]Keithley Matavimai'!$V$5:$V$13)</f>
        <v>85.016596017204762</v>
      </c>
      <c r="CA84" s="183">
        <v>82.086499953535863</v>
      </c>
      <c r="CB84" s="183">
        <v>79.364045512996498</v>
      </c>
      <c r="CC84" s="183">
        <v>76.778028757505467</v>
      </c>
      <c r="CD84" s="183">
        <v>74.254321538942335</v>
      </c>
      <c r="CE84" s="183">
        <v>72.837538061876913</v>
      </c>
      <c r="CF84" s="183">
        <v>70.639314257291261</v>
      </c>
      <c r="CG84" s="183">
        <v>68.35030439538788</v>
      </c>
      <c r="CH84" s="183">
        <v>66.098943960409002</v>
      </c>
      <c r="CI84" s="183" cm="1">
        <f t="array" ref="CI84:CQ84">TRANSPOSE('[91]Silumos kiekio nustat.'!$B$24:$B$32)</f>
        <v>21.503131705166801</v>
      </c>
      <c r="CJ84" s="183">
        <v>19.926145219104455</v>
      </c>
      <c r="CK84" s="183">
        <v>18.349150901839792</v>
      </c>
      <c r="CL84" s="183">
        <v>16.73522997509669</v>
      </c>
      <c r="CM84" s="183">
        <v>15.04746366059902</v>
      </c>
      <c r="CN84" s="183">
        <v>13.248933180070653</v>
      </c>
      <c r="CO84" s="183">
        <v>11.302719755235465</v>
      </c>
      <c r="CP84" s="183">
        <v>9.1719046078173285</v>
      </c>
      <c r="CQ84" s="183">
        <v>6.8195689595401205</v>
      </c>
      <c r="CR84" s="183">
        <f>'Su K. oro stendu'!P129</f>
        <v>52.564</v>
      </c>
      <c r="CS84" s="183"/>
      <c r="CT84" s="183"/>
      <c r="CU84" s="183">
        <f>[91]Alfa!$F$15</f>
        <v>600</v>
      </c>
      <c r="CV84" s="172">
        <f>'Su K. oro stendu'!J129</f>
        <v>1</v>
      </c>
      <c r="CW84" s="183">
        <f>'Su K. oro stendu'!D129</f>
        <v>10000</v>
      </c>
      <c r="CX84" s="183">
        <f>'Su K. oro stendu'!G129</f>
        <v>10</v>
      </c>
      <c r="CY84" s="183">
        <f>[91]Alfa!$F$16</f>
        <v>0.1089</v>
      </c>
      <c r="CZ84" s="183">
        <f>'Su K. oro stendu'!H129</f>
        <v>15.74</v>
      </c>
      <c r="DA84" s="183">
        <f>'Su K. oro stendu'!C129</f>
        <v>414</v>
      </c>
      <c r="DB84" s="183">
        <f>'Su K. oro stendu'!E129</f>
        <v>41.5</v>
      </c>
      <c r="DC84" s="183">
        <f>'Su K. oro stendu'!I129</f>
        <v>435</v>
      </c>
      <c r="DD84" s="183">
        <f>'Su K. oro stendu'!K129</f>
        <v>6.46</v>
      </c>
      <c r="DE84" s="183">
        <f>'Su K. oro stendu'!L129</f>
        <v>14.87</v>
      </c>
      <c r="DF84" s="183">
        <f>'Su K. oro stendu'!F129</f>
        <v>85</v>
      </c>
      <c r="DG84" s="253">
        <f>[91]Alfa!$D$29</f>
        <v>2495.6661731634163</v>
      </c>
      <c r="DH84" s="253">
        <f>[91]Alfa!$D$26</f>
        <v>7031.8635642680656</v>
      </c>
      <c r="DI84" s="253">
        <f>[91]Alfa!$D$27</f>
        <v>4433.6022029398373</v>
      </c>
      <c r="DJ84" s="253">
        <f t="shared" si="47"/>
        <v>6929.2683761032531</v>
      </c>
      <c r="DK84" s="253">
        <f t="shared" si="50"/>
        <v>6980.5659701856594</v>
      </c>
      <c r="DL84" s="253">
        <f t="shared" si="48"/>
        <v>1.4590042486908155E-2</v>
      </c>
      <c r="DM84" s="183">
        <f>New!AC84</f>
        <v>2.9144975969634354E-5</v>
      </c>
      <c r="DN84" s="183">
        <f t="shared" si="36"/>
        <v>3.5049529086959997E-5</v>
      </c>
      <c r="DO84" s="183">
        <f t="shared" si="37"/>
        <v>0.83153687735215809</v>
      </c>
      <c r="DP84" s="183">
        <f t="shared" si="38"/>
        <v>292.20515465469009</v>
      </c>
      <c r="DQ84" s="297">
        <f>DH84/((DA84/3600)*New!BV84*(Sheet3!BZ84-Sheet3!CP84)*1000)</f>
        <v>0.73301259565009902</v>
      </c>
      <c r="DR84" s="166">
        <f>(DB84*0.018)/(0.011*New!IV84*3600)</f>
        <v>1603.8550386836682</v>
      </c>
      <c r="DS84" s="166">
        <f>(New!IV84*New!CE84*1000)/New!AU84</f>
        <v>0.86323913019559584</v>
      </c>
      <c r="DT84" s="166">
        <f>IF(DR84&gt;2300,0.023*((DR84^(4/5)*DS84^(1/3))/(1+12.7*(DS84^(2/3)-1)))*(New!IV84/DV84)^0.14, 0.943*(DR84*DS84*New!IV84/Sheet3!DV84)^0.4)</f>
        <v>18.372485141294437</v>
      </c>
      <c r="DU84" s="166">
        <f t="shared" si="49"/>
        <v>-1144.2502972707696</v>
      </c>
      <c r="DV84" s="166">
        <f>_xlfn.FORECAST.LINEAR(AVERAGE(_xlfn.ANCHORARRAY(BR84)),Sheet2!$AK$2:$AK$69,Sheet2!$AJ$2:$AJ$69)</f>
        <v>9.7188751725314306E-6</v>
      </c>
    </row>
    <row r="85" spans="1:126" ht="15" thickBot="1" x14ac:dyDescent="0.35">
      <c r="A85" s="184" t="str">
        <f>'Su K. oro stendu'!B130</f>
        <v>2023.02.14-2</v>
      </c>
      <c r="B85" s="183" cm="1">
        <f t="array" ref="B85:I85">'[92]Kondensacijos efektyvumas'!$B$4:$I$4</f>
        <v>0</v>
      </c>
      <c r="C85" s="183">
        <v>43</v>
      </c>
      <c r="D85" s="183">
        <v>0</v>
      </c>
      <c r="E85" s="183">
        <v>288</v>
      </c>
      <c r="F85" s="183">
        <v>0</v>
      </c>
      <c r="G85" s="183">
        <v>308</v>
      </c>
      <c r="H85" s="183">
        <v>0</v>
      </c>
      <c r="I85" s="183">
        <v>309</v>
      </c>
      <c r="J85" s="183" cm="1">
        <f t="array" ref="J85:Q85">TRANSPOSE('[92]Nu kitimas'!$I$4:$I$11)</f>
        <v>95.803675356185948</v>
      </c>
      <c r="K85" s="183">
        <v>91.655466195286209</v>
      </c>
      <c r="L85" s="183">
        <v>93.022840036892561</v>
      </c>
      <c r="M85" s="183">
        <v>97.944471399937257</v>
      </c>
      <c r="N85" s="183">
        <v>106.86242016516007</v>
      </c>
      <c r="O85" s="183">
        <v>119.77128108465381</v>
      </c>
      <c r="P85" s="183">
        <v>135.25752213801425</v>
      </c>
      <c r="Q85" s="183">
        <v>150.41822397667363</v>
      </c>
      <c r="R85" s="183" cm="1">
        <f t="array" ref="R85:Y85">TRANSPOSE([92]Alfa!$G$18:$G$25)</f>
        <v>170.84570095554366</v>
      </c>
      <c r="S85" s="183">
        <v>161.81727226723422</v>
      </c>
      <c r="T85" s="183">
        <v>161.96301240531591</v>
      </c>
      <c r="U85" s="183">
        <v>169.05694364805322</v>
      </c>
      <c r="V85" s="183">
        <v>182.2135918814262</v>
      </c>
      <c r="W85" s="183">
        <v>202.0366776208032</v>
      </c>
      <c r="X85" s="183">
        <v>225.53384743104985</v>
      </c>
      <c r="Y85" s="183">
        <v>248.68232157579453</v>
      </c>
      <c r="Z85" s="183" cm="1">
        <f t="array" ref="Z85:AG85">TRANSPOSE([92]Alfa!$F$127:$F$134)</f>
        <v>0</v>
      </c>
      <c r="AA85" s="183">
        <v>5.7909300937118803E-2</v>
      </c>
      <c r="AB85" s="183">
        <v>0</v>
      </c>
      <c r="AC85" s="183">
        <v>0.38888821215537966</v>
      </c>
      <c r="AD85" s="183">
        <v>0</v>
      </c>
      <c r="AE85" s="183">
        <v>0.4166897114637394</v>
      </c>
      <c r="AF85" s="183">
        <v>0</v>
      </c>
      <c r="AG85" s="183">
        <v>0.42151669648802326</v>
      </c>
      <c r="AH85" s="35" cm="1">
        <f t="array" ref="AH85:AO85">TRANSPOSE('[92]Silumos kiekio nustat.'!$F$25:$F$32)</f>
        <v>368.12914166247305</v>
      </c>
      <c r="AI85" s="35">
        <v>344.55167577929774</v>
      </c>
      <c r="AJ85" s="35">
        <v>333.42802256564499</v>
      </c>
      <c r="AK85" s="35">
        <v>334.59431969974122</v>
      </c>
      <c r="AL85" s="35">
        <v>347.89789178026774</v>
      </c>
      <c r="AM85" s="35">
        <v>373.18371572392567</v>
      </c>
      <c r="AN85" s="35">
        <v>410.28267456675485</v>
      </c>
      <c r="AO85" s="35">
        <v>459.00194070607222</v>
      </c>
      <c r="AP85" s="313">
        <f t="shared" si="39"/>
        <v>0.1172347307441029</v>
      </c>
      <c r="AQ85" s="35">
        <f t="shared" si="40"/>
        <v>43.539064884697574</v>
      </c>
      <c r="AR85" s="183" cm="1">
        <f t="array" ref="AR85:AY85">TRANSPOSE([92]Alfa!$E$127:$E$134)</f>
        <v>0.28656849833263892</v>
      </c>
      <c r="AS85" s="183">
        <v>0.2472511308462215</v>
      </c>
      <c r="AT85" s="183">
        <v>0.29673952279654126</v>
      </c>
      <c r="AU85" s="183">
        <v>0.18830113438581245</v>
      </c>
      <c r="AV85" s="183">
        <v>0.2280775200173927</v>
      </c>
      <c r="AW85" s="183">
        <v>0.22336005213796872</v>
      </c>
      <c r="AX85" s="183">
        <v>0.22804569867130406</v>
      </c>
      <c r="AY85" s="183">
        <v>0.21796708146656271</v>
      </c>
      <c r="AZ85" s="183">
        <f t="shared" si="33"/>
        <v>98.532494758909849</v>
      </c>
      <c r="BA85" s="183">
        <f>'Su K. oro stendu'!P130</f>
        <v>52.26</v>
      </c>
      <c r="BB85" s="183">
        <f t="shared" si="34"/>
        <v>98.532494758909849</v>
      </c>
      <c r="BC85" s="143">
        <v>52.26</v>
      </c>
      <c r="BD85" s="183">
        <f t="shared" si="35"/>
        <v>98.509958071278831</v>
      </c>
      <c r="BE85" s="143">
        <v>52.256</v>
      </c>
      <c r="BF85" s="183">
        <f t="shared" si="41"/>
        <v>98.44234800838575</v>
      </c>
      <c r="BG85" s="304">
        <v>52.244</v>
      </c>
      <c r="BH85" s="183">
        <f t="shared" si="42"/>
        <v>97.838574423480082</v>
      </c>
      <c r="BI85" s="143">
        <v>52.134999999999998</v>
      </c>
      <c r="BJ85" s="183">
        <f t="shared" si="43"/>
        <v>97.838574423480082</v>
      </c>
      <c r="BK85" s="143">
        <v>52.134999999999998</v>
      </c>
      <c r="BL85" s="183">
        <f t="shared" si="44"/>
        <v>97.192872117400412</v>
      </c>
      <c r="BM85" s="143">
        <v>52.018000000000001</v>
      </c>
      <c r="BN85" s="183">
        <f t="shared" si="45"/>
        <v>97.192872117400412</v>
      </c>
      <c r="BO85" s="143">
        <v>52.018000000000001</v>
      </c>
      <c r="BP85" s="183">
        <f t="shared" si="46"/>
        <v>96.545073375262049</v>
      </c>
      <c r="BQ85" s="143">
        <v>56.265999999999998</v>
      </c>
      <c r="BR85" s="183" cm="1">
        <f t="array" ref="BR85:BY85">TRANSPOSE('[92]Keithley Matavimai'!$W$6:$W$13)</f>
        <v>36.342396703304672</v>
      </c>
      <c r="BS85" s="183">
        <v>33.172524416735349</v>
      </c>
      <c r="BT85" s="183">
        <v>32.881747037980091</v>
      </c>
      <c r="BU85" s="183">
        <v>28.120440996274173</v>
      </c>
      <c r="BV85" s="183">
        <v>28.582677831135658</v>
      </c>
      <c r="BW85" s="183">
        <v>28.405261343036244</v>
      </c>
      <c r="BX85" s="183">
        <v>26.611939285943802</v>
      </c>
      <c r="BY85" s="183">
        <v>18.513612062000156</v>
      </c>
      <c r="BZ85" s="183" cm="1">
        <f t="array" ref="BZ85:CH85">TRANSPOSE('[92]Keithley Matavimai'!$V$5:$V$13)</f>
        <v>144.40806275554803</v>
      </c>
      <c r="CA85" s="183">
        <v>138.7581107329905</v>
      </c>
      <c r="CB85" s="183">
        <v>133.91442364982723</v>
      </c>
      <c r="CC85" s="183">
        <v>128.017644289103</v>
      </c>
      <c r="CD85" s="183">
        <v>124.56823874873957</v>
      </c>
      <c r="CE85" s="183">
        <v>119.98212841860116</v>
      </c>
      <c r="CF85" s="183">
        <v>115.7809185217564</v>
      </c>
      <c r="CG85" s="183">
        <v>111.14016431776297</v>
      </c>
      <c r="CH85" s="183">
        <v>106.97640153380019</v>
      </c>
      <c r="CI85" s="183" cm="1">
        <f t="array" ref="CI85:CQ85">TRANSPOSE('[92]Silumos kiekio nustat.'!$B$24:$B$32)</f>
        <v>23.771314699503577</v>
      </c>
      <c r="CJ85" s="183">
        <v>21.722023665271394</v>
      </c>
      <c r="CK85" s="183">
        <v>19.797471914971464</v>
      </c>
      <c r="CL85" s="183">
        <v>17.929101251555057</v>
      </c>
      <c r="CM85" s="183">
        <v>16.048353477973457</v>
      </c>
      <c r="CN85" s="183">
        <v>14.086670397177933</v>
      </c>
      <c r="CO85" s="183">
        <v>11.975493812119764</v>
      </c>
      <c r="CP85" s="183">
        <v>9.646265525750227</v>
      </c>
      <c r="CQ85" s="183">
        <v>7.0304273410205944</v>
      </c>
      <c r="CR85" s="183">
        <f>'Su K. oro stendu'!P130</f>
        <v>52.26</v>
      </c>
      <c r="CS85" s="183"/>
      <c r="CT85" s="183"/>
      <c r="CU85" s="183">
        <f>[92]Alfa!$F$15</f>
        <v>600</v>
      </c>
      <c r="CV85" s="172">
        <f>'Su K. oro stendu'!J130</f>
        <v>1</v>
      </c>
      <c r="CW85" s="183">
        <f>'Su K. oro stendu'!D130</f>
        <v>10000</v>
      </c>
      <c r="CX85" s="183">
        <f>'Su K. oro stendu'!G130</f>
        <v>10</v>
      </c>
      <c r="CY85" s="183">
        <f>[92]Alfa!$F$16</f>
        <v>9.4799999999999982E-2</v>
      </c>
      <c r="CZ85" s="183">
        <f>'Su K. oro stendu'!H130</f>
        <v>12.1</v>
      </c>
      <c r="DA85" s="183">
        <f>'Su K. oro stendu'!C130</f>
        <v>477</v>
      </c>
      <c r="DB85" s="183">
        <f>'Su K. oro stendu'!E130</f>
        <v>47</v>
      </c>
      <c r="DC85" s="183">
        <f>'Su K. oro stendu'!I130</f>
        <v>489</v>
      </c>
      <c r="DD85" s="183">
        <f>'Su K. oro stendu'!K130</f>
        <v>6.65</v>
      </c>
      <c r="DE85" s="183">
        <f>'Su K. oro stendu'!L130</f>
        <v>16.989999999999998</v>
      </c>
      <c r="DF85" s="183">
        <f>'Su K. oro stendu'!F130</f>
        <v>145</v>
      </c>
      <c r="DG85" s="253">
        <f>[92]Alfa!$D$29</f>
        <v>5748.931915963326</v>
      </c>
      <c r="DH85" s="253">
        <f>[92]Alfa!$D$26</f>
        <v>9052.694561683571</v>
      </c>
      <c r="DI85" s="253">
        <f>[92]Alfa!$D$27</f>
        <v>3855.0117631327839</v>
      </c>
      <c r="DJ85" s="253">
        <f t="shared" si="47"/>
        <v>9603.9436790961099</v>
      </c>
      <c r="DK85" s="253">
        <f t="shared" si="50"/>
        <v>9328.3191203898405</v>
      </c>
      <c r="DL85" s="253">
        <f t="shared" si="48"/>
        <v>6.0893374194436599E-2</v>
      </c>
      <c r="DM85" s="183">
        <f>New!AC85</f>
        <v>3.9614782485535097E-5</v>
      </c>
      <c r="DN85" s="183">
        <f t="shared" si="36"/>
        <v>4.2388323940559999E-5</v>
      </c>
      <c r="DO85" s="183">
        <f t="shared" si="37"/>
        <v>0.93456826792882486</v>
      </c>
      <c r="DP85" s="183">
        <f t="shared" si="38"/>
        <v>190.26867097315261</v>
      </c>
      <c r="DQ85" s="297">
        <f>DH85/((DA85/3600)*New!BV85*(Sheet3!BZ85-Sheet3!CP85)*1000)</f>
        <v>0.45628066782800542</v>
      </c>
      <c r="DR85" s="166">
        <f>(DB85*0.018)/(0.011*New!IV85*3600)</f>
        <v>1541.1462323130911</v>
      </c>
      <c r="DS85" s="166">
        <f>(New!IV85*New!CE85*1000)/New!AU85</f>
        <v>0.64719895598215416</v>
      </c>
      <c r="DT85" s="166">
        <f>IF(DR85&gt;2300,0.023*((DR85^(4/5)*DS85^(1/3))/(1+12.7*(DS85^(2/3)-1)))*(New!IV85/DV85)^0.14, 0.943*(DR85*DS85*New!IV85/Sheet3!DV85)^0.4)</f>
        <v>17.149218536095873</v>
      </c>
      <c r="DU85" s="166">
        <f t="shared" si="49"/>
        <v>-964.72709874296856</v>
      </c>
      <c r="DV85" s="166">
        <f>_xlfn.FORECAST.LINEAR(AVERAGE(_xlfn.ANCHORARRAY(BR85)),Sheet2!$AK$2:$AK$69,Sheet2!$AJ$2:$AJ$69)</f>
        <v>9.8035051262529516E-6</v>
      </c>
    </row>
    <row r="86" spans="1:126" x14ac:dyDescent="0.3">
      <c r="A86" s="184" t="str">
        <f>'Su K. oro stendu'!B131</f>
        <v>2023.02.15-1</v>
      </c>
      <c r="B86" s="183" cm="1">
        <f t="array" ref="B86:I86">'[93]Kondensacijos efektyvumas'!$B$4:$I$4</f>
        <v>0</v>
      </c>
      <c r="C86" s="183">
        <v>143</v>
      </c>
      <c r="D86" s="183">
        <v>0</v>
      </c>
      <c r="E86" s="183">
        <v>215</v>
      </c>
      <c r="F86" s="183">
        <v>0</v>
      </c>
      <c r="G86" s="183">
        <v>253</v>
      </c>
      <c r="H86" s="183">
        <v>0</v>
      </c>
      <c r="I86" s="183">
        <v>296</v>
      </c>
      <c r="J86" s="183" cm="1">
        <f t="array" ref="J86:Q86">TRANSPOSE('[93]Nu kitimas'!$G$4:$G$11)</f>
        <v>69.58564959661372</v>
      </c>
      <c r="K86" s="183">
        <v>67.317606869146729</v>
      </c>
      <c r="L86" s="183">
        <v>69.785630504432177</v>
      </c>
      <c r="M86" s="183">
        <v>75.223541719312109</v>
      </c>
      <c r="N86" s="183">
        <v>84.401992864373838</v>
      </c>
      <c r="O86" s="183">
        <v>97.273123838241162</v>
      </c>
      <c r="P86" s="183">
        <v>112.9091442065107</v>
      </c>
      <c r="Q86" s="183">
        <v>128.52855647586961</v>
      </c>
      <c r="R86" s="183" cm="1">
        <f t="array" ref="R86:Y86">TRANSPOSE([93]Alfa!$G$18:$G$25)</f>
        <v>141.41674131875496</v>
      </c>
      <c r="S86" s="183">
        <v>134.67907953885489</v>
      </c>
      <c r="T86" s="183">
        <v>136.85632598856711</v>
      </c>
      <c r="U86" s="183">
        <v>145.93048673815474</v>
      </c>
      <c r="V86" s="183">
        <v>161.26855259475803</v>
      </c>
      <c r="W86" s="183">
        <v>183.51080896631751</v>
      </c>
      <c r="X86" s="183">
        <v>209.87418928158485</v>
      </c>
      <c r="Y86" s="183">
        <v>236.1437572449972</v>
      </c>
      <c r="Z86" s="183" cm="1">
        <f t="array" ref="Z86:AG86">TRANSPOSE([93]Alfa!$F$127:$F$134)</f>
        <v>0</v>
      </c>
      <c r="AA86" s="183">
        <v>0.19169828787811163</v>
      </c>
      <c r="AB86" s="183">
        <v>0</v>
      </c>
      <c r="AC86" s="183">
        <v>0.2890106689346576</v>
      </c>
      <c r="AD86" s="183">
        <v>0</v>
      </c>
      <c r="AE86" s="183">
        <v>0.34052647412427023</v>
      </c>
      <c r="AF86" s="183">
        <v>0</v>
      </c>
      <c r="AG86" s="183">
        <v>0.40260643555887476</v>
      </c>
      <c r="AH86" s="35" cm="1">
        <f t="array" ref="AH86:AO86">TRANSPOSE('[93]Silumos kiekio nustat.'!$F$25:$F$32)</f>
        <v>458.21255786941521</v>
      </c>
      <c r="AI86" s="35">
        <v>430.536298656832</v>
      </c>
      <c r="AJ86" s="35">
        <v>421.14232364902318</v>
      </c>
      <c r="AK86" s="35">
        <v>429.74980837771028</v>
      </c>
      <c r="AL86" s="35">
        <v>456.08937043815945</v>
      </c>
      <c r="AM86" s="35">
        <v>499.87693695028457</v>
      </c>
      <c r="AN86" s="35">
        <v>560.79208435744431</v>
      </c>
      <c r="AO86" s="35">
        <v>638.46205683159496</v>
      </c>
      <c r="AP86" s="313">
        <f t="shared" si="39"/>
        <v>0.15746169771614127</v>
      </c>
      <c r="AQ86" s="35">
        <f t="shared" si="40"/>
        <v>76.661436782461578</v>
      </c>
      <c r="AR86" s="183" cm="1">
        <f t="array" ref="AR86:AY86">TRANSPOSE([93]Alfa!$E$127:$E$134)</f>
        <v>0.44833058939568698</v>
      </c>
      <c r="AS86" s="183">
        <v>0.41317692741280915</v>
      </c>
      <c r="AT86" s="183">
        <v>0.51277894532991508</v>
      </c>
      <c r="AU86" s="183">
        <v>0.28943702221826023</v>
      </c>
      <c r="AV86" s="183">
        <v>0.38328377200468638</v>
      </c>
      <c r="AW86" s="183">
        <v>0.334832565146368</v>
      </c>
      <c r="AX86" s="183">
        <v>0.36584672643260369</v>
      </c>
      <c r="AY86" s="183">
        <v>0.30490724080819853</v>
      </c>
      <c r="AZ86" s="183">
        <f t="shared" si="33"/>
        <v>101.14503816793894</v>
      </c>
      <c r="BA86" s="183">
        <f>'Su K. oro stendu'!P131</f>
        <v>52.722999999999999</v>
      </c>
      <c r="BB86" s="183">
        <f t="shared" si="34"/>
        <v>101.14503816793894</v>
      </c>
      <c r="BC86" s="143">
        <v>52.722999999999999</v>
      </c>
      <c r="BD86" s="183">
        <f t="shared" si="35"/>
        <v>101.07681297709924</v>
      </c>
      <c r="BE86" s="143">
        <v>52.710999999999999</v>
      </c>
      <c r="BF86" s="183">
        <f t="shared" si="41"/>
        <v>100.87213740458016</v>
      </c>
      <c r="BG86" s="143">
        <v>52.674999999999997</v>
      </c>
      <c r="BH86" s="183">
        <f t="shared" si="42"/>
        <v>100.46183206106871</v>
      </c>
      <c r="BI86" s="143">
        <v>52.603000000000002</v>
      </c>
      <c r="BJ86" s="183">
        <f t="shared" si="43"/>
        <v>100.46183206106871</v>
      </c>
      <c r="BK86" s="143">
        <v>52.603000000000002</v>
      </c>
      <c r="BL86" s="183">
        <f t="shared" si="44"/>
        <v>99.979007633587784</v>
      </c>
      <c r="BM86" s="143">
        <v>52.518000000000001</v>
      </c>
      <c r="BN86" s="183">
        <f t="shared" si="45"/>
        <v>99.979007633587784</v>
      </c>
      <c r="BO86" s="143">
        <v>52.518000000000001</v>
      </c>
      <c r="BP86" s="183">
        <f t="shared" si="46"/>
        <v>99.414122137404576</v>
      </c>
      <c r="BQ86" s="143">
        <v>52.417999999999999</v>
      </c>
      <c r="BR86" s="183" cm="1">
        <f t="array" ref="BR86:BY86">TRANSPOSE('[93]Keithley Matavimai'!$W$6:$W$13)</f>
        <v>42.594528819963479</v>
      </c>
      <c r="BS86" s="183">
        <v>37.472938329562226</v>
      </c>
      <c r="BT86" s="183">
        <v>37.807879066596364</v>
      </c>
      <c r="BU86" s="183">
        <v>32.698290509602117</v>
      </c>
      <c r="BV86" s="183">
        <v>33.455869985684608</v>
      </c>
      <c r="BW86" s="183">
        <v>33.626855006837729</v>
      </c>
      <c r="BX86" s="183">
        <v>31.751982228547735</v>
      </c>
      <c r="BY86" s="183">
        <v>21.50072112913039</v>
      </c>
      <c r="BZ86" s="183" cm="1">
        <f t="array" ref="BZ86:CH86">TRANSPOSE('[93]Keithley Matavimai'!$V$5:$V$13)</f>
        <v>204.50360298243439</v>
      </c>
      <c r="CA86" s="183">
        <v>196.49778991844428</v>
      </c>
      <c r="CB86" s="183">
        <v>189.3799667156421</v>
      </c>
      <c r="CC86" s="183">
        <v>180.30326880317307</v>
      </c>
      <c r="CD86" s="183">
        <v>175.47186146132969</v>
      </c>
      <c r="CE86" s="183">
        <v>168.65992648934582</v>
      </c>
      <c r="CF86" s="183">
        <v>163.01009920747973</v>
      </c>
      <c r="CG86" s="183">
        <v>156.44553238707272</v>
      </c>
      <c r="CH86" s="183">
        <v>151.30018586564347</v>
      </c>
      <c r="CI86" s="183" cm="1">
        <f t="array" ref="CI86:CQ86">TRANSPOSE('[93]Silumos kiekio nustat.'!$B$24:$B$32)</f>
        <v>27.2337687369536</v>
      </c>
      <c r="CJ86" s="183">
        <v>24.87151259781384</v>
      </c>
      <c r="CK86" s="183">
        <v>22.643044254450089</v>
      </c>
      <c r="CL86" s="183">
        <v>20.454922526848897</v>
      </c>
      <c r="CM86" s="183">
        <v>18.213706234996831</v>
      </c>
      <c r="CN86" s="183">
        <v>15.825954198880449</v>
      </c>
      <c r="CO86" s="183">
        <v>13.198225238486312</v>
      </c>
      <c r="CP86" s="183">
        <v>10.237078173800988</v>
      </c>
      <c r="CQ86" s="183">
        <v>6.8490718248110269</v>
      </c>
      <c r="CR86" s="183">
        <f>'Su K. oro stendu'!P131</f>
        <v>52.722999999999999</v>
      </c>
      <c r="CS86" s="183"/>
      <c r="CT86" s="183"/>
      <c r="CU86" s="183">
        <f>[93]Alfa!$F$15</f>
        <v>600</v>
      </c>
      <c r="CV86" s="172">
        <f>'Su K. oro stendu'!J131</f>
        <v>1</v>
      </c>
      <c r="CW86" s="183">
        <f>'Su K. oro stendu'!D131</f>
        <v>10000</v>
      </c>
      <c r="CX86" s="183">
        <f>'Su K. oro stendu'!G131</f>
        <v>10</v>
      </c>
      <c r="CY86" s="183">
        <f>[93]Alfa!$F$16</f>
        <v>9.0700000000000003E-2</v>
      </c>
      <c r="CZ86" s="183">
        <f>'Su K. oro stendu'!H131</f>
        <v>10.27</v>
      </c>
      <c r="DA86" s="183">
        <f>'Su K. oro stendu'!C131</f>
        <v>524</v>
      </c>
      <c r="DB86" s="183">
        <f>'Su K. oro stendu'!E131</f>
        <v>53</v>
      </c>
      <c r="DC86" s="183">
        <f>'Su K. oro stendu'!I131</f>
        <v>525</v>
      </c>
      <c r="DD86" s="183">
        <f>'Su K. oro stendu'!K131</f>
        <v>6.34</v>
      </c>
      <c r="DE86" s="183">
        <f>'Su K. oro stendu'!L131</f>
        <v>20.7</v>
      </c>
      <c r="DF86" s="183">
        <f>'Su K. oro stendu'!F131</f>
        <v>205</v>
      </c>
      <c r="DG86" s="253">
        <f>[93]Alfa!$D$29</f>
        <v>8585.7078764706857</v>
      </c>
      <c r="DH86" s="253">
        <f>[93]Alfa!$D$26</f>
        <v>11878.038370756611</v>
      </c>
      <c r="DI86" s="253">
        <f>[93]Alfa!$D$27</f>
        <v>3671.525599487743</v>
      </c>
      <c r="DJ86" s="253">
        <f t="shared" si="47"/>
        <v>12257.233475958428</v>
      </c>
      <c r="DK86" s="253">
        <f t="shared" si="50"/>
        <v>12067.63592335752</v>
      </c>
      <c r="DL86" s="253">
        <f t="shared" si="48"/>
        <v>3.1924051208268953E-2</v>
      </c>
      <c r="DM86" s="183">
        <f>New!AC86</f>
        <v>5.1469707224918641E-5</v>
      </c>
      <c r="DN86" s="183">
        <f t="shared" si="36"/>
        <v>5.0323119098159997E-5</v>
      </c>
      <c r="DO86" s="183">
        <f t="shared" si="37"/>
        <v>1.0227845202623891</v>
      </c>
      <c r="DP86" s="183">
        <f t="shared" si="38"/>
        <v>168.70999270899867</v>
      </c>
      <c r="DQ86" s="297">
        <f>DH86/((DA86/3600)*New!BV86*(Sheet3!BZ86-Sheet3!CP86)*1000)</f>
        <v>0.37281325264438675</v>
      </c>
      <c r="DR86" s="166">
        <f>(DB86*0.018)/(0.011*New!IV86*3600)</f>
        <v>1509.1800846675749</v>
      </c>
      <c r="DS86" s="166">
        <f>(New!IV86*New!CE86*1000)/New!AU86</f>
        <v>0.55193626425495013</v>
      </c>
      <c r="DT86" s="166">
        <f>IF(DR86&gt;2300,0.023*((DR86^(4/5)*DS86^(1/3))/(1+12.7*(DS86^(2/3)-1)))*(New!IV86/DV86)^0.14, 0.943*(DR86*DS86*New!IV86/Sheet3!DV86)^0.4)</f>
        <v>16.769205641705252</v>
      </c>
      <c r="DU86" s="166">
        <f t="shared" si="49"/>
        <v>-873.75651993968302</v>
      </c>
      <c r="DV86" s="166">
        <f>_xlfn.FORECAST.LINEAR(AVERAGE(_xlfn.ANCHORARRAY(BR86)),Sheet2!$AK$2:$AK$69,Sheet2!$AJ$2:$AJ$69)</f>
        <v>9.9710323213870946E-6</v>
      </c>
    </row>
    <row r="87" spans="1:126" x14ac:dyDescent="0.3">
      <c r="A87" s="184" t="str">
        <f>'Su K. oro stendu'!B132</f>
        <v>2023.02.20-1</v>
      </c>
      <c r="B87" s="183" cm="1">
        <f t="array" ref="B87:I87">'[94]Kondensacijos efektyvumas'!$B$4:$I$4</f>
        <v>15</v>
      </c>
      <c r="C87" s="183">
        <v>466</v>
      </c>
      <c r="D87" s="183">
        <v>25</v>
      </c>
      <c r="E87" s="183">
        <v>400</v>
      </c>
      <c r="F87" s="183">
        <v>19</v>
      </c>
      <c r="G87" s="183">
        <v>377</v>
      </c>
      <c r="H87" s="183">
        <v>18</v>
      </c>
      <c r="I87" s="183">
        <v>335</v>
      </c>
      <c r="J87" s="183" cm="1">
        <f t="array" ref="J87:Q87">TRANSPOSE('[94]Nu kitimas'!$I$4:$I$11)</f>
        <v>130.16204889302296</v>
      </c>
      <c r="K87" s="183">
        <v>121.78993600168815</v>
      </c>
      <c r="L87" s="183">
        <v>120.2656969927291</v>
      </c>
      <c r="M87" s="183">
        <v>121.73761142834645</v>
      </c>
      <c r="N87" s="183">
        <v>127.35774440615018</v>
      </c>
      <c r="O87" s="183">
        <v>143.25322578261452</v>
      </c>
      <c r="P87" s="183">
        <v>157.21167389415405</v>
      </c>
      <c r="Q87" s="183">
        <v>167.33852824852511</v>
      </c>
      <c r="R87" s="183" cm="1">
        <f t="array" ref="R87:Y87">TRANSPOSE([94]Alfa!$G$18:$G$25)</f>
        <v>208.0051469076673</v>
      </c>
      <c r="S87" s="183">
        <v>190.52421429284081</v>
      </c>
      <c r="T87" s="183">
        <v>183.07914262199961</v>
      </c>
      <c r="U87" s="183">
        <v>181.81499210811282</v>
      </c>
      <c r="V87" s="183">
        <v>187.15795292004933</v>
      </c>
      <c r="W87" s="183">
        <v>205.41394202436729</v>
      </c>
      <c r="X87" s="183">
        <v>226.07336492091036</v>
      </c>
      <c r="Y87" s="183">
        <v>245.74370258785191</v>
      </c>
      <c r="Z87" s="183" cm="1">
        <f t="array" ref="Z87:AG87">TRANSPOSE([94]Alfa!$F$127:$F$134)</f>
        <v>1.3284111767019489E-2</v>
      </c>
      <c r="AA87" s="183">
        <v>0.41386591267283523</v>
      </c>
      <c r="AB87" s="183">
        <v>2.2240348455524708E-2</v>
      </c>
      <c r="AC87" s="183">
        <v>0.35619547051939132</v>
      </c>
      <c r="AD87" s="183">
        <v>1.6931920288638432E-2</v>
      </c>
      <c r="AE87" s="183">
        <v>0.33628808306536334</v>
      </c>
      <c r="AF87" s="183">
        <v>1.6082254284505854E-2</v>
      </c>
      <c r="AG87" s="183">
        <v>0.30012267779122398</v>
      </c>
      <c r="AH87" s="35" cm="1">
        <f t="array" ref="AH87:AO87">TRANSPOSE('[94]Silumos kiekio nustat.'!$F$25:$F$32)</f>
        <v>245.27890843011602</v>
      </c>
      <c r="AI87" s="35">
        <v>218.46379853888163</v>
      </c>
      <c r="AJ87" s="35">
        <v>199.37541065675435</v>
      </c>
      <c r="AK87" s="35">
        <v>187.95269999696353</v>
      </c>
      <c r="AL87" s="35">
        <v>184.14505702706271</v>
      </c>
      <c r="AM87" s="35">
        <v>187.90738731711221</v>
      </c>
      <c r="AN87" s="35">
        <v>199.19551246931309</v>
      </c>
      <c r="AO87" s="35">
        <v>217.9618738581942</v>
      </c>
      <c r="AP87" s="313">
        <f t="shared" si="39"/>
        <v>0.1018840788112494</v>
      </c>
      <c r="AQ87" s="35">
        <f t="shared" si="40"/>
        <v>20.88981035542421</v>
      </c>
      <c r="AR87" s="183" cm="1">
        <f t="array" ref="AR87:AY87">TRANSPOSE([94]Alfa!$E$127:$E$134)</f>
        <v>7.1449952768295688E-2</v>
      </c>
      <c r="AS87" s="183">
        <v>6.2406887016849176E-2</v>
      </c>
      <c r="AT87" s="183">
        <v>6.9567360043594484E-2</v>
      </c>
      <c r="AU87" s="183">
        <v>3.6763346853166672E-2</v>
      </c>
      <c r="AV87" s="183">
        <v>5.4532136835683948E-2</v>
      </c>
      <c r="AW87" s="183">
        <v>6.4436890287735554E-2</v>
      </c>
      <c r="AX87" s="183">
        <v>2.7971587263102199E-2</v>
      </c>
      <c r="AY87" s="183">
        <v>4.4218988825596828E-2</v>
      </c>
      <c r="AZ87" s="183">
        <f t="shared" si="33"/>
        <v>106.06060606060606</v>
      </c>
      <c r="BA87" s="183">
        <f>'Su K. oro stendu'!P132</f>
        <v>53.561</v>
      </c>
      <c r="BB87" s="183">
        <f t="shared" si="34"/>
        <v>106.03219696969697</v>
      </c>
      <c r="BC87" s="143">
        <v>53.555999999999997</v>
      </c>
      <c r="BD87" s="183">
        <f t="shared" si="35"/>
        <v>105.14962121212122</v>
      </c>
      <c r="BE87" s="143">
        <v>53.408000000000001</v>
      </c>
      <c r="BF87" s="183">
        <f t="shared" si="41"/>
        <v>102.22727272727273</v>
      </c>
      <c r="BG87" s="143">
        <v>52.911000000000001</v>
      </c>
      <c r="BH87" s="183">
        <f t="shared" si="42"/>
        <v>99.196969696969703</v>
      </c>
      <c r="BI87" s="143">
        <v>52.378999999999998</v>
      </c>
      <c r="BJ87" s="183">
        <f t="shared" si="43"/>
        <v>99.053030303030297</v>
      </c>
      <c r="BK87" s="143">
        <v>52.353000000000002</v>
      </c>
      <c r="BL87" s="183">
        <f t="shared" si="44"/>
        <v>96.196969696969703</v>
      </c>
      <c r="BM87" s="143">
        <v>51.835999999999999</v>
      </c>
      <c r="BN87" s="183">
        <f t="shared" si="45"/>
        <v>96.060606060606062</v>
      </c>
      <c r="BO87" s="143">
        <v>51.811</v>
      </c>
      <c r="BP87" s="183">
        <f t="shared" si="46"/>
        <v>93.522727272727266</v>
      </c>
      <c r="BQ87" s="143">
        <v>51.338000000000001</v>
      </c>
      <c r="BR87" s="183" cm="1">
        <f t="array" ref="BR87:BY87">TRANSPOSE('[94]Keithley Matavimai'!$W$6:$W$13)</f>
        <v>23.881112639344011</v>
      </c>
      <c r="BS87" s="183">
        <v>21.462402571506413</v>
      </c>
      <c r="BT87" s="183">
        <v>20.313077839929981</v>
      </c>
      <c r="BU87" s="183">
        <v>17.4493466292395</v>
      </c>
      <c r="BV87" s="183">
        <v>16.915821314063574</v>
      </c>
      <c r="BW87" s="183">
        <v>16.602121364999032</v>
      </c>
      <c r="BX87" s="183">
        <v>15.735170744290286</v>
      </c>
      <c r="BY87" s="183">
        <v>11.27851803653185</v>
      </c>
      <c r="BZ87" s="183" cm="1">
        <f t="array" ref="BZ87:CH87">TRANSPOSE('[94]Keithley Matavimai'!$V$5:$V$13)</f>
        <v>84.129499449098432</v>
      </c>
      <c r="CA87" s="183">
        <v>78.88290799984982</v>
      </c>
      <c r="CB87" s="183">
        <v>74.94250358365646</v>
      </c>
      <c r="CC87" s="183">
        <v>69.699791980928978</v>
      </c>
      <c r="CD87" s="183">
        <v>67.463174122793802</v>
      </c>
      <c r="CE87" s="183">
        <v>63.247847844692416</v>
      </c>
      <c r="CF87" s="183">
        <v>58.670567684101911</v>
      </c>
      <c r="CG87" s="183">
        <v>56.465702180118761</v>
      </c>
      <c r="CH87" s="183">
        <v>53.321663707912016</v>
      </c>
      <c r="CI87" s="183" cm="1">
        <f t="array" ref="CI87:CQ87">TRANSPOSE('[94]Silumos kiekio nustat.'!$B$24:$B$32)</f>
        <v>14.451748088720805</v>
      </c>
      <c r="CJ87" s="183">
        <v>13.230753107987649</v>
      </c>
      <c r="CK87" s="183">
        <v>12.141230042461242</v>
      </c>
      <c r="CL87" s="183">
        <v>11.145257951705679</v>
      </c>
      <c r="CM87" s="183">
        <v>10.204915895285055</v>
      </c>
      <c r="CN87" s="183">
        <v>9.2822829327634651</v>
      </c>
      <c r="CO87" s="183">
        <v>8.3394381237050048</v>
      </c>
      <c r="CP87" s="183">
        <v>7.3384605276737673</v>
      </c>
      <c r="CQ87" s="183">
        <v>6.2414292042338495</v>
      </c>
      <c r="CR87" s="183">
        <f>'Su K. oro stendu'!P132</f>
        <v>53.561</v>
      </c>
      <c r="CS87" s="183"/>
      <c r="CT87" s="183"/>
      <c r="CU87" s="183">
        <f>[94]Alfa!$F$15</f>
        <v>920</v>
      </c>
      <c r="CV87" s="172">
        <f>'Su K. oro stendu'!J132</f>
        <v>4</v>
      </c>
      <c r="CW87" s="183">
        <f>'Su K. oro stendu'!D132</f>
        <v>3000</v>
      </c>
      <c r="CX87" s="183">
        <f>'Su K. oro stendu'!G132</f>
        <v>10</v>
      </c>
      <c r="CY87" s="183">
        <f>[94]Alfa!$F$16</f>
        <v>0.10793478260869566</v>
      </c>
      <c r="CZ87" s="183">
        <f>'Su K. oro stendu'!H132</f>
        <v>46.26</v>
      </c>
      <c r="DA87" s="183">
        <f>'Su K. oro stendu'!C132</f>
        <v>132</v>
      </c>
      <c r="DB87" s="183">
        <f>'Su K. oro stendu'!E132</f>
        <v>14</v>
      </c>
      <c r="DC87" s="183">
        <f>'Su K. oro stendu'!I132</f>
        <v>555</v>
      </c>
      <c r="DD87" s="183">
        <f>'Su K. oro stendu'!K132</f>
        <v>6.09</v>
      </c>
      <c r="DE87" s="183">
        <f>'Su K. oro stendu'!L132</f>
        <v>8.31</v>
      </c>
      <c r="DF87" s="183">
        <f>'Su K. oro stendu'!F132</f>
        <v>85</v>
      </c>
      <c r="DG87" s="253">
        <f>[94]Alfa!$D$29</f>
        <v>1145.0435221200842</v>
      </c>
      <c r="DH87" s="253">
        <f>[94]Alfa!$D$26</f>
        <v>4981.3469200040981</v>
      </c>
      <c r="DI87" s="253">
        <f>[94]Alfa!$D$27</f>
        <v>4425.0323365335071</v>
      </c>
      <c r="DJ87" s="253">
        <f t="shared" si="47"/>
        <v>5570.0758586535912</v>
      </c>
      <c r="DK87" s="253">
        <f t="shared" si="50"/>
        <v>5275.7113893288442</v>
      </c>
      <c r="DL87" s="253">
        <f t="shared" si="48"/>
        <v>0.11818669691228989</v>
      </c>
      <c r="DM87" s="183">
        <f>New!AC87</f>
        <v>2.9069592998975505E-5</v>
      </c>
      <c r="DN87" s="183">
        <f t="shared" si="36"/>
        <v>3.5049529086959997E-5</v>
      </c>
      <c r="DO87" s="183">
        <f t="shared" si="37"/>
        <v>0.82938612176078286</v>
      </c>
      <c r="DP87" s="183">
        <f t="shared" si="38"/>
        <v>203.47655729797492</v>
      </c>
      <c r="DQ87" s="297">
        <f>DH87/((DA87/3600)*New!BV87*(Sheet3!BZ87-Sheet3!CP87)*1000)</f>
        <v>1.6011566386629803</v>
      </c>
      <c r="DR87" s="166">
        <f>(DB87*0.018)/(0.011*New!IV87*3600)</f>
        <v>541.05953112220141</v>
      </c>
      <c r="DS87" s="166">
        <f>(New!IV87*New!CE87*1000)/New!AU87</f>
        <v>0.86323913019559584</v>
      </c>
      <c r="DT87" s="166">
        <f>IF(DR87&gt;2300,0.023*((DR87^(4/5)*DS87^(1/3))/(1+12.7*(DS87^(2/3)-1)))*(New!IV87/DV87)^0.14, 0.943*(DR87*DS87*New!IV87/Sheet3!DV87)^0.4)</f>
        <v>12.048588380452566</v>
      </c>
      <c r="DU87" s="166">
        <f t="shared" si="49"/>
        <v>-1137.9266684140682</v>
      </c>
      <c r="DV87" s="166">
        <f>_xlfn.FORECAST.LINEAR(AVERAGE(_xlfn.ANCHORARRAY(BR87)),Sheet2!$AK$2:$AK$69,Sheet2!$AJ$2:$AJ$69)</f>
        <v>9.4140236697313801E-6</v>
      </c>
    </row>
    <row r="88" spans="1:126" x14ac:dyDescent="0.3">
      <c r="A88" s="184" t="str">
        <f>'Su K. oro stendu'!B133</f>
        <v>2023.02.20-2</v>
      </c>
      <c r="B88" s="183" cm="1">
        <f t="array" ref="B88:I88">'[95]Kondensacijos efektyvumas'!$B$4:$I$4</f>
        <v>5</v>
      </c>
      <c r="C88" s="183">
        <v>416</v>
      </c>
      <c r="D88" s="183">
        <v>11</v>
      </c>
      <c r="E88" s="183">
        <v>366</v>
      </c>
      <c r="F88" s="183">
        <v>6</v>
      </c>
      <c r="G88" s="183">
        <v>360</v>
      </c>
      <c r="H88" s="183">
        <v>8</v>
      </c>
      <c r="I88" s="183">
        <v>315</v>
      </c>
      <c r="J88" s="183" cm="1">
        <f t="array" ref="J88:Q88">TRANSPOSE('[95]Nu kitimas'!$G$4:$G$11)</f>
        <v>67.959073978172228</v>
      </c>
      <c r="K88" s="183">
        <v>67.799409777722161</v>
      </c>
      <c r="L88" s="183">
        <v>70.362190932558761</v>
      </c>
      <c r="M88" s="183">
        <v>73.528986631016451</v>
      </c>
      <c r="N88" s="183">
        <v>78.90998749696746</v>
      </c>
      <c r="O88" s="183">
        <v>86.293237953095471</v>
      </c>
      <c r="P88" s="183">
        <v>95.434488060755967</v>
      </c>
      <c r="Q88" s="183">
        <v>105.35996867578731</v>
      </c>
      <c r="R88" s="183" cm="1">
        <f t="array" ref="R88:Y88">TRANSPOSE([95]Alfa!$G$18:$G$25)</f>
        <v>120.15081918386183</v>
      </c>
      <c r="S88" s="183">
        <v>117.53938705230708</v>
      </c>
      <c r="T88" s="183">
        <v>119.21513072363066</v>
      </c>
      <c r="U88" s="183">
        <v>123.19512219091486</v>
      </c>
      <c r="V88" s="183">
        <v>129.81354447374252</v>
      </c>
      <c r="W88" s="183">
        <v>140.26426930561377</v>
      </c>
      <c r="X88" s="183">
        <v>152.57163652988649</v>
      </c>
      <c r="Y88" s="183">
        <v>166.16407074500148</v>
      </c>
      <c r="Z88" s="183" cm="1">
        <f t="array" ref="Z88:AG88">TRANSPOSE([95]Alfa!$F$127:$F$134)</f>
        <v>4.4877680928213995E-3</v>
      </c>
      <c r="AA88" s="183">
        <v>0.37474916310164813</v>
      </c>
      <c r="AB88" s="183">
        <v>9.9278112364600771E-3</v>
      </c>
      <c r="AC88" s="183">
        <v>0.33059884527883543</v>
      </c>
      <c r="AD88" s="183">
        <v>5.422337057555314E-3</v>
      </c>
      <c r="AE88" s="183">
        <v>0.32562261714411961</v>
      </c>
      <c r="AF88" s="183">
        <v>7.2500867911955424E-3</v>
      </c>
      <c r="AG88" s="183">
        <v>0.28652449151474518</v>
      </c>
      <c r="AH88" s="35" cm="1">
        <f t="array" ref="AH88:AO88">TRANSPOSE('[95]Silumos kiekio nustat.'!$F$25:$F$32)</f>
        <v>278.29787763897235</v>
      </c>
      <c r="AI88" s="35">
        <v>259.1261225381719</v>
      </c>
      <c r="AJ88" s="35">
        <v>245.5208613302753</v>
      </c>
      <c r="AK88" s="35">
        <v>237.43362989757094</v>
      </c>
      <c r="AL88" s="35">
        <v>234.82164525772239</v>
      </c>
      <c r="AM88" s="35">
        <v>237.64532297746138</v>
      </c>
      <c r="AN88" s="35">
        <v>245.86597811823898</v>
      </c>
      <c r="AO88" s="35">
        <v>259.44370600521569</v>
      </c>
      <c r="AP88" s="313">
        <f t="shared" si="39"/>
        <v>5.9594175473423099E-2</v>
      </c>
      <c r="AQ88" s="35">
        <f t="shared" si="40"/>
        <v>14.88480103257158</v>
      </c>
      <c r="AR88" s="183" cm="1">
        <f t="array" ref="AR88:AY88">TRANSPOSE([95]Alfa!$E$127:$E$134)</f>
        <v>0.15263361547155183</v>
      </c>
      <c r="AS88" s="183">
        <v>0.14183625647968887</v>
      </c>
      <c r="AT88" s="183">
        <v>0.14112550342175872</v>
      </c>
      <c r="AU88" s="183">
        <v>8.467600088878631E-2</v>
      </c>
      <c r="AV88" s="183">
        <v>0.10799829715808427</v>
      </c>
      <c r="AW88" s="183">
        <v>8.7517938748624832E-2</v>
      </c>
      <c r="AX88" s="183">
        <v>9.4365941251015786E-2</v>
      </c>
      <c r="AY88" s="183">
        <v>9.2050775024073772E-2</v>
      </c>
      <c r="AZ88" s="183">
        <f t="shared" si="33"/>
        <v>102.11267605633803</v>
      </c>
      <c r="BA88" s="183">
        <f>'Su K. oro stendu'!P133</f>
        <v>52.890999999999998</v>
      </c>
      <c r="BB88" s="183">
        <f t="shared" si="34"/>
        <v>102.10387323943662</v>
      </c>
      <c r="BC88" s="143">
        <v>52.889000000000003</v>
      </c>
      <c r="BD88" s="183">
        <f t="shared" si="35"/>
        <v>101.37147887323944</v>
      </c>
      <c r="BE88" s="143">
        <v>52.762</v>
      </c>
      <c r="BF88" s="183">
        <f t="shared" si="41"/>
        <v>99.070422535211264</v>
      </c>
      <c r="BG88" s="143">
        <v>52.356000000000002</v>
      </c>
      <c r="BH88" s="183">
        <f t="shared" si="42"/>
        <v>96.492957746478879</v>
      </c>
      <c r="BI88" s="143">
        <v>51.89</v>
      </c>
      <c r="BJ88" s="183">
        <f t="shared" si="43"/>
        <v>96.450704225352112</v>
      </c>
      <c r="BK88" s="143">
        <v>51.883000000000003</v>
      </c>
      <c r="BL88" s="183">
        <f t="shared" si="44"/>
        <v>93.91549295774648</v>
      </c>
      <c r="BM88" s="143">
        <v>51.411999999999999</v>
      </c>
      <c r="BN88" s="183">
        <f t="shared" si="45"/>
        <v>93.859154929577471</v>
      </c>
      <c r="BO88" s="143">
        <v>51.401000000000003</v>
      </c>
      <c r="BP88" s="183">
        <f t="shared" si="46"/>
        <v>91.640845070422529</v>
      </c>
      <c r="BQ88" s="143">
        <v>50.978000000000002</v>
      </c>
      <c r="BR88" s="183" cm="1">
        <f t="array" ref="BR88:BY88">TRANSPOSE('[95]Keithley Matavimai'!$W$6:$W$13)</f>
        <v>27.143841869996582</v>
      </c>
      <c r="BS88" s="183">
        <v>23.526733189725103</v>
      </c>
      <c r="BT88" s="183">
        <v>22.924239214749324</v>
      </c>
      <c r="BU88" s="183">
        <v>19.609020296616709</v>
      </c>
      <c r="BV88" s="183">
        <v>19.422657176765142</v>
      </c>
      <c r="BW88" s="183">
        <v>19.297119165845675</v>
      </c>
      <c r="BX88" s="183">
        <v>18.269576801889276</v>
      </c>
      <c r="BY88" s="183">
        <v>12.581944800964717</v>
      </c>
      <c r="BZ88" s="183" cm="1">
        <f t="array" ref="BZ88:CH88">TRANSPOSE('[95]Keithley Matavimai'!$V$5:$V$13)</f>
        <v>145.22226434606853</v>
      </c>
      <c r="CA88" s="183">
        <v>134.94393591512349</v>
      </c>
      <c r="CB88" s="183">
        <v>126.45086500607947</v>
      </c>
      <c r="CC88" s="183">
        <v>116.86034902323591</v>
      </c>
      <c r="CD88" s="183">
        <v>111.83717629719025</v>
      </c>
      <c r="CE88" s="183">
        <v>104.29464862719034</v>
      </c>
      <c r="CF88" s="183">
        <v>98.835341979501052</v>
      </c>
      <c r="CG88" s="183">
        <v>92.084383975432885</v>
      </c>
      <c r="CH88" s="183">
        <v>85.990765046495639</v>
      </c>
      <c r="CI88" s="183" cm="1">
        <f t="array" ref="CI88:CQ88">TRANSPOSE('[95]Silumos kiekio nustat.'!$B$24:$B$32)</f>
        <v>16.27091156702922</v>
      </c>
      <c r="CJ88" s="183">
        <v>14.93986519913808</v>
      </c>
      <c r="CK88" s="183">
        <v>13.697923841620451</v>
      </c>
      <c r="CL88" s="183">
        <v>12.518898900958716</v>
      </c>
      <c r="CM88" s="183">
        <v>11.376601783635252</v>
      </c>
      <c r="CN88" s="183">
        <v>10.244843896132441</v>
      </c>
      <c r="CO88" s="183">
        <v>9.0974366449326567</v>
      </c>
      <c r="CP88" s="183">
        <v>7.9081914365182815</v>
      </c>
      <c r="CQ88" s="183">
        <v>6.650919677371693</v>
      </c>
      <c r="CR88" s="183">
        <f>'Su K. oro stendu'!P133</f>
        <v>52.890999999999998</v>
      </c>
      <c r="CS88" s="183"/>
      <c r="CT88" s="183"/>
      <c r="CU88" s="183">
        <f>[95]Alfa!$F$15</f>
        <v>905</v>
      </c>
      <c r="CV88" s="172">
        <f>'Su K. oro stendu'!J133</f>
        <v>4</v>
      </c>
      <c r="CW88" s="183">
        <f>'Su K. oro stendu'!D133</f>
        <v>3000</v>
      </c>
      <c r="CX88" s="183">
        <f>'Su K. oro stendu'!G133</f>
        <v>10</v>
      </c>
      <c r="CY88" s="183">
        <f>[95]Alfa!$F$16</f>
        <v>9.8585635359115992E-2</v>
      </c>
      <c r="CZ88" s="183">
        <f>'Su K. oro stendu'!H133</f>
        <v>40.79</v>
      </c>
      <c r="DA88" s="183">
        <f>'Su K. oro stendu'!C133</f>
        <v>142</v>
      </c>
      <c r="DB88" s="183">
        <f>'Su K. oro stendu'!E133</f>
        <v>14.5</v>
      </c>
      <c r="DC88" s="183">
        <f>'Su K. oro stendu'!I133</f>
        <v>576</v>
      </c>
      <c r="DD88" s="183">
        <f>'Su K. oro stendu'!K133</f>
        <v>6.48</v>
      </c>
      <c r="DE88" s="183">
        <f>'Su K. oro stendu'!L133</f>
        <v>9.73</v>
      </c>
      <c r="DF88" s="183">
        <f>'Su K. oro stendu'!F133</f>
        <v>145</v>
      </c>
      <c r="DG88" s="253">
        <f>[95]Alfa!$D$29</f>
        <v>2421.0744670175568</v>
      </c>
      <c r="DH88" s="253">
        <f>[95]Alfa!$D$26</f>
        <v>6068.4629331274873</v>
      </c>
      <c r="DI88" s="253">
        <f>[95]Alfa!$D$27</f>
        <v>4033.7493606521421</v>
      </c>
      <c r="DJ88" s="253">
        <f t="shared" si="47"/>
        <v>6454.8238276696993</v>
      </c>
      <c r="DK88" s="253">
        <f t="shared" si="50"/>
        <v>6261.6433803985929</v>
      </c>
      <c r="DL88" s="253">
        <f t="shared" si="48"/>
        <v>6.3667010707618224E-2</v>
      </c>
      <c r="DM88" s="183">
        <f>New!AC88</f>
        <v>3.9626791683924041E-5</v>
      </c>
      <c r="DN88" s="183">
        <f t="shared" si="36"/>
        <v>4.2388323940559999E-5</v>
      </c>
      <c r="DO88" s="183">
        <f t="shared" si="37"/>
        <v>0.93485158175849603</v>
      </c>
      <c r="DP88" s="183">
        <f t="shared" si="38"/>
        <v>133.61424752561982</v>
      </c>
      <c r="DQ88" s="297">
        <f>DH88/((DA88/3600)*New!BV88*(Sheet3!BZ88-Sheet3!CP88)*1000)</f>
        <v>1.0054879915523796</v>
      </c>
      <c r="DR88" s="166">
        <f>(DB88*0.018)/(0.011*New!IV88*3600)</f>
        <v>475.46000784127273</v>
      </c>
      <c r="DS88" s="166">
        <f>(New!IV88*New!CE88*1000)/New!AU88</f>
        <v>0.64719895598215416</v>
      </c>
      <c r="DT88" s="166">
        <f>IF(DR88&gt;2300,0.023*((DR88^(4/5)*DS88^(1/3))/(1+12.7*(DS88^(2/3)-1)))*(New!IV88/DV88)^0.14, 0.943*(DR88*DS88*New!IV88/Sheet3!DV88)^0.4)</f>
        <v>10.850658696286416</v>
      </c>
      <c r="DU88" s="166">
        <f t="shared" si="49"/>
        <v>-972.85394565293393</v>
      </c>
      <c r="DV88" s="166">
        <f>_xlfn.FORECAST.LINEAR(AVERAGE(_xlfn.ANCHORARRAY(BR88)),Sheet2!$AK$2:$AK$69,Sheet2!$AJ$2:$AJ$69)</f>
        <v>9.4977799526877493E-6</v>
      </c>
    </row>
    <row r="89" spans="1:126" x14ac:dyDescent="0.3">
      <c r="A89" s="184" t="str">
        <f>'Su K. oro stendu'!B134</f>
        <v>2023.02.21-1</v>
      </c>
      <c r="B89" s="183" cm="1">
        <f t="array" ref="B89:I89">'[96]Kondensacijos efektyvumas'!$B$4:$I$4</f>
        <v>4</v>
      </c>
      <c r="C89" s="183">
        <v>338</v>
      </c>
      <c r="D89" s="183">
        <v>52</v>
      </c>
      <c r="E89" s="183">
        <v>358</v>
      </c>
      <c r="F89" s="183">
        <v>4</v>
      </c>
      <c r="G89" s="183">
        <v>330</v>
      </c>
      <c r="H89" s="183">
        <v>6</v>
      </c>
      <c r="I89" s="183">
        <v>326</v>
      </c>
      <c r="J89" s="183" cm="1">
        <f t="array" ref="J89:Q89">TRANSPOSE('[96]Nu kitimas'!$G$4:$G$11)</f>
        <v>51.533664615849482</v>
      </c>
      <c r="K89" s="183">
        <v>50.642628273709015</v>
      </c>
      <c r="L89" s="183">
        <v>51.148506817473468</v>
      </c>
      <c r="M89" s="183">
        <v>52.168886037767031</v>
      </c>
      <c r="N89" s="183">
        <v>56.020115660584018</v>
      </c>
      <c r="O89" s="183">
        <v>62.431664051103461</v>
      </c>
      <c r="P89" s="183">
        <v>71.996139079802717</v>
      </c>
      <c r="Q89" s="183">
        <v>83.536511409542086</v>
      </c>
      <c r="R89" s="183" cm="1">
        <f t="array" ref="R89:Y89">TRANSPOSE([96]Alfa!$G$18:$G$25)</f>
        <v>102.78298224851223</v>
      </c>
      <c r="S89" s="183">
        <v>98.197011655596057</v>
      </c>
      <c r="T89" s="183">
        <v>96.430659698378676</v>
      </c>
      <c r="U89" s="183">
        <v>96.922043856620107</v>
      </c>
      <c r="V89" s="183">
        <v>101.37533110000669</v>
      </c>
      <c r="W89" s="183">
        <v>110.96932229190737</v>
      </c>
      <c r="X89" s="183">
        <v>124.79254607965493</v>
      </c>
      <c r="Y89" s="183">
        <v>142.2984278106149</v>
      </c>
      <c r="Z89" s="183" cm="1">
        <f t="array" ref="Z89:AG89">TRANSPOSE([96]Alfa!$F$127:$F$134)</f>
        <v>3.6044316619233551E-3</v>
      </c>
      <c r="AA89" s="183">
        <v>0.30585047785387898</v>
      </c>
      <c r="AB89" s="183">
        <v>4.7155827184434007E-2</v>
      </c>
      <c r="AC89" s="183">
        <v>0.32496370380440381</v>
      </c>
      <c r="AD89" s="183">
        <v>3.6329185776802012E-3</v>
      </c>
      <c r="AE89" s="183">
        <v>0.29999693362127855</v>
      </c>
      <c r="AF89" s="183">
        <v>5.4658749630640407E-3</v>
      </c>
      <c r="AG89" s="183">
        <v>0.29816255873518144</v>
      </c>
      <c r="AH89" s="35" cm="1">
        <f t="array" ref="AH89:AO89">TRANSPOSE('[96]Silumos kiekio nustat.'!$F$25:$F$32)</f>
        <v>354.148194961949</v>
      </c>
      <c r="AI89" s="35">
        <v>317.25036968174538</v>
      </c>
      <c r="AJ89" s="35">
        <v>291.03242146304774</v>
      </c>
      <c r="AK89" s="35">
        <v>275.38514473013555</v>
      </c>
      <c r="AL89" s="35">
        <v>270.21762063747548</v>
      </c>
      <c r="AM89" s="35">
        <v>275.4487501834322</v>
      </c>
      <c r="AN89" s="35">
        <v>290.99946772797682</v>
      </c>
      <c r="AO89" s="35">
        <v>316.7856034752495</v>
      </c>
      <c r="AP89" s="313">
        <f t="shared" si="39"/>
        <v>9.5958294961213456E-2</v>
      </c>
      <c r="AQ89" s="35">
        <f t="shared" si="40"/>
        <v>28.682744885972742</v>
      </c>
      <c r="AR89" s="183" cm="1">
        <f t="array" ref="AR89:AY89">TRANSPOSE([96]Alfa!$E$127:$E$134)</f>
        <v>0.2859042386414406</v>
      </c>
      <c r="AS89" s="183">
        <v>0.22863627652311658</v>
      </c>
      <c r="AT89" s="183">
        <v>0.21261470069949831</v>
      </c>
      <c r="AU89" s="183">
        <v>0.12440887014129647</v>
      </c>
      <c r="AV89" s="183">
        <v>0.18943919919541721</v>
      </c>
      <c r="AW89" s="183">
        <v>0.14279291277784253</v>
      </c>
      <c r="AX89" s="183">
        <v>0.17275287762780792</v>
      </c>
      <c r="AY89" s="183">
        <v>0.13409172489795912</v>
      </c>
      <c r="AZ89" s="183">
        <f t="shared" si="33"/>
        <v>99.358974358974365</v>
      </c>
      <c r="BA89" s="183">
        <f>'Su K. oro stendu'!P134</f>
        <v>52.408000000000001</v>
      </c>
      <c r="BB89" s="183">
        <f t="shared" si="34"/>
        <v>99.352564102564102</v>
      </c>
      <c r="BC89" s="143">
        <v>52.406999999999996</v>
      </c>
      <c r="BD89" s="183">
        <f t="shared" si="35"/>
        <v>98.810897435897431</v>
      </c>
      <c r="BE89" s="143">
        <v>52.31</v>
      </c>
      <c r="BF89" s="183">
        <f t="shared" si="41"/>
        <v>96.833333333333329</v>
      </c>
      <c r="BG89" s="143">
        <v>51.953000000000003</v>
      </c>
      <c r="BH89" s="183">
        <f t="shared" si="42"/>
        <v>94.538461538461533</v>
      </c>
      <c r="BI89" s="143">
        <v>51.529000000000003</v>
      </c>
      <c r="BJ89" s="183">
        <f t="shared" si="43"/>
        <v>94.512820512820511</v>
      </c>
      <c r="BK89" s="143">
        <v>51.524000000000001</v>
      </c>
      <c r="BL89" s="183">
        <f t="shared" si="44"/>
        <v>92.397435897435898</v>
      </c>
      <c r="BM89" s="143">
        <v>51.124000000000002</v>
      </c>
      <c r="BN89" s="183">
        <f t="shared" si="45"/>
        <v>92.358974358974365</v>
      </c>
      <c r="BO89" s="143">
        <v>51.116</v>
      </c>
      <c r="BP89" s="183">
        <f t="shared" si="46"/>
        <v>90.269230769230774</v>
      </c>
      <c r="BQ89" s="143">
        <v>50.710999999999999</v>
      </c>
      <c r="BR89" s="183" cm="1">
        <f t="array" ref="BR89:BY89">TRANSPOSE('[96]Keithley Matavimai'!$W$6:$W$13)</f>
        <v>28.809586954960121</v>
      </c>
      <c r="BS89" s="183">
        <v>24.536154054684321</v>
      </c>
      <c r="BT89" s="183">
        <v>23.993340221660649</v>
      </c>
      <c r="BU89" s="183">
        <v>20.189699651811328</v>
      </c>
      <c r="BV89" s="183">
        <v>19.93682102504863</v>
      </c>
      <c r="BW89" s="183">
        <v>19.718537025610583</v>
      </c>
      <c r="BX89" s="183">
        <v>18.888376099141293</v>
      </c>
      <c r="BY89" s="183">
        <v>12.540805951048037</v>
      </c>
      <c r="BZ89" s="183" cm="1">
        <f t="array" ref="BZ89:CH89">TRANSPOSE('[96]Keithley Matavimai'!$V$5:$V$13)</f>
        <v>205.05435631029445</v>
      </c>
      <c r="CA89" s="183">
        <v>187.99703375489983</v>
      </c>
      <c r="CB89" s="183">
        <v>175.3984226604629</v>
      </c>
      <c r="CC89" s="183">
        <v>162.73849960106577</v>
      </c>
      <c r="CD89" s="183">
        <v>156.16049290361028</v>
      </c>
      <c r="CE89" s="183">
        <v>144.45244899194122</v>
      </c>
      <c r="CF89" s="183">
        <v>136.33695634742494</v>
      </c>
      <c r="CG89" s="183">
        <v>125.36222303228266</v>
      </c>
      <c r="CH89" s="183">
        <v>117.45303805845309</v>
      </c>
      <c r="CI89" s="183" cm="1">
        <f t="array" ref="CI89:CQ89">TRANSPOSE('[96]Silumos kiekio nustat.'!$B$24:$B$32)</f>
        <v>16.956057679764257</v>
      </c>
      <c r="CJ89" s="183">
        <v>15.401466182691468</v>
      </c>
      <c r="CK89" s="183">
        <v>14.005493558315106</v>
      </c>
      <c r="CL89" s="183">
        <v>12.722119181360924</v>
      </c>
      <c r="CM89" s="183">
        <v>11.505322426554685</v>
      </c>
      <c r="CN89" s="183">
        <v>10.309082668622143</v>
      </c>
      <c r="CO89" s="183">
        <v>9.0873792822890582</v>
      </c>
      <c r="CP89" s="183">
        <v>7.7941916422811879</v>
      </c>
      <c r="CQ89" s="183">
        <v>6.3834991233242917</v>
      </c>
      <c r="CR89" s="183">
        <f>'Su K. oro stendu'!P134</f>
        <v>52.408000000000001</v>
      </c>
      <c r="CS89" s="183"/>
      <c r="CT89" s="183"/>
      <c r="CU89" s="183">
        <f>[96]Alfa!$F$15</f>
        <v>900</v>
      </c>
      <c r="CV89" s="172">
        <f>'Su K. oro stendu'!J134</f>
        <v>4</v>
      </c>
      <c r="CW89" s="183">
        <f>'Su K. oro stendu'!D134</f>
        <v>3000</v>
      </c>
      <c r="CX89" s="183">
        <f>'Su K. oro stendu'!G134</f>
        <v>10</v>
      </c>
      <c r="CY89" s="183">
        <f>[96]Alfa!$F$16</f>
        <v>9.4533333333333344E-2</v>
      </c>
      <c r="CZ89" s="183">
        <f>'Su K. oro stendu'!H134</f>
        <v>36.590000000000003</v>
      </c>
      <c r="DA89" s="183">
        <f>'Su K. oro stendu'!C134</f>
        <v>156</v>
      </c>
      <c r="DB89" s="183">
        <f>'Su K. oro stendu'!E134</f>
        <v>15.5</v>
      </c>
      <c r="DC89" s="183">
        <f>'Su K. oro stendu'!I134</f>
        <v>627</v>
      </c>
      <c r="DD89" s="183">
        <f>'Su K. oro stendu'!K134</f>
        <v>6.21</v>
      </c>
      <c r="DE89" s="183">
        <f>'Su K. oro stendu'!L134</f>
        <v>10.72</v>
      </c>
      <c r="DF89" s="183">
        <f>'Su K. oro stendu'!F134</f>
        <v>205</v>
      </c>
      <c r="DG89" s="253">
        <f>[96]Alfa!$D$29</f>
        <v>4042.2386192300801</v>
      </c>
      <c r="DH89" s="253">
        <f>[96]Alfa!$D$26</f>
        <v>7278.7895128986265</v>
      </c>
      <c r="DI89" s="253">
        <f>[96]Alfa!$D$27</f>
        <v>3866.4981792055332</v>
      </c>
      <c r="DJ89" s="253">
        <f t="shared" si="47"/>
        <v>7908.7367984356133</v>
      </c>
      <c r="DK89" s="253">
        <f t="shared" si="50"/>
        <v>7593.7631556671204</v>
      </c>
      <c r="DL89" s="253">
        <f t="shared" si="48"/>
        <v>8.654561097290521E-2</v>
      </c>
      <c r="DM89" s="183">
        <f>New!AC89</f>
        <v>5.1427452317924097E-5</v>
      </c>
      <c r="DN89" s="183">
        <f t="shared" si="36"/>
        <v>5.0323119098159997E-5</v>
      </c>
      <c r="DO89" s="183">
        <f t="shared" si="37"/>
        <v>1.0219448484027787</v>
      </c>
      <c r="DP89" s="183">
        <f t="shared" si="38"/>
        <v>109.22104059266138</v>
      </c>
      <c r="DQ89" s="297">
        <f>DH89/((DA89/3600)*New!BV89*(Sheet3!BZ89-Sheet3!CP89)*1000)</f>
        <v>0.75682504822114238</v>
      </c>
      <c r="DR89" s="166">
        <f>(DB89*0.018)/(0.011*New!IV89*3600)</f>
        <v>441.36398702542283</v>
      </c>
      <c r="DS89" s="166">
        <f>(New!IV89*New!CE89*1000)/New!AU89</f>
        <v>0.55193626425495013</v>
      </c>
      <c r="DT89" s="166">
        <f>IF(DR89&gt;2300,0.023*((DR89^(4/5)*DS89^(1/3))/(1+12.7*(DS89^(2/3)-1)))*(New!IV89/DV89)^0.14, 0.943*(DR89*DS89*New!IV89/Sheet3!DV89)^0.4)</f>
        <v>10.445165356744273</v>
      </c>
      <c r="DU89" s="166">
        <f t="shared" si="49"/>
        <v>-884.21601521503226</v>
      </c>
      <c r="DV89" s="166">
        <f>_xlfn.FORECAST.LINEAR(AVERAGE(_xlfn.ANCHORARRAY(BR89)),Sheet2!$AK$2:$AK$69,Sheet2!$AJ$2:$AJ$69)</f>
        <v>9.5233310119687862E-6</v>
      </c>
    </row>
    <row r="90" spans="1:126" x14ac:dyDescent="0.3">
      <c r="A90" s="184" t="str">
        <f>'Su K. oro stendu'!B135</f>
        <v>2023.02.21-2</v>
      </c>
      <c r="B90" s="183" cm="1">
        <f t="array" ref="B90:I90">'[97]Kondensacijos efektyvumas'!$B$4:$I$4</f>
        <v>0</v>
      </c>
      <c r="C90" s="183">
        <v>146</v>
      </c>
      <c r="D90" s="183">
        <v>0</v>
      </c>
      <c r="E90" s="183">
        <v>453</v>
      </c>
      <c r="F90" s="183">
        <v>0</v>
      </c>
      <c r="G90" s="183">
        <v>502</v>
      </c>
      <c r="H90" s="183">
        <v>1</v>
      </c>
      <c r="I90" s="183">
        <v>435</v>
      </c>
      <c r="J90" s="183" cm="1">
        <f t="array" ref="J90:Q90">TRANSPOSE('[97]Nu kitimas'!$H$4:$H$11)</f>
        <v>70.710641893925825</v>
      </c>
      <c r="K90" s="183">
        <v>65.440094517536252</v>
      </c>
      <c r="L90" s="183">
        <v>63.696890424377962</v>
      </c>
      <c r="M90" s="183">
        <v>64.003042019189266</v>
      </c>
      <c r="N90" s="183">
        <v>68.517540944438466</v>
      </c>
      <c r="O90" s="183">
        <v>78.031252948491471</v>
      </c>
      <c r="P90" s="183">
        <v>92.987045312930718</v>
      </c>
      <c r="Q90" s="183">
        <v>113.00888338867878</v>
      </c>
      <c r="R90" s="183" cm="1">
        <f t="array" ref="R90:Y90">TRANSPOSE([97]Alfa!$G$18:$G$25)</f>
        <v>142.2094511379361</v>
      </c>
      <c r="S90" s="183">
        <v>128.98091872719519</v>
      </c>
      <c r="T90" s="183">
        <v>122.18474022171237</v>
      </c>
      <c r="U90" s="183">
        <v>121.19268677310818</v>
      </c>
      <c r="V90" s="183">
        <v>126.87182169148892</v>
      </c>
      <c r="W90" s="183">
        <v>141.9111787465859</v>
      </c>
      <c r="X90" s="183">
        <v>165.57138073364411</v>
      </c>
      <c r="Y90" s="183">
        <v>197.77204437088804</v>
      </c>
      <c r="Z90" s="183" cm="1">
        <f t="array" ref="Z90:AG90">TRANSPOSE([97]Alfa!$F$127:$F$134)</f>
        <v>0</v>
      </c>
      <c r="AA90" s="183">
        <v>0.13240955450217126</v>
      </c>
      <c r="AB90" s="183">
        <v>0</v>
      </c>
      <c r="AC90" s="183">
        <v>0.41191006084077991</v>
      </c>
      <c r="AD90" s="183">
        <v>0</v>
      </c>
      <c r="AE90" s="183">
        <v>0.45692843469087663</v>
      </c>
      <c r="AF90" s="183">
        <v>9.1155320129626737E-4</v>
      </c>
      <c r="AG90" s="183">
        <v>0.39768582613540615</v>
      </c>
      <c r="AH90" s="35" cm="1">
        <f t="array" ref="AH90:AO90">TRANSPOSE('[97]Silumos kiekio nustat.'!$F$25:$F$32)</f>
        <v>504.32557381505973</v>
      </c>
      <c r="AI90" s="35">
        <v>437.58681031382849</v>
      </c>
      <c r="AJ90" s="35">
        <v>392.58355641942501</v>
      </c>
      <c r="AK90" s="35">
        <v>369.13219979670652</v>
      </c>
      <c r="AL90" s="35">
        <v>367.0842028841509</v>
      </c>
      <c r="AM90" s="35">
        <v>386.30552042870994</v>
      </c>
      <c r="AN90" s="35">
        <v>426.65742826278614</v>
      </c>
      <c r="AO90" s="35">
        <v>487.97876160132927</v>
      </c>
      <c r="AP90" s="313">
        <f t="shared" si="39"/>
        <v>0.1247273062767784</v>
      </c>
      <c r="AQ90" s="35">
        <f t="shared" si="40"/>
        <v>52.567165974122418</v>
      </c>
      <c r="AR90" s="183" cm="1">
        <f t="array" ref="AR90:AY90">TRANSPOSE([97]Alfa!$E$127:$E$134)</f>
        <v>0.36811421886764234</v>
      </c>
      <c r="AS90" s="183">
        <v>0.26311221865237994</v>
      </c>
      <c r="AT90" s="183">
        <v>0.34198288141707317</v>
      </c>
      <c r="AU90" s="183">
        <v>0.18084611315100951</v>
      </c>
      <c r="AV90" s="183">
        <v>0.27335371432262079</v>
      </c>
      <c r="AW90" s="183">
        <v>0.2398436576745753</v>
      </c>
      <c r="AX90" s="183">
        <v>0.24842228888044104</v>
      </c>
      <c r="AY90" s="183">
        <v>0.2214707628315459</v>
      </c>
      <c r="AZ90" s="183">
        <f t="shared" si="33"/>
        <v>100.38610038610038</v>
      </c>
      <c r="BA90" s="183">
        <f>'Su K. oro stendu'!P135</f>
        <v>52.59</v>
      </c>
      <c r="BB90" s="183">
        <f t="shared" si="34"/>
        <v>100.38610038610038</v>
      </c>
      <c r="BC90" s="143">
        <v>52.59</v>
      </c>
      <c r="BD90" s="183">
        <f t="shared" si="35"/>
        <v>100.24517374517374</v>
      </c>
      <c r="BE90" s="143">
        <v>52.564999999999998</v>
      </c>
      <c r="BF90" s="183">
        <f t="shared" si="41"/>
        <v>99.822393822393821</v>
      </c>
      <c r="BG90" s="143">
        <v>52.49</v>
      </c>
      <c r="BH90" s="183">
        <f t="shared" si="42"/>
        <v>98.073359073359072</v>
      </c>
      <c r="BI90" s="143">
        <v>52.177999999999997</v>
      </c>
      <c r="BJ90" s="183">
        <f t="shared" si="43"/>
        <v>98.073359073359072</v>
      </c>
      <c r="BK90" s="143">
        <v>52.177999999999997</v>
      </c>
      <c r="BL90" s="183">
        <f t="shared" si="44"/>
        <v>96.13513513513513</v>
      </c>
      <c r="BM90" s="143">
        <v>51.825000000000003</v>
      </c>
      <c r="BN90" s="183">
        <f t="shared" si="45"/>
        <v>96.131274131274125</v>
      </c>
      <c r="BO90" s="143">
        <v>51.823999999999998</v>
      </c>
      <c r="BP90" s="183">
        <f t="shared" si="46"/>
        <v>94.451737451737458</v>
      </c>
      <c r="BQ90" s="143">
        <v>51.512</v>
      </c>
      <c r="BR90" s="183" cm="1">
        <f t="array" ref="BR90:BY90">TRANSPOSE('[97]Keithley Matavimai'!$W$6:$W$13)</f>
        <v>26.072377331634801</v>
      </c>
      <c r="BS90" s="183">
        <v>21.439192384393607</v>
      </c>
      <c r="BT90" s="183">
        <v>22.288580067004602</v>
      </c>
      <c r="BU90" s="183">
        <v>18.349911167533492</v>
      </c>
      <c r="BV90" s="183">
        <v>18.585017582675267</v>
      </c>
      <c r="BW90" s="183">
        <v>18.442828792453145</v>
      </c>
      <c r="BX90" s="183">
        <v>17.626967611509684</v>
      </c>
      <c r="BY90" s="183">
        <v>13.28227352101287</v>
      </c>
      <c r="BZ90" s="183" cm="1">
        <f t="array" ref="BZ90:CH90">TRANSPOSE('[97]Keithley Matavimai'!$V$5:$V$13)</f>
        <v>204.5873358801675</v>
      </c>
      <c r="CA90" s="183">
        <v>191.75352186109285</v>
      </c>
      <c r="CB90" s="183">
        <v>182.63098686364643</v>
      </c>
      <c r="CC90" s="183">
        <v>170.40167056962991</v>
      </c>
      <c r="CD90" s="183">
        <v>164.6801197284237</v>
      </c>
      <c r="CE90" s="183">
        <v>154.73532113587925</v>
      </c>
      <c r="CF90" s="183">
        <v>146.70812465451027</v>
      </c>
      <c r="CG90" s="183">
        <v>137.45222017634822</v>
      </c>
      <c r="CH90" s="183">
        <v>129.7341160111155</v>
      </c>
      <c r="CI90" s="183" cm="1">
        <f t="array" ref="CI90:CQ90">TRANSPOSE('[97]Silumos kiekio nustat.'!$B$24:$B$32)</f>
        <v>15.591410083848771</v>
      </c>
      <c r="CJ90" s="183">
        <v>14.251417041013513</v>
      </c>
      <c r="CK90" s="183">
        <v>13.08639582876444</v>
      </c>
      <c r="CL90" s="183">
        <v>12.039339962932182</v>
      </c>
      <c r="CM90" s="183">
        <v>11.053242959347365</v>
      </c>
      <c r="CN90" s="183">
        <v>10.071098333840617</v>
      </c>
      <c r="CO90" s="183">
        <v>9.0358996022425657</v>
      </c>
      <c r="CP90" s="183">
        <v>7.8906402803838382</v>
      </c>
      <c r="CQ90" s="183">
        <v>6.5783138840950617</v>
      </c>
      <c r="CR90" s="183">
        <f>'Su K. oro stendu'!P135</f>
        <v>52.59</v>
      </c>
      <c r="CS90" s="183"/>
      <c r="CT90" s="183"/>
      <c r="CU90" s="183">
        <f>[97]Alfa!$F$15</f>
        <v>900</v>
      </c>
      <c r="CV90" s="172">
        <f>'Su K. oro stendu'!J135</f>
        <v>4</v>
      </c>
      <c r="CW90" s="183">
        <f>'Su K. oro stendu'!D135</f>
        <v>5000</v>
      </c>
      <c r="CX90" s="183">
        <f>'Su K. oro stendu'!G135</f>
        <v>10</v>
      </c>
      <c r="CY90" s="183">
        <f>[97]Alfa!$F$16</f>
        <v>0.10246666666666666</v>
      </c>
      <c r="CZ90" s="183">
        <f>'Su K. oro stendu'!H135</f>
        <v>23.65</v>
      </c>
      <c r="DA90" s="183">
        <f>'Su K. oro stendu'!C135</f>
        <v>259</v>
      </c>
      <c r="DB90" s="183">
        <f>'Su K. oro stendu'!E135</f>
        <v>26</v>
      </c>
      <c r="DC90" s="183">
        <f>'Su K. oro stendu'!I135</f>
        <v>1038</v>
      </c>
      <c r="DD90" s="183">
        <f>'Su K. oro stendu'!K135</f>
        <v>6.39</v>
      </c>
      <c r="DE90" s="183">
        <f>'Su K. oro stendu'!L135</f>
        <v>9.17</v>
      </c>
      <c r="DF90" s="183">
        <f>'Su K. oro stendu'!F135</f>
        <v>205</v>
      </c>
      <c r="DG90" s="253">
        <f>[97]Alfa!$D$29</f>
        <v>6411.4375673918639</v>
      </c>
      <c r="DH90" s="253">
        <f>[97]Alfa!$D$26</f>
        <v>10296.088118392905</v>
      </c>
      <c r="DI90" s="253">
        <f>[97]Alfa!$D$27</f>
        <v>4199.5362881115907</v>
      </c>
      <c r="DJ90" s="253">
        <f t="shared" si="47"/>
        <v>10610.973855503455</v>
      </c>
      <c r="DK90" s="253">
        <f t="shared" si="50"/>
        <v>10453.530986948179</v>
      </c>
      <c r="DL90" s="253">
        <f t="shared" si="48"/>
        <v>3.0583046054941831E-2</v>
      </c>
      <c r="DM90" s="183">
        <f>New!AC90</f>
        <v>5.145176912619625E-5</v>
      </c>
      <c r="DN90" s="183">
        <f t="shared" si="36"/>
        <v>5.0323119098159997E-5</v>
      </c>
      <c r="DO90" s="183">
        <f t="shared" si="37"/>
        <v>1.0224280618583024</v>
      </c>
      <c r="DP90" s="183">
        <f t="shared" si="38"/>
        <v>143.33677780031985</v>
      </c>
      <c r="DQ90" s="297">
        <f>DH90/((DA90/3600)*New!BV90*(Sheet3!BZ90-Sheet3!CP90)*1000)</f>
        <v>0.64612498017314479</v>
      </c>
      <c r="DR90" s="166">
        <f>(DB90*0.018)/(0.011*New!IV90*3600)</f>
        <v>740.35249436522543</v>
      </c>
      <c r="DS90" s="166">
        <f>(New!IV90*New!CE90*1000)/New!AU90</f>
        <v>0.55193626425495013</v>
      </c>
      <c r="DT90" s="166">
        <f>IF(DR90&gt;2300,0.023*((DR90^(4/5)*DS90^(1/3))/(1+12.7*(DS90^(2/3)-1)))*(New!IV90/DV90)^0.14, 0.943*(DR90*DS90*New!IV90/Sheet3!DV90)^0.4)</f>
        <v>12.875819490928976</v>
      </c>
      <c r="DU90" s="166">
        <f t="shared" si="49"/>
        <v>-869.33012789501709</v>
      </c>
      <c r="DV90" s="166">
        <f>_xlfn.FORECAST.LINEAR(AVERAGE(_xlfn.ANCHORARRAY(BR90)),Sheet2!$AK$2:$AK$69,Sheet2!$AJ$2:$AJ$69)</f>
        <v>9.4685097298953554E-6</v>
      </c>
    </row>
    <row r="91" spans="1:126" ht="15" thickBot="1" x14ac:dyDescent="0.35">
      <c r="A91" s="184" t="str">
        <f>'Su K. oro stendu'!B136</f>
        <v>2023.02.22-1</v>
      </c>
      <c r="B91" s="183" cm="1">
        <f t="array" ref="B91:I91">'[98]Kondensacijos efektyvumas'!$B$4:$I$4</f>
        <v>18</v>
      </c>
      <c r="C91" s="183">
        <v>327</v>
      </c>
      <c r="D91" s="183">
        <v>19</v>
      </c>
      <c r="E91" s="183">
        <v>521</v>
      </c>
      <c r="F91" s="183">
        <v>13</v>
      </c>
      <c r="G91" s="183">
        <v>450</v>
      </c>
      <c r="H91" s="183">
        <v>13</v>
      </c>
      <c r="I91" s="183">
        <v>395</v>
      </c>
      <c r="J91" s="183" cm="1">
        <f t="array" ref="J91:Q91">TRANSPOSE('[98]Nu kitimas'!$H$4:$H$11)</f>
        <v>138.98267292788609</v>
      </c>
      <c r="K91" s="183">
        <v>134.62903898045087</v>
      </c>
      <c r="L91" s="183">
        <v>136.99606205994399</v>
      </c>
      <c r="M91" s="183">
        <v>143.28904353717488</v>
      </c>
      <c r="N91" s="183">
        <v>152.00865877532297</v>
      </c>
      <c r="O91" s="183">
        <v>162.88730886017265</v>
      </c>
      <c r="P91" s="183">
        <v>175.32702383645585</v>
      </c>
      <c r="Q91" s="183">
        <v>184.37139373958624</v>
      </c>
      <c r="R91" s="183" cm="1">
        <f t="array" ref="R91:Y91">TRANSPOSE([98]Alfa!$G$18:$G$25)</f>
        <v>214.78600616162868</v>
      </c>
      <c r="S91" s="183">
        <v>206.48509438628258</v>
      </c>
      <c r="T91" s="183">
        <v>207.75524340172379</v>
      </c>
      <c r="U91" s="183">
        <v>216.06456565559486</v>
      </c>
      <c r="V91" s="183">
        <v>227.59085369173462</v>
      </c>
      <c r="W91" s="183">
        <v>242.62413871190492</v>
      </c>
      <c r="X91" s="183">
        <v>259.01038763928221</v>
      </c>
      <c r="Y91" s="183">
        <v>270.90828079388274</v>
      </c>
      <c r="Z91" s="183" cm="1">
        <f t="array" ref="Z91:AG91">TRANSPOSE([98]Alfa!$F$127:$F$134)</f>
        <v>1.6333883371648684E-2</v>
      </c>
      <c r="AA91" s="183">
        <v>0.29759716233047817</v>
      </c>
      <c r="AB91" s="183">
        <v>1.7314375006543276E-2</v>
      </c>
      <c r="AC91" s="183">
        <v>0.47496354681966069</v>
      </c>
      <c r="AD91" s="183">
        <v>1.1852629005155839E-2</v>
      </c>
      <c r="AE91" s="183">
        <v>0.41048065047072818</v>
      </c>
      <c r="AF91" s="183">
        <v>1.1876021289062176E-2</v>
      </c>
      <c r="AG91" s="183">
        <v>0.36197743034140162</v>
      </c>
      <c r="AH91" s="35" cm="1">
        <f t="array" ref="AH91:AO91">TRANSPOSE('[98]Silumos kiekio nustat.'!$F$25:$F$32)</f>
        <v>268.8016472606302</v>
      </c>
      <c r="AI91" s="35">
        <v>254.92211419195598</v>
      </c>
      <c r="AJ91" s="35">
        <v>245.83216769969746</v>
      </c>
      <c r="AK91" s="35">
        <v>241.5050076653242</v>
      </c>
      <c r="AL91" s="35">
        <v>241.91594670995912</v>
      </c>
      <c r="AM91" s="35">
        <v>247.04119510852547</v>
      </c>
      <c r="AN91" s="35">
        <v>256.85671257760208</v>
      </c>
      <c r="AO91" s="35">
        <v>271.33712839865717</v>
      </c>
      <c r="AP91" s="313">
        <f t="shared" si="39"/>
        <v>4.5809198456892172E-2</v>
      </c>
      <c r="AQ91" s="35">
        <f t="shared" si="40"/>
        <v>11.613845292269557</v>
      </c>
      <c r="AR91" s="183" cm="1">
        <f t="array" ref="AR91:AY91">TRANSPOSE([98]Alfa!$E$127:$E$134)</f>
        <v>9.5366957570238151E-2</v>
      </c>
      <c r="AS91" s="183">
        <v>8.0807490221235581E-2</v>
      </c>
      <c r="AT91" s="183">
        <v>9.307195498785048E-2</v>
      </c>
      <c r="AU91" s="183">
        <v>7.0029853255698923E-2</v>
      </c>
      <c r="AV91" s="183">
        <v>5.6985756920367885E-2</v>
      </c>
      <c r="AW91" s="183">
        <v>6.3122432003265311E-2</v>
      </c>
      <c r="AX91" s="183">
        <v>6.4541025541033636E-2</v>
      </c>
      <c r="AY91" s="183">
        <v>6.146126930450934E-2</v>
      </c>
      <c r="AZ91" s="183">
        <f t="shared" si="33"/>
        <v>100.47846889952153</v>
      </c>
      <c r="BA91" s="183">
        <f>'Su K. oro stendu'!P136</f>
        <v>52.606000000000002</v>
      </c>
      <c r="BB91" s="183">
        <f t="shared" si="34"/>
        <v>100.45693779904306</v>
      </c>
      <c r="BC91" s="143">
        <v>52.601999999999997</v>
      </c>
      <c r="BD91" s="183">
        <f t="shared" si="35"/>
        <v>100.06578947368421</v>
      </c>
      <c r="BE91" s="143">
        <v>52.533000000000001</v>
      </c>
      <c r="BF91" s="183">
        <f t="shared" si="41"/>
        <v>98.736842105263165</v>
      </c>
      <c r="BG91" s="143">
        <v>52.296999999999997</v>
      </c>
      <c r="BH91" s="183">
        <f t="shared" si="42"/>
        <v>96.244019138755988</v>
      </c>
      <c r="BI91" s="143">
        <v>51.844999999999999</v>
      </c>
      <c r="BJ91" s="183">
        <f t="shared" si="43"/>
        <v>96.181818181818187</v>
      </c>
      <c r="BK91" s="143">
        <v>51.832999999999998</v>
      </c>
      <c r="BL91" s="183">
        <f t="shared" si="44"/>
        <v>94.028708133971293</v>
      </c>
      <c r="BM91" s="143">
        <v>51.433</v>
      </c>
      <c r="BN91" s="183">
        <f t="shared" si="45"/>
        <v>93.966507177033492</v>
      </c>
      <c r="BO91" s="143">
        <v>51.420999999999999</v>
      </c>
      <c r="BP91" s="183">
        <f t="shared" si="46"/>
        <v>92.076555023923447</v>
      </c>
      <c r="BQ91" s="304">
        <v>51.061999999999998</v>
      </c>
      <c r="BR91" s="183" cm="1">
        <f t="array" ref="BR91:BY91">TRANSPOSE('[98]Keithley Matavimai'!$W$6:$W$13)</f>
        <v>21.608990415634636</v>
      </c>
      <c r="BS91" s="183">
        <v>18.135978858703105</v>
      </c>
      <c r="BT91" s="183">
        <v>18.684324138903243</v>
      </c>
      <c r="BU91" s="183">
        <v>15.715517689186457</v>
      </c>
      <c r="BV91" s="183">
        <v>16.064359472441723</v>
      </c>
      <c r="BW91" s="183">
        <v>16.147627336888778</v>
      </c>
      <c r="BX91" s="183">
        <v>15.331526331669442</v>
      </c>
      <c r="BY91" s="183">
        <v>10.644390048697868</v>
      </c>
      <c r="BZ91" s="183" cm="1">
        <f t="array" ref="BZ91:CH91">TRANSPOSE('[98]Keithley Matavimai'!$V$5:$V$13)</f>
        <v>84.712778469958764</v>
      </c>
      <c r="CA91" s="183">
        <v>80.29558874924237</v>
      </c>
      <c r="CB91" s="183">
        <v>76.848119641214609</v>
      </c>
      <c r="CC91" s="183">
        <v>72.47480608960953</v>
      </c>
      <c r="CD91" s="183">
        <v>69.636668045138279</v>
      </c>
      <c r="CE91" s="183">
        <v>66.904897710994163</v>
      </c>
      <c r="CF91" s="183">
        <v>64.249075677633655</v>
      </c>
      <c r="CG91" s="183">
        <v>61.097498300189677</v>
      </c>
      <c r="CH91" s="183">
        <v>58.396793989299233</v>
      </c>
      <c r="CI91" s="183" cm="1">
        <f t="array" ref="CI91:CQ91">TRANSPOSE('[98]Silumos kiekio nustat.'!$B$24:$B$32)</f>
        <v>13.23826979135864</v>
      </c>
      <c r="CJ91" s="183">
        <v>12.346316304228385</v>
      </c>
      <c r="CK91" s="183">
        <v>11.499248893527366</v>
      </c>
      <c r="CL91" s="183">
        <v>10.681311973187709</v>
      </c>
      <c r="CM91" s="183">
        <v>9.8767499571415431</v>
      </c>
      <c r="CN91" s="183">
        <v>9.0698072593209957</v>
      </c>
      <c r="CO91" s="183">
        <v>8.2447282936581932</v>
      </c>
      <c r="CP91" s="183">
        <v>7.3857574740852625</v>
      </c>
      <c r="CQ91" s="183">
        <v>6.4771392145343327</v>
      </c>
      <c r="CR91" s="183">
        <f>'Su K. oro stendu'!P136</f>
        <v>52.606000000000002</v>
      </c>
      <c r="CS91" s="183"/>
      <c r="CT91" s="183"/>
      <c r="CU91" s="183">
        <f>[98]Alfa!$F$15</f>
        <v>900</v>
      </c>
      <c r="CV91" s="172">
        <f>'Su K. oro stendu'!J136</f>
        <v>4</v>
      </c>
      <c r="CW91" s="183">
        <f>'Su K. oro stendu'!D136</f>
        <v>5000</v>
      </c>
      <c r="CX91" s="183">
        <f>'Su K. oro stendu'!G136</f>
        <v>10</v>
      </c>
      <c r="CY91" s="183">
        <f>[98]Alfa!$F$16</f>
        <v>0.11706666666666668</v>
      </c>
      <c r="CZ91" s="183">
        <f>'Su K. oro stendu'!H136</f>
        <v>33.450000000000003</v>
      </c>
      <c r="DA91" s="183">
        <f>'Su K. oro stendu'!C136</f>
        <v>209</v>
      </c>
      <c r="DB91" s="183">
        <f>'Su K. oro stendu'!E136</f>
        <v>21</v>
      </c>
      <c r="DC91" s="183">
        <f>'Su K. oro stendu'!I136</f>
        <v>834</v>
      </c>
      <c r="DD91" s="183">
        <f>'Su K. oro stendu'!K136</f>
        <v>6.36</v>
      </c>
      <c r="DE91" s="183">
        <f>'Su K. oro stendu'!L136</f>
        <v>6.82</v>
      </c>
      <c r="DF91" s="183">
        <f>'Su K. oro stendu'!F136</f>
        <v>85</v>
      </c>
      <c r="DG91" s="253">
        <f>[98]Alfa!$D$29</f>
        <v>1476.5200089445643</v>
      </c>
      <c r="DH91" s="253">
        <f>[98]Alfa!$D$26</f>
        <v>6137.2530656097388</v>
      </c>
      <c r="DI91" s="253">
        <f>[98]Alfa!$D$27</f>
        <v>4807.1870959040361</v>
      </c>
      <c r="DJ91" s="253">
        <f t="shared" si="47"/>
        <v>6283.7071048486005</v>
      </c>
      <c r="DK91" s="253">
        <f t="shared" si="50"/>
        <v>6210.4800852291701</v>
      </c>
      <c r="DL91" s="253">
        <f t="shared" si="48"/>
        <v>2.3863125354814E-2</v>
      </c>
      <c r="DM91" s="183">
        <f>New!AC91</f>
        <v>2.914189363770639E-5</v>
      </c>
      <c r="DN91" s="183">
        <f t="shared" si="36"/>
        <v>3.5049529086959997E-5</v>
      </c>
      <c r="DO91" s="183">
        <f t="shared" si="37"/>
        <v>0.8314489351740959</v>
      </c>
      <c r="DP91" s="183">
        <f t="shared" si="38"/>
        <v>230.65307130525429</v>
      </c>
      <c r="DQ91" s="297">
        <f>DH91/((DA91/3600)*New!BV91*(Sheet3!BZ91-Sheet3!CP91)*1000)</f>
        <v>1.2427437586717434</v>
      </c>
      <c r="DR91" s="166">
        <f>(DB91*0.018)/(0.011*New!IV91*3600)</f>
        <v>811.58929668330188</v>
      </c>
      <c r="DS91" s="166">
        <f>(New!IV91*New!CE91*1000)/New!AU91</f>
        <v>0.86323913019559584</v>
      </c>
      <c r="DT91" s="166">
        <f>IF(DR91&gt;2300,0.023*((DR91^(4/5)*DS91^(1/3))/(1+12.7*(DS91^(2/3)-1)))*(New!IV91/DV91)^0.14, 0.943*(DR91*DS91*New!IV91/Sheet3!DV91)^0.4)</f>
        <v>14.199990914425985</v>
      </c>
      <c r="DU91" s="166">
        <f t="shared" si="49"/>
        <v>-1113.4207812078478</v>
      </c>
      <c r="DV91" s="166">
        <f>_xlfn.FORECAST.LINEAR(AVERAGE(_xlfn.ANCHORARRAY(BR91)),Sheet2!$AK$2:$AK$69,Sheet2!$AJ$2:$AJ$69)</f>
        <v>9.3645475233045308E-6</v>
      </c>
    </row>
    <row r="92" spans="1:126" x14ac:dyDescent="0.3">
      <c r="A92" s="184" t="str">
        <f>'Su K. oro stendu'!B137</f>
        <v>2023.02.22-2</v>
      </c>
      <c r="B92" s="183" cm="1">
        <f t="array" ref="B92:I92">'[99]Kondensacijos efektyvumas'!$B$4:$I$4</f>
        <v>4</v>
      </c>
      <c r="C92" s="183">
        <v>307</v>
      </c>
      <c r="D92" s="183">
        <v>4</v>
      </c>
      <c r="E92" s="183">
        <v>523</v>
      </c>
      <c r="F92" s="183">
        <v>2</v>
      </c>
      <c r="G92" s="183">
        <v>454</v>
      </c>
      <c r="H92" s="183">
        <v>5</v>
      </c>
      <c r="I92" s="183">
        <v>400</v>
      </c>
      <c r="J92" s="183" cm="1">
        <f t="array" ref="J92:Q92">TRANSPOSE('[99]Nu kitimas'!$G$4:$G$11)</f>
        <v>86.413205598208705</v>
      </c>
      <c r="K92" s="183">
        <v>81.371202370398677</v>
      </c>
      <c r="L92" s="183">
        <v>81.549117404927642</v>
      </c>
      <c r="M92" s="183">
        <v>84.188195181371754</v>
      </c>
      <c r="N92" s="183">
        <v>90.483514771629643</v>
      </c>
      <c r="O92" s="183">
        <v>100.45261031896773</v>
      </c>
      <c r="P92" s="183">
        <v>114.21833345963667</v>
      </c>
      <c r="Q92" s="183">
        <v>131.51481575134085</v>
      </c>
      <c r="R92" s="183" cm="1">
        <f t="array" ref="R92:Y92">TRANSPOSE([99]Alfa!$G$18:$G$25)</f>
        <v>153.39001841569564</v>
      </c>
      <c r="S92" s="183">
        <v>142.22742159031162</v>
      </c>
      <c r="T92" s="183">
        <v>139.76652273828481</v>
      </c>
      <c r="U92" s="183">
        <v>142.8495729212845</v>
      </c>
      <c r="V92" s="183">
        <v>151.27340535647693</v>
      </c>
      <c r="W92" s="183">
        <v>166.24726624831598</v>
      </c>
      <c r="X92" s="183">
        <v>186.39325511779822</v>
      </c>
      <c r="Y92" s="183">
        <v>211.65183092912682</v>
      </c>
      <c r="Z92" s="183" cm="1">
        <f t="array" ref="Z92:AG92">TRANSPOSE([99]Alfa!$F$127:$F$134)</f>
        <v>3.6243121227859903E-3</v>
      </c>
      <c r="AA92" s="183">
        <v>0.27906382193416901</v>
      </c>
      <c r="AB92" s="183">
        <v>3.6411160374667014E-3</v>
      </c>
      <c r="AC92" s="183">
        <v>0.4762426150176004</v>
      </c>
      <c r="AD92" s="183">
        <v>1.8212759207025019E-3</v>
      </c>
      <c r="AE92" s="183">
        <v>0.41362861567863823</v>
      </c>
      <c r="AF92" s="183">
        <v>4.562928598763589E-3</v>
      </c>
      <c r="AG92" s="183">
        <v>0.36633010878517241</v>
      </c>
      <c r="AH92" s="35" cm="1">
        <f t="array" ref="AH92:AO92">TRANSPOSE('[99]Silumos kiekio nustat.'!$F$25:$F$32)</f>
        <v>366.84325258999434</v>
      </c>
      <c r="AI92" s="35">
        <v>331.9165784491276</v>
      </c>
      <c r="AJ92" s="35">
        <v>309.13052878123733</v>
      </c>
      <c r="AK92" s="35">
        <v>298.40522170868985</v>
      </c>
      <c r="AL92" s="35">
        <v>299.6714270157583</v>
      </c>
      <c r="AM92" s="35">
        <v>312.86372960800617</v>
      </c>
      <c r="AN92" s="35">
        <v>337.91410012934557</v>
      </c>
      <c r="AO92" s="35">
        <v>374.74588619857667</v>
      </c>
      <c r="AP92" s="313">
        <f t="shared" si="39"/>
        <v>8.9479344845046008E-2</v>
      </c>
      <c r="AQ92" s="35">
        <f t="shared" si="40"/>
        <v>29.433008249043965</v>
      </c>
      <c r="AR92" s="183" cm="1">
        <f t="array" ref="AR92:AY92">TRANSPOSE([99]Alfa!$E$127:$E$134)</f>
        <v>0.15020716861675779</v>
      </c>
      <c r="AS92" s="183">
        <v>0.17941075102504278</v>
      </c>
      <c r="AT92" s="183">
        <v>0.20720395462870847</v>
      </c>
      <c r="AU92" s="183">
        <v>0.12840894534365943</v>
      </c>
      <c r="AV92" s="183">
        <v>0.15091727735790525</v>
      </c>
      <c r="AW92" s="183">
        <v>0.12433482570691994</v>
      </c>
      <c r="AX92" s="183">
        <v>0.13887639241248631</v>
      </c>
      <c r="AY92" s="183">
        <v>0.15610335732256239</v>
      </c>
      <c r="AZ92" s="183">
        <f t="shared" si="33"/>
        <v>99.585062240663902</v>
      </c>
      <c r="BA92" s="183">
        <f>'Su K. oro stendu'!P137</f>
        <v>52.448</v>
      </c>
      <c r="BB92" s="183">
        <f t="shared" si="34"/>
        <v>99.580912863070537</v>
      </c>
      <c r="BC92" s="143">
        <v>52.447000000000003</v>
      </c>
      <c r="BD92" s="183">
        <f t="shared" si="35"/>
        <v>99.262448132780079</v>
      </c>
      <c r="BE92" s="143">
        <v>52.390999999999998</v>
      </c>
      <c r="BF92" s="183">
        <f t="shared" si="41"/>
        <v>98.278008298755182</v>
      </c>
      <c r="BG92" s="143">
        <v>52.213999999999999</v>
      </c>
      <c r="BH92" s="183">
        <f t="shared" si="42"/>
        <v>96.107883817427393</v>
      </c>
      <c r="BI92" s="143">
        <v>51.82</v>
      </c>
      <c r="BJ92" s="183">
        <f t="shared" si="43"/>
        <v>96.099585062240664</v>
      </c>
      <c r="BK92" s="143">
        <v>51.817999999999998</v>
      </c>
      <c r="BL92" s="183">
        <f t="shared" si="44"/>
        <v>94.215767634854771</v>
      </c>
      <c r="BM92" s="143">
        <v>51.468000000000004</v>
      </c>
      <c r="BN92" s="183">
        <f t="shared" si="45"/>
        <v>94.195020746887963</v>
      </c>
      <c r="BO92" s="143">
        <v>51.463999999999999</v>
      </c>
      <c r="BP92" s="183">
        <f t="shared" si="46"/>
        <v>92.53526970954357</v>
      </c>
      <c r="BQ92" s="143">
        <v>51.15</v>
      </c>
      <c r="BR92" s="183" cm="1">
        <f t="array" ref="BR92:BY92">TRANSPOSE('[99]Keithley Matavimai'!$W$6:$W$13)</f>
        <v>23.27621269191728</v>
      </c>
      <c r="BS92" s="183">
        <v>19.177254686243483</v>
      </c>
      <c r="BT92" s="183">
        <v>20.10583684727489</v>
      </c>
      <c r="BU92" s="183">
        <v>16.850084671305964</v>
      </c>
      <c r="BV92" s="183">
        <v>17.398638546789275</v>
      </c>
      <c r="BW92" s="183">
        <v>17.473068899855495</v>
      </c>
      <c r="BX92" s="183">
        <v>16.398114519000483</v>
      </c>
      <c r="BY92" s="183">
        <v>11.360741037933302</v>
      </c>
      <c r="BZ92" s="183" cm="1">
        <f t="array" ref="BZ92:CH92">TRANSPOSE('[99]Keithley Matavimai'!$V$5:$V$13)</f>
        <v>142.44659535860339</v>
      </c>
      <c r="CA92" s="183">
        <v>136.57825054865987</v>
      </c>
      <c r="CB92" s="183">
        <v>129.96041789749339</v>
      </c>
      <c r="CC92" s="183">
        <v>121.71657851882587</v>
      </c>
      <c r="CD92" s="183">
        <v>117.26866594264523</v>
      </c>
      <c r="CE92" s="183">
        <v>111.12689947562187</v>
      </c>
      <c r="CF92" s="183">
        <v>106.60183943545719</v>
      </c>
      <c r="CG92" s="183">
        <v>100.84450297147339</v>
      </c>
      <c r="CH92" s="183">
        <v>94.776535793763742</v>
      </c>
      <c r="CI92" s="183" cm="1">
        <f t="array" ref="CI92:CQ92">TRANSPOSE('[99]Silumos kiekio nustat.'!$B$24:$B$32)</f>
        <v>14.424092290542957</v>
      </c>
      <c r="CJ92" s="183">
        <v>13.368448199442852</v>
      </c>
      <c r="CK92" s="183">
        <v>12.411769155491157</v>
      </c>
      <c r="CL92" s="183">
        <v>11.519455145276252</v>
      </c>
      <c r="CM92" s="183">
        <v>10.65690615538651</v>
      </c>
      <c r="CN92" s="183">
        <v>9.7895221724103045</v>
      </c>
      <c r="CO92" s="183">
        <v>8.8827031829360159</v>
      </c>
      <c r="CP92" s="183">
        <v>7.9018491735520175</v>
      </c>
      <c r="CQ92" s="183">
        <v>6.8123601308466881</v>
      </c>
      <c r="CR92" s="183">
        <f>'Su K. oro stendu'!P137</f>
        <v>52.448</v>
      </c>
      <c r="CS92" s="183"/>
      <c r="CT92" s="183"/>
      <c r="CU92" s="183">
        <f>[99]Alfa!$F$15</f>
        <v>900</v>
      </c>
      <c r="CV92" s="172">
        <f>'Su K. oro stendu'!J137</f>
        <v>4</v>
      </c>
      <c r="CW92" s="183">
        <f>'Su K. oro stendu'!D137</f>
        <v>5000</v>
      </c>
      <c r="CX92" s="183">
        <f>'Su K. oro stendu'!G137</f>
        <v>10</v>
      </c>
      <c r="CY92" s="183">
        <f>[99]Alfa!$F$16</f>
        <v>0.11326666666666665</v>
      </c>
      <c r="CZ92" s="183">
        <f>'Su K. oro stendu'!H137</f>
        <v>28.32</v>
      </c>
      <c r="DA92" s="183">
        <f>'Su K. oro stendu'!C137</f>
        <v>241</v>
      </c>
      <c r="DB92" s="183">
        <f>'Su K. oro stendu'!E137</f>
        <v>24</v>
      </c>
      <c r="DC92" s="183">
        <f>'Su K. oro stendu'!I137</f>
        <v>960</v>
      </c>
      <c r="DD92" s="183">
        <f>'Su K. oro stendu'!K137</f>
        <v>6.7</v>
      </c>
      <c r="DE92" s="183">
        <f>'Su K. oro stendu'!L137</f>
        <v>7.71</v>
      </c>
      <c r="DF92" s="183">
        <f>'Su K. oro stendu'!F137</f>
        <v>145</v>
      </c>
      <c r="DG92" s="253">
        <f>[99]Alfa!$D$29</f>
        <v>3706.3880172421268</v>
      </c>
      <c r="DH92" s="253">
        <f>[99]Alfa!$D$26</f>
        <v>7994.1922010206572</v>
      </c>
      <c r="DI92" s="253">
        <f>[99]Alfa!$D$27</f>
        <v>4646.7443822858959</v>
      </c>
      <c r="DJ92" s="253">
        <f t="shared" si="47"/>
        <v>8353.1323995280218</v>
      </c>
      <c r="DK92" s="253">
        <f t="shared" si="50"/>
        <v>8173.6623002743399</v>
      </c>
      <c r="DL92" s="253">
        <f t="shared" si="48"/>
        <v>4.4900121173160806E-2</v>
      </c>
      <c r="DM92" s="183">
        <f>New!AC92</f>
        <v>3.9618325613673603E-5</v>
      </c>
      <c r="DN92" s="183">
        <f t="shared" si="36"/>
        <v>4.2388323940559999E-5</v>
      </c>
      <c r="DO92" s="183">
        <f t="shared" si="37"/>
        <v>0.93465185528989803</v>
      </c>
      <c r="DP92" s="183">
        <f t="shared" si="38"/>
        <v>161.72491166466182</v>
      </c>
      <c r="DQ92" s="297">
        <f>DH92/((DA92/3600)*New!BV92*(Sheet3!BZ92-Sheet3!CP92)*1000)</f>
        <v>0.79811577942331291</v>
      </c>
      <c r="DR92" s="166">
        <f>(DB92*0.018)/(0.011*New!IV92*3600)</f>
        <v>786.96828884072727</v>
      </c>
      <c r="DS92" s="166">
        <f>(New!IV92*New!CE92*1000)/New!AU92</f>
        <v>0.64719895598215416</v>
      </c>
      <c r="DT92" s="166">
        <f>IF(DR92&gt;2300,0.023*((DR92^(4/5)*DS92^(1/3))/(1+12.7*(DS92^(2/3)-1)))*(New!IV92/DV92)^0.14, 0.943*(DR92*DS92*New!IV92/Sheet3!DV92)^0.4)</f>
        <v>13.324815325052406</v>
      </c>
      <c r="DU92" s="166">
        <f t="shared" si="49"/>
        <v>-953.92940290640729</v>
      </c>
      <c r="DV92" s="166">
        <f>_xlfn.FORECAST.LINEAR(AVERAGE(_xlfn.ANCHORARRAY(BR92)),Sheet2!$AK$2:$AK$69,Sheet2!$AJ$2:$AJ$69)</f>
        <v>9.4070316268867546E-6</v>
      </c>
    </row>
    <row r="93" spans="1:126" x14ac:dyDescent="0.3">
      <c r="A93" s="184" t="str">
        <f>'Su K. oro stendu'!B138</f>
        <v>2023.02.23-1</v>
      </c>
      <c r="B93" s="183" cm="1">
        <f t="array" ref="B93:I93">'[100]Kondensacijos efektyvumas'!$B$4:$I$4</f>
        <v>22</v>
      </c>
      <c r="C93" s="183">
        <v>452</v>
      </c>
      <c r="D93" s="183">
        <v>18</v>
      </c>
      <c r="E93" s="183">
        <v>287</v>
      </c>
      <c r="F93" s="183">
        <v>16</v>
      </c>
      <c r="G93" s="183">
        <v>400</v>
      </c>
      <c r="H93" s="183">
        <v>17</v>
      </c>
      <c r="I93" s="183">
        <v>333</v>
      </c>
      <c r="J93" s="183" cm="1">
        <f t="array" ref="J93:Q93">TRANSPOSE('[100]Nu kitimas'!$I$4:$I$11)</f>
        <v>132.74262461787072</v>
      </c>
      <c r="K93" s="183">
        <v>125.47637042076967</v>
      </c>
      <c r="L93" s="183">
        <v>124.74972587413404</v>
      </c>
      <c r="M93" s="183">
        <v>127.09737257271561</v>
      </c>
      <c r="N93" s="183">
        <v>132.09845260385742</v>
      </c>
      <c r="O93" s="183">
        <v>143.06333912323939</v>
      </c>
      <c r="P93" s="183">
        <v>160.50453020260795</v>
      </c>
      <c r="Q93" s="183">
        <v>178.88392820222617</v>
      </c>
      <c r="R93" s="183" cm="1">
        <f t="array" ref="R93:Y93">TRANSPOSE([100]Alfa!$G$18:$G$25)</f>
        <v>204.79543648016841</v>
      </c>
      <c r="S93" s="183">
        <v>192.22113577529316</v>
      </c>
      <c r="T93" s="183">
        <v>188.59161688341305</v>
      </c>
      <c r="U93" s="183">
        <v>191.2753049528819</v>
      </c>
      <c r="V93" s="183">
        <v>197.31151604670183</v>
      </c>
      <c r="W93" s="183">
        <v>212.28715928776032</v>
      </c>
      <c r="X93" s="183">
        <v>235.85225957067658</v>
      </c>
      <c r="Y93" s="183">
        <v>261.61457390413744</v>
      </c>
      <c r="Z93" s="183" cm="1">
        <f t="array" ref="Z93:AG93">TRANSPOSE([100]Alfa!$F$127:$F$134)</f>
        <v>1.9620628444610624E-2</v>
      </c>
      <c r="AA93" s="183">
        <v>0.40408163026475513</v>
      </c>
      <c r="AB93" s="183">
        <v>1.611895171660464E-2</v>
      </c>
      <c r="AC93" s="183">
        <v>0.25733855005535561</v>
      </c>
      <c r="AD93" s="183">
        <v>1.4363344136808101E-2</v>
      </c>
      <c r="AE93" s="183">
        <v>0.35957467470696924</v>
      </c>
      <c r="AF93" s="183">
        <v>1.5310071494118359E-2</v>
      </c>
      <c r="AG93" s="183">
        <v>0.30067602946395161</v>
      </c>
      <c r="AH93" s="35" cm="1">
        <f t="array" ref="AH93:AO93">TRANSPOSE('[100]Silumos kiekio nustat.'!$F$25:$F$32)</f>
        <v>228.55736255099291</v>
      </c>
      <c r="AI93" s="35">
        <v>207.08511117249199</v>
      </c>
      <c r="AJ93" s="35">
        <v>192.61600337026556</v>
      </c>
      <c r="AK93" s="35">
        <v>185.07830203531427</v>
      </c>
      <c r="AL93" s="35">
        <v>184.41064397233652</v>
      </c>
      <c r="AM93" s="35">
        <v>190.55637222140132</v>
      </c>
      <c r="AN93" s="35">
        <v>203.4583458451647</v>
      </c>
      <c r="AO93" s="35">
        <v>223.05423292220183</v>
      </c>
      <c r="AP93" s="313">
        <f t="shared" si="39"/>
        <v>8.3554064632100092E-2</v>
      </c>
      <c r="AQ93" s="35">
        <f t="shared" si="40"/>
        <v>16.86555896121294</v>
      </c>
      <c r="AR93" s="183" cm="1">
        <f t="array" ref="AR93:AY93">TRANSPOSE([100]Alfa!$E$127:$E$134)</f>
        <v>6.825113840169196E-2</v>
      </c>
      <c r="AS93" s="183">
        <v>6.1517941931043207E-2</v>
      </c>
      <c r="AT93" s="183">
        <v>6.9203826319835224E-2</v>
      </c>
      <c r="AU93" s="183">
        <v>4.2276924692952488E-2</v>
      </c>
      <c r="AV93" s="183">
        <v>3.8700430354678794E-2</v>
      </c>
      <c r="AW93" s="183">
        <v>5.3286074706313129E-2</v>
      </c>
      <c r="AX93" s="183">
        <v>4.8403823127745854E-2</v>
      </c>
      <c r="AY93" s="183">
        <v>4.0734180153664104E-2</v>
      </c>
      <c r="AZ93" s="183">
        <f t="shared" si="33"/>
        <v>106.06060606060606</v>
      </c>
      <c r="BA93" s="183">
        <f>'Su K. oro stendu'!P138</f>
        <v>53.561</v>
      </c>
      <c r="BB93" s="183">
        <f t="shared" si="34"/>
        <v>106.01893939393939</v>
      </c>
      <c r="BC93" s="183">
        <v>53.533000000000001</v>
      </c>
      <c r="BD93" s="183">
        <f t="shared" si="35"/>
        <v>105.16287878787878</v>
      </c>
      <c r="BE93" s="183">
        <v>52.951999999999998</v>
      </c>
      <c r="BF93" s="183">
        <f t="shared" si="41"/>
        <v>102.33333333333333</v>
      </c>
      <c r="BG93" s="183">
        <v>52.929000000000002</v>
      </c>
      <c r="BH93" s="183">
        <f t="shared" si="42"/>
        <v>100.15909090909091</v>
      </c>
      <c r="BI93" s="183">
        <v>52.55</v>
      </c>
      <c r="BJ93" s="183">
        <f t="shared" si="43"/>
        <v>100.03787878787878</v>
      </c>
      <c r="BK93" s="183">
        <v>52.527999999999999</v>
      </c>
      <c r="BL93" s="183">
        <f t="shared" si="44"/>
        <v>97.007575757575751</v>
      </c>
      <c r="BM93" s="183">
        <v>51.984000000000002</v>
      </c>
      <c r="BN93" s="183">
        <f t="shared" si="45"/>
        <v>96.878787878787875</v>
      </c>
      <c r="BO93" s="183">
        <v>51.960999999999999</v>
      </c>
      <c r="BP93" s="183">
        <f t="shared" si="46"/>
        <v>94.356060606060609</v>
      </c>
      <c r="BQ93" s="183">
        <v>51.494</v>
      </c>
      <c r="BR93" s="183" cm="1">
        <f t="array" ref="BR93:BY93">TRANSPOSE('[100]Keithley Matavimai'!$W$6:$W$13)</f>
        <v>27.910307573896379</v>
      </c>
      <c r="BS93" s="183">
        <v>26.393445024569377</v>
      </c>
      <c r="BT93" s="183">
        <v>24.456423782140721</v>
      </c>
      <c r="BU93" s="183">
        <v>21.979896516930825</v>
      </c>
      <c r="BV93" s="183">
        <v>20.817103082731439</v>
      </c>
      <c r="BW93" s="183">
        <v>20.027771939093313</v>
      </c>
      <c r="BX93" s="183">
        <v>18.879288818803584</v>
      </c>
      <c r="BY93" s="183">
        <v>14.681774660787486</v>
      </c>
      <c r="BZ93" s="183" cm="1">
        <f t="array" ref="BZ93:CH93">TRANSPOSE('[100]Keithley Matavimai'!$V$5:$V$13)</f>
        <v>85.017565036517183</v>
      </c>
      <c r="CA93" s="183">
        <v>80.067683058152525</v>
      </c>
      <c r="CB93" s="183">
        <v>76.231963717485598</v>
      </c>
      <c r="CC93" s="183">
        <v>71.061778001692232</v>
      </c>
      <c r="CD93" s="183">
        <v>68.282784088415397</v>
      </c>
      <c r="CE93" s="183">
        <v>65.345519627513468</v>
      </c>
      <c r="CF93" s="183">
        <v>61.771044009203699</v>
      </c>
      <c r="CG93" s="183">
        <v>57.998704586239434</v>
      </c>
      <c r="CH93" s="183">
        <v>55.19674668373775</v>
      </c>
      <c r="CI93" s="183" cm="1">
        <f t="array" ref="CI93:CQ93">TRANSPOSE('[100]Silumos kiekio nustat.'!$B$24:$B$32)</f>
        <v>17.944871348953921</v>
      </c>
      <c r="CJ93" s="183">
        <v>16.358868177672822</v>
      </c>
      <c r="CK93" s="183">
        <v>14.918292922033732</v>
      </c>
      <c r="CL93" s="183">
        <v>13.575342190844214</v>
      </c>
      <c r="CM93" s="183">
        <v>12.282212592911828</v>
      </c>
      <c r="CN93" s="183">
        <v>10.991100737044132</v>
      </c>
      <c r="CO93" s="183">
        <v>9.6542032320486904</v>
      </c>
      <c r="CP93" s="183">
        <v>8.2237166867330629</v>
      </c>
      <c r="CQ93" s="183">
        <v>6.6518377099048074</v>
      </c>
      <c r="CR93" s="183">
        <f>'Su K. oro stendu'!P138</f>
        <v>53.561</v>
      </c>
      <c r="CS93" s="183"/>
      <c r="CT93" s="183"/>
      <c r="CU93" s="183">
        <f>[100]Alfa!$F$15</f>
        <v>910</v>
      </c>
      <c r="CV93" s="172">
        <f>'Su K. oro stendu'!J138</f>
        <v>3</v>
      </c>
      <c r="CW93" s="183">
        <f>'Su K. oro stendu'!D138</f>
        <v>3000</v>
      </c>
      <c r="CX93" s="183">
        <f>'Su K. oro stendu'!G138</f>
        <v>10</v>
      </c>
      <c r="CY93" s="183">
        <f>[100]Alfa!$F$16</f>
        <v>0.10186813186813187</v>
      </c>
      <c r="CZ93" s="183">
        <f>'Su K. oro stendu'!H138</f>
        <v>43.66</v>
      </c>
      <c r="DA93" s="183">
        <f>'Su K. oro stendu'!C138</f>
        <v>132</v>
      </c>
      <c r="DB93" s="183">
        <f>'Su K. oro stendu'!E138</f>
        <v>14</v>
      </c>
      <c r="DC93" s="183">
        <f>'Su K. oro stendu'!I138</f>
        <v>396</v>
      </c>
      <c r="DD93" s="183">
        <f>'Su K. oro stendu'!K138</f>
        <v>6.47</v>
      </c>
      <c r="DE93" s="183">
        <f>'Su K. oro stendu'!L138</f>
        <v>11.37</v>
      </c>
      <c r="DF93" s="183">
        <f>'Su K. oro stendu'!F138</f>
        <v>85</v>
      </c>
      <c r="DG93" s="253">
        <f>[100]Alfa!$D$29</f>
        <v>1123.648726113574</v>
      </c>
      <c r="DH93" s="253">
        <f>[100]Alfa!$D$26</f>
        <v>4878.7123437477358</v>
      </c>
      <c r="DI93" s="253">
        <f>[100]Alfa!$D$27</f>
        <v>4161.2516408495203</v>
      </c>
      <c r="DJ93" s="253">
        <f t="shared" si="47"/>
        <v>5284.9003669630947</v>
      </c>
      <c r="DK93" s="253">
        <f t="shared" si="50"/>
        <v>5081.8063553554148</v>
      </c>
      <c r="DL93" s="253">
        <f t="shared" si="48"/>
        <v>8.3257219240627109E-2</v>
      </c>
      <c r="DM93" s="183">
        <f>New!AC93</f>
        <v>2.9069592998975505E-5</v>
      </c>
      <c r="DN93" s="183">
        <f t="shared" si="36"/>
        <v>3.5049529086959997E-5</v>
      </c>
      <c r="DO93" s="183">
        <f t="shared" si="37"/>
        <v>0.82938612176078286</v>
      </c>
      <c r="DP93" s="183">
        <f t="shared" si="38"/>
        <v>210.49362536262907</v>
      </c>
      <c r="DQ93" s="297">
        <f>DH93/((DA93/3600)*New!BV93*(Sheet3!BZ93-Sheet3!CP93)*1000)</f>
        <v>1.5681093896081029</v>
      </c>
      <c r="DR93" s="166">
        <f>(DB93*0.018)/(0.011*New!IV93*3600)</f>
        <v>541.05953112220141</v>
      </c>
      <c r="DS93" s="166">
        <f>(New!IV93*New!CE93*1000)/New!AU93</f>
        <v>0.86323913019559584</v>
      </c>
      <c r="DT93" s="166">
        <f>IF(DR93&gt;2300,0.023*((DR93^(4/5)*DS93^(1/3))/(1+12.7*(DS93^(2/3)-1)))*(New!IV93/DV93)^0.14, 0.943*(DR93*DS93*New!IV93/Sheet3!DV93)^0.4)</f>
        <v>11.978708116153026</v>
      </c>
      <c r="DU93" s="166">
        <f t="shared" si="49"/>
        <v>-1151.9563494695781</v>
      </c>
      <c r="DV93" s="166">
        <f>_xlfn.FORECAST.LINEAR(AVERAGE(_xlfn.ANCHORARRAY(BR93)),Sheet2!$AK$2:$AK$69,Sheet2!$AJ$2:$AJ$69)</f>
        <v>9.5519215860808969E-6</v>
      </c>
    </row>
    <row r="94" spans="1:126" x14ac:dyDescent="0.3">
      <c r="A94" s="184" t="str">
        <f>'Su K. oro stendu'!B139</f>
        <v>2023.02.23-2</v>
      </c>
      <c r="B94" s="183" cm="1">
        <f t="array" ref="B94:I94">'[101]Kondensacijos efektyvumas'!$B$4:$I$4</f>
        <v>84</v>
      </c>
      <c r="C94" s="183">
        <v>299</v>
      </c>
      <c r="D94" s="183">
        <v>14</v>
      </c>
      <c r="E94" s="183">
        <v>233</v>
      </c>
      <c r="F94" s="183">
        <v>9</v>
      </c>
      <c r="G94" s="183">
        <v>385</v>
      </c>
      <c r="H94" s="183">
        <v>11</v>
      </c>
      <c r="I94" s="183">
        <v>316</v>
      </c>
      <c r="J94" s="183" cm="1">
        <f t="array" ref="J94:Q94">TRANSPOSE('[101]Nu kitimas'!$I$4:$I$11)</f>
        <v>68.776311415697847</v>
      </c>
      <c r="K94" s="183">
        <v>67.202328264827543</v>
      </c>
      <c r="L94" s="183">
        <v>67.935437934401648</v>
      </c>
      <c r="M94" s="183">
        <v>70.06432830814191</v>
      </c>
      <c r="N94" s="183">
        <v>74.501225834520511</v>
      </c>
      <c r="O94" s="183">
        <v>81.673554618392586</v>
      </c>
      <c r="P94" s="183">
        <v>92.62107060189598</v>
      </c>
      <c r="Q94" s="183">
        <v>106.54919160554266</v>
      </c>
      <c r="R94" s="183" cm="1">
        <f t="array" ref="R94:Y94">TRANSPOSE([101]Alfa!$G$18:$G$25)</f>
        <v>122.06402523240256</v>
      </c>
      <c r="S94" s="183">
        <v>117.14550381348369</v>
      </c>
      <c r="T94" s="183">
        <v>115.82382785209761</v>
      </c>
      <c r="U94" s="183">
        <v>117.98259956742427</v>
      </c>
      <c r="V94" s="183">
        <v>123.42838485677466</v>
      </c>
      <c r="W94" s="183">
        <v>133.77023193127047</v>
      </c>
      <c r="X94" s="183">
        <v>149.12638162713711</v>
      </c>
      <c r="Y94" s="183">
        <v>169.25979330218684</v>
      </c>
      <c r="Z94" s="183" cm="1">
        <f t="array" ref="Z94:AG94">TRANSPOSE([101]Alfa!$F$127:$F$134)</f>
        <v>7.4739533820056145E-2</v>
      </c>
      <c r="AA94" s="183">
        <v>0.26689686615627373</v>
      </c>
      <c r="AB94" s="183">
        <v>1.2522808680477606E-2</v>
      </c>
      <c r="AC94" s="183">
        <v>0.20870721660231287</v>
      </c>
      <c r="AD94" s="183">
        <v>8.0712066847602824E-3</v>
      </c>
      <c r="AE94" s="183">
        <v>0.34575974635362944</v>
      </c>
      <c r="AF94" s="183">
        <v>9.8996701725817399E-3</v>
      </c>
      <c r="AG94" s="183">
        <v>0.2853075175730489</v>
      </c>
      <c r="AH94" s="35" cm="1">
        <f t="array" ref="AH94:AO94">TRANSPOSE('[101]Silumos kiekio nustat.'!$F$25:$F$32)</f>
        <v>272.6270709126926</v>
      </c>
      <c r="AI94" s="35">
        <v>246.50361736251483</v>
      </c>
      <c r="AJ94" s="35">
        <v>228.41552525004491</v>
      </c>
      <c r="AK94" s="35">
        <v>218.27135218547636</v>
      </c>
      <c r="AL94" s="35">
        <v>215.99370074290002</v>
      </c>
      <c r="AM94" s="35">
        <v>221.51227141169286</v>
      </c>
      <c r="AN94" s="35">
        <v>234.75753565449313</v>
      </c>
      <c r="AO94" s="35">
        <v>255.65502182437012</v>
      </c>
      <c r="AP94" s="313">
        <f t="shared" si="39"/>
        <v>8.4754108386908777E-2</v>
      </c>
      <c r="AQ94" s="35">
        <f t="shared" si="40"/>
        <v>20.062739285125303</v>
      </c>
      <c r="AR94" s="183" cm="1">
        <f t="array" ref="AR94:AY94">TRANSPOSE([101]Alfa!$E$127:$E$134)</f>
        <v>0.17609434890491507</v>
      </c>
      <c r="AS94" s="183">
        <v>0.12871021214195685</v>
      </c>
      <c r="AT94" s="183">
        <v>0.13781649873283161</v>
      </c>
      <c r="AU94" s="183">
        <v>8.7837496547462382E-2</v>
      </c>
      <c r="AV94" s="183">
        <v>9.7612342735220334E-2</v>
      </c>
      <c r="AW94" s="183">
        <v>8.8619945207221884E-2</v>
      </c>
      <c r="AX94" s="183">
        <v>9.9083156531006564E-2</v>
      </c>
      <c r="AY94" s="183">
        <v>9.3361079677090827E-2</v>
      </c>
      <c r="AZ94" s="183">
        <f t="shared" si="33"/>
        <v>101.3986013986014</v>
      </c>
      <c r="BA94" s="183">
        <f>'Su K. oro stendu'!P139</f>
        <v>52.767000000000003</v>
      </c>
      <c r="BB94" s="183">
        <f t="shared" si="34"/>
        <v>101.25174825174825</v>
      </c>
      <c r="BC94" s="145">
        <v>52.664000000000001</v>
      </c>
      <c r="BD94" s="183">
        <f t="shared" si="35"/>
        <v>100.72902097902097</v>
      </c>
      <c r="BE94" s="183">
        <v>52.293999999999997</v>
      </c>
      <c r="BF94" s="183">
        <f t="shared" si="41"/>
        <v>98.622377622377627</v>
      </c>
      <c r="BG94" s="145">
        <v>52.276000000000003</v>
      </c>
      <c r="BH94" s="183">
        <f t="shared" si="42"/>
        <v>96.993006993006986</v>
      </c>
      <c r="BI94" s="183">
        <v>51.981999999999999</v>
      </c>
      <c r="BJ94" s="183">
        <f t="shared" si="43"/>
        <v>96.930069930069934</v>
      </c>
      <c r="BK94" s="183">
        <v>51.97</v>
      </c>
      <c r="BL94" s="183">
        <f t="shared" si="44"/>
        <v>94.23776223776224</v>
      </c>
      <c r="BM94" s="183">
        <v>51.472000000000001</v>
      </c>
      <c r="BN94" s="183">
        <f t="shared" si="45"/>
        <v>94.16083916083916</v>
      </c>
      <c r="BO94" s="183">
        <v>51.457999999999998</v>
      </c>
      <c r="BP94" s="183">
        <f t="shared" si="46"/>
        <v>91.951048951048946</v>
      </c>
      <c r="BQ94" s="145">
        <v>51.037999999999997</v>
      </c>
      <c r="BR94" s="183" cm="1">
        <f t="array" ref="BR94:BY94">TRANSPOSE('[101]Keithley Matavimai'!$W$6:$W$13)</f>
        <v>30.44505194269134</v>
      </c>
      <c r="BS94" s="183">
        <v>27.766160287864356</v>
      </c>
      <c r="BT94" s="183">
        <v>25.778730551691933</v>
      </c>
      <c r="BU94" s="183">
        <v>22.989865596559827</v>
      </c>
      <c r="BV94" s="183">
        <v>22.042976242256298</v>
      </c>
      <c r="BW94" s="183">
        <v>21.067852126357806</v>
      </c>
      <c r="BX94" s="183">
        <v>19.427676174171371</v>
      </c>
      <c r="BY94" s="183">
        <v>14.843110595431458</v>
      </c>
      <c r="BZ94" s="183" cm="1">
        <f t="array" ref="BZ94:CH94">TRANSPOSE('[101]Keithley Matavimai'!$V$5:$V$13)</f>
        <v>143.54459729177728</v>
      </c>
      <c r="CA94" s="183">
        <v>133.60331881716948</v>
      </c>
      <c r="CB94" s="183">
        <v>125.71004143609575</v>
      </c>
      <c r="CC94" s="183">
        <v>116.3945468964808</v>
      </c>
      <c r="CD94" s="183">
        <v>110.88798619965787</v>
      </c>
      <c r="CE94" s="183">
        <v>104.15464645848154</v>
      </c>
      <c r="CF94" s="183">
        <v>98.719615121589541</v>
      </c>
      <c r="CG94" s="183">
        <v>91.709063391095128</v>
      </c>
      <c r="CH94" s="183">
        <v>85.577576567677966</v>
      </c>
      <c r="CI94" s="183" cm="1">
        <f t="array" ref="CI94:CQ94">TRANSPOSE('[101]Silumos kiekio nustat.'!$B$24:$B$32)</f>
        <v>18.832869693077619</v>
      </c>
      <c r="CJ94" s="183">
        <v>17.101047178672292</v>
      </c>
      <c r="CK94" s="183">
        <v>15.530898816550211</v>
      </c>
      <c r="CL94" s="183">
        <v>14.072369646045052</v>
      </c>
      <c r="CM94" s="183">
        <v>12.67540470649049</v>
      </c>
      <c r="CN94" s="183">
        <v>11.289949037220197</v>
      </c>
      <c r="CO94" s="183">
        <v>9.8659476775678527</v>
      </c>
      <c r="CP94" s="183">
        <v>8.3533456668671313</v>
      </c>
      <c r="CQ94" s="183">
        <v>6.7020880444517097</v>
      </c>
      <c r="CR94" s="183">
        <f>'Su K. oro stendu'!P139</f>
        <v>52.767000000000003</v>
      </c>
      <c r="CS94" s="183"/>
      <c r="CT94" s="183"/>
      <c r="CU94" s="183">
        <f>[101]Alfa!$F$15</f>
        <v>910</v>
      </c>
      <c r="CV94" s="172">
        <f>'Su K. oro stendu'!J139</f>
        <v>3</v>
      </c>
      <c r="CW94" s="183">
        <f>'Su K. oro stendu'!D139</f>
        <v>3000</v>
      </c>
      <c r="CX94" s="183">
        <f>'Su K. oro stendu'!G139</f>
        <v>10</v>
      </c>
      <c r="CY94" s="183">
        <f>[101]Alfa!$F$16</f>
        <v>8.9076923076923095E-2</v>
      </c>
      <c r="CZ94" s="183">
        <f>'Su K. oro stendu'!H139</f>
        <v>36.86</v>
      </c>
      <c r="DA94" s="183">
        <f>'Su K. oro stendu'!C139</f>
        <v>143</v>
      </c>
      <c r="DB94" s="183">
        <f>'Su K. oro stendu'!E139</f>
        <v>14.5</v>
      </c>
      <c r="DC94" s="183">
        <f>'Su K. oro stendu'!I139</f>
        <v>432</v>
      </c>
      <c r="DD94" s="183">
        <f>'Su K. oro stendu'!K139</f>
        <v>6.49</v>
      </c>
      <c r="DE94" s="183">
        <f>'Su K. oro stendu'!L139</f>
        <v>12.26</v>
      </c>
      <c r="DF94" s="183">
        <f>'Su K. oro stendu'!F139</f>
        <v>145</v>
      </c>
      <c r="DG94" s="253">
        <f>[101]Alfa!$D$29</f>
        <v>2581.8044410037587</v>
      </c>
      <c r="DH94" s="253">
        <f>[101]Alfa!$D$26</f>
        <v>5742.6786966405516</v>
      </c>
      <c r="DI94" s="253">
        <f>[101]Alfa!$D$27</f>
        <v>3635.7136981294225</v>
      </c>
      <c r="DJ94" s="253">
        <f t="shared" si="47"/>
        <v>6217.5181391331807</v>
      </c>
      <c r="DK94" s="253">
        <f t="shared" si="50"/>
        <v>5980.0984178868657</v>
      </c>
      <c r="DL94" s="253">
        <f t="shared" si="48"/>
        <v>8.2686054292121322E-2</v>
      </c>
      <c r="DM94" s="183">
        <f>New!AC94</f>
        <v>3.9624405977833252E-5</v>
      </c>
      <c r="DN94" s="183">
        <f t="shared" si="36"/>
        <v>4.2388323940559999E-5</v>
      </c>
      <c r="DO94" s="183">
        <f t="shared" si="37"/>
        <v>0.93479529960650209</v>
      </c>
      <c r="DP94" s="183">
        <f t="shared" si="38"/>
        <v>131.07509352284717</v>
      </c>
      <c r="DQ94" s="297">
        <f>DH94/((DA94/3600)*New!BV94*(Sheet3!BZ94-Sheet3!CP94)*1000)</f>
        <v>0.96023618910477393</v>
      </c>
      <c r="DR94" s="166">
        <f>(DB94*0.018)/(0.011*New!IV94*3600)</f>
        <v>475.46000784127273</v>
      </c>
      <c r="DS94" s="166">
        <f>(New!IV94*New!CE94*1000)/New!AU94</f>
        <v>0.64719895598215416</v>
      </c>
      <c r="DT94" s="166">
        <f>IF(DR94&gt;2300,0.023*((DR94^(4/5)*DS94^(1/3))/(1+12.7*(DS94^(2/3)-1)))*(New!IV94/DV94)^0.14, 0.943*(DR94*DS94*New!IV94/Sheet3!DV94)^0.4)</f>
        <v>10.807784858853525</v>
      </c>
      <c r="DU94" s="166">
        <f t="shared" si="49"/>
        <v>-981.96511574737985</v>
      </c>
      <c r="DV94" s="166">
        <f>_xlfn.FORECAST.LINEAR(AVERAGE(_xlfn.ANCHORARRAY(BR94)),Sheet2!$AK$2:$AK$69,Sheet2!$AJ$2:$AJ$69)</f>
        <v>9.5922531962442772E-6</v>
      </c>
    </row>
    <row r="95" spans="1:126" x14ac:dyDescent="0.3">
      <c r="A95" s="184" t="str">
        <f>'Su K. oro stendu'!B140</f>
        <v>2023.02.24</v>
      </c>
      <c r="B95" s="183" cm="1">
        <f t="array" ref="B95:I95">'[102]Kondensacijos efektyvumas'!$B$4:$I$4</f>
        <v>11</v>
      </c>
      <c r="C95" s="183">
        <v>406</v>
      </c>
      <c r="D95" s="183">
        <v>8</v>
      </c>
      <c r="E95" s="183">
        <v>489</v>
      </c>
      <c r="F95" s="183">
        <v>8</v>
      </c>
      <c r="G95" s="183">
        <v>617</v>
      </c>
      <c r="H95" s="183">
        <v>10</v>
      </c>
      <c r="I95" s="183">
        <v>493</v>
      </c>
      <c r="J95" s="183" cm="1">
        <f t="array" ref="J95:Q95">TRANSPOSE('[102]Nu kitimas'!$J$4:$J$11)</f>
        <v>187.39854742219364</v>
      </c>
      <c r="K95" s="183">
        <v>168.57972943575641</v>
      </c>
      <c r="L95" s="183">
        <v>160.03766286217856</v>
      </c>
      <c r="M95" s="183">
        <v>157.05890643178839</v>
      </c>
      <c r="N95" s="183">
        <v>161.73351243774752</v>
      </c>
      <c r="O95" s="183">
        <v>175.70861113351376</v>
      </c>
      <c r="P95" s="183">
        <v>198.95651700415365</v>
      </c>
      <c r="Q95" s="183">
        <v>227.39404013574699</v>
      </c>
      <c r="R95" s="183" cm="1">
        <f t="array" ref="R95:Y95">TRANSPOSE([102]Alfa!$G$18:$G$25)</f>
        <v>290.11962742894508</v>
      </c>
      <c r="S95" s="183">
        <v>259.33797615264791</v>
      </c>
      <c r="T95" s="183">
        <v>243.62396833168398</v>
      </c>
      <c r="U95" s="183">
        <v>238.45134855429347</v>
      </c>
      <c r="V95" s="183">
        <v>243.75258136754462</v>
      </c>
      <c r="W95" s="183">
        <v>263.59018221003822</v>
      </c>
      <c r="X95" s="183">
        <v>296.08569659207694</v>
      </c>
      <c r="Y95" s="183">
        <v>337.11506631555307</v>
      </c>
      <c r="Z95" s="183" cm="1">
        <f t="array" ref="Z95:AG95">TRANSPOSE([102]Alfa!$F$127:$F$134)</f>
        <v>9.9736665579700425E-3</v>
      </c>
      <c r="AA95" s="183">
        <v>0.36874222817244556</v>
      </c>
      <c r="AB95" s="183">
        <v>7.2720725729978376E-3</v>
      </c>
      <c r="AC95" s="183">
        <v>0.44466809637278942</v>
      </c>
      <c r="AD95" s="183">
        <v>7.276326134122396E-3</v>
      </c>
      <c r="AE95" s="183">
        <v>0.56141813550421793</v>
      </c>
      <c r="AF95" s="183">
        <v>9.1077572371281394E-3</v>
      </c>
      <c r="AG95" s="183">
        <v>0.44982558520610216</v>
      </c>
      <c r="AH95" s="35" cm="1">
        <f t="array" ref="AH95:AO95">TRANSPOSE('[102]Silumos kiekio nustat.'!$F$25:$F$32)</f>
        <v>394.20102240120002</v>
      </c>
      <c r="AI95" s="35">
        <v>345.48675422164627</v>
      </c>
      <c r="AJ95" s="35">
        <v>312.09840381626083</v>
      </c>
      <c r="AK95" s="35">
        <v>293.97272400320372</v>
      </c>
      <c r="AL95" s="35">
        <v>291.05755791525536</v>
      </c>
      <c r="AM95" s="35">
        <v>303.3055187779363</v>
      </c>
      <c r="AN95" s="35">
        <v>330.66790454098395</v>
      </c>
      <c r="AO95" s="35">
        <v>373.08884094532914</v>
      </c>
      <c r="AP95" s="313">
        <f t="shared" si="39"/>
        <v>0.1147341324117318</v>
      </c>
      <c r="AQ95" s="35">
        <f t="shared" si="40"/>
        <v>37.917891487598524</v>
      </c>
      <c r="AR95" s="183" cm="1">
        <f t="array" ref="AR95:AY95">TRANSPOSE([102]Alfa!$E$127:$E$134)</f>
        <v>0.1491559695694207</v>
      </c>
      <c r="AS95" s="183">
        <v>0.12692890085010713</v>
      </c>
      <c r="AT95" s="183">
        <v>0.17248060202710627</v>
      </c>
      <c r="AU95" s="183">
        <v>7.0271351497930026E-2</v>
      </c>
      <c r="AV95" s="183">
        <v>0.11875870348941979</v>
      </c>
      <c r="AW95" s="183">
        <v>0.1078103827653541</v>
      </c>
      <c r="AX95" s="183">
        <v>0.12721796252874673</v>
      </c>
      <c r="AY95" s="183">
        <v>8.6894031492541546E-2</v>
      </c>
      <c r="AZ95" s="183">
        <f t="shared" si="33"/>
        <v>100</v>
      </c>
      <c r="BA95" s="183">
        <f>'Su K. oro stendu'!P140</f>
        <v>52.521000000000001</v>
      </c>
      <c r="BB95" s="183">
        <f t="shared" si="34"/>
        <v>99.993373493975909</v>
      </c>
      <c r="BC95" s="143">
        <v>52.52</v>
      </c>
      <c r="BD95" s="183">
        <f t="shared" si="35"/>
        <v>99.748795180722894</v>
      </c>
      <c r="BE95" s="143">
        <v>52.476999999999997</v>
      </c>
      <c r="BF95" s="183">
        <f t="shared" si="41"/>
        <v>98.975903614457835</v>
      </c>
      <c r="BG95" s="143">
        <v>52.34</v>
      </c>
      <c r="BH95" s="183">
        <f t="shared" si="42"/>
        <v>97.797590361445785</v>
      </c>
      <c r="BI95" s="143">
        <v>52.128</v>
      </c>
      <c r="BJ95" s="183">
        <f t="shared" si="43"/>
        <v>97.778313253012044</v>
      </c>
      <c r="BK95" s="143">
        <v>52.124000000000002</v>
      </c>
      <c r="BL95" s="183">
        <f t="shared" si="44"/>
        <v>96.29156626506024</v>
      </c>
      <c r="BM95" s="143">
        <v>51.853999999999999</v>
      </c>
      <c r="BN95" s="183">
        <f t="shared" si="45"/>
        <v>96.267469879518075</v>
      </c>
      <c r="BO95" s="143">
        <v>51.848999999999997</v>
      </c>
      <c r="BP95" s="183">
        <f t="shared" si="46"/>
        <v>95.079518072289162</v>
      </c>
      <c r="BQ95" s="143">
        <v>51.63</v>
      </c>
      <c r="BR95" s="183" cm="1">
        <f t="array" ref="BR95:BY95">TRANSPOSE('[102]Keithley Matavimai'!$W$6:$W$13)</f>
        <v>16.691959373743355</v>
      </c>
      <c r="BS95" s="183">
        <v>14.215685633515292</v>
      </c>
      <c r="BT95" s="183">
        <v>14.966670709942967</v>
      </c>
      <c r="BU95" s="183">
        <v>12.871508568991382</v>
      </c>
      <c r="BV95" s="183">
        <v>12.968795349203489</v>
      </c>
      <c r="BW95" s="183">
        <v>12.714409526292888</v>
      </c>
      <c r="BX95" s="183">
        <v>12.201758467455967</v>
      </c>
      <c r="BY95" s="183">
        <v>9.5460970709043558</v>
      </c>
      <c r="BZ95" s="183" cm="1">
        <f t="array" ref="BZ95:CH95">TRANSPOSE('[102]Keithley Matavimai'!$V$5:$V$13)</f>
        <v>84.395899225358093</v>
      </c>
      <c r="CA95" s="183">
        <v>80.917939279739585</v>
      </c>
      <c r="CB95" s="183">
        <v>78.153158131984227</v>
      </c>
      <c r="CC95" s="183">
        <v>74.091011213259605</v>
      </c>
      <c r="CD95" s="183">
        <v>72.668982041664933</v>
      </c>
      <c r="CE95" s="183">
        <v>69.845182855170535</v>
      </c>
      <c r="CF95" s="183">
        <v>67.551027286212374</v>
      </c>
      <c r="CG95" s="183">
        <v>64.489228972680479</v>
      </c>
      <c r="CH95" s="183">
        <v>62.601543588396133</v>
      </c>
      <c r="CI95" s="183" cm="1">
        <f t="array" ref="CI95:CQ95">TRANSPOSE('[102]Silumos kiekio nustat.'!$B$24:$B$32)</f>
        <v>11.071251906971519</v>
      </c>
      <c r="CJ95" s="183">
        <v>10.401847729828187</v>
      </c>
      <c r="CK95" s="183">
        <v>9.8145897996782114</v>
      </c>
      <c r="CL95" s="183">
        <v>9.2836235316111839</v>
      </c>
      <c r="CM95" s="183">
        <v>8.7830943407166977</v>
      </c>
      <c r="CN95" s="183">
        <v>8.2871476420843511</v>
      </c>
      <c r="CO95" s="183">
        <v>7.769928850803737</v>
      </c>
      <c r="CP95" s="183">
        <v>7.2055833819644484</v>
      </c>
      <c r="CQ95" s="183">
        <v>6.56825665065608</v>
      </c>
      <c r="CR95" s="183">
        <f>'Su K. oro stendu'!P140</f>
        <v>52.521000000000001</v>
      </c>
      <c r="CS95" s="183"/>
      <c r="CT95" s="183"/>
      <c r="CU95" s="183">
        <f>[102]Alfa!$F$15</f>
        <v>905</v>
      </c>
      <c r="CV95" s="172">
        <f>'Su K. oro stendu'!J140</f>
        <v>4</v>
      </c>
      <c r="CW95" s="183">
        <f>'Su K. oro stendu'!D140</f>
        <v>10000</v>
      </c>
      <c r="CX95" s="183">
        <f>'Su K. oro stendu'!G140</f>
        <v>10</v>
      </c>
      <c r="CY95" s="183">
        <f>[102]Alfa!$F$16</f>
        <v>0.13538121546961326</v>
      </c>
      <c r="CZ95" s="183">
        <f>'Su K. oro stendu'!H140</f>
        <v>19.57</v>
      </c>
      <c r="DA95" s="183">
        <f>'Su K. oro stendu'!C140</f>
        <v>415</v>
      </c>
      <c r="DB95" s="183">
        <f>'Su K. oro stendu'!E140</f>
        <v>41.5</v>
      </c>
      <c r="DC95" s="183">
        <f>'Su K. oro stendu'!I140</f>
        <v>1635</v>
      </c>
      <c r="DD95" s="183">
        <f>'Su K. oro stendu'!K140</f>
        <v>6.48</v>
      </c>
      <c r="DE95" s="183">
        <f>'Su K. oro stendu'!L140</f>
        <v>4.5599999999999996</v>
      </c>
      <c r="DF95" s="183">
        <f>'Su K. oro stendu'!F140</f>
        <v>85</v>
      </c>
      <c r="DG95" s="253">
        <f>[102]Alfa!$D$29</f>
        <v>2878.5537126618788</v>
      </c>
      <c r="DH95" s="253">
        <f>[102]Alfa!$D$26</f>
        <v>8039.2547597804833</v>
      </c>
      <c r="DI95" s="253">
        <f>[102]Alfa!$D$27</f>
        <v>5574.8516032733205</v>
      </c>
      <c r="DJ95" s="253">
        <f t="shared" si="47"/>
        <v>8453.4053159351988</v>
      </c>
      <c r="DK95" s="253">
        <f t="shared" si="50"/>
        <v>8246.3300378578406</v>
      </c>
      <c r="DL95" s="253">
        <f t="shared" si="48"/>
        <v>5.1516038305772532E-2</v>
      </c>
      <c r="DM95" s="183">
        <f>New!AC95</f>
        <v>2.9148119595976459E-5</v>
      </c>
      <c r="DN95" s="183">
        <f t="shared" si="36"/>
        <v>3.5049529086959997E-5</v>
      </c>
      <c r="DO95" s="183">
        <f t="shared" si="37"/>
        <v>0.83162656832444781</v>
      </c>
      <c r="DP95" s="183">
        <f t="shared" si="38"/>
        <v>271.50955586909794</v>
      </c>
      <c r="DQ95" s="297">
        <f>DH95/((DA95/3600)*New!BV95*(Sheet3!BZ95-Sheet3!CP95)*1000)</f>
        <v>0.82158862726175241</v>
      </c>
      <c r="DR95" s="166">
        <f>(DB95*0.018)/(0.011*New!IV95*3600)</f>
        <v>1603.8550386836682</v>
      </c>
      <c r="DS95" s="166">
        <f>(New!IV95*New!CE95*1000)/New!AU95</f>
        <v>0.86323913019559584</v>
      </c>
      <c r="DT95" s="166">
        <f>IF(DR95&gt;2300,0.023*((DR95^(4/5)*DS95^(1/3))/(1+12.7*(DS95^(2/3)-1)))*(New!IV95/DV95)^0.14, 0.943*(DR95*DS95*New!IV95/Sheet3!DV95)^0.4)</f>
        <v>18.739422165149634</v>
      </c>
      <c r="DU95" s="166">
        <f t="shared" si="49"/>
        <v>-1086.7221341385118</v>
      </c>
      <c r="DV95" s="166">
        <f>_xlfn.FORECAST.LINEAR(AVERAGE(_xlfn.ANCHORARRAY(BR95)),Sheet2!$AK$2:$AK$69,Sheet2!$AJ$2:$AJ$69)</f>
        <v>9.250075516074518E-6</v>
      </c>
    </row>
    <row r="96" spans="1:126" ht="15" thickBot="1" x14ac:dyDescent="0.35">
      <c r="A96" s="184" t="str">
        <f>'Su K. oro stendu'!B141</f>
        <v>2023.02.27-1</v>
      </c>
      <c r="B96" s="183" cm="1">
        <f t="array" ref="B96:I96">'[103]Kondensacijos efektyvumas'!$B$4:$I$4</f>
        <v>51</v>
      </c>
      <c r="C96" s="183">
        <v>259</v>
      </c>
      <c r="D96" s="183">
        <v>3</v>
      </c>
      <c r="E96" s="183">
        <v>392</v>
      </c>
      <c r="F96" s="183">
        <v>30</v>
      </c>
      <c r="G96" s="183">
        <v>321</v>
      </c>
      <c r="H96" s="183">
        <v>6</v>
      </c>
      <c r="I96" s="183">
        <v>311</v>
      </c>
      <c r="J96" s="183" cm="1">
        <f t="array" ref="J96:Q96">TRANSPOSE('[103]Nu kitimas'!$G$4:$G$11)</f>
        <v>50.977051311072159</v>
      </c>
      <c r="K96" s="183">
        <v>51.105500019944081</v>
      </c>
      <c r="L96" s="183">
        <v>53.346504770453258</v>
      </c>
      <c r="M96" s="183">
        <v>55.436206953493695</v>
      </c>
      <c r="N96" s="183">
        <v>58.978098617093956</v>
      </c>
      <c r="O96" s="183">
        <v>64.661756602542653</v>
      </c>
      <c r="P96" s="183">
        <v>72.524031089306064</v>
      </c>
      <c r="Q96" s="183">
        <v>82.073253522904139</v>
      </c>
      <c r="R96" s="183" cm="1">
        <f t="array" ref="R96:Y96">TRANSPOSE([103]Alfa!$G$18:$G$25)</f>
        <v>102.02473733461844</v>
      </c>
      <c r="S96" s="183">
        <v>99.766262383076779</v>
      </c>
      <c r="T96" s="183">
        <v>100.72368932516041</v>
      </c>
      <c r="U96" s="183">
        <v>103.30121079666387</v>
      </c>
      <c r="V96" s="183">
        <v>107.37352169606511</v>
      </c>
      <c r="W96" s="183">
        <v>115.62433698501465</v>
      </c>
      <c r="X96" s="183">
        <v>126.78701397129133</v>
      </c>
      <c r="Y96" s="183">
        <v>140.77672837998071</v>
      </c>
      <c r="Z96" s="183" cm="1">
        <f t="array" ref="Z96:AG96">TRANSPOSE([103]Alfa!$F$127:$F$134)</f>
        <v>4.5453530753577963E-2</v>
      </c>
      <c r="AA96" s="183">
        <v>0.23180570444229157</v>
      </c>
      <c r="AB96" s="183">
        <v>2.6917391413636884E-3</v>
      </c>
      <c r="AC96" s="183">
        <v>0.35223780470192306</v>
      </c>
      <c r="AD96" s="183">
        <v>2.6986070674800442E-2</v>
      </c>
      <c r="AE96" s="183">
        <v>0.28913229006262786</v>
      </c>
      <c r="AF96" s="183">
        <v>5.4161471371213495E-3</v>
      </c>
      <c r="AG96" s="183">
        <v>0.28176213161444835</v>
      </c>
      <c r="AH96" s="35" cm="1">
        <f t="array" ref="AH96:AO96">TRANSPOSE('[103]Silumos kiekio nustat.'!$F$25:$F$32)</f>
        <v>341.53237736044628</v>
      </c>
      <c r="AI96" s="35">
        <v>315.45311828297156</v>
      </c>
      <c r="AJ96" s="35">
        <v>296.74709980515519</v>
      </c>
      <c r="AK96" s="35">
        <v>285.3153504359471</v>
      </c>
      <c r="AL96" s="35">
        <v>281.07239408787603</v>
      </c>
      <c r="AM96" s="35">
        <v>283.94074690106737</v>
      </c>
      <c r="AN96" s="35">
        <v>293.8459674541603</v>
      </c>
      <c r="AO96" s="35">
        <v>310.71224769418382</v>
      </c>
      <c r="AP96" s="313">
        <f t="shared" si="39"/>
        <v>6.817784451073447E-2</v>
      </c>
      <c r="AQ96" s="35">
        <f t="shared" si="40"/>
        <v>20.526809032349576</v>
      </c>
      <c r="AR96" s="183" cm="1">
        <f t="array" ref="AR96:AY96">TRANSPOSE([103]Alfa!$E$127:$E$134)</f>
        <v>0.26538940148515583</v>
      </c>
      <c r="AS96" s="183">
        <v>0.20068662354254532</v>
      </c>
      <c r="AT96" s="183">
        <v>0.25262069798667602</v>
      </c>
      <c r="AU96" s="183">
        <v>0.11578447219671345</v>
      </c>
      <c r="AV96" s="183">
        <v>0.17077132681671883</v>
      </c>
      <c r="AW96" s="183">
        <v>0.14411114043851356</v>
      </c>
      <c r="AX96" s="183">
        <v>0.15757504375981496</v>
      </c>
      <c r="AY96" s="183">
        <v>0.14627654096755552</v>
      </c>
      <c r="AZ96" s="183">
        <f t="shared" si="33"/>
        <v>98.726114649681534</v>
      </c>
      <c r="BA96" s="183">
        <f>'Su K. oro stendu'!P141</f>
        <v>52.295000000000002</v>
      </c>
      <c r="BB96" s="183">
        <f t="shared" si="34"/>
        <v>98.644904458598731</v>
      </c>
      <c r="BC96" s="256">
        <v>52.237000000000002</v>
      </c>
      <c r="BD96" s="183">
        <f t="shared" si="35"/>
        <v>98.232484076433124</v>
      </c>
      <c r="BE96" s="183">
        <v>51.938000000000002</v>
      </c>
      <c r="BF96" s="183">
        <f t="shared" si="41"/>
        <v>96.732484076433124</v>
      </c>
      <c r="BG96" s="145">
        <v>51.933999999999997</v>
      </c>
      <c r="BH96" s="183">
        <f t="shared" si="42"/>
        <v>94.235668789808912</v>
      </c>
      <c r="BI96" s="256">
        <v>51.472000000000001</v>
      </c>
      <c r="BJ96" s="183">
        <f t="shared" si="43"/>
        <v>94.044585987261144</v>
      </c>
      <c r="BK96" s="183">
        <v>51.436</v>
      </c>
      <c r="BL96" s="183">
        <f t="shared" si="44"/>
        <v>91.999999999999986</v>
      </c>
      <c r="BM96" s="183">
        <v>51.046999999999997</v>
      </c>
      <c r="BN96" s="183">
        <f t="shared" si="45"/>
        <v>91.961783439490446</v>
      </c>
      <c r="BO96" s="183">
        <v>51.04</v>
      </c>
      <c r="BP96" s="183">
        <f t="shared" si="46"/>
        <v>89.980891719745216</v>
      </c>
      <c r="BQ96" s="183">
        <v>50.655000000000001</v>
      </c>
      <c r="BR96" s="183" cm="1">
        <f t="array" ref="BR96:BY96">TRANSPOSE('[103]Keithley Matavimai'!$W$6:$W$13)</f>
        <v>34.333482450718805</v>
      </c>
      <c r="BS96" s="183">
        <v>30.712170671330785</v>
      </c>
      <c r="BT96" s="183">
        <v>28.865003331426028</v>
      </c>
      <c r="BU96" s="183">
        <v>24.988109950961398</v>
      </c>
      <c r="BV96" s="183">
        <v>24.452601983436196</v>
      </c>
      <c r="BW96" s="183">
        <v>23.989589854492333</v>
      </c>
      <c r="BX96" s="183">
        <v>22.280323210144488</v>
      </c>
      <c r="BY96" s="183">
        <v>16.944970329625242</v>
      </c>
      <c r="BZ96" s="183" cm="1">
        <f t="array" ref="BZ96:CH96">TRANSPOSE('[103]Keithley Matavimai'!$V$5:$V$13)</f>
        <v>205.22475761438156</v>
      </c>
      <c r="CA96" s="183">
        <v>189.60193676032338</v>
      </c>
      <c r="CB96" s="183">
        <v>178.4916317372741</v>
      </c>
      <c r="CC96" s="183">
        <v>163.40509933259742</v>
      </c>
      <c r="CD96" s="183">
        <v>157.50550736129296</v>
      </c>
      <c r="CE96" s="183">
        <v>147.10951068805744</v>
      </c>
      <c r="CF96" s="183">
        <v>138.97019671644304</v>
      </c>
      <c r="CG96" s="183">
        <v>129.05307271512947</v>
      </c>
      <c r="CH96" s="183">
        <v>120.42143786262113</v>
      </c>
      <c r="CI96" s="183" cm="1">
        <f t="array" ref="CI96:CQ96">TRANSPOSE('[103]Silumos kiekio nustat.'!$B$24:$B$32)</f>
        <v>20.747460001544162</v>
      </c>
      <c r="CJ96" s="183">
        <v>18.763507807715353</v>
      </c>
      <c r="CK96" s="183">
        <v>16.92519072781176</v>
      </c>
      <c r="CL96" s="183">
        <v>15.190786831866397</v>
      </c>
      <c r="CM96" s="183">
        <v>13.518574189912293</v>
      </c>
      <c r="CN96" s="183">
        <v>11.866830871982462</v>
      </c>
      <c r="CO96" s="183">
        <v>10.193834948109924</v>
      </c>
      <c r="CP96" s="183">
        <v>8.4578644883277008</v>
      </c>
      <c r="CQ96" s="183">
        <v>6.6171975626688102</v>
      </c>
      <c r="CR96" s="183">
        <f>'Su K. oro stendu'!P141</f>
        <v>52.295000000000002</v>
      </c>
      <c r="CS96" s="183"/>
      <c r="CT96" s="183"/>
      <c r="CU96" s="183">
        <f>[103]Alfa!$F$15</f>
        <v>905</v>
      </c>
      <c r="CV96" s="172">
        <f>'Su K. oro stendu'!J141</f>
        <v>3</v>
      </c>
      <c r="CW96" s="183">
        <f>'Su K. oro stendu'!D141</f>
        <v>3000</v>
      </c>
      <c r="CX96" s="183">
        <f>'Su K. oro stendu'!G141</f>
        <v>10</v>
      </c>
      <c r="CY96" s="183">
        <f>[103]Alfa!$F$16</f>
        <v>9.1027624309392277E-2</v>
      </c>
      <c r="CZ96" s="183">
        <f>'Su K. oro stendu'!H141</f>
        <v>35.24</v>
      </c>
      <c r="DA96" s="183">
        <f>'Su K. oro stendu'!C141</f>
        <v>157</v>
      </c>
      <c r="DB96" s="183">
        <f>'Su K. oro stendu'!E141</f>
        <v>15.5</v>
      </c>
      <c r="DC96" s="183">
        <f>'Su K. oro stendu'!I141</f>
        <v>471</v>
      </c>
      <c r="DD96" s="183">
        <f>'Su K. oro stendu'!K141</f>
        <v>6.4</v>
      </c>
      <c r="DE96" s="183">
        <f>'Su K. oro stendu'!L141</f>
        <v>14.29</v>
      </c>
      <c r="DF96" s="183">
        <f>'Su K. oro stendu'!F141</f>
        <v>205</v>
      </c>
      <c r="DG96" s="253">
        <f>[103]Alfa!$D$29</f>
        <v>3944.6202153046747</v>
      </c>
      <c r="DH96" s="253">
        <f>[103]Alfa!$D$26</f>
        <v>7314.2516479405203</v>
      </c>
      <c r="DI96" s="253">
        <f>[103]Alfa!$D$27</f>
        <v>3706.4562555844632</v>
      </c>
      <c r="DJ96" s="253">
        <f t="shared" si="47"/>
        <v>7651.0764708891384</v>
      </c>
      <c r="DK96" s="253">
        <f t="shared" si="50"/>
        <v>7482.6640594148294</v>
      </c>
      <c r="DL96" s="253">
        <f t="shared" si="48"/>
        <v>4.6050483243006556E-2</v>
      </c>
      <c r="DM96" s="183">
        <f>New!AC96</f>
        <v>5.141244673265683E-5</v>
      </c>
      <c r="DN96" s="183">
        <f t="shared" si="36"/>
        <v>5.0323119098159997E-5</v>
      </c>
      <c r="DO96" s="183">
        <f t="shared" si="37"/>
        <v>1.0216466636810011</v>
      </c>
      <c r="DP96" s="183">
        <f t="shared" si="38"/>
        <v>112.04718760898392</v>
      </c>
      <c r="DQ96" s="297">
        <f>DH96/((DA96/3600)*New!BV96*(Sheet3!BZ96-Sheet3!CP96)*1000)</f>
        <v>0.75794906562785624</v>
      </c>
      <c r="DR96" s="166">
        <f>(DB96*0.018)/(0.011*New!IV96*3600)</f>
        <v>441.36398702542283</v>
      </c>
      <c r="DS96" s="166">
        <f>(New!IV96*New!CE96*1000)/New!AU96</f>
        <v>0.55193626425495013</v>
      </c>
      <c r="DT96" s="166">
        <f>IF(DR96&gt;2300,0.023*((DR96^(4/5)*DS96^(1/3))/(1+12.7*(DS96^(2/3)-1)))*(New!IV96/DV96)^0.14, 0.943*(DR96*DS96*New!IV96/Sheet3!DV96)^0.4)</f>
        <v>10.373170520282292</v>
      </c>
      <c r="DU96" s="166">
        <f t="shared" si="49"/>
        <v>-888.58966635133459</v>
      </c>
      <c r="DV96" s="166">
        <f>_xlfn.FORECAST.LINEAR(AVERAGE(_xlfn.ANCHORARRAY(BR96)),Sheet2!$AK$2:$AK$69,Sheet2!$AJ$2:$AJ$69)</f>
        <v>9.689433492237452E-6</v>
      </c>
    </row>
    <row r="97" spans="1:126" x14ac:dyDescent="0.3">
      <c r="A97" s="184" t="str">
        <f>'Su K. oro stendu'!B142</f>
        <v>2023.02.27-2</v>
      </c>
      <c r="B97" s="183" cm="1">
        <f t="array" ref="B97:I97">'[104]Kondensacijos efektyvumas'!$B$4:$I$4</f>
        <v>0</v>
      </c>
      <c r="C97" s="183">
        <v>42</v>
      </c>
      <c r="D97" s="183">
        <v>0</v>
      </c>
      <c r="E97" s="183">
        <v>518</v>
      </c>
      <c r="F97" s="183">
        <v>0</v>
      </c>
      <c r="G97" s="183">
        <v>478</v>
      </c>
      <c r="H97" s="183">
        <v>0</v>
      </c>
      <c r="I97" s="183">
        <v>424</v>
      </c>
      <c r="J97" s="183" cm="1">
        <f t="array" ref="J97:Q97">TRANSPOSE('[104]Nu kitimas'!$F$4:$F$11)</f>
        <v>68.611242046230515</v>
      </c>
      <c r="K97" s="183">
        <v>67.059585719037543</v>
      </c>
      <c r="L97" s="183">
        <v>68.212649890879561</v>
      </c>
      <c r="M97" s="183">
        <v>70.609707394070398</v>
      </c>
      <c r="N97" s="183">
        <v>74.184878577240966</v>
      </c>
      <c r="O97" s="183">
        <v>79.492480684001833</v>
      </c>
      <c r="P97" s="183">
        <v>86.847331189012166</v>
      </c>
      <c r="Q97" s="183">
        <v>95.062352680945892</v>
      </c>
      <c r="R97" s="183" cm="1">
        <f t="array" ref="R97:Y97">TRANSPOSE([104]Alfa!$G$18:$G$25)</f>
        <v>137.04345729309998</v>
      </c>
      <c r="S97" s="183">
        <v>131.45751892237465</v>
      </c>
      <c r="T97" s="183">
        <v>130.20713204564194</v>
      </c>
      <c r="U97" s="183">
        <v>132.66670952782451</v>
      </c>
      <c r="V97" s="183">
        <v>137.02438521566344</v>
      </c>
      <c r="W97" s="183">
        <v>144.58656085031186</v>
      </c>
      <c r="X97" s="183">
        <v>154.98423360587739</v>
      </c>
      <c r="Y97" s="183">
        <v>166.78394466778951</v>
      </c>
      <c r="Z97" s="183" cm="1">
        <f t="array" ref="Z97:AG97">TRANSPOSE([104]Alfa!$F$127:$F$134)</f>
        <v>0</v>
      </c>
      <c r="AA97" s="183">
        <v>3.7940759015475826E-2</v>
      </c>
      <c r="AB97" s="183">
        <v>0</v>
      </c>
      <c r="AC97" s="183">
        <v>0.46918940289068262</v>
      </c>
      <c r="AD97" s="183">
        <v>0</v>
      </c>
      <c r="AE97" s="183">
        <v>0.43332832080021005</v>
      </c>
      <c r="AF97" s="183">
        <v>0</v>
      </c>
      <c r="AG97" s="183">
        <v>0.38700917727895567</v>
      </c>
      <c r="AH97" s="35" cm="1">
        <f t="array" ref="AH97:AO97">TRANSPOSE('[104]Silumos kiekio nustat.'!$F$25:$F$32)</f>
        <v>471.99400631905672</v>
      </c>
      <c r="AI97" s="35">
        <v>436.73491944814594</v>
      </c>
      <c r="AJ97" s="35">
        <v>410.94079585024929</v>
      </c>
      <c r="AK97" s="35">
        <v>394.50483720554706</v>
      </c>
      <c r="AL97" s="35">
        <v>387.33449014795616</v>
      </c>
      <c r="AM97" s="35">
        <v>389.34593675104981</v>
      </c>
      <c r="AN97" s="35">
        <v>400.45906660938419</v>
      </c>
      <c r="AO97" s="35">
        <v>420.5929107805992</v>
      </c>
      <c r="AP97" s="313">
        <f t="shared" si="39"/>
        <v>6.9622361451665227E-2</v>
      </c>
      <c r="AQ97" s="35">
        <f t="shared" si="40"/>
        <v>28.822847960008723</v>
      </c>
      <c r="AR97" s="183" cm="1">
        <f t="array" ref="AR97:AY97">TRANSPOSE([104]Alfa!$E$127:$E$134)</f>
        <v>0.35792769869063967</v>
      </c>
      <c r="AS97" s="183">
        <v>0.24068507296065203</v>
      </c>
      <c r="AT97" s="183">
        <v>0.3383672957643295</v>
      </c>
      <c r="AU97" s="183">
        <v>0.22097419632313375</v>
      </c>
      <c r="AV97" s="183">
        <v>0.21033541838298311</v>
      </c>
      <c r="AW97" s="183">
        <v>0.20946354638617479</v>
      </c>
      <c r="AX97" s="183">
        <v>0.22698047357019682</v>
      </c>
      <c r="AY97" s="183">
        <v>0.22062707046341171</v>
      </c>
      <c r="AZ97" s="183">
        <f t="shared" si="33"/>
        <v>99.616858237547888</v>
      </c>
      <c r="BA97" s="183">
        <f>'Su K. oro stendu'!P142</f>
        <v>52.454000000000001</v>
      </c>
      <c r="BB97" s="183">
        <f t="shared" ref="BB97:BB102" si="51">((DB97-(B97/4000))*1000)/DA97</f>
        <v>99.616858237547888</v>
      </c>
      <c r="BC97" s="183">
        <v>52.454000000000001</v>
      </c>
      <c r="BD97" s="183">
        <f t="shared" ref="BD97:BD102" si="52">((DB97-((B97+C97)/4000))*1000)/DA97</f>
        <v>99.576628352490417</v>
      </c>
      <c r="BE97" s="183">
        <v>52.424999999999997</v>
      </c>
      <c r="BF97" s="183">
        <f t="shared" si="41"/>
        <v>99.455938697318004</v>
      </c>
      <c r="BG97" s="183">
        <v>52.424999999999997</v>
      </c>
      <c r="BH97" s="183">
        <f t="shared" si="42"/>
        <v>97.47126436781609</v>
      </c>
      <c r="BI97" s="183">
        <v>52.069000000000003</v>
      </c>
      <c r="BJ97" s="183">
        <f t="shared" si="43"/>
        <v>97.47126436781609</v>
      </c>
      <c r="BK97" s="183">
        <v>52.069000000000003</v>
      </c>
      <c r="BL97" s="183">
        <f t="shared" si="44"/>
        <v>95.639846743295024</v>
      </c>
      <c r="BM97" s="183">
        <v>51.732999999999997</v>
      </c>
      <c r="BN97" s="183">
        <f t="shared" si="45"/>
        <v>95.639846743295024</v>
      </c>
      <c r="BO97" s="183">
        <v>51.732999999999997</v>
      </c>
      <c r="BP97" s="183">
        <f t="shared" si="46"/>
        <v>94.015325670498086</v>
      </c>
      <c r="BQ97" s="183">
        <v>51.430999999999997</v>
      </c>
      <c r="BR97" s="183" cm="1">
        <f t="array" ref="BR97:BY97">TRANSPOSE('[104]Keithley Matavimai'!$W$6:$W$13)</f>
        <v>31.192112785667053</v>
      </c>
      <c r="BS97" s="183">
        <v>25.696570914872026</v>
      </c>
      <c r="BT97" s="183">
        <v>26.292692430199764</v>
      </c>
      <c r="BU97" s="183">
        <v>22.318179659342423</v>
      </c>
      <c r="BV97" s="183">
        <v>22.918531623993331</v>
      </c>
      <c r="BW97" s="183">
        <v>22.880482027605535</v>
      </c>
      <c r="BX97" s="183">
        <v>21.183559847058209</v>
      </c>
      <c r="BY97" s="183">
        <v>14.994836075366205</v>
      </c>
      <c r="BZ97" s="183" cm="1">
        <f t="array" ref="BZ97:CH97">TRANSPOSE('[104]Keithley Matavimai'!$V$5:$V$13)</f>
        <v>204.79912890993796</v>
      </c>
      <c r="CA97" s="183">
        <v>192.16788039042481</v>
      </c>
      <c r="CB97" s="183">
        <v>183.68926254493499</v>
      </c>
      <c r="CC97" s="183">
        <v>171.67101830341338</v>
      </c>
      <c r="CD97" s="183">
        <v>164.6576446326786</v>
      </c>
      <c r="CE97" s="183">
        <v>157.04849706589906</v>
      </c>
      <c r="CF97" s="183">
        <v>150.17036117743351</v>
      </c>
      <c r="CG97" s="183">
        <v>141.78184457623743</v>
      </c>
      <c r="CH97" s="183">
        <v>134.16911185247656</v>
      </c>
      <c r="CI97" s="183" cm="1">
        <f t="array" ref="CI97:CQ97">TRANSPOSE('[104]Silumos kiekio nustat.'!$B$24:$B$32)</f>
        <v>18.491212366830894</v>
      </c>
      <c r="CJ97" s="183">
        <v>16.816890282221561</v>
      </c>
      <c r="CK97" s="183">
        <v>15.263522612896189</v>
      </c>
      <c r="CL97" s="183">
        <v>13.798305835353109</v>
      </c>
      <c r="CM97" s="183">
        <v>12.388436426090649</v>
      </c>
      <c r="CN97" s="183">
        <v>11.001110861607135</v>
      </c>
      <c r="CO97" s="183">
        <v>9.6035256184008961</v>
      </c>
      <c r="CP97" s="183">
        <v>8.1628771729702621</v>
      </c>
      <c r="CQ97" s="183">
        <v>6.6463620018135607</v>
      </c>
      <c r="CR97" s="183">
        <f>'Su K. oro stendu'!P142</f>
        <v>52.454000000000001</v>
      </c>
      <c r="CS97" s="183"/>
      <c r="CT97" s="183"/>
      <c r="CU97" s="183">
        <f>[104]Alfa!$F$15</f>
        <v>900</v>
      </c>
      <c r="CV97" s="172">
        <f>'Su K. oro stendu'!J142</f>
        <v>3</v>
      </c>
      <c r="CW97" s="183">
        <f>'Su K. oro stendu'!D142</f>
        <v>5000</v>
      </c>
      <c r="CX97" s="183">
        <f>'Su K. oro stendu'!G142</f>
        <v>10</v>
      </c>
      <c r="CY97" s="183">
        <f>[104]Alfa!$F$16</f>
        <v>9.7466666666666674E-2</v>
      </c>
      <c r="CZ97" s="183">
        <f>'Su K. oro stendu'!H142</f>
        <v>22.49</v>
      </c>
      <c r="DA97" s="183">
        <f>'Su K. oro stendu'!C142</f>
        <v>261</v>
      </c>
      <c r="DB97" s="183">
        <f>'Su K. oro stendu'!E142</f>
        <v>26</v>
      </c>
      <c r="DC97" s="183">
        <f>'Su K. oro stendu'!I142</f>
        <v>774</v>
      </c>
      <c r="DD97" s="183">
        <f>'Su K. oro stendu'!K142</f>
        <v>6.48</v>
      </c>
      <c r="DE97" s="183">
        <f>'Su K. oro stendu'!L142</f>
        <v>11.99</v>
      </c>
      <c r="DF97" s="183">
        <f>'Su K. oro stendu'!F142</f>
        <v>205</v>
      </c>
      <c r="DG97" s="253">
        <f>[104]Alfa!$D$29</f>
        <v>6076.0823176245649</v>
      </c>
      <c r="DH97" s="253">
        <f>[104]Alfa!$D$26</f>
        <v>10066.693541893957</v>
      </c>
      <c r="DI97" s="253">
        <f>[104]Alfa!$D$27</f>
        <v>3982.4029799559721</v>
      </c>
      <c r="DJ97" s="253">
        <f t="shared" si="47"/>
        <v>10058.485297580537</v>
      </c>
      <c r="DK97" s="253">
        <f t="shared" si="50"/>
        <v>10062.589419737247</v>
      </c>
      <c r="DL97" s="253">
        <f t="shared" si="48"/>
        <v>8.1538633109875418E-4</v>
      </c>
      <c r="DM97" s="183">
        <f>New!AC97</f>
        <v>5.1433561935002782E-5</v>
      </c>
      <c r="DN97" s="183">
        <f t="shared" si="36"/>
        <v>5.0323119098159997E-5</v>
      </c>
      <c r="DO97" s="183">
        <f t="shared" si="37"/>
        <v>1.0220662561610452</v>
      </c>
      <c r="DP97" s="183">
        <f t="shared" ref="DP97:DP102" si="53">AVERAGE(_xlfn.ANCHORARRAY(R97))</f>
        <v>141.84424276607291</v>
      </c>
      <c r="DQ97" s="297">
        <f>DH97/((DA97/3600)*New!BV97*(Sheet3!BZ97-Sheet3!CP97)*1000)</f>
        <v>0.62746984848727216</v>
      </c>
      <c r="DR97" s="166">
        <f>(DB97*0.018)/(0.011*New!IV97*3600)</f>
        <v>740.35249436522543</v>
      </c>
      <c r="DS97" s="166">
        <f>(New!IV97*New!CE97*1000)/New!AU97</f>
        <v>0.55193626425495013</v>
      </c>
      <c r="DT97" s="166">
        <f>IF(DR97&gt;2300,0.023*((DR97^(4/5)*DS97^(1/3))/(1+12.7*(DS97^(2/3)-1)))*(New!IV97/DV97)^0.14, 0.943*(DR97*DS97*New!IV97/Sheet3!DV97)^0.4)</f>
        <v>12.801843544372229</v>
      </c>
      <c r="DU97" s="166">
        <f t="shared" si="49"/>
        <v>-872.32237158844873</v>
      </c>
      <c r="DV97" s="166">
        <f>_xlfn.FORECAST.LINEAR(AVERAGE(_xlfn.ANCHORARRAY(BR97)),Sheet2!$AK$2:$AK$69,Sheet2!$AJ$2:$AJ$69)</f>
        <v>9.6058884865182433E-6</v>
      </c>
    </row>
    <row r="98" spans="1:126" x14ac:dyDescent="0.3">
      <c r="A98" s="184" t="str">
        <f>'Su K. oro stendu'!B143</f>
        <v>2023.02.28-1</v>
      </c>
      <c r="B98" s="183" cm="1">
        <f t="array" ref="B98:I98">'[105]Kondensacijos efektyvumas'!$B$4:$I$4</f>
        <v>25</v>
      </c>
      <c r="C98" s="183">
        <v>392</v>
      </c>
      <c r="D98" s="183">
        <v>16</v>
      </c>
      <c r="E98" s="183">
        <v>452</v>
      </c>
      <c r="F98" s="183">
        <v>15</v>
      </c>
      <c r="G98" s="183">
        <v>470</v>
      </c>
      <c r="H98" s="183">
        <v>13</v>
      </c>
      <c r="I98" s="183">
        <v>412</v>
      </c>
      <c r="J98" s="183" cm="1">
        <f t="array" ref="J98:Q98">TRANSPOSE('[105]Nu kitimas'!$G$4:$G$11)</f>
        <v>161.17915041210173</v>
      </c>
      <c r="K98" s="183">
        <v>151.53020514487346</v>
      </c>
      <c r="L98" s="183">
        <v>149.46778216848253</v>
      </c>
      <c r="M98" s="183">
        <v>150.48630569053327</v>
      </c>
      <c r="N98" s="183">
        <v>155.69327135778119</v>
      </c>
      <c r="O98" s="183">
        <v>165.58037262397863</v>
      </c>
      <c r="P98" s="183">
        <v>177.40395263032187</v>
      </c>
      <c r="Q98" s="183">
        <v>188.19979281624467</v>
      </c>
      <c r="R98" s="183" cm="1">
        <f t="array" ref="R98:Y98">TRANSPOSE([105]Alfa!$G$18:$G$25)</f>
        <v>249.46250700189685</v>
      </c>
      <c r="S98" s="183">
        <v>232.74880399106283</v>
      </c>
      <c r="T98" s="183">
        <v>227.11249643083181</v>
      </c>
      <c r="U98" s="183">
        <v>227.88204185387309</v>
      </c>
      <c r="V98" s="183">
        <v>233.85762613129864</v>
      </c>
      <c r="W98" s="183">
        <v>247.33220860765948</v>
      </c>
      <c r="X98" s="183">
        <v>263.08706556164049</v>
      </c>
      <c r="Y98" s="183">
        <v>277.61222559804423</v>
      </c>
      <c r="Z98" s="183" cm="1">
        <f t="array" ref="Z98:AG98">TRANSPOSE([105]Alfa!$F$127:$F$134)</f>
        <v>2.2608015216247723E-2</v>
      </c>
      <c r="AA98" s="183">
        <v>0.35554153223442592</v>
      </c>
      <c r="AB98" s="183">
        <v>1.453553659066136E-2</v>
      </c>
      <c r="AC98" s="183">
        <v>0.410973117844393</v>
      </c>
      <c r="AD98" s="183">
        <v>1.3646249638129429E-2</v>
      </c>
      <c r="AE98" s="183">
        <v>0.42793102333790672</v>
      </c>
      <c r="AF98" s="183">
        <v>1.185498811772928E-2</v>
      </c>
      <c r="AG98" s="183">
        <v>0.37677349391600257</v>
      </c>
      <c r="AH98" s="35" cm="1">
        <f t="array" ref="AH98:AO98">TRANSPOSE('[105]Silumos kiekio nustat.'!$F$25:$F$32)</f>
        <v>295.65041070428271</v>
      </c>
      <c r="AI98" s="35">
        <v>272.68952602563826</v>
      </c>
      <c r="AJ98" s="35">
        <v>256.30390389731542</v>
      </c>
      <c r="AK98" s="35">
        <v>246.43779233861352</v>
      </c>
      <c r="AL98" s="35">
        <v>243.0426647500669</v>
      </c>
      <c r="AM98" s="35">
        <v>246.07404330296228</v>
      </c>
      <c r="AN98" s="35">
        <v>255.48855084753092</v>
      </c>
      <c r="AO98" s="35">
        <v>271.24118410465832</v>
      </c>
      <c r="AP98" s="313">
        <f t="shared" si="39"/>
        <v>6.8753632752852345E-2</v>
      </c>
      <c r="AQ98" s="35">
        <f t="shared" si="40"/>
        <v>17.935485814616445</v>
      </c>
      <c r="AR98" s="183" cm="1">
        <f t="array" ref="AR98:AY98">TRANSPOSE([105]Alfa!$E$127:$E$134)</f>
        <v>8.8947315743566083E-2</v>
      </c>
      <c r="AS98" s="183">
        <v>8.231629212929438E-2</v>
      </c>
      <c r="AT98" s="183">
        <v>8.9205539099433406E-2</v>
      </c>
      <c r="AU98" s="183">
        <v>5.47690349421368E-2</v>
      </c>
      <c r="AV98" s="183">
        <v>6.5702475685412848E-2</v>
      </c>
      <c r="AW98" s="183">
        <v>6.8894260951037414E-2</v>
      </c>
      <c r="AX98" s="183">
        <v>5.6980856366531052E-2</v>
      </c>
      <c r="AY98" s="183">
        <v>6.3043970647013767E-2</v>
      </c>
      <c r="AZ98" s="183">
        <f t="shared" si="33"/>
        <v>100.47846889952153</v>
      </c>
      <c r="BA98" s="183">
        <f>'Su K. oro stendu'!P143</f>
        <v>52.606000000000002</v>
      </c>
      <c r="BB98" s="183">
        <f t="shared" si="51"/>
        <v>100.44856459330144</v>
      </c>
      <c r="BC98" s="183">
        <v>52.585000000000001</v>
      </c>
      <c r="BD98" s="183">
        <f t="shared" si="52"/>
        <v>99.979665071770341</v>
      </c>
      <c r="BE98" s="183">
        <v>52.250999999999998</v>
      </c>
      <c r="BF98" s="183">
        <f t="shared" si="41"/>
        <v>98.406698564593299</v>
      </c>
      <c r="BG98" s="183">
        <v>52.238</v>
      </c>
      <c r="BH98" s="183">
        <f t="shared" si="42"/>
        <v>96.244019138755988</v>
      </c>
      <c r="BI98" s="183">
        <v>51.844999999999999</v>
      </c>
      <c r="BJ98" s="183">
        <f t="shared" si="43"/>
        <v>96.172248803827756</v>
      </c>
      <c r="BK98" s="183">
        <v>51.832000000000001</v>
      </c>
      <c r="BL98" s="183">
        <f t="shared" si="44"/>
        <v>93.923444976076553</v>
      </c>
      <c r="BM98" s="183">
        <v>51.412999999999997</v>
      </c>
      <c r="BN98" s="183">
        <f t="shared" si="45"/>
        <v>93.861244019138752</v>
      </c>
      <c r="BO98" s="183">
        <v>51.402000000000001</v>
      </c>
      <c r="BP98" s="183">
        <f t="shared" si="46"/>
        <v>91.889952153110045</v>
      </c>
      <c r="BQ98" s="183">
        <v>51.026000000000003</v>
      </c>
      <c r="BR98" s="183" cm="1">
        <f t="array" ref="BR98:BY98">TRANSPOSE('[105]Keithley Matavimai'!$W$6:$W$13)</f>
        <v>25.152056508806073</v>
      </c>
      <c r="BS98" s="183">
        <v>22.137672432893037</v>
      </c>
      <c r="BT98" s="183">
        <v>21.644744027624228</v>
      </c>
      <c r="BU98" s="183">
        <v>18.432534094548405</v>
      </c>
      <c r="BV98" s="183">
        <v>18.548111565500179</v>
      </c>
      <c r="BW98" s="183">
        <v>18.570406349960386</v>
      </c>
      <c r="BX98" s="183">
        <v>16.737853220697563</v>
      </c>
      <c r="BY98" s="183">
        <v>13.070629648023772</v>
      </c>
      <c r="BZ98" s="183" cm="1">
        <f t="array" ref="BZ98:CH98">TRANSPOSE('[105]Keithley Matavimai'!$V$5:$V$13)</f>
        <v>84.978498096739074</v>
      </c>
      <c r="CA98" s="183">
        <v>80.86785894236526</v>
      </c>
      <c r="CB98" s="183">
        <v>77.416362562051475</v>
      </c>
      <c r="CC98" s="183">
        <v>73.213820922301764</v>
      </c>
      <c r="CD98" s="183">
        <v>71.045652830541499</v>
      </c>
      <c r="CE98" s="183">
        <v>67.897365848430084</v>
      </c>
      <c r="CF98" s="183">
        <v>64.983741273750681</v>
      </c>
      <c r="CG98" s="183">
        <v>62.201602964729659</v>
      </c>
      <c r="CH98" s="183">
        <v>59.441648220599234</v>
      </c>
      <c r="CI98" s="183" cm="1">
        <f t="array" ref="CI98:CQ98">TRANSPOSE('[105]Silumos kiekio nustat.'!$B$24:$B$32)</f>
        <v>15.400792074267809</v>
      </c>
      <c r="CJ98" s="183">
        <v>14.099962911428641</v>
      </c>
      <c r="CK98" s="183">
        <v>12.897736053659928</v>
      </c>
      <c r="CL98" s="183">
        <v>11.765642104455873</v>
      </c>
      <c r="CM98" s="183">
        <v>10.67521166731068</v>
      </c>
      <c r="CN98" s="183">
        <v>9.5979753457185559</v>
      </c>
      <c r="CO98" s="183">
        <v>8.5054637431737028</v>
      </c>
      <c r="CP98" s="183">
        <v>7.3692074631703228</v>
      </c>
      <c r="CQ98" s="183">
        <v>6.1607371092026231</v>
      </c>
      <c r="CR98" s="183">
        <f>'Su K. oro stendu'!P143</f>
        <v>52.606000000000002</v>
      </c>
      <c r="CS98" s="183"/>
      <c r="CT98" s="183"/>
      <c r="CU98" s="183">
        <f>[105]Alfa!$F$15</f>
        <v>900</v>
      </c>
      <c r="CV98" s="172">
        <f>'Su K. oro stendu'!J143</f>
        <v>3</v>
      </c>
      <c r="CW98" s="183">
        <f>'Su K. oro stendu'!D143</f>
        <v>5000</v>
      </c>
      <c r="CX98" s="183">
        <f>'Su K. oro stendu'!G143</f>
        <v>10</v>
      </c>
      <c r="CY98" s="183">
        <f>[105]Alfa!$F$16</f>
        <v>0.11966666666666667</v>
      </c>
      <c r="CZ98" s="183">
        <f>'Su K. oro stendu'!H143</f>
        <v>34.19</v>
      </c>
      <c r="DA98" s="183">
        <f>'Su K. oro stendu'!C143</f>
        <v>209</v>
      </c>
      <c r="DB98" s="183">
        <f>'Su K. oro stendu'!E143</f>
        <v>21</v>
      </c>
      <c r="DC98" s="183">
        <f>'Su K. oro stendu'!I143</f>
        <v>627</v>
      </c>
      <c r="DD98" s="183">
        <f>'Su K. oro stendu'!K143</f>
        <v>6.03</v>
      </c>
      <c r="DE98" s="183">
        <f>'Su K. oro stendu'!L143</f>
        <v>9.34</v>
      </c>
      <c r="DF98" s="183">
        <f>'Su K. oro stendu'!F143</f>
        <v>85</v>
      </c>
      <c r="DG98" s="253">
        <f>[105]Alfa!$D$29</f>
        <v>1709.5792366932774</v>
      </c>
      <c r="DH98" s="253">
        <f>[105]Alfa!$D$26</f>
        <v>6332.9647573364191</v>
      </c>
      <c r="DI98" s="253">
        <f>[105]Alfa!$D$27</f>
        <v>4901.5918706864877</v>
      </c>
      <c r="DJ98" s="253">
        <f t="shared" si="47"/>
        <v>6611.1711073797651</v>
      </c>
      <c r="DK98" s="253">
        <f t="shared" si="50"/>
        <v>6472.0679323580916</v>
      </c>
      <c r="DL98" s="253">
        <f t="shared" si="48"/>
        <v>4.392987498012807E-2</v>
      </c>
      <c r="DM98" s="183">
        <f>New!AC98</f>
        <v>2.914189363770639E-5</v>
      </c>
      <c r="DN98" s="183">
        <f t="shared" si="36"/>
        <v>3.5049529086959997E-5</v>
      </c>
      <c r="DO98" s="183">
        <f t="shared" si="37"/>
        <v>0.8314489351740959</v>
      </c>
      <c r="DP98" s="183">
        <f t="shared" si="53"/>
        <v>244.88687189703845</v>
      </c>
      <c r="DQ98" s="297">
        <f>DH98/((DA98/3600)*New!BV98*(Sheet3!BZ98-Sheet3!CP98)*1000)</f>
        <v>1.2777097119592709</v>
      </c>
      <c r="DR98" s="166">
        <f>(DB98*0.018)/(0.011*New!IV98*3600)</f>
        <v>811.58929668330188</v>
      </c>
      <c r="DS98" s="166">
        <f>(New!IV98*New!CE98*1000)/New!AU98</f>
        <v>0.86323913019559584</v>
      </c>
      <c r="DT98" s="166">
        <f>IF(DR98&gt;2300,0.023*((DR98^(4/5)*DS98^(1/3))/(1+12.7*(DS98^(2/3)-1)))*(New!IV98/DV98)^0.14, 0.943*(DR98*DS98*New!IV98/Sheet3!DV98)^0.4)</f>
        <v>14.142108840784148</v>
      </c>
      <c r="DU98" s="166">
        <f t="shared" si="49"/>
        <v>-1123.5470110291899</v>
      </c>
      <c r="DV98" s="166">
        <f>_xlfn.FORECAST.LINEAR(AVERAGE(_xlfn.ANCHORARRAY(BR98)),Sheet2!$AK$2:$AK$69,Sheet2!$AJ$2:$AJ$69)</f>
        <v>9.4606619801549584E-6</v>
      </c>
    </row>
    <row r="99" spans="1:126" x14ac:dyDescent="0.3">
      <c r="A99" s="184" t="str">
        <f>'Su K. oro stendu'!B144</f>
        <v>2023.02.28-2</v>
      </c>
      <c r="B99" s="183" cm="1">
        <f t="array" ref="B99:I99">'[106]Kondensacijos efektyvumas'!$B$4:$I$4</f>
        <v>4</v>
      </c>
      <c r="C99" s="183">
        <v>326</v>
      </c>
      <c r="D99" s="183">
        <v>4</v>
      </c>
      <c r="E99" s="183">
        <v>486</v>
      </c>
      <c r="F99" s="183">
        <v>2</v>
      </c>
      <c r="G99" s="183">
        <v>459</v>
      </c>
      <c r="H99" s="183">
        <v>5</v>
      </c>
      <c r="I99" s="183">
        <v>405</v>
      </c>
      <c r="J99" s="183" cm="1">
        <f t="array" ref="J99:Q99">TRANSPOSE('[106]Nu kitimas'!$F$4:$F$11)</f>
        <v>93.128713586436518</v>
      </c>
      <c r="K99" s="183">
        <v>87.117723005189205</v>
      </c>
      <c r="L99" s="183">
        <v>85.976015890931606</v>
      </c>
      <c r="M99" s="183">
        <v>86.592339604707391</v>
      </c>
      <c r="N99" s="183">
        <v>90.294344322497608</v>
      </c>
      <c r="O99" s="183">
        <v>96.895736281949368</v>
      </c>
      <c r="P99" s="183">
        <v>105.88167921389811</v>
      </c>
      <c r="Q99" s="183">
        <v>116.7862910610942</v>
      </c>
      <c r="R99" s="183" cm="1">
        <f t="array" ref="R99:Y99">TRANSPOSE([106]Alfa!$G$18:$G$25)</f>
        <v>166.28593556193096</v>
      </c>
      <c r="S99" s="183">
        <v>153.2003452158722</v>
      </c>
      <c r="T99" s="183">
        <v>148.2583895406456</v>
      </c>
      <c r="U99" s="183">
        <v>147.98361204050335</v>
      </c>
      <c r="V99" s="183">
        <v>152.01606332983096</v>
      </c>
      <c r="W99" s="183">
        <v>161.48389577448654</v>
      </c>
      <c r="X99" s="183">
        <v>174.07539242949846</v>
      </c>
      <c r="Y99" s="183">
        <v>189.40611070664221</v>
      </c>
      <c r="Z99" s="183" cm="1">
        <f t="array" ref="Z99:AG99">TRANSPOSE([106]Alfa!$F$127:$F$134)</f>
        <v>3.5904723768912E-3</v>
      </c>
      <c r="AA99" s="183">
        <v>0.29377336862959724</v>
      </c>
      <c r="AB99" s="183">
        <v>3.610916982960104E-3</v>
      </c>
      <c r="AC99" s="183">
        <v>0.43895107222095081</v>
      </c>
      <c r="AD99" s="183">
        <v>1.8066742703452578E-3</v>
      </c>
      <c r="AE99" s="183">
        <v>0.41492087428373714</v>
      </c>
      <c r="AF99" s="183">
        <v>4.5293828170242202E-3</v>
      </c>
      <c r="AG99" s="183">
        <v>0.36848524296992657</v>
      </c>
      <c r="AH99" s="35" cm="1">
        <f t="array" ref="AH99:AO99">TRANSPOSE('[106]Silumos kiekio nustat.'!$F$25:$F$32)</f>
        <v>388.0541269970654</v>
      </c>
      <c r="AI99" s="35">
        <v>349.20057798267442</v>
      </c>
      <c r="AJ99" s="35">
        <v>320.88587778808647</v>
      </c>
      <c r="AK99" s="35">
        <v>303.00668246373459</v>
      </c>
      <c r="AL99" s="35">
        <v>295.47673601828222</v>
      </c>
      <c r="AM99" s="35">
        <v>298.21968949651887</v>
      </c>
      <c r="AN99" s="35">
        <v>311.16247152752607</v>
      </c>
      <c r="AO99" s="35">
        <v>334.22917227380395</v>
      </c>
      <c r="AP99" s="313">
        <f t="shared" si="39"/>
        <v>9.678745129621949E-2</v>
      </c>
      <c r="AQ99" s="35">
        <f t="shared" si="40"/>
        <v>31.458768850155469</v>
      </c>
      <c r="AR99" s="183" cm="1">
        <f t="array" ref="AR99:AY99">TRANSPOSE([106]Alfa!$E$127:$E$134)</f>
        <v>0.17815094954814822</v>
      </c>
      <c r="AS99" s="183">
        <v>0.18210653545402841</v>
      </c>
      <c r="AT99" s="183">
        <v>0.20953212491659831</v>
      </c>
      <c r="AU99" s="183">
        <v>0.12134158499000929</v>
      </c>
      <c r="AV99" s="183">
        <v>0.15536006751713663</v>
      </c>
      <c r="AW99" s="183">
        <v>0.12865860186153169</v>
      </c>
      <c r="AX99" s="183">
        <v>0.13713724792946005</v>
      </c>
      <c r="AY99" s="183">
        <v>0.15723265264945288</v>
      </c>
      <c r="AZ99" s="183">
        <f t="shared" si="33"/>
        <v>98.76543209876543</v>
      </c>
      <c r="BA99" s="183">
        <f>'Su K. oro stendu'!P144</f>
        <v>52.302</v>
      </c>
      <c r="BB99" s="183">
        <f t="shared" si="51"/>
        <v>98.761316872427983</v>
      </c>
      <c r="BC99" s="183">
        <v>52.298999999999999</v>
      </c>
      <c r="BD99" s="183">
        <f t="shared" si="52"/>
        <v>98.425925925925924</v>
      </c>
      <c r="BE99" s="183">
        <v>52.057000000000002</v>
      </c>
      <c r="BF99" s="183">
        <f t="shared" si="41"/>
        <v>97.390946502057616</v>
      </c>
      <c r="BG99" s="183">
        <v>52.054000000000002</v>
      </c>
      <c r="BH99" s="183">
        <f t="shared" si="42"/>
        <v>95.390946502057616</v>
      </c>
      <c r="BI99" s="183">
        <v>51.686999999999998</v>
      </c>
      <c r="BJ99" s="183">
        <f t="shared" si="43"/>
        <v>95.382716049382722</v>
      </c>
      <c r="BK99" s="183">
        <v>51.686</v>
      </c>
      <c r="BL99" s="183">
        <f t="shared" si="44"/>
        <v>93.493827160493822</v>
      </c>
      <c r="BM99" s="183">
        <v>51.332000000000001</v>
      </c>
      <c r="BN99" s="183">
        <f t="shared" si="45"/>
        <v>93.473251028806587</v>
      </c>
      <c r="BO99" s="183">
        <v>51.328000000000003</v>
      </c>
      <c r="BP99" s="183">
        <f t="shared" si="46"/>
        <v>91.806584362139915</v>
      </c>
      <c r="BQ99" s="183">
        <v>51.01</v>
      </c>
      <c r="BR99" s="183" cm="1">
        <f t="array" ref="BR99:BY99">TRANSPOSE('[106]Keithley Matavimai'!$W$6:$W$13)</f>
        <v>27.173845115887655</v>
      </c>
      <c r="BS99" s="183">
        <v>22.830299463603748</v>
      </c>
      <c r="BT99" s="183">
        <v>23.03990703170366</v>
      </c>
      <c r="BU99" s="183">
        <v>19.585983563157875</v>
      </c>
      <c r="BV99" s="183">
        <v>19.891961539463203</v>
      </c>
      <c r="BW99" s="183">
        <v>19.944053740880332</v>
      </c>
      <c r="BX99" s="183">
        <v>18.680536799910698</v>
      </c>
      <c r="BY99" s="183">
        <v>12.322129421570033</v>
      </c>
      <c r="BZ99" s="183" cm="1">
        <f t="array" ref="BZ99:CH99">TRANSPOSE('[106]Keithley Matavimai'!$V$5:$V$13)</f>
        <v>144.19368635068756</v>
      </c>
      <c r="CA99" s="183">
        <v>137.29300720509647</v>
      </c>
      <c r="CB99" s="183">
        <v>130.65229570660799</v>
      </c>
      <c r="CC99" s="183">
        <v>122.38170257296896</v>
      </c>
      <c r="CD99" s="183">
        <v>118.20637110882592</v>
      </c>
      <c r="CE99" s="183">
        <v>111.94215607699807</v>
      </c>
      <c r="CF99" s="183">
        <v>107.2896722118719</v>
      </c>
      <c r="CG99" s="183">
        <v>101.6566245080307</v>
      </c>
      <c r="CH99" s="183">
        <v>95.605171553098145</v>
      </c>
      <c r="CI99" s="183" cm="1">
        <f t="array" ref="CI99:CQ99">TRANSPOSE('[106]Silumos kiekio nustat.'!$B$24:$B$32)</f>
        <v>16.464157023627731</v>
      </c>
      <c r="CJ99" s="183">
        <v>14.991930803981834</v>
      </c>
      <c r="CK99" s="183">
        <v>13.664095185371192</v>
      </c>
      <c r="CL99" s="183">
        <v>12.44142394149263</v>
      </c>
      <c r="CM99" s="183">
        <v>11.284690846042988</v>
      </c>
      <c r="CN99" s="183">
        <v>10.154669672719091</v>
      </c>
      <c r="CO99" s="183">
        <v>9.0121341952177794</v>
      </c>
      <c r="CP99" s="183">
        <v>7.8178581872358777</v>
      </c>
      <c r="CQ99" s="183">
        <v>6.532615422470224</v>
      </c>
      <c r="CR99" s="183">
        <f>'Su K. oro stendu'!P144</f>
        <v>52.302</v>
      </c>
      <c r="CS99" s="183"/>
      <c r="CT99" s="183"/>
      <c r="CU99" s="183">
        <f>[106]Alfa!$F$15</f>
        <v>905</v>
      </c>
      <c r="CV99" s="172">
        <f>'Su K. oro stendu'!J144</f>
        <v>3</v>
      </c>
      <c r="CW99" s="183">
        <f>'Su K. oro stendu'!D144</f>
        <v>5000</v>
      </c>
      <c r="CX99" s="183">
        <f>'Su K. oro stendu'!G144</f>
        <v>10</v>
      </c>
      <c r="CY99" s="183">
        <f>[106]Alfa!$F$16</f>
        <v>0.11211049723756907</v>
      </c>
      <c r="CZ99" s="183">
        <f>'Su K. oro stendu'!H144</f>
        <v>28.03</v>
      </c>
      <c r="DA99" s="183">
        <f>'Su K. oro stendu'!C144</f>
        <v>243</v>
      </c>
      <c r="DB99" s="183">
        <f>'Su K. oro stendu'!E144</f>
        <v>24</v>
      </c>
      <c r="DC99" s="183">
        <f>'Su K. oro stendu'!I144</f>
        <v>726</v>
      </c>
      <c r="DD99" s="183">
        <f>'Su K. oro stendu'!K144</f>
        <v>6.39</v>
      </c>
      <c r="DE99" s="183">
        <f>'Su K. oro stendu'!L144</f>
        <v>10.07</v>
      </c>
      <c r="DF99" s="183">
        <f>'Su K. oro stendu'!F144</f>
        <v>145</v>
      </c>
      <c r="DG99" s="253">
        <f>[106]Alfa!$D$29</f>
        <v>3808.5592945990966</v>
      </c>
      <c r="DH99" s="253">
        <f>[106]Alfa!$D$26</f>
        <v>7913.6319454352624</v>
      </c>
      <c r="DI99" s="253">
        <f>[106]Alfa!$D$27</f>
        <v>4589.0040136542984</v>
      </c>
      <c r="DJ99" s="253">
        <f t="shared" si="47"/>
        <v>8397.563308253395</v>
      </c>
      <c r="DK99" s="253">
        <f t="shared" si="50"/>
        <v>8155.5976268443283</v>
      </c>
      <c r="DL99" s="253">
        <f t="shared" si="48"/>
        <v>6.1151613589670875E-2</v>
      </c>
      <c r="DM99" s="183">
        <f>New!AC99</f>
        <v>3.96155674899428E-5</v>
      </c>
      <c r="DN99" s="183">
        <f t="shared" si="36"/>
        <v>4.2388323940559999E-5</v>
      </c>
      <c r="DO99" s="183">
        <f t="shared" si="37"/>
        <v>0.93458678728356048</v>
      </c>
      <c r="DP99" s="183">
        <f t="shared" si="53"/>
        <v>161.58871807492628</v>
      </c>
      <c r="DQ99" s="297">
        <f>DH99/((DA99/3600)*New!BV99*(Sheet3!BZ99-Sheet3!CP99)*1000)</f>
        <v>0.77355447969036895</v>
      </c>
      <c r="DR99" s="166">
        <f>(DB99*0.018)/(0.011*New!IV99*3600)</f>
        <v>786.96828884072727</v>
      </c>
      <c r="DS99" s="166">
        <f>(New!IV99*New!CE99*1000)/New!AU99</f>
        <v>0.64719895598215416</v>
      </c>
      <c r="DT99" s="166">
        <f>IF(DR99&gt;2300,0.023*((DR99^(4/5)*DS99^(1/3))/(1+12.7*(DS99^(2/3)-1)))*(New!IV99/DV99)^0.14, 0.943*(DR99*DS99*New!IV99/Sheet3!DV99)^0.4)</f>
        <v>13.272046280378548</v>
      </c>
      <c r="DU99" s="166">
        <f t="shared" si="49"/>
        <v>-958.26549295224891</v>
      </c>
      <c r="DV99" s="166">
        <f>_xlfn.FORECAST.LINEAR(AVERAGE(_xlfn.ANCHORARRAY(BR99)),Sheet2!$AK$2:$AK$69,Sheet2!$AJ$2:$AJ$69)</f>
        <v>9.5008154507840989E-6</v>
      </c>
    </row>
    <row r="100" spans="1:126" x14ac:dyDescent="0.3">
      <c r="A100" s="184" t="str">
        <f>'Su K. oro stendu'!B145</f>
        <v>2023.03.01</v>
      </c>
      <c r="B100" s="183" cm="1">
        <f t="array" ref="B100:I100">'[107]Kondensacijos efektyvumas'!$B$4:$I$4</f>
        <v>12</v>
      </c>
      <c r="C100" s="183">
        <v>331</v>
      </c>
      <c r="D100" s="183">
        <v>10</v>
      </c>
      <c r="E100" s="183">
        <v>486</v>
      </c>
      <c r="F100" s="183">
        <v>7</v>
      </c>
      <c r="G100" s="183">
        <v>557</v>
      </c>
      <c r="H100" s="183">
        <v>10</v>
      </c>
      <c r="I100" s="183">
        <v>493</v>
      </c>
      <c r="J100" s="183" cm="1">
        <f t="array" ref="J100:Q100">TRANSPOSE('[107]Nu kitimas'!$H$4:$H$11)</f>
        <v>182.36105253280198</v>
      </c>
      <c r="K100" s="183">
        <v>168.3692061338283</v>
      </c>
      <c r="L100" s="183">
        <v>163.86860415815471</v>
      </c>
      <c r="M100" s="183">
        <v>166.78988494026464</v>
      </c>
      <c r="N100" s="183">
        <v>176.1804903074499</v>
      </c>
      <c r="O100" s="183">
        <v>194.81648547365162</v>
      </c>
      <c r="P100" s="183">
        <v>219.26147669632937</v>
      </c>
      <c r="Q100" s="183">
        <v>246.90627482447158</v>
      </c>
      <c r="R100" s="183" cm="1">
        <f t="array" ref="R100:Y100">TRANSPOSE([107]Alfa!$G$18:$G$25)</f>
        <v>281.62818400104516</v>
      </c>
      <c r="S100" s="183">
        <v>258.30767330849568</v>
      </c>
      <c r="T100" s="183">
        <v>249.18723945264452</v>
      </c>
      <c r="U100" s="183">
        <v>252.3667557306774</v>
      </c>
      <c r="V100" s="183">
        <v>265.11654013548292</v>
      </c>
      <c r="W100" s="183">
        <v>291.15655853072838</v>
      </c>
      <c r="X100" s="183">
        <v>326.18797014787549</v>
      </c>
      <c r="Y100" s="183">
        <v>365.32464152263492</v>
      </c>
      <c r="Z100" s="183" cm="1">
        <f t="array" ref="Z100:AG100">TRANSPOSE([107]Alfa!$F$127:$F$134)</f>
        <v>1.0916038395675618E-2</v>
      </c>
      <c r="AA100" s="183">
        <v>0.30170734098948609</v>
      </c>
      <c r="AB100" s="183">
        <v>9.1240947350460389E-3</v>
      </c>
      <c r="AC100" s="183">
        <v>0.44360419630323905</v>
      </c>
      <c r="AD100" s="183">
        <v>6.3905973592634476E-3</v>
      </c>
      <c r="AE100" s="183">
        <v>0.50871304838073839</v>
      </c>
      <c r="AF100" s="183">
        <v>9.1423311202243254E-3</v>
      </c>
      <c r="AG100" s="183">
        <v>0.45162683896080563</v>
      </c>
      <c r="AH100" s="35" cm="1">
        <f t="array" ref="AH100:AO100">TRANSPOSE('[107]Silumos kiekio nustat.'!$F$25:$F$32)</f>
        <v>368.34719109212182</v>
      </c>
      <c r="AI100" s="35">
        <v>333.25546112573454</v>
      </c>
      <c r="AJ100" s="35">
        <v>311.37473262179202</v>
      </c>
      <c r="AK100" s="35">
        <v>302.63899137968139</v>
      </c>
      <c r="AL100" s="35">
        <v>306.99023044619275</v>
      </c>
      <c r="AM100" s="35">
        <v>324.37229188359811</v>
      </c>
      <c r="AN100" s="35">
        <v>354.7250071285701</v>
      </c>
      <c r="AO100" s="35">
        <v>397.97865632185153</v>
      </c>
      <c r="AP100" s="313">
        <f t="shared" si="39"/>
        <v>9.9707037181620856E-2</v>
      </c>
      <c r="AQ100" s="35">
        <f t="shared" si="40"/>
        <v>33.64716869848273</v>
      </c>
      <c r="AR100" s="183" cm="1">
        <f t="array" ref="AR100:AY100">TRANSPOSE([107]Alfa!$E$127:$E$134)</f>
        <v>0.1445951285323829</v>
      </c>
      <c r="AS100" s="183">
        <v>0.12105638336864344</v>
      </c>
      <c r="AT100" s="183">
        <v>0.14502879935336849</v>
      </c>
      <c r="AU100" s="183">
        <v>0.10788545095505771</v>
      </c>
      <c r="AV100" s="183">
        <v>8.8585149812620112E-2</v>
      </c>
      <c r="AW100" s="183">
        <v>0.13687711724150212</v>
      </c>
      <c r="AX100" s="183">
        <v>7.3102592264058672E-2</v>
      </c>
      <c r="AY100" s="183">
        <v>0.11043772857851726</v>
      </c>
      <c r="AZ100" s="183">
        <f t="shared" si="33"/>
        <v>100.2415458937198</v>
      </c>
      <c r="BA100" s="183">
        <f>'Su K. oro stendu'!P145</f>
        <v>52.564</v>
      </c>
      <c r="BB100" s="183">
        <f t="shared" si="51"/>
        <v>100.23429951690821</v>
      </c>
      <c r="BC100" s="183">
        <v>52.563000000000002</v>
      </c>
      <c r="BD100" s="183">
        <f t="shared" si="52"/>
        <v>100.03442028985508</v>
      </c>
      <c r="BE100" s="183">
        <v>52.527999999999999</v>
      </c>
      <c r="BF100" s="183">
        <f t="shared" si="41"/>
        <v>99.388888888888886</v>
      </c>
      <c r="BG100" s="183">
        <v>52.412999999999997</v>
      </c>
      <c r="BH100" s="183">
        <f t="shared" si="42"/>
        <v>98.214975845410635</v>
      </c>
      <c r="BI100" s="183">
        <v>52.203000000000003</v>
      </c>
      <c r="BJ100" s="183">
        <f t="shared" si="43"/>
        <v>98.19806763285024</v>
      </c>
      <c r="BK100" s="183">
        <v>52.2</v>
      </c>
      <c r="BL100" s="183">
        <f t="shared" si="44"/>
        <v>96.852657004830917</v>
      </c>
      <c r="BM100" s="183">
        <v>51.956000000000003</v>
      </c>
      <c r="BN100" s="183">
        <f t="shared" si="45"/>
        <v>96.828502415458942</v>
      </c>
      <c r="BO100" s="183">
        <v>51.951999999999998</v>
      </c>
      <c r="BP100" s="183">
        <f t="shared" si="46"/>
        <v>95.637681159420296</v>
      </c>
      <c r="BQ100" s="183">
        <v>51.732999999999997</v>
      </c>
      <c r="BR100" s="183" cm="1">
        <f t="array" ref="BR100:BY100">TRANSPOSE('[107]Keithley Matavimai'!$W$6:$W$13)</f>
        <v>19.178097813118921</v>
      </c>
      <c r="BS100" s="183">
        <v>16.139782378493166</v>
      </c>
      <c r="BT100" s="183">
        <v>17.216672232225076</v>
      </c>
      <c r="BU100" s="183">
        <v>14.533448815766471</v>
      </c>
      <c r="BV100" s="183">
        <v>15.016914411797012</v>
      </c>
      <c r="BW100" s="183">
        <v>14.84427452699064</v>
      </c>
      <c r="BX100" s="183">
        <v>13.928049113030761</v>
      </c>
      <c r="BY100" s="183">
        <v>11.299791482129734</v>
      </c>
      <c r="BZ100" s="183" cm="1">
        <f t="array" ref="BZ100:CH100">TRANSPOSE('[107]Keithley Matavimai'!$V$5:$V$13)</f>
        <v>84.314948086133271</v>
      </c>
      <c r="CA100" s="183">
        <v>80.932683555931121</v>
      </c>
      <c r="CB100" s="183">
        <v>78.260053632514783</v>
      </c>
      <c r="CC100" s="183">
        <v>74.839144237227899</v>
      </c>
      <c r="CD100" s="183">
        <v>72.519436572845194</v>
      </c>
      <c r="CE100" s="183">
        <v>70.409092787910126</v>
      </c>
      <c r="CF100" s="183">
        <v>67.385460312876788</v>
      </c>
      <c r="CG100" s="183">
        <v>65.626129418523718</v>
      </c>
      <c r="CH100" s="183">
        <v>63.168044915790155</v>
      </c>
      <c r="CI100" s="183" cm="1">
        <f t="array" ref="CI100:CQ100">TRANSPOSE('[107]Silumos kiekio nustat.'!$B$24:$B$32)</f>
        <v>12.501704000793824</v>
      </c>
      <c r="CJ100" s="183">
        <v>11.678044781809712</v>
      </c>
      <c r="CK100" s="183">
        <v>10.931928827362519</v>
      </c>
      <c r="CL100" s="183">
        <v>10.234009825627956</v>
      </c>
      <c r="CM100" s="183">
        <v>9.5549414647817326</v>
      </c>
      <c r="CN100" s="183">
        <v>8.865377432999562</v>
      </c>
      <c r="CO100" s="183">
        <v>8.1359714184571565</v>
      </c>
      <c r="CP100" s="183">
        <v>7.3373771093302267</v>
      </c>
      <c r="CQ100" s="183">
        <v>6.4402481937944831</v>
      </c>
      <c r="CR100" s="183">
        <f>'Su K. oro stendu'!P145</f>
        <v>52.564</v>
      </c>
      <c r="CS100" s="183"/>
      <c r="CT100" s="183"/>
      <c r="CU100" s="183">
        <f>[107]Alfa!$F$15</f>
        <v>900</v>
      </c>
      <c r="CV100" s="172">
        <f>'Su K. oro stendu'!J145</f>
        <v>3</v>
      </c>
      <c r="CW100" s="183">
        <f>'Su K. oro stendu'!D145</f>
        <v>10000</v>
      </c>
      <c r="CX100" s="183">
        <f>'Su K. oro stendu'!G145</f>
        <v>10</v>
      </c>
      <c r="CY100" s="183">
        <f>[107]Alfa!$F$16</f>
        <v>0.12706666666666669</v>
      </c>
      <c r="CZ100" s="183">
        <f>'Su K. oro stendu'!H145</f>
        <v>18.37</v>
      </c>
      <c r="DA100" s="183">
        <f>'Su K. oro stendu'!C145</f>
        <v>414</v>
      </c>
      <c r="DB100" s="183">
        <f>'Su K. oro stendu'!E145</f>
        <v>41.5</v>
      </c>
      <c r="DC100" s="183">
        <f>'Su K. oro stendu'!I145</f>
        <v>1239</v>
      </c>
      <c r="DD100" s="183">
        <f>'Su K. oro stendu'!K145</f>
        <v>6.35</v>
      </c>
      <c r="DE100" s="183">
        <f>'Su K. oro stendu'!L145</f>
        <v>6.1</v>
      </c>
      <c r="DF100" s="183">
        <f>'Su K. oro stendu'!F145</f>
        <v>85</v>
      </c>
      <c r="DG100" s="253">
        <f>[107]Alfa!$D$29</f>
        <v>2782.7050503184519</v>
      </c>
      <c r="DH100" s="253">
        <f>[107]Alfa!$D$26</f>
        <v>8149.539884785976</v>
      </c>
      <c r="DI100" s="253">
        <f>[107]Alfa!$D$27</f>
        <v>5223.6734587334358</v>
      </c>
      <c r="DJ100" s="253">
        <f t="shared" si="47"/>
        <v>8006.3785090518877</v>
      </c>
      <c r="DK100" s="253">
        <f t="shared" si="50"/>
        <v>8077.9591969189314</v>
      </c>
      <c r="DL100" s="253">
        <f t="shared" si="48"/>
        <v>1.7566804722478888E-2</v>
      </c>
      <c r="DM100" s="183">
        <f>New!AC100</f>
        <v>2.9144975969634354E-5</v>
      </c>
      <c r="DN100" s="183">
        <f t="shared" si="36"/>
        <v>3.5049529086959997E-5</v>
      </c>
      <c r="DO100" s="183">
        <f t="shared" si="37"/>
        <v>0.83153687735215809</v>
      </c>
      <c r="DP100" s="183">
        <f t="shared" si="53"/>
        <v>286.15944535369806</v>
      </c>
      <c r="DQ100" s="297">
        <f>DH100/((DA100/3600)*New!BV100*(Sheet3!BZ100-Sheet3!CP100)*1000)</f>
        <v>0.83701853859070463</v>
      </c>
      <c r="DR100" s="166">
        <f>(DB100*0.018)/(0.011*New!IV100*3600)</f>
        <v>1603.8550386836682</v>
      </c>
      <c r="DS100" s="166">
        <f>(New!IV100*New!CE100*1000)/New!AU100</f>
        <v>0.86323913019559584</v>
      </c>
      <c r="DT100" s="166">
        <f>IF(DR100&gt;2300,0.023*((DR100^(4/5)*DS100^(1/3))/(1+12.7*(DS100^(2/3)-1)))*(New!IV100/DV100)^0.14, 0.943*(DR100*DS100*New!IV100/Sheet3!DV100)^0.4)</f>
        <v>18.6830464955057</v>
      </c>
      <c r="DU100" s="166">
        <f t="shared" si="49"/>
        <v>-1094.5962805755155</v>
      </c>
      <c r="DV100" s="166">
        <f>_xlfn.FORECAST.LINEAR(AVERAGE(_xlfn.ANCHORARRAY(BR100)),Sheet2!$AK$2:$AK$69,Sheet2!$AJ$2:$AJ$69)</f>
        <v>9.3200132479450762E-6</v>
      </c>
    </row>
    <row r="101" spans="1:126" x14ac:dyDescent="0.3">
      <c r="A101" s="184" t="str">
        <f>'Su K. oro stendu'!B146</f>
        <v>2023.03.02-1</v>
      </c>
      <c r="B101" s="183" cm="1">
        <f t="array" ref="B101:I101">'[108]Kondensacijos efektyvumas'!$B$4:$I$4</f>
        <v>0</v>
      </c>
      <c r="C101" s="183">
        <v>437</v>
      </c>
      <c r="D101" s="183">
        <v>0</v>
      </c>
      <c r="E101" s="183">
        <v>620</v>
      </c>
      <c r="F101" s="183">
        <v>0</v>
      </c>
      <c r="G101" s="183">
        <v>580</v>
      </c>
      <c r="H101" s="183">
        <v>0</v>
      </c>
      <c r="I101" s="183">
        <v>533</v>
      </c>
      <c r="J101" s="183" cm="1">
        <f t="array" ref="J101:Q101">TRANSPOSE('[108]Nu kitimas'!$G$4:$G$11)</f>
        <v>119.02051861791274</v>
      </c>
      <c r="K101" s="183">
        <v>110.09410487017443</v>
      </c>
      <c r="L101" s="183">
        <v>107.34358071170138</v>
      </c>
      <c r="M101" s="183">
        <v>108.75436219534585</v>
      </c>
      <c r="N101" s="183">
        <v>115.11665127353915</v>
      </c>
      <c r="O101" s="183">
        <v>127.02878214612716</v>
      </c>
      <c r="P101" s="183">
        <v>144.3495790098433</v>
      </c>
      <c r="Q101" s="183">
        <v>165.62710528961458</v>
      </c>
      <c r="R101" s="183" cm="1">
        <f t="array" ref="R101:Y101">TRANSPOSE([108]Alfa!$G$18:$G$25)</f>
        <v>212.20956143162348</v>
      </c>
      <c r="S101" s="183">
        <v>193.90431762550119</v>
      </c>
      <c r="T101" s="183">
        <v>186.17882117954505</v>
      </c>
      <c r="U101" s="183">
        <v>186.93426521608444</v>
      </c>
      <c r="V101" s="183">
        <v>195.64397061887863</v>
      </c>
      <c r="W101" s="183">
        <v>213.81617781977053</v>
      </c>
      <c r="X101" s="183">
        <v>240.26520638440897</v>
      </c>
      <c r="Y101" s="183">
        <v>272.99532888823222</v>
      </c>
      <c r="Z101" s="183" cm="1">
        <f t="array" ref="Z101:AG101">TRANSPOSE([108]Alfa!$F$127:$F$134)</f>
        <v>0</v>
      </c>
      <c r="AA101" s="183">
        <v>0.39533515834986482</v>
      </c>
      <c r="AB101" s="183">
        <v>0</v>
      </c>
      <c r="AC101" s="183">
        <v>0.56182555322026284</v>
      </c>
      <c r="AD101" s="183">
        <v>0</v>
      </c>
      <c r="AE101" s="183">
        <v>0.52596102049768489</v>
      </c>
      <c r="AF101" s="183">
        <v>0</v>
      </c>
      <c r="AG101" s="183">
        <v>0.48560243008897591</v>
      </c>
      <c r="AH101" s="35" cm="1">
        <f t="array" ref="AH101:AO101">TRANSPOSE('[108]Silumos kiekio nustat.'!$F$25:$F$32)</f>
        <v>521.10755991474298</v>
      </c>
      <c r="AI101" s="35">
        <v>465.88872958510075</v>
      </c>
      <c r="AJ101" s="35">
        <v>430.10114839892009</v>
      </c>
      <c r="AK101" s="35">
        <v>413.62451662435325</v>
      </c>
      <c r="AL101" s="35">
        <v>416.35592682484838</v>
      </c>
      <c r="AM101" s="35">
        <v>438.1982065747145</v>
      </c>
      <c r="AN101" s="35">
        <v>479.04891802917763</v>
      </c>
      <c r="AO101" s="35">
        <v>538.79004106136153</v>
      </c>
      <c r="AP101" s="313">
        <f t="shared" si="39"/>
        <v>0.10230316606398289</v>
      </c>
      <c r="AQ101" s="35">
        <f t="shared" si="40"/>
        <v>47.355049201078394</v>
      </c>
      <c r="AR101" s="183" cm="1">
        <f t="array" ref="AR101:AY101">TRANSPOSE([108]Alfa!$E$127:$E$134)</f>
        <v>0.29376286416881853</v>
      </c>
      <c r="AS101" s="183">
        <v>0.28015273738960528</v>
      </c>
      <c r="AT101" s="183">
        <v>0.32419695986971447</v>
      </c>
      <c r="AU101" s="183">
        <v>0.21456146764716008</v>
      </c>
      <c r="AV101" s="183">
        <v>0.23248942838780287</v>
      </c>
      <c r="AW101" s="183">
        <v>0.22139786270806036</v>
      </c>
      <c r="AX101" s="183">
        <v>0.22435848814042494</v>
      </c>
      <c r="AY101" s="183">
        <v>0.21750907583106735</v>
      </c>
      <c r="AZ101" s="183">
        <f t="shared" si="33"/>
        <v>98.532494758909849</v>
      </c>
      <c r="BA101" s="183">
        <f>'Su K. oro stendu'!P146</f>
        <v>52.26</v>
      </c>
      <c r="BB101" s="183">
        <f t="shared" si="51"/>
        <v>98.532494758909849</v>
      </c>
      <c r="BC101" s="183">
        <v>52.26</v>
      </c>
      <c r="BD101" s="183">
        <f t="shared" si="52"/>
        <v>98.30345911949685</v>
      </c>
      <c r="BE101" s="183">
        <v>52.219000000000001</v>
      </c>
      <c r="BF101" s="183">
        <f t="shared" si="41"/>
        <v>97.616352201257868</v>
      </c>
      <c r="BG101" s="183">
        <v>52.094999999999999</v>
      </c>
      <c r="BH101" s="183">
        <f t="shared" si="42"/>
        <v>96.316561844863728</v>
      </c>
      <c r="BI101" s="183">
        <v>51.857999999999997</v>
      </c>
      <c r="BJ101" s="183">
        <f t="shared" si="43"/>
        <v>96.316561844863728</v>
      </c>
      <c r="BK101" s="183">
        <v>51.857999999999997</v>
      </c>
      <c r="BL101" s="183">
        <f t="shared" si="44"/>
        <v>95.100628930817606</v>
      </c>
      <c r="BM101" s="183">
        <v>51.633000000000003</v>
      </c>
      <c r="BN101" s="183">
        <f t="shared" si="45"/>
        <v>95.100628930817606</v>
      </c>
      <c r="BO101" s="183">
        <v>51.634</v>
      </c>
      <c r="BP101" s="183">
        <f t="shared" si="46"/>
        <v>93.983228511530399</v>
      </c>
      <c r="BQ101" s="183">
        <v>51.424999999999997</v>
      </c>
      <c r="BR101" s="183" cm="1">
        <f t="array" ref="BR101:BY101">TRANSPOSE('[108]Keithley Matavimai'!$W$6:$W$13)</f>
        <v>22.096094849028773</v>
      </c>
      <c r="BS101" s="183">
        <v>18.172583029150569</v>
      </c>
      <c r="BT101" s="183">
        <v>19.338503469015105</v>
      </c>
      <c r="BU101" s="183">
        <v>16.392643661021292</v>
      </c>
      <c r="BV101" s="183">
        <v>16.651022266079615</v>
      </c>
      <c r="BW101" s="183">
        <v>16.410223371628572</v>
      </c>
      <c r="BX101" s="183">
        <v>15.44860912977933</v>
      </c>
      <c r="BY101" s="183">
        <v>11.081143225364826</v>
      </c>
      <c r="BZ101" s="183" cm="1">
        <f t="array" ref="BZ101:CH101">TRANSPOSE('[108]Keithley Matavimai'!$V$5:$V$13)</f>
        <v>144.22595353141512</v>
      </c>
      <c r="CA101" s="183">
        <v>138.43320106086804</v>
      </c>
      <c r="CB101" s="183">
        <v>133.20826604617557</v>
      </c>
      <c r="CC101" s="183">
        <v>126.72699682237004</v>
      </c>
      <c r="CD101" s="183">
        <v>122.85238004924459</v>
      </c>
      <c r="CE101" s="183">
        <v>118.13434114130837</v>
      </c>
      <c r="CF101" s="183">
        <v>114.00601205316214</v>
      </c>
      <c r="CG101" s="183">
        <v>109.39046365711268</v>
      </c>
      <c r="CH101" s="183">
        <v>105.2282054419624</v>
      </c>
      <c r="CI101" s="183" cm="1">
        <f t="array" ref="CI101:CQ101">TRANSPOSE('[108]Silumos kiekio nustat.'!$B$24:$B$32)</f>
        <v>13.634227223117454</v>
      </c>
      <c r="CJ101" s="183">
        <v>12.629104360802254</v>
      </c>
      <c r="CK101" s="183">
        <v>11.729123914507172</v>
      </c>
      <c r="CL101" s="183">
        <v>10.897137500630047</v>
      </c>
      <c r="CM101" s="183">
        <v>10.095996735568715</v>
      </c>
      <c r="CN101" s="183">
        <v>9.2885532357210145</v>
      </c>
      <c r="CO101" s="183">
        <v>8.4376586174847841</v>
      </c>
      <c r="CP101" s="183">
        <v>7.5061644972578616</v>
      </c>
      <c r="CQ101" s="183">
        <v>6.4569224914380836</v>
      </c>
      <c r="CR101" s="183">
        <f>'Su K. oro stendu'!P146</f>
        <v>52.26</v>
      </c>
      <c r="CS101" s="183"/>
      <c r="CT101" s="183"/>
      <c r="CU101" s="183">
        <f>[108]Alfa!$F$15</f>
        <v>905</v>
      </c>
      <c r="CV101" s="172">
        <f>'Su K. oro stendu'!J146</f>
        <v>3</v>
      </c>
      <c r="CW101" s="183">
        <f>'Su K. oro stendu'!D146</f>
        <v>10000</v>
      </c>
      <c r="CX101" s="183">
        <f>'Su K. oro stendu'!G146</f>
        <v>10</v>
      </c>
      <c r="CY101" s="183">
        <f>[108]Alfa!$F$16</f>
        <v>0.14386740331491712</v>
      </c>
      <c r="CZ101" s="183">
        <f>'Su K. oro stendu'!H146</f>
        <v>18.37</v>
      </c>
      <c r="DA101" s="183">
        <f>'Su K. oro stendu'!C146</f>
        <v>477</v>
      </c>
      <c r="DB101" s="183">
        <f>'Su K. oro stendu'!E146</f>
        <v>47</v>
      </c>
      <c r="DC101" s="183">
        <f>'Su K. oro stendu'!I146</f>
        <v>1434</v>
      </c>
      <c r="DD101" s="183">
        <f>'Su K. oro stendu'!K146</f>
        <v>6.32</v>
      </c>
      <c r="DE101" s="183">
        <f>'Su K. oro stendu'!L146</f>
        <v>7.27</v>
      </c>
      <c r="DF101" s="183">
        <f>'Su K. oro stendu'!F146</f>
        <v>145</v>
      </c>
      <c r="DG101" s="253">
        <f>[108]Alfa!$D$29</f>
        <v>6025.2866524279625</v>
      </c>
      <c r="DH101" s="253">
        <f>[108]Alfa!$D$26</f>
        <v>11261.281462103938</v>
      </c>
      <c r="DI101" s="253">
        <f>[108]Alfa!$D$27</f>
        <v>5906.1724864703656</v>
      </c>
      <c r="DJ101" s="253">
        <f t="shared" si="47"/>
        <v>11931.459138898328</v>
      </c>
      <c r="DK101" s="253">
        <f t="shared" si="50"/>
        <v>11596.370300501134</v>
      </c>
      <c r="DL101" s="253">
        <f t="shared" si="48"/>
        <v>5.9511670945233734E-2</v>
      </c>
      <c r="DM101" s="183">
        <f>New!AC101</f>
        <v>3.9614782485535097E-5</v>
      </c>
      <c r="DN101" s="183">
        <f t="shared" si="36"/>
        <v>4.2388323940559999E-5</v>
      </c>
      <c r="DO101" s="183">
        <f t="shared" si="37"/>
        <v>0.93456826792882486</v>
      </c>
      <c r="DP101" s="183">
        <f t="shared" si="53"/>
        <v>212.74345614550555</v>
      </c>
      <c r="DQ101" s="297">
        <f>DH101/((DA101/3600)*New!BV101*(Sheet3!BZ101-Sheet3!CP101)*1000)</f>
        <v>0.55947080552492157</v>
      </c>
      <c r="DR101" s="166">
        <f>(DB101*0.018)/(0.011*New!IV101*3600)</f>
        <v>1541.1462323130911</v>
      </c>
      <c r="DS101" s="166">
        <f>(New!IV101*New!CE101*1000)/New!AU101</f>
        <v>0.64719895598215416</v>
      </c>
      <c r="DT101" s="166">
        <f>IF(DR101&gt;2300,0.023*((DR101^(4/5)*DS101^(1/3))/(1+12.7*(DS101^(2/3)-1)))*(New!IV101/DV101)^0.14, 0.943*(DR101*DS101*New!IV101/Sheet3!DV101)^0.4)</f>
        <v>17.455723402802281</v>
      </c>
      <c r="DU101" s="166">
        <f t="shared" si="49"/>
        <v>-939.14073077593218</v>
      </c>
      <c r="DV101" s="166">
        <f>_xlfn.FORECAST.LINEAR(AVERAGE(_xlfn.ANCHORARRAY(BR101)),Sheet2!$AK$2:$AK$69,Sheet2!$AJ$2:$AJ$69)</f>
        <v>9.3788067630037862E-6</v>
      </c>
    </row>
    <row r="102" spans="1:126" x14ac:dyDescent="0.3">
      <c r="A102" s="184" t="str">
        <f>'Su K. oro stendu'!B147</f>
        <v>2023.03.02-2</v>
      </c>
      <c r="B102" s="183" cm="1">
        <f t="array" ref="B102:I102">'[109]Kondensacijos efektyvumas'!$B$4:$I$4</f>
        <v>0</v>
      </c>
      <c r="C102" s="183">
        <v>518</v>
      </c>
      <c r="D102" s="183">
        <v>0</v>
      </c>
      <c r="E102" s="183">
        <v>542</v>
      </c>
      <c r="F102" s="183">
        <v>0</v>
      </c>
      <c r="G102" s="183">
        <v>502</v>
      </c>
      <c r="H102" s="183">
        <v>0</v>
      </c>
      <c r="I102" s="183">
        <v>509</v>
      </c>
      <c r="J102" s="183" cm="1">
        <f t="array" ref="J102:Q102">TRANSPOSE('[109]Nu kitimas'!$G$4:$G$11)</f>
        <v>88.995463400970536</v>
      </c>
      <c r="K102" s="183">
        <v>82.80232415021058</v>
      </c>
      <c r="L102" s="183">
        <v>81.346748350763249</v>
      </c>
      <c r="M102" s="183">
        <v>83.150236556013397</v>
      </c>
      <c r="N102" s="183">
        <v>89.625371581355111</v>
      </c>
      <c r="O102" s="183">
        <v>100.13136026648017</v>
      </c>
      <c r="P102" s="183">
        <v>115.78217763442431</v>
      </c>
      <c r="Q102" s="183">
        <v>137.01525072619515</v>
      </c>
      <c r="R102" s="183" cm="1">
        <f t="array" ref="R102:Y102">TRANSPOSE([109]Alfa!$G$18:$G$25)</f>
        <v>181.08435768443726</v>
      </c>
      <c r="S102" s="183">
        <v>165.64078625043157</v>
      </c>
      <c r="T102" s="183">
        <v>159.29313402246768</v>
      </c>
      <c r="U102" s="183">
        <v>160.67470087639381</v>
      </c>
      <c r="V102" s="183">
        <v>170.13975136654267</v>
      </c>
      <c r="W102" s="183">
        <v>188.09822679518811</v>
      </c>
      <c r="X102" s="183">
        <v>214.20457725049582</v>
      </c>
      <c r="Y102" s="183">
        <v>249.77604138362497</v>
      </c>
      <c r="Z102" s="183" cm="1">
        <f t="array" ref="Z102:AG102">TRANSPOSE([109]Alfa!$F$127:$F$134)</f>
        <v>0</v>
      </c>
      <c r="AA102" s="183">
        <v>0.46741067105334738</v>
      </c>
      <c r="AB102" s="183">
        <v>0</v>
      </c>
      <c r="AC102" s="183">
        <v>0.49004545102118507</v>
      </c>
      <c r="AD102" s="183">
        <v>0</v>
      </c>
      <c r="AE102" s="183">
        <v>0.45430669076206637</v>
      </c>
      <c r="AF102" s="183">
        <v>0</v>
      </c>
      <c r="AG102" s="183">
        <v>0.46279477143461434</v>
      </c>
      <c r="AH102" s="35" cm="1">
        <f t="array" ref="AH102:AO102">TRANSPOSE('[109]Silumos kiekio nustat.'!$F$25:$F$32)</f>
        <v>657.03746620036895</v>
      </c>
      <c r="AI102" s="35">
        <v>584.15961585202842</v>
      </c>
      <c r="AJ102" s="35">
        <v>538.23166359474715</v>
      </c>
      <c r="AK102" s="35">
        <v>519.06269205630088</v>
      </c>
      <c r="AL102" s="35">
        <v>526.48968518507536</v>
      </c>
      <c r="AM102" s="35">
        <v>560.35707322408155</v>
      </c>
      <c r="AN102" s="35">
        <v>620.4975799844392</v>
      </c>
      <c r="AO102" s="35">
        <v>706.71446719039682</v>
      </c>
      <c r="AP102" s="313">
        <f t="shared" si="39"/>
        <v>0.11423525250162611</v>
      </c>
      <c r="AQ102" s="35">
        <f t="shared" si="40"/>
        <v>67.292420871067506</v>
      </c>
      <c r="AR102" s="183" cm="1">
        <f t="array" ref="AR102:AY102">TRANSPOSE([109]Alfa!$E$127:$E$134)</f>
        <v>0.46738472268441572</v>
      </c>
      <c r="AS102" s="183">
        <v>0.46366191256884776</v>
      </c>
      <c r="AT102" s="183">
        <v>0.54557691159096133</v>
      </c>
      <c r="AU102" s="183">
        <v>0.36082364319142618</v>
      </c>
      <c r="AV102" s="183">
        <v>0.44330239160759616</v>
      </c>
      <c r="AW102" s="183">
        <v>0.2822112373572106</v>
      </c>
      <c r="AX102" s="183">
        <v>0.37197003431475067</v>
      </c>
      <c r="AY102" s="183">
        <v>0.37857063629547821</v>
      </c>
      <c r="AZ102" s="183">
        <f t="shared" si="33"/>
        <v>101.14503816793894</v>
      </c>
      <c r="BA102" s="183">
        <f>'Su K. oro stendu'!P147</f>
        <v>52.722999999999999</v>
      </c>
      <c r="BB102" s="183">
        <f t="shared" si="51"/>
        <v>101.14503816793894</v>
      </c>
      <c r="BC102" s="183">
        <v>52.722999999999999</v>
      </c>
      <c r="BD102" s="183">
        <f t="shared" si="52"/>
        <v>100.89790076335878</v>
      </c>
      <c r="BE102" s="183">
        <v>52.679000000000002</v>
      </c>
      <c r="BF102" s="183">
        <f t="shared" si="41"/>
        <v>100.15648854961832</v>
      </c>
      <c r="BG102" s="183">
        <v>52.548999999999999</v>
      </c>
      <c r="BH102" s="183">
        <f t="shared" si="42"/>
        <v>99.122137404580158</v>
      </c>
      <c r="BI102" s="183">
        <v>52.366</v>
      </c>
      <c r="BJ102" s="183">
        <f t="shared" si="43"/>
        <v>99.122137404580158</v>
      </c>
      <c r="BK102" s="183">
        <v>52.366</v>
      </c>
      <c r="BL102" s="183">
        <f t="shared" si="44"/>
        <v>98.164122137404576</v>
      </c>
      <c r="BM102" s="183">
        <v>52.194000000000003</v>
      </c>
      <c r="BN102" s="183">
        <f t="shared" si="45"/>
        <v>98.164122137404576</v>
      </c>
      <c r="BO102" s="183">
        <v>52.194000000000003</v>
      </c>
      <c r="BP102" s="183">
        <f t="shared" si="46"/>
        <v>97.19274809160305</v>
      </c>
      <c r="BQ102" s="183">
        <v>52.018000000000001</v>
      </c>
      <c r="BR102" s="183" cm="1">
        <f t="array" ref="BR102:BY102">TRANSPOSE('[109]Keithley Matavimai'!$W$6:$W$13)</f>
        <v>25.049384145436591</v>
      </c>
      <c r="BS102" s="183">
        <v>20.724382276318718</v>
      </c>
      <c r="BT102" s="183">
        <v>22.137375572390464</v>
      </c>
      <c r="BU102" s="183">
        <v>18.790435793461658</v>
      </c>
      <c r="BV102" s="183">
        <v>18.819214117288144</v>
      </c>
      <c r="BW102" s="183">
        <v>18.507355448211953</v>
      </c>
      <c r="BX102" s="183">
        <v>17.769342506075034</v>
      </c>
      <c r="BY102" s="183">
        <v>13.243264597580476</v>
      </c>
      <c r="BZ102" s="183" cm="1">
        <f t="array" ref="BZ102:CH102">TRANSPOSE('[109]Keithley Matavimai'!$V$5:$V$13)</f>
        <v>205.41591166010463</v>
      </c>
      <c r="CA102" s="183">
        <v>197.06150900913676</v>
      </c>
      <c r="CB102" s="183">
        <v>189.33079736517391</v>
      </c>
      <c r="CC102" s="183">
        <v>179.63548049821648</v>
      </c>
      <c r="CD102" s="183">
        <v>173.70159729472513</v>
      </c>
      <c r="CE102" s="183">
        <v>165.76387907021231</v>
      </c>
      <c r="CF102" s="183">
        <v>161.1135402480036</v>
      </c>
      <c r="CG102" s="183">
        <v>154.37534681093837</v>
      </c>
      <c r="CH102" s="183">
        <v>147.87384657476744</v>
      </c>
      <c r="CI102" s="183" cm="1">
        <f t="array" ref="CI102:CQ102">TRANSPOSE('[109]Silumos kiekio nustat.'!$B$24:$B$32)</f>
        <v>15.064668656392154</v>
      </c>
      <c r="CJ102" s="183">
        <v>13.913331283820188</v>
      </c>
      <c r="CK102" s="183">
        <v>12.887903951480437</v>
      </c>
      <c r="CL102" s="183">
        <v>11.941609851034011</v>
      </c>
      <c r="CM102" s="183">
        <v>11.027672174142019</v>
      </c>
      <c r="CN102" s="183">
        <v>10.099314112465571</v>
      </c>
      <c r="CO102" s="183">
        <v>9.1097588576657778</v>
      </c>
      <c r="CP102" s="183">
        <v>8.0122296014037495</v>
      </c>
      <c r="CQ102" s="183">
        <v>6.7599495353405992</v>
      </c>
      <c r="CR102" s="183">
        <f>'Su K. oro stendu'!P147</f>
        <v>52.722999999999999</v>
      </c>
      <c r="CS102" s="183"/>
      <c r="CT102" s="183"/>
      <c r="CU102" s="183">
        <f>[109]Alfa!$F$15</f>
        <v>905</v>
      </c>
      <c r="CV102" s="172">
        <f>'Su K. oro stendu'!J147</f>
        <v>3</v>
      </c>
      <c r="CW102" s="183">
        <f>'Su K. oro stendu'!D147</f>
        <v>10000</v>
      </c>
      <c r="CX102" s="183">
        <f>'Su K. oro stendu'!G147</f>
        <v>10</v>
      </c>
      <c r="CY102" s="183">
        <f>[109]Alfa!$F$16</f>
        <v>0.13730386740331493</v>
      </c>
      <c r="CZ102" s="183">
        <f>'Su K. oro stendu'!H147</f>
        <v>15.54</v>
      </c>
      <c r="DA102" s="183">
        <f>'Su K. oro stendu'!C147</f>
        <v>524</v>
      </c>
      <c r="DB102" s="183">
        <f>'Su K. oro stendu'!E147</f>
        <v>53</v>
      </c>
      <c r="DC102" s="183">
        <f>'Su K. oro stendu'!I147</f>
        <v>1575</v>
      </c>
      <c r="DD102" s="183">
        <f>'Su K. oro stendu'!K147</f>
        <v>6.6</v>
      </c>
      <c r="DE102" s="183">
        <f>'Su K. oro stendu'!L147</f>
        <v>8.41</v>
      </c>
      <c r="DF102" s="183">
        <f>'Su K. oro stendu'!F147</f>
        <v>205</v>
      </c>
      <c r="DG102" s="253">
        <f>[109]Alfa!$D$29</f>
        <v>9315.6452389164479</v>
      </c>
      <c r="DH102" s="253">
        <f>[109]Alfa!$D$26</f>
        <v>14319.776723423513</v>
      </c>
      <c r="DI102" s="253">
        <f>[109]Alfa!$D$27</f>
        <v>5623.6727528136389</v>
      </c>
      <c r="DJ102" s="253">
        <f t="shared" si="47"/>
        <v>14939.317991730088</v>
      </c>
      <c r="DK102" s="253">
        <f t="shared" si="50"/>
        <v>14629.547357576801</v>
      </c>
      <c r="DL102" s="253">
        <f t="shared" si="48"/>
        <v>4.3264729630397326E-2</v>
      </c>
      <c r="DM102" s="183">
        <f>New!AC102</f>
        <v>5.1469707224918641E-5</v>
      </c>
      <c r="DN102" s="183">
        <f t="shared" si="36"/>
        <v>5.0323119098159997E-5</v>
      </c>
      <c r="DO102" s="183">
        <f t="shared" si="37"/>
        <v>1.0227845202623891</v>
      </c>
      <c r="DP102" s="183">
        <f t="shared" si="53"/>
        <v>186.11394695369773</v>
      </c>
      <c r="DQ102" s="297">
        <f>DH102/((DA102/3600)*New!BV102*(Sheet3!BZ102-Sheet3!CP102)*1000)</f>
        <v>0.44230880696437874</v>
      </c>
      <c r="DR102" s="166">
        <f>(DB102*0.018)/(0.011*New!IV102*3600)</f>
        <v>1509.1800846675749</v>
      </c>
      <c r="DS102" s="166">
        <f>(New!IV102*New!CE102*1000)/New!AU102</f>
        <v>0.55193626425495013</v>
      </c>
      <c r="DT102" s="166">
        <f>IF(DR102&gt;2300,0.023*((DR102^(4/5)*DS102^(1/3))/(1+12.7*(DS102^(2/3)-1)))*(New!IV102/DV102)^0.14, 0.943*(DR102*DS102*New!IV102/Sheet3!DV102)^0.4)</f>
        <v>17.123002880093228</v>
      </c>
      <c r="DU102" s="166">
        <f t="shared" si="49"/>
        <v>-854.55547743311001</v>
      </c>
      <c r="DV102" s="166">
        <f>_xlfn.FORECAST.LINEAR(AVERAGE(_xlfn.ANCHORARRAY(BR102)),Sheet2!$AK$2:$AK$69,Sheet2!$AJ$2:$AJ$69)</f>
        <v>9.4639301457809141E-6</v>
      </c>
    </row>
    <row r="103" spans="1:126" x14ac:dyDescent="0.3">
      <c r="A103" s="164"/>
      <c r="CR103" s="165"/>
      <c r="CW103" s="165"/>
      <c r="CX103" s="165"/>
      <c r="CZ103" s="165"/>
    </row>
    <row r="104" spans="1:126" x14ac:dyDescent="0.3">
      <c r="A104" s="164"/>
      <c r="CW104" s="165"/>
      <c r="CX104" s="165"/>
      <c r="CZ104" s="165"/>
    </row>
    <row r="105" spans="1:126" x14ac:dyDescent="0.3">
      <c r="A105" s="164"/>
    </row>
    <row r="106" spans="1:126" x14ac:dyDescent="0.3">
      <c r="A106" s="164"/>
    </row>
  </sheetData>
  <autoFilter ref="DL1:DL102" xr:uid="{720BBCEC-995D-4F11-8DC8-743C6C80AF08}"/>
  <phoneticPr fontId="15" type="noConversion"/>
  <conditionalFormatting sqref="CY2:CY104">
    <cfRule type="cellIs" dxfId="14" priority="23" operator="equal">
      <formula>$CY$50</formula>
    </cfRule>
  </conditionalFormatting>
  <conditionalFormatting sqref="DH3:DH48">
    <cfRule type="expression" dxfId="13" priority="4">
      <formula>DI3&gt;DH3</formula>
    </cfRule>
    <cfRule type="expression" dxfId="12" priority="6">
      <formula>DG3&gt;DH3</formula>
    </cfRule>
  </conditionalFormatting>
  <hyperlinks>
    <hyperlink ref="DQ1" r:id="rId1" location="s0015" xr:uid="{45173C6B-0024-4904-AE94-A6948F0FAE3C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E97E5-4FAD-477F-A5EC-A0A51C628A9F}">
  <sheetPr codeName="Sheet3"/>
  <dimension ref="A1:MS105"/>
  <sheetViews>
    <sheetView tabSelected="1" zoomScaleNormal="100" workbookViewId="0">
      <pane xSplit="1" ySplit="1" topLeftCell="HW2" activePane="bottomRight" state="frozen"/>
      <selection pane="topRight" activeCell="B1" sqref="B1"/>
      <selection pane="bottomLeft" activeCell="A2" sqref="A2"/>
      <selection pane="bottomRight" activeCell="HV2" sqref="HV2:IC102"/>
    </sheetView>
  </sheetViews>
  <sheetFormatPr defaultRowHeight="14.4" x14ac:dyDescent="0.3"/>
  <cols>
    <col min="1" max="1" width="11.77734375" style="165" bestFit="1" customWidth="1"/>
    <col min="2" max="10" width="11.5546875" style="165" bestFit="1" customWidth="1"/>
    <col min="11" max="11" width="11.5546875" style="188" customWidth="1"/>
    <col min="12" max="19" width="11.5546875" style="165" customWidth="1"/>
    <col min="20" max="20" width="18.21875" style="165" customWidth="1"/>
    <col min="21" max="23" width="11.21875" style="165" bestFit="1" customWidth="1"/>
    <col min="24" max="24" width="12.6640625" style="165" bestFit="1" customWidth="1"/>
    <col min="25" max="28" width="11.21875" style="165" bestFit="1" customWidth="1"/>
    <col min="29" max="29" width="21.109375" style="165" bestFit="1" customWidth="1"/>
    <col min="30" max="30" width="19.6640625" style="165" customWidth="1"/>
    <col min="31" max="36" width="19.6640625" style="165" bestFit="1" customWidth="1"/>
    <col min="37" max="37" width="19.6640625" style="165" customWidth="1"/>
    <col min="38" max="38" width="30" style="165" bestFit="1" customWidth="1"/>
    <col min="39" max="40" width="21.77734375" style="165" bestFit="1" customWidth="1"/>
    <col min="41" max="43" width="19.21875" style="165" bestFit="1" customWidth="1"/>
    <col min="44" max="46" width="21.77734375" style="165" bestFit="1" customWidth="1"/>
    <col min="47" max="47" width="14.77734375" style="188" customWidth="1"/>
    <col min="48" max="55" width="21.77734375" style="165" customWidth="1"/>
    <col min="56" max="56" width="21.77734375" style="188" customWidth="1"/>
    <col min="57" max="64" width="21.77734375" style="165" customWidth="1"/>
    <col min="65" max="73" width="11.5546875" style="165" bestFit="1" customWidth="1"/>
    <col min="74" max="74" width="19" style="165" bestFit="1" customWidth="1"/>
    <col min="75" max="82" width="13.88671875" style="165" bestFit="1" customWidth="1"/>
    <col min="83" max="83" width="16" style="165" bestFit="1" customWidth="1"/>
    <col min="84" max="91" width="21.44140625" style="165" bestFit="1" customWidth="1"/>
    <col min="92" max="92" width="16.6640625" style="165" bestFit="1" customWidth="1"/>
    <col min="93" max="100" width="16.33203125" style="165" bestFit="1" customWidth="1"/>
    <col min="101" max="101" width="18.33203125" style="165" bestFit="1" customWidth="1"/>
    <col min="102" max="109" width="17.88671875" style="165" bestFit="1" customWidth="1"/>
    <col min="110" max="110" width="17.88671875" style="188" customWidth="1"/>
    <col min="111" max="118" width="17.88671875" style="165" customWidth="1"/>
    <col min="119" max="119" width="24.5546875" style="165" bestFit="1" customWidth="1"/>
    <col min="120" max="127" width="22.109375" style="165" bestFit="1" customWidth="1"/>
    <col min="128" max="136" width="14.77734375" style="165" bestFit="1" customWidth="1"/>
    <col min="137" max="137" width="11.5546875" style="165" bestFit="1" customWidth="1"/>
    <col min="138" max="140" width="11.88671875" style="165" bestFit="1" customWidth="1"/>
    <col min="141" max="143" width="12" style="140" customWidth="1"/>
    <col min="144" max="145" width="11.88671875" style="183" bestFit="1" customWidth="1"/>
    <col min="146" max="164" width="11.88671875" style="183" customWidth="1"/>
    <col min="165" max="165" width="12.5546875" style="183" customWidth="1"/>
    <col min="166" max="166" width="12.44140625" style="183" customWidth="1"/>
    <col min="167" max="167" width="12.21875" style="183" customWidth="1"/>
    <col min="168" max="168" width="12.44140625" style="183" customWidth="1"/>
    <col min="169" max="169" width="12.33203125" style="183" customWidth="1"/>
    <col min="170" max="171" width="12.44140625" style="183" customWidth="1"/>
    <col min="172" max="172" width="12.21875" style="183" customWidth="1"/>
    <col min="173" max="173" width="20.33203125" style="183" bestFit="1" customWidth="1"/>
    <col min="174" max="174" width="6" style="183" bestFit="1" customWidth="1"/>
    <col min="175" max="175" width="12.5546875" style="183" bestFit="1" customWidth="1"/>
    <col min="176" max="176" width="13.44140625" style="183" customWidth="1"/>
    <col min="177" max="177" width="21.5546875" style="183" bestFit="1" customWidth="1"/>
    <col min="178" max="178" width="9.33203125" style="183" bestFit="1" customWidth="1"/>
    <col min="179" max="179" width="7.21875" style="165" bestFit="1" customWidth="1"/>
    <col min="180" max="181" width="7.77734375" style="165" bestFit="1" customWidth="1"/>
    <col min="182" max="182" width="8.6640625" style="165" bestFit="1" customWidth="1"/>
    <col min="183" max="183" width="7.5546875" style="165" bestFit="1" customWidth="1"/>
    <col min="184" max="184" width="11.77734375" style="165" customWidth="1"/>
    <col min="185" max="192" width="11.5546875" style="165" bestFit="1" customWidth="1"/>
    <col min="193" max="193" width="13" style="165" customWidth="1"/>
    <col min="194" max="200" width="12.21875" style="165" customWidth="1"/>
    <col min="201" max="210" width="11.5546875" style="165" bestFit="1" customWidth="1"/>
    <col min="211" max="211" width="11.5546875" style="188" customWidth="1"/>
    <col min="212" max="219" width="11.5546875" style="165" customWidth="1"/>
    <col min="220" max="220" width="11.5546875" style="188" customWidth="1"/>
    <col min="221" max="229" width="11.5546875" style="165" customWidth="1"/>
    <col min="230" max="230" width="12.77734375" style="165" customWidth="1"/>
    <col min="231" max="231" width="12.88671875" style="165" customWidth="1"/>
    <col min="232" max="232" width="13.21875" style="165" customWidth="1"/>
    <col min="233" max="234" width="12.88671875" style="165" customWidth="1"/>
    <col min="235" max="235" width="12.33203125" style="165" customWidth="1"/>
    <col min="236" max="236" width="12.88671875" style="165" customWidth="1"/>
    <col min="237" max="237" width="13.109375" style="165" customWidth="1"/>
    <col min="238" max="273" width="11.5546875" style="165" customWidth="1"/>
    <col min="274" max="280" width="12.21875" style="165" customWidth="1"/>
    <col min="281" max="281" width="11.5546875" style="165" customWidth="1"/>
    <col min="282" max="291" width="8.88671875" style="165"/>
    <col min="292" max="292" width="8.6640625" style="165" customWidth="1"/>
    <col min="293" max="293" width="11.5546875" style="165" bestFit="1" customWidth="1"/>
    <col min="294" max="300" width="8.88671875" style="165"/>
    <col min="301" max="301" width="11.5546875" style="165" bestFit="1" customWidth="1"/>
    <col min="302" max="318" width="11.5546875" style="165" customWidth="1"/>
    <col min="319" max="319" width="11.5546875" style="165" bestFit="1" customWidth="1"/>
    <col min="320" max="320" width="8.88671875" style="165"/>
    <col min="321" max="321" width="11.5546875" style="165" bestFit="1" customWidth="1"/>
    <col min="322" max="327" width="8.88671875" style="165"/>
    <col min="328" max="329" width="8.44140625" style="165" bestFit="1" customWidth="1"/>
    <col min="330" max="331" width="8.88671875" style="165"/>
    <col min="332" max="332" width="9" bestFit="1" customWidth="1"/>
    <col min="333" max="333" width="9.5546875" style="165" bestFit="1" customWidth="1"/>
    <col min="334" max="334" width="9" style="165" bestFit="1" customWidth="1"/>
    <col min="335" max="335" width="11.88671875" style="165" bestFit="1" customWidth="1"/>
    <col min="336" max="336" width="13" style="165" bestFit="1" customWidth="1"/>
    <col min="337" max="338" width="9" style="165" bestFit="1" customWidth="1"/>
    <col min="339" max="339" width="8.44140625" style="165" customWidth="1"/>
    <col min="340" max="340" width="12.33203125" style="165" bestFit="1" customWidth="1"/>
    <col min="341" max="341" width="11.6640625" style="165" bestFit="1" customWidth="1"/>
    <col min="342" max="342" width="9" style="165" bestFit="1" customWidth="1"/>
    <col min="343" max="343" width="9.33203125" style="165" bestFit="1" customWidth="1"/>
    <col min="344" max="344" width="9" bestFit="1" customWidth="1"/>
    <col min="345" max="345" width="10.6640625" style="165" bestFit="1" customWidth="1"/>
    <col min="346" max="348" width="9" style="165" bestFit="1" customWidth="1"/>
    <col min="349" max="349" width="12.6640625" style="165" customWidth="1"/>
    <col min="350" max="350" width="12.21875" style="165" customWidth="1"/>
    <col min="351" max="354" width="8.88671875" style="165"/>
    <col min="355" max="355" width="11.88671875" style="165" customWidth="1"/>
    <col min="356" max="16384" width="8.88671875" style="165"/>
  </cols>
  <sheetData>
    <row r="1" spans="1:357" s="172" customFormat="1" ht="101.4" thickBot="1" x14ac:dyDescent="0.25">
      <c r="A1" s="172" t="s">
        <v>194</v>
      </c>
      <c r="B1" s="173" t="s">
        <v>361</v>
      </c>
      <c r="C1" s="172" t="s">
        <v>445</v>
      </c>
      <c r="D1" s="172" t="s">
        <v>446</v>
      </c>
      <c r="E1" s="172" t="s">
        <v>447</v>
      </c>
      <c r="F1" s="172" t="s">
        <v>448</v>
      </c>
      <c r="G1" s="172" t="s">
        <v>449</v>
      </c>
      <c r="H1" s="172" t="s">
        <v>450</v>
      </c>
      <c r="I1" s="172" t="s">
        <v>451</v>
      </c>
      <c r="J1" s="172" t="s">
        <v>459</v>
      </c>
      <c r="K1" s="173" t="s">
        <v>894</v>
      </c>
      <c r="L1" s="172" t="s">
        <v>885</v>
      </c>
      <c r="M1" s="172" t="s">
        <v>886</v>
      </c>
      <c r="N1" s="172" t="s">
        <v>887</v>
      </c>
      <c r="O1" s="172" t="s">
        <v>888</v>
      </c>
      <c r="P1" s="172" t="s">
        <v>889</v>
      </c>
      <c r="Q1" s="172" t="s">
        <v>890</v>
      </c>
      <c r="R1" s="172" t="s">
        <v>891</v>
      </c>
      <c r="S1" s="172" t="s">
        <v>892</v>
      </c>
      <c r="T1" s="173" t="s">
        <v>893</v>
      </c>
      <c r="U1" s="172" t="s">
        <v>452</v>
      </c>
      <c r="V1" s="172" t="s">
        <v>453</v>
      </c>
      <c r="W1" s="172" t="s">
        <v>454</v>
      </c>
      <c r="X1" s="172" t="s">
        <v>690</v>
      </c>
      <c r="Y1" s="172" t="s">
        <v>455</v>
      </c>
      <c r="Z1" s="172" t="s">
        <v>456</v>
      </c>
      <c r="AA1" s="172" t="s">
        <v>457</v>
      </c>
      <c r="AB1" s="172" t="s">
        <v>458</v>
      </c>
      <c r="AC1" s="173" t="s">
        <v>504</v>
      </c>
      <c r="AD1" s="172" t="s">
        <v>365</v>
      </c>
      <c r="AE1" s="172" t="s">
        <v>366</v>
      </c>
      <c r="AF1" s="172" t="s">
        <v>367</v>
      </c>
      <c r="AG1" s="172" t="s">
        <v>368</v>
      </c>
      <c r="AH1" s="172" t="s">
        <v>369</v>
      </c>
      <c r="AI1" s="172" t="s">
        <v>370</v>
      </c>
      <c r="AJ1" s="172" t="s">
        <v>371</v>
      </c>
      <c r="AK1" s="172" t="s">
        <v>438</v>
      </c>
      <c r="AL1" s="173" t="s">
        <v>372</v>
      </c>
      <c r="AM1" s="172" t="s">
        <v>373</v>
      </c>
      <c r="AN1" s="172" t="s">
        <v>374</v>
      </c>
      <c r="AO1" s="172" t="s">
        <v>375</v>
      </c>
      <c r="AP1" s="172" t="s">
        <v>376</v>
      </c>
      <c r="AQ1" s="172" t="s">
        <v>377</v>
      </c>
      <c r="AR1" s="172" t="s">
        <v>378</v>
      </c>
      <c r="AS1" s="172" t="s">
        <v>379</v>
      </c>
      <c r="AT1" s="172" t="s">
        <v>439</v>
      </c>
      <c r="AU1" s="173" t="s">
        <v>781</v>
      </c>
      <c r="AV1" s="172" t="s">
        <v>773</v>
      </c>
      <c r="AW1" s="172" t="s">
        <v>774</v>
      </c>
      <c r="AX1" s="172" t="s">
        <v>775</v>
      </c>
      <c r="AY1" s="172" t="s">
        <v>776</v>
      </c>
      <c r="AZ1" s="172" t="s">
        <v>777</v>
      </c>
      <c r="BA1" s="172" t="s">
        <v>778</v>
      </c>
      <c r="BB1" s="172" t="s">
        <v>779</v>
      </c>
      <c r="BC1" s="172" t="s">
        <v>780</v>
      </c>
      <c r="BD1" s="173" t="s">
        <v>764</v>
      </c>
      <c r="BE1" s="172" t="s">
        <v>765</v>
      </c>
      <c r="BF1" s="172" t="s">
        <v>766</v>
      </c>
      <c r="BG1" s="172" t="s">
        <v>767</v>
      </c>
      <c r="BH1" s="172" t="s">
        <v>768</v>
      </c>
      <c r="BI1" s="172" t="s">
        <v>769</v>
      </c>
      <c r="BJ1" s="172" t="s">
        <v>770</v>
      </c>
      <c r="BK1" s="172" t="s">
        <v>771</v>
      </c>
      <c r="BL1" s="172" t="s">
        <v>772</v>
      </c>
      <c r="BM1" s="173" t="s">
        <v>380</v>
      </c>
      <c r="BN1" s="172" t="s">
        <v>381</v>
      </c>
      <c r="BO1" s="172" t="s">
        <v>382</v>
      </c>
      <c r="BP1" s="172" t="s">
        <v>383</v>
      </c>
      <c r="BQ1" s="172" t="s">
        <v>384</v>
      </c>
      <c r="BR1" s="172" t="s">
        <v>385</v>
      </c>
      <c r="BS1" s="172" t="s">
        <v>386</v>
      </c>
      <c r="BT1" s="172" t="s">
        <v>387</v>
      </c>
      <c r="BU1" s="172" t="s">
        <v>440</v>
      </c>
      <c r="BV1" s="173" t="s">
        <v>388</v>
      </c>
      <c r="BW1" s="172" t="s">
        <v>389</v>
      </c>
      <c r="BX1" s="172" t="s">
        <v>390</v>
      </c>
      <c r="BY1" s="172" t="s">
        <v>391</v>
      </c>
      <c r="BZ1" s="172" t="s">
        <v>392</v>
      </c>
      <c r="CA1" s="172" t="s">
        <v>393</v>
      </c>
      <c r="CB1" s="172" t="s">
        <v>394</v>
      </c>
      <c r="CC1" s="172" t="s">
        <v>395</v>
      </c>
      <c r="CD1" s="172" t="s">
        <v>444</v>
      </c>
      <c r="CE1" s="173" t="s">
        <v>396</v>
      </c>
      <c r="CF1" s="172" t="s">
        <v>397</v>
      </c>
      <c r="CG1" s="172" t="s">
        <v>398</v>
      </c>
      <c r="CH1" s="172" t="s">
        <v>399</v>
      </c>
      <c r="CI1" s="172" t="s">
        <v>400</v>
      </c>
      <c r="CJ1" s="172" t="s">
        <v>401</v>
      </c>
      <c r="CK1" s="172" t="s">
        <v>402</v>
      </c>
      <c r="CL1" s="172" t="s">
        <v>403</v>
      </c>
      <c r="CM1" s="172" t="s">
        <v>443</v>
      </c>
      <c r="CN1" s="173" t="s">
        <v>404</v>
      </c>
      <c r="CO1" s="172" t="s">
        <v>405</v>
      </c>
      <c r="CP1" s="172" t="s">
        <v>406</v>
      </c>
      <c r="CQ1" s="172" t="s">
        <v>407</v>
      </c>
      <c r="CR1" s="172" t="s">
        <v>408</v>
      </c>
      <c r="CS1" s="172" t="s">
        <v>409</v>
      </c>
      <c r="CT1" s="172" t="s">
        <v>410</v>
      </c>
      <c r="CU1" s="172" t="s">
        <v>411</v>
      </c>
      <c r="CV1" s="172" t="s">
        <v>412</v>
      </c>
      <c r="CW1" s="173" t="s">
        <v>462</v>
      </c>
      <c r="CX1" s="172" t="s">
        <v>463</v>
      </c>
      <c r="CY1" s="172" t="s">
        <v>464</v>
      </c>
      <c r="CZ1" s="172" t="s">
        <v>465</v>
      </c>
      <c r="DA1" s="172" t="s">
        <v>466</v>
      </c>
      <c r="DB1" s="172" t="s">
        <v>467</v>
      </c>
      <c r="DC1" s="172" t="s">
        <v>468</v>
      </c>
      <c r="DD1" s="172" t="s">
        <v>469</v>
      </c>
      <c r="DE1" s="172" t="s">
        <v>470</v>
      </c>
      <c r="DF1" s="173" t="s">
        <v>841</v>
      </c>
      <c r="DG1" s="172" t="s">
        <v>842</v>
      </c>
      <c r="DH1" s="172" t="s">
        <v>843</v>
      </c>
      <c r="DI1" s="172" t="s">
        <v>844</v>
      </c>
      <c r="DJ1" s="172" t="s">
        <v>845</v>
      </c>
      <c r="DK1" s="172" t="s">
        <v>846</v>
      </c>
      <c r="DL1" s="172" t="s">
        <v>847</v>
      </c>
      <c r="DM1" s="172" t="s">
        <v>848</v>
      </c>
      <c r="DN1" s="172" t="s">
        <v>849</v>
      </c>
      <c r="DO1" s="173" t="s">
        <v>413</v>
      </c>
      <c r="DP1" s="172" t="s">
        <v>414</v>
      </c>
      <c r="DQ1" s="172" t="s">
        <v>415</v>
      </c>
      <c r="DR1" s="172" t="s">
        <v>416</v>
      </c>
      <c r="DS1" s="172" t="s">
        <v>417</v>
      </c>
      <c r="DT1" s="172" t="s">
        <v>418</v>
      </c>
      <c r="DU1" s="172" t="s">
        <v>419</v>
      </c>
      <c r="DV1" s="172" t="s">
        <v>420</v>
      </c>
      <c r="DW1" s="172" t="s">
        <v>442</v>
      </c>
      <c r="DX1" s="173" t="s">
        <v>421</v>
      </c>
      <c r="DY1" s="172" t="s">
        <v>422</v>
      </c>
      <c r="DZ1" s="172" t="s">
        <v>423</v>
      </c>
      <c r="EA1" s="172" t="s">
        <v>424</v>
      </c>
      <c r="EB1" s="172" t="s">
        <v>425</v>
      </c>
      <c r="EC1" s="172" t="s">
        <v>426</v>
      </c>
      <c r="ED1" s="172" t="s">
        <v>427</v>
      </c>
      <c r="EE1" s="172" t="s">
        <v>428</v>
      </c>
      <c r="EF1" s="172" t="s">
        <v>429</v>
      </c>
      <c r="EG1" s="173" t="s">
        <v>430</v>
      </c>
      <c r="EH1" s="172" t="s">
        <v>431</v>
      </c>
      <c r="EI1" s="172" t="s">
        <v>432</v>
      </c>
      <c r="EJ1" s="172" t="s">
        <v>433</v>
      </c>
      <c r="EK1" s="172" t="s">
        <v>434</v>
      </c>
      <c r="EL1" s="172" t="s">
        <v>435</v>
      </c>
      <c r="EM1" s="172" t="s">
        <v>436</v>
      </c>
      <c r="EN1" s="172" t="s">
        <v>437</v>
      </c>
      <c r="EO1" s="172" t="s">
        <v>441</v>
      </c>
      <c r="EP1" s="173" t="s">
        <v>596</v>
      </c>
      <c r="EQ1" s="172" t="s">
        <v>597</v>
      </c>
      <c r="ER1" s="172" t="s">
        <v>598</v>
      </c>
      <c r="ES1" s="172" t="s">
        <v>599</v>
      </c>
      <c r="ET1" s="172" t="s">
        <v>600</v>
      </c>
      <c r="EU1" s="172" t="s">
        <v>601</v>
      </c>
      <c r="EV1" s="172" t="s">
        <v>602</v>
      </c>
      <c r="EW1" s="172" t="s">
        <v>603</v>
      </c>
      <c r="EX1" s="172" t="s">
        <v>604</v>
      </c>
      <c r="EY1" s="173" t="s">
        <v>605</v>
      </c>
      <c r="EZ1" s="172" t="s">
        <v>606</v>
      </c>
      <c r="FA1" s="172" t="s">
        <v>607</v>
      </c>
      <c r="FB1" s="172" t="s">
        <v>608</v>
      </c>
      <c r="FC1" s="172" t="s">
        <v>609</v>
      </c>
      <c r="FD1" s="172" t="s">
        <v>610</v>
      </c>
      <c r="FE1" s="172" t="s">
        <v>611</v>
      </c>
      <c r="FF1" s="172" t="s">
        <v>612</v>
      </c>
      <c r="FG1" s="172" t="s">
        <v>613</v>
      </c>
      <c r="FH1" s="173" t="s">
        <v>622</v>
      </c>
      <c r="FI1" s="172" t="s">
        <v>614</v>
      </c>
      <c r="FJ1" s="172" t="s">
        <v>615</v>
      </c>
      <c r="FK1" s="172" t="s">
        <v>616</v>
      </c>
      <c r="FL1" s="172" t="s">
        <v>617</v>
      </c>
      <c r="FM1" s="172" t="s">
        <v>618</v>
      </c>
      <c r="FN1" s="172" t="s">
        <v>619</v>
      </c>
      <c r="FO1" s="172" t="s">
        <v>620</v>
      </c>
      <c r="FP1" s="172" t="s">
        <v>621</v>
      </c>
      <c r="FQ1" s="217" t="s">
        <v>180</v>
      </c>
      <c r="FR1" s="217" t="s">
        <v>195</v>
      </c>
      <c r="FS1" s="217" t="s">
        <v>305</v>
      </c>
      <c r="FT1" s="217" t="s">
        <v>197</v>
      </c>
      <c r="FU1" s="217" t="s">
        <v>198</v>
      </c>
      <c r="FV1" s="217" t="s">
        <v>173</v>
      </c>
      <c r="FW1" s="217" t="s">
        <v>175</v>
      </c>
      <c r="FX1" s="217" t="s">
        <v>179</v>
      </c>
      <c r="FY1" s="217" t="s">
        <v>460</v>
      </c>
      <c r="FZ1" s="217" t="s">
        <v>182</v>
      </c>
      <c r="GA1" s="217" t="s">
        <v>461</v>
      </c>
      <c r="GB1" s="173" t="s">
        <v>475</v>
      </c>
      <c r="GC1" s="172" t="s">
        <v>476</v>
      </c>
      <c r="GD1" s="172" t="s">
        <v>477</v>
      </c>
      <c r="GE1" s="172" t="s">
        <v>478</v>
      </c>
      <c r="GF1" s="172" t="s">
        <v>479</v>
      </c>
      <c r="GG1" s="172" t="s">
        <v>480</v>
      </c>
      <c r="GH1" s="172" t="s">
        <v>481</v>
      </c>
      <c r="GI1" s="172" t="s">
        <v>482</v>
      </c>
      <c r="GJ1" s="172" t="s">
        <v>483</v>
      </c>
      <c r="GK1" s="173" t="s">
        <v>492</v>
      </c>
      <c r="GL1" s="172" t="s">
        <v>484</v>
      </c>
      <c r="GM1" s="172" t="s">
        <v>485</v>
      </c>
      <c r="GN1" s="172" t="s">
        <v>486</v>
      </c>
      <c r="GO1" s="172" t="s">
        <v>487</v>
      </c>
      <c r="GP1" s="172" t="s">
        <v>488</v>
      </c>
      <c r="GQ1" s="172" t="s">
        <v>489</v>
      </c>
      <c r="GR1" s="172" t="s">
        <v>490</v>
      </c>
      <c r="GS1" s="172" t="s">
        <v>491</v>
      </c>
      <c r="GT1" s="173" t="s">
        <v>493</v>
      </c>
      <c r="GU1" s="172" t="s">
        <v>494</v>
      </c>
      <c r="GV1" s="172" t="s">
        <v>495</v>
      </c>
      <c r="GW1" s="172" t="s">
        <v>496</v>
      </c>
      <c r="GX1" s="172" t="s">
        <v>497</v>
      </c>
      <c r="GY1" s="172" t="s">
        <v>498</v>
      </c>
      <c r="GZ1" s="172" t="s">
        <v>499</v>
      </c>
      <c r="HA1" s="172" t="s">
        <v>500</v>
      </c>
      <c r="HB1" s="172" t="s">
        <v>501</v>
      </c>
      <c r="HC1" s="173" t="s">
        <v>859</v>
      </c>
      <c r="HD1" s="172" t="s">
        <v>851</v>
      </c>
      <c r="HE1" s="172" t="s">
        <v>852</v>
      </c>
      <c r="HF1" s="172" t="s">
        <v>853</v>
      </c>
      <c r="HG1" s="172" t="s">
        <v>854</v>
      </c>
      <c r="HH1" s="172" t="s">
        <v>855</v>
      </c>
      <c r="HI1" s="172" t="s">
        <v>856</v>
      </c>
      <c r="HJ1" s="172" t="s">
        <v>857</v>
      </c>
      <c r="HK1" s="172" t="s">
        <v>858</v>
      </c>
      <c r="HL1" s="173" t="s">
        <v>868</v>
      </c>
      <c r="HM1" s="172" t="s">
        <v>860</v>
      </c>
      <c r="HN1" s="172" t="s">
        <v>861</v>
      </c>
      <c r="HO1" s="172" t="s">
        <v>862</v>
      </c>
      <c r="HP1" s="172" t="s">
        <v>863</v>
      </c>
      <c r="HQ1" s="172" t="s">
        <v>864</v>
      </c>
      <c r="HR1" s="172" t="s">
        <v>865</v>
      </c>
      <c r="HS1" s="172" t="s">
        <v>866</v>
      </c>
      <c r="HT1" s="172" t="s">
        <v>867</v>
      </c>
      <c r="HU1" s="173" t="s">
        <v>869</v>
      </c>
      <c r="HV1" s="172" t="s">
        <v>505</v>
      </c>
      <c r="HW1" s="172" t="s">
        <v>506</v>
      </c>
      <c r="HX1" s="172" t="s">
        <v>507</v>
      </c>
      <c r="HY1" s="172" t="s">
        <v>508</v>
      </c>
      <c r="HZ1" s="172" t="s">
        <v>509</v>
      </c>
      <c r="IA1" s="172" t="s">
        <v>510</v>
      </c>
      <c r="IB1" s="172" t="s">
        <v>511</v>
      </c>
      <c r="IC1" s="172" t="s">
        <v>512</v>
      </c>
      <c r="ID1" s="173" t="s">
        <v>522</v>
      </c>
      <c r="IE1" s="172" t="s">
        <v>523</v>
      </c>
      <c r="IF1" s="172" t="s">
        <v>524</v>
      </c>
      <c r="IG1" s="172" t="s">
        <v>525</v>
      </c>
      <c r="IH1" s="172" t="s">
        <v>526</v>
      </c>
      <c r="II1" s="172" t="s">
        <v>527</v>
      </c>
      <c r="IJ1" s="172" t="s">
        <v>528</v>
      </c>
      <c r="IK1" s="172" t="s">
        <v>529</v>
      </c>
      <c r="IL1" s="172" t="s">
        <v>530</v>
      </c>
      <c r="IM1" s="173" t="s">
        <v>513</v>
      </c>
      <c r="IN1" s="172" t="s">
        <v>514</v>
      </c>
      <c r="IO1" s="172" t="s">
        <v>515</v>
      </c>
      <c r="IP1" s="172" t="s">
        <v>516</v>
      </c>
      <c r="IQ1" s="172" t="s">
        <v>517</v>
      </c>
      <c r="IR1" s="172" t="s">
        <v>518</v>
      </c>
      <c r="IS1" s="172" t="s">
        <v>519</v>
      </c>
      <c r="IT1" s="172" t="s">
        <v>520</v>
      </c>
      <c r="IU1" s="172" t="s">
        <v>521</v>
      </c>
      <c r="IV1" s="173" t="s">
        <v>563</v>
      </c>
      <c r="IW1" s="172" t="s">
        <v>534</v>
      </c>
      <c r="IX1" s="172" t="s">
        <v>535</v>
      </c>
      <c r="IY1" s="172" t="s">
        <v>536</v>
      </c>
      <c r="IZ1" s="172" t="s">
        <v>537</v>
      </c>
      <c r="JA1" s="172" t="s">
        <v>538</v>
      </c>
      <c r="JB1" s="172" t="s">
        <v>539</v>
      </c>
      <c r="JC1" s="172" t="s">
        <v>540</v>
      </c>
      <c r="JD1" s="172" t="s">
        <v>541</v>
      </c>
      <c r="JE1" s="173" t="s">
        <v>574</v>
      </c>
      <c r="JF1" s="172" t="s">
        <v>542</v>
      </c>
      <c r="JG1" s="172" t="s">
        <v>543</v>
      </c>
      <c r="JH1" s="172" t="s">
        <v>544</v>
      </c>
      <c r="JI1" s="172" t="s">
        <v>545</v>
      </c>
      <c r="JJ1" s="172" t="s">
        <v>546</v>
      </c>
      <c r="JK1" s="172" t="s">
        <v>547</v>
      </c>
      <c r="JL1" s="172" t="s">
        <v>548</v>
      </c>
      <c r="JM1" s="172" t="s">
        <v>549</v>
      </c>
      <c r="JN1" s="173" t="s">
        <v>595</v>
      </c>
      <c r="JO1" s="172" t="s">
        <v>564</v>
      </c>
      <c r="JP1" s="172" t="s">
        <v>565</v>
      </c>
      <c r="JQ1" s="172" t="s">
        <v>566</v>
      </c>
      <c r="JR1" s="172" t="s">
        <v>567</v>
      </c>
      <c r="JS1" s="172" t="s">
        <v>568</v>
      </c>
      <c r="JT1" s="172" t="s">
        <v>569</v>
      </c>
      <c r="JU1" s="172" t="s">
        <v>570</v>
      </c>
      <c r="JV1" s="172" t="s">
        <v>571</v>
      </c>
      <c r="JW1" s="173" t="s">
        <v>639</v>
      </c>
      <c r="JX1" s="172" t="s">
        <v>623</v>
      </c>
      <c r="JY1" s="172" t="s">
        <v>624</v>
      </c>
      <c r="JZ1" s="172" t="s">
        <v>625</v>
      </c>
      <c r="KA1" s="172" t="s">
        <v>626</v>
      </c>
      <c r="KB1" s="172" t="s">
        <v>627</v>
      </c>
      <c r="KC1" s="172" t="s">
        <v>628</v>
      </c>
      <c r="KD1" s="172" t="s">
        <v>629</v>
      </c>
      <c r="KE1" s="172" t="s">
        <v>630</v>
      </c>
      <c r="KF1" s="173" t="s">
        <v>640</v>
      </c>
      <c r="KG1" s="172" t="s">
        <v>631</v>
      </c>
      <c r="KH1" s="172" t="s">
        <v>632</v>
      </c>
      <c r="KI1" s="172" t="s">
        <v>633</v>
      </c>
      <c r="KJ1" s="172" t="s">
        <v>634</v>
      </c>
      <c r="KK1" s="172" t="s">
        <v>635</v>
      </c>
      <c r="KL1" s="172" t="s">
        <v>636</v>
      </c>
      <c r="KM1" s="172" t="s">
        <v>637</v>
      </c>
      <c r="KN1" s="172" t="s">
        <v>638</v>
      </c>
      <c r="KO1" s="173" t="s">
        <v>743</v>
      </c>
      <c r="KP1" s="172" t="s">
        <v>744</v>
      </c>
      <c r="KQ1" s="172" t="s">
        <v>745</v>
      </c>
      <c r="KR1" s="172" t="s">
        <v>746</v>
      </c>
      <c r="KS1" s="172" t="s">
        <v>747</v>
      </c>
      <c r="KT1" s="172" t="s">
        <v>748</v>
      </c>
      <c r="KU1" s="172" t="s">
        <v>749</v>
      </c>
      <c r="KV1" s="172" t="s">
        <v>750</v>
      </c>
      <c r="KW1" s="172" t="s">
        <v>751</v>
      </c>
      <c r="KX1" s="173" t="s">
        <v>752</v>
      </c>
      <c r="KY1" s="172" t="s">
        <v>753</v>
      </c>
      <c r="KZ1" s="172" t="s">
        <v>754</v>
      </c>
      <c r="LA1" s="172" t="s">
        <v>755</v>
      </c>
      <c r="LB1" s="172" t="s">
        <v>756</v>
      </c>
      <c r="LC1" s="172" t="s">
        <v>757</v>
      </c>
      <c r="LD1" s="172" t="s">
        <v>758</v>
      </c>
      <c r="LE1" s="172" t="s">
        <v>759</v>
      </c>
      <c r="LF1" s="172" t="s">
        <v>760</v>
      </c>
      <c r="LG1" s="173" t="s">
        <v>876</v>
      </c>
      <c r="LH1" s="172" t="s">
        <v>877</v>
      </c>
      <c r="LI1" s="172" t="s">
        <v>878</v>
      </c>
      <c r="LJ1" s="172" t="s">
        <v>879</v>
      </c>
      <c r="LK1" s="172" t="s">
        <v>880</v>
      </c>
      <c r="LL1" s="172" t="s">
        <v>881</v>
      </c>
      <c r="LM1" s="172" t="s">
        <v>882</v>
      </c>
      <c r="LN1" s="172" t="s">
        <v>883</v>
      </c>
      <c r="LO1" s="172" t="s">
        <v>884</v>
      </c>
      <c r="LP1" s="218" t="s">
        <v>503</v>
      </c>
      <c r="LQ1" s="218" t="s">
        <v>502</v>
      </c>
      <c r="LR1" s="218" t="s">
        <v>362</v>
      </c>
      <c r="LS1" s="218"/>
      <c r="LT1" s="218" t="s">
        <v>363</v>
      </c>
      <c r="LU1" s="218" t="s">
        <v>364</v>
      </c>
      <c r="LV1" s="218"/>
      <c r="LW1" s="218"/>
      <c r="LZ1" s="218" t="s">
        <v>533</v>
      </c>
      <c r="MA1" s="218" t="s">
        <v>531</v>
      </c>
      <c r="MB1" s="218" t="s">
        <v>533</v>
      </c>
      <c r="MC1" s="218" t="s">
        <v>532</v>
      </c>
      <c r="MD1" s="173" t="s">
        <v>683</v>
      </c>
      <c r="ME1" s="262" t="s">
        <v>701</v>
      </c>
      <c r="MF1" s="262" t="s">
        <v>702</v>
      </c>
      <c r="MG1" s="262" t="s">
        <v>703</v>
      </c>
      <c r="MH1" s="262" t="s">
        <v>704</v>
      </c>
      <c r="MI1" s="262" t="s">
        <v>705</v>
      </c>
      <c r="MJ1" s="262" t="s">
        <v>706</v>
      </c>
      <c r="MK1" s="268" t="s">
        <v>707</v>
      </c>
      <c r="ML1" s="269" t="s">
        <v>708</v>
      </c>
      <c r="MM1" s="269" t="s">
        <v>709</v>
      </c>
      <c r="MN1" s="269" t="s">
        <v>710</v>
      </c>
      <c r="MO1" s="269" t="s">
        <v>711</v>
      </c>
      <c r="MP1" s="270" t="s">
        <v>712</v>
      </c>
      <c r="MQ1" s="172" t="s">
        <v>752</v>
      </c>
      <c r="MR1" s="296" t="s">
        <v>870</v>
      </c>
    </row>
    <row r="2" spans="1:357" ht="58.2" thickBot="1" x14ac:dyDescent="0.35">
      <c r="A2" s="184">
        <f>Sheet3!A2</f>
        <v>44888</v>
      </c>
      <c r="B2" s="186">
        <f>AC2/T2</f>
        <v>0.74963828078318384</v>
      </c>
      <c r="C2" s="183">
        <f>AD2/L2</f>
        <v>0.74878170763472807</v>
      </c>
      <c r="D2" s="183">
        <f t="shared" ref="D2:D32" si="0">AE2/M2</f>
        <v>0.74043460847732501</v>
      </c>
      <c r="E2" s="183">
        <f t="shared" ref="E2:E32" si="1">AF2/N2</f>
        <v>0.73303567541757975</v>
      </c>
      <c r="F2" s="183">
        <f t="shared" ref="F2:F32" si="2">AG2/O2</f>
        <v>0.72926342968284275</v>
      </c>
      <c r="G2" s="183">
        <f t="shared" ref="G2:G32" si="3">AH2/P2</f>
        <v>0.72314307807524736</v>
      </c>
      <c r="H2" s="183">
        <f t="shared" ref="H2:H32" si="4">AI2/Q2</f>
        <v>0.72232685057291046</v>
      </c>
      <c r="I2" s="183">
        <f t="shared" ref="I2:I32" si="5">AJ2/R2</f>
        <v>0.70181681153705588</v>
      </c>
      <c r="J2" s="183">
        <f t="shared" ref="J2:J32" si="6">AK2/S2</f>
        <v>0.71041361734507658</v>
      </c>
      <c r="K2" s="186">
        <f xml:space="preserve"> (6.057 * (10^(-6)))
+ (4.055 * (10^(-8)) * (Sheet3!DF2 + 273))
+ (1.25 * (10^(-10)) * (Sheet3!DF2 + 273)^2)
- (3.367 * (10^(-14)) * (DD2 + 273)^3)</f>
        <v>3.5901352499414485E-5</v>
      </c>
      <c r="L2" s="183">
        <f xml:space="preserve"> (6.057 * (10^(-6)))
+ (4.055 * (10^(-8)) * (Sheet3!BZ2 + 273))
+ (1.25 * (10^(-10)) * (Sheet3!BZ2 + 273)^2)
- (3.367 * (10^(-14)) * (BX2 + 273)^3)</f>
        <v>3.5826003415920371E-5</v>
      </c>
      <c r="M2" s="183">
        <f xml:space="preserve"> (6.057 * (10^(-6)))
+ (4.055 * (10^(-8)) * (Sheet3!CA2 + 273))
+ (1.25 * (10^(-10)) * (Sheet3!CA2 + 273)^2)
- (3.367 * (10^(-14)) * (BY2 + 273)^3)</f>
        <v>3.5330138370933529E-5</v>
      </c>
      <c r="N2" s="183">
        <f xml:space="preserve"> (6.057 * (10^(-6)))
+ (4.055 * (10^(-8)) * (Sheet3!CB2 + 273))
+ (1.25 * (10^(-10)) * (Sheet3!CB2 + 273)^2)
- (3.367 * (10^(-14)) * (BZ2 + 273)^3)</f>
        <v>3.5008429646480063E-5</v>
      </c>
      <c r="O2" s="183">
        <f xml:space="preserve"> (6.057 * (10^(-6)))
+ (4.055 * (10^(-8)) * (Sheet3!CC2 + 273))
+ (1.25 * (10^(-10)) * (Sheet3!CC2 + 273)^2)
- (3.367 * (10^(-14)) * (CA2 + 273)^3)</f>
        <v>3.4746237392770503E-5</v>
      </c>
      <c r="P2" s="183">
        <f xml:space="preserve"> (6.057 * (10^(-6)))
+ (4.055 * (10^(-8)) * (Sheet3!CD2 + 273))
+ (1.25 * (10^(-10)) * (Sheet3!CD2 + 273)^2)
- (3.367 * (10^(-14)) * (CB2 + 273)^3)</f>
        <v>3.4478914418191494E-5</v>
      </c>
      <c r="Q2" s="183">
        <f xml:space="preserve"> (6.057 * (10^(-6)))
+ (4.055 * (10^(-8)) * (Sheet3!CE2 + 273))
+ (1.25 * (10^(-10)) * (Sheet3!CE2 + 273)^2)
- (3.367 * (10^(-14)) * (CC2 + 273)^3)</f>
        <v>3.4281965259266342E-5</v>
      </c>
      <c r="R2" s="183">
        <f xml:space="preserve"> (6.057 * (10^(-6)))
+ (4.055 * (10^(-8)) * (Sheet3!CF2 + 273))
+ (1.25 * (10^(-10)) * (Sheet3!CF2 + 273)^2)
- (3.367 * (10^(-14)) * (CD2 + 273)^3)</f>
        <v>3.3442977463363853E-5</v>
      </c>
      <c r="S2" s="183">
        <f xml:space="preserve"> (6.057 * (10^(-6)))
+ (4.055 * (10^(-8)) * (Sheet3!CG2 + 273))
+ (1.25 * (10^(-10)) * (Sheet3!CG2 + 273)^2)
- (3.367 * (10^(-14)) * (CE2 + 273)^3)</f>
        <v>3.3611680493166869E-5</v>
      </c>
      <c r="T2" s="188">
        <f>K2</f>
        <v>3.5901352499414485E-5</v>
      </c>
      <c r="U2" s="165">
        <f t="shared" ref="U2:AB2" si="7">L2</f>
        <v>3.5826003415920371E-5</v>
      </c>
      <c r="V2" s="165">
        <f t="shared" si="7"/>
        <v>3.5330138370933529E-5</v>
      </c>
      <c r="W2" s="165">
        <f t="shared" si="7"/>
        <v>3.5008429646480063E-5</v>
      </c>
      <c r="X2" s="165">
        <f t="shared" si="7"/>
        <v>3.4746237392770503E-5</v>
      </c>
      <c r="Y2" s="165">
        <f t="shared" si="7"/>
        <v>3.4478914418191494E-5</v>
      </c>
      <c r="Z2" s="165">
        <f t="shared" si="7"/>
        <v>3.4281965259266342E-5</v>
      </c>
      <c r="AA2" s="165">
        <f t="shared" si="7"/>
        <v>3.3442977463363853E-5</v>
      </c>
      <c r="AB2" s="165">
        <f t="shared" si="7"/>
        <v>3.3611680493166869E-5</v>
      </c>
      <c r="AC2" s="186">
        <f t="shared" ref="AC2:AC32" si="8">AL2/(BM2*BV2*1000)</f>
        <v>2.6913028165452136E-5</v>
      </c>
      <c r="AD2" s="183">
        <f t="shared" ref="AD2:AD32" si="9">AM2/(BN2*BW2*1000)</f>
        <v>2.6825856015500455E-5</v>
      </c>
      <c r="AE2" s="183">
        <f t="shared" ref="AE2:AE32" si="10">AN2/(BO2*BX2*1000)</f>
        <v>2.6159657172131883E-5</v>
      </c>
      <c r="AF2" s="183">
        <f t="shared" ref="AF2:AF32" si="11">AO2/(BP2*BY2*1000)</f>
        <v>2.5662427871216335E-5</v>
      </c>
      <c r="AG2" s="183">
        <f t="shared" ref="AG2:AG32" si="12">AP2/(BQ2*BZ2*1000)</f>
        <v>2.5339160249626054E-5</v>
      </c>
      <c r="AH2" s="183">
        <f t="shared" ref="AH2:AH32" si="13">AQ2/(BR2*CA2*1000)</f>
        <v>2.4933188301064025E-5</v>
      </c>
      <c r="AI2" s="183">
        <f t="shared" ref="AI2:AI32" si="14">AR2/(BS2*CB2*1000)</f>
        <v>2.4762783997175788E-5</v>
      </c>
      <c r="AJ2" s="183">
        <f t="shared" ref="AJ2:AJ32" si="15">AS2/(BT2*CC2*1000)</f>
        <v>2.3470843811643636E-5</v>
      </c>
      <c r="AK2" s="183">
        <f t="shared" ref="AK2:AK32" si="16">AT2/(BU2*CD2*1000)</f>
        <v>2.3878195524197623E-5</v>
      </c>
      <c r="AL2" s="186">
        <f t="shared" ref="AL2:AT2" si="17">(( (1-DO2)*BD2)/((1-DO2)+DO2*JW2))+((DO2*AU2)/(DO2+(1-DO2)*KF2))</f>
        <v>2.8573750330012346E-2</v>
      </c>
      <c r="AM2" s="183">
        <f t="shared" si="17"/>
        <v>2.8495080490246315E-2</v>
      </c>
      <c r="AN2" s="183">
        <f t="shared" si="17"/>
        <v>2.7960799157016759E-2</v>
      </c>
      <c r="AO2" s="183">
        <f t="shared" si="17"/>
        <v>2.7608525668026358E-2</v>
      </c>
      <c r="AP2" s="183">
        <f t="shared" si="17"/>
        <v>2.7325123175622988E-2</v>
      </c>
      <c r="AQ2" s="183">
        <f t="shared" si="17"/>
        <v>2.7030197687019326E-2</v>
      </c>
      <c r="AR2" s="183">
        <f t="shared" si="17"/>
        <v>2.6821138008288122E-2</v>
      </c>
      <c r="AS2" s="183">
        <f t="shared" si="17"/>
        <v>2.5883093108575443E-2</v>
      </c>
      <c r="AT2" s="183">
        <f t="shared" si="17"/>
        <v>2.6089865452754733E-2</v>
      </c>
      <c r="AU2" s="186">
        <f>_xlfn.FORECAST.LINEAR(Sheet3!DF2,Sheet2!$AH$2:$AH$40,Sheet2!$AG$2:$AG$40)</f>
        <v>2.5653712965492358E-2</v>
      </c>
      <c r="AV2" s="183">
        <f>_xlfn.FORECAST.LINEAR(Sheet3!BZ2,Sheet2!$AH$2:$AH$40,Sheet2!$AG$2:$AG$40)</f>
        <v>2.5509463672503774E-2</v>
      </c>
      <c r="AW2" s="183">
        <f>_xlfn.FORECAST.LINEAR(Sheet3!CA2,Sheet2!$AH$2:$AH$40,Sheet2!$AG$2:$AG$40)</f>
        <v>2.4535780296727951E-2</v>
      </c>
      <c r="AX2" s="183">
        <f>_xlfn.FORECAST.LINEAR(Sheet3!CB2,Sheet2!$AH$2:$AH$40,Sheet2!$AG$2:$AG$40)</f>
        <v>2.390011870386265E-2</v>
      </c>
      <c r="AY2" s="183">
        <f>_xlfn.FORECAST.LINEAR(Sheet3!CC2,Sheet2!$AH$2:$AH$40,Sheet2!$AG$2:$AG$40)</f>
        <v>2.337980042392343E-2</v>
      </c>
      <c r="AZ2" s="183">
        <f>_xlfn.FORECAST.LINEAR(Sheet3!CD2,Sheet2!$AH$2:$AH$40,Sheet2!$AG$2:$AG$40)</f>
        <v>2.2847047742835046E-2</v>
      </c>
      <c r="BA2" s="183">
        <f>_xlfn.FORECAST.LINEAR(Sheet3!CE2,Sheet2!$AH$2:$AH$40,Sheet2!$AG$2:$AG$40)</f>
        <v>2.2453191999450599E-2</v>
      </c>
      <c r="BB2" s="183">
        <f>_xlfn.FORECAST.LINEAR(Sheet3!CF2,Sheet2!$AH$2:$AH$40,Sheet2!$AG$2:$AG$40)</f>
        <v>2.0761760233377273E-2</v>
      </c>
      <c r="BC2" s="183">
        <f>_xlfn.FORECAST.LINEAR(Sheet3!CG2,Sheet2!$AH$2:$AH$40,Sheet2!$AG$2:$AG$40)</f>
        <v>2.1113545711153887E-2</v>
      </c>
      <c r="BD2" s="186">
        <f>_xlfn.FORECAST.LINEAR(Sheet3!DF2,Sheet2!$AB$12:$AB$37,Sheet2!$AA$12:$AA$37)/1000</f>
        <v>3.0506351161118033E-2</v>
      </c>
      <c r="BE2" s="183">
        <f>_xlfn.FORECAST.LINEAR(Sheet3!BZ2,Sheet2!$AB$12:$AB$37,Sheet2!$AA$12:$AA$37)/1000</f>
        <v>3.0474100358076305E-2</v>
      </c>
      <c r="BF2" s="183">
        <f>_xlfn.FORECAST.LINEAR(Sheet3!CA2,Sheet2!$AB$12:$AB$37,Sheet2!$AA$12:$AA$37)/1000</f>
        <v>3.025640729264387E-2</v>
      </c>
      <c r="BG2" s="183">
        <f>_xlfn.FORECAST.LINEAR(Sheet3!CB2,Sheet2!$AB$12:$AB$37,Sheet2!$AA$12:$AA$37)/1000</f>
        <v>3.0114288073839035E-2</v>
      </c>
      <c r="BH2" s="183">
        <f>_xlfn.FORECAST.LINEAR(Sheet3!CC2,Sheet2!$AB$12:$AB$37,Sheet2!$AA$12:$AA$37)/1000</f>
        <v>2.9997956950007072E-2</v>
      </c>
      <c r="BI2" s="183">
        <f>_xlfn.FORECAST.LINEAR(Sheet3!CD2,Sheet2!$AB$12:$AB$37,Sheet2!$AA$12:$AA$37)/1000</f>
        <v>2.987884578189139E-2</v>
      </c>
      <c r="BJ2" s="183">
        <f>_xlfn.FORECAST.LINEAR(Sheet3!CE2,Sheet2!$AB$12:$AB$37,Sheet2!$AA$12:$AA$37)/1000</f>
        <v>2.979078875406423E-2</v>
      </c>
      <c r="BK2" s="183">
        <f>_xlfn.FORECAST.LINEAR(Sheet3!CF2,Sheet2!$AB$12:$AB$37,Sheet2!$AA$12:$AA$37)/1000</f>
        <v>2.9412623761945603E-2</v>
      </c>
      <c r="BL2" s="183">
        <f>_xlfn.FORECAST.LINEAR(Sheet3!CG2,Sheet2!$AB$12:$AB$37,Sheet2!$AA$12:$AA$37)/1000</f>
        <v>2.9491274852163494E-2</v>
      </c>
      <c r="BM2" s="186">
        <f t="shared" ref="BM2:BU2" si="18">DX2+EG2</f>
        <v>0.8348698290657246</v>
      </c>
      <c r="BN2" s="183">
        <f t="shared" si="18"/>
        <v>0.83629362956087894</v>
      </c>
      <c r="BO2" s="183">
        <f t="shared" si="18"/>
        <v>0.84573339153502824</v>
      </c>
      <c r="BP2" s="183">
        <f t="shared" si="18"/>
        <v>0.85176886491487069</v>
      </c>
      <c r="BQ2" s="183">
        <f t="shared" si="18"/>
        <v>0.85707181796148935</v>
      </c>
      <c r="BR2" s="183">
        <f t="shared" si="18"/>
        <v>0.86228241601793942</v>
      </c>
      <c r="BS2" s="183">
        <f t="shared" si="18"/>
        <v>0.86665176215913953</v>
      </c>
      <c r="BT2" s="183">
        <f t="shared" si="18"/>
        <v>0.88370147900448437</v>
      </c>
      <c r="BU2" s="183">
        <f t="shared" si="18"/>
        <v>0.88063556676806443</v>
      </c>
      <c r="BV2" s="186">
        <f>(($LQ$3/LG2)*DF2*CN2)+(($LP$3/LG2)*DO2*CE2)</f>
        <v>1.2717036364741356</v>
      </c>
      <c r="BW2" s="183">
        <f t="shared" ref="BW2:BW33" si="19">(($LQ$3/LH2)*DG2*CO2)+(($LP$3/LH2)*DP2*CF2)</f>
        <v>1.2701573048840853</v>
      </c>
      <c r="BX2" s="183">
        <f t="shared" ref="BX2:BX33" si="20">(($LQ$3/LI2)*DH2*CP2)+(($LP$3/LI2)*DQ2*CG2)</f>
        <v>1.2638165955265239</v>
      </c>
      <c r="BY2" s="183">
        <f t="shared" ref="BY2:BY33" si="21">(($LQ$3/LJ2)*DI2*CQ2)+(($LP$3/LJ2)*DR2*CH2)</f>
        <v>1.2630592174793511</v>
      </c>
      <c r="BZ2" s="183">
        <f t="shared" ref="BZ2:BZ33" si="22">(($LQ$3/LK2)*DJ2*CR2)+(($LP$3/LK2)*DS2*CI2)</f>
        <v>1.2582087331730871</v>
      </c>
      <c r="CA2" s="183">
        <f t="shared" ref="CA2:CA33" si="23">(($LQ$3/LL2)*DK2*CS2)+(($LP$3/LL2)*DT2*CJ2)</f>
        <v>1.2572506682281208</v>
      </c>
      <c r="CB2" s="183">
        <f t="shared" ref="CB2:CB33" si="24">(($LQ$3/LM2)*DL2*CT2)+(($LP$3/LM2)*DU2*CK2)</f>
        <v>1.2497786664316153</v>
      </c>
      <c r="CC2" s="183">
        <f t="shared" ref="CC2:CC33" si="25">(($LQ$3/LN2)*DM2*CU2)+(($LP$3/LN2)*DV2*CL2)</f>
        <v>1.2479060474748769</v>
      </c>
      <c r="CD2" s="183">
        <f t="shared" ref="CD2:CD33" si="26">(($LQ$3/LO2)*DN2*CV2)+(($LP$3/LO2)*DW2*CM2)</f>
        <v>1.2407209450566925</v>
      </c>
      <c r="CE2" s="187">
        <f xml:space="preserve"> -0.0000000019505*Sheet3!DF2^3 + 0.0000015497*Sheet3!DF2^2  + 0.00016911*Sheet3!DF2 + 1.8585</f>
        <v>1.8828730816875001</v>
      </c>
      <c r="CF2" s="185">
        <f xml:space="preserve"> -0.0000000019505*Sheet3!BZ2^3 + 0.0000015497*Sheet3!BZ2^2  + 0.00016911*Sheet3!BZ2 + 1.8585</f>
        <v>1.8826519022371455</v>
      </c>
      <c r="CG2" s="185">
        <f xml:space="preserve"> -0.0000000019505*Sheet3!CA2^3 + 0.0000015497*Sheet3!CA2^2  + 0.00016911*Sheet3!CA2 + 1.8585</f>
        <v>1.8811768377181119</v>
      </c>
      <c r="CH2" s="185">
        <f xml:space="preserve"> -0.0000000019505*Sheet3!CB2^3 + 0.0000015497*Sheet3!CB2^2  + 0.00016911*Sheet3!CB2 + 1.8585</f>
        <v>1.8802308870810611</v>
      </c>
      <c r="CI2" s="185">
        <f xml:space="preserve"> -0.0000000019505*Sheet3!CC2^3 + 0.0000015497*Sheet3!CC2^2  + 0.00016911*Sheet3!CC2 + 1.8585</f>
        <v>1.8794667502041933</v>
      </c>
      <c r="CJ2" s="185">
        <f xml:space="preserve"> -0.0000000019505*Sheet3!CD2^3 + 0.0000015497*Sheet3!CD2^2  + 0.00016911*Sheet3!CD2 + 1.8585</f>
        <v>1.8786939482961429</v>
      </c>
      <c r="CK2" s="185">
        <f xml:space="preserve"> -0.0000000019505*Sheet3!CE2^3 + 0.0000015497*Sheet3!CE2^2  + 0.00016911*Sheet3!CE2 + 1.8585</f>
        <v>1.8781289329346911</v>
      </c>
      <c r="CL2" s="185">
        <f xml:space="preserve"> -0.0000000019505*Sheet3!CF2^3 + 0.0000015497*Sheet3!CF2^2  + 0.00016911*Sheet3!CF2 + 1.8585</f>
        <v>1.8757644815017442</v>
      </c>
      <c r="CM2" s="185">
        <f xml:space="preserve"> -0.0000000019505*Sheet3!CG2^3 + 0.0000015497*Sheet3!CG2^2  + 0.00016911*Sheet3!CG2 + 1.8585</f>
        <v>1.8762478567057581</v>
      </c>
      <c r="CN2" s="186">
        <f>_xlfn.FORECAST.LINEAR(Sheet3!DF2,New!$LU$2:$LU$14,New!$LT$2:$LT$14)</f>
        <v>1.0126209368728181</v>
      </c>
      <c r="CO2" s="183">
        <f>_xlfn.FORECAST.LINEAR(Sheet3!BZ2,New!$LU$2:$LU$14,New!$LT$2:$LT$14)</f>
        <v>1.0125147675007318</v>
      </c>
      <c r="CP2" s="183">
        <f>_xlfn.FORECAST.LINEAR(Sheet3!CA2,New!$LU$2:$LU$14,New!$LT$2:$LT$14)</f>
        <v>1.011798123762137</v>
      </c>
      <c r="CQ2" s="183">
        <f>_xlfn.FORECAST.LINEAR(Sheet3!CB2,New!$LU$2:$LU$14,New!$LT$2:$LT$14)</f>
        <v>1.0113302684903664</v>
      </c>
      <c r="CR2" s="183">
        <f>_xlfn.FORECAST.LINEAR(Sheet3!CC2,New!$LU$2:$LU$14,New!$LT$2:$LT$14)</f>
        <v>1.0109473074101305</v>
      </c>
      <c r="CS2" s="183">
        <f>_xlfn.FORECAST.LINEAR(Sheet3!CD2,New!$LU$2:$LU$14,New!$LT$2:$LT$14)</f>
        <v>1.0105551944475186</v>
      </c>
      <c r="CT2" s="183">
        <f>_xlfn.FORECAST.LINEAR(Sheet3!CE2,New!$LU$2:$LU$14,New!$LT$2:$LT$14)</f>
        <v>1.0102653114532842</v>
      </c>
      <c r="CU2" s="183">
        <f>_xlfn.FORECAST.LINEAR(Sheet3!CF2,New!$LU$2:$LU$14,New!$LT$2:$LT$14)</f>
        <v>1.0090203954830894</v>
      </c>
      <c r="CV2" s="183">
        <f>_xlfn.FORECAST.LINEAR(Sheet3!CG2,New!$LU$2:$LU$14,New!$LT$2:$LT$14)</f>
        <v>1.0092793142099048</v>
      </c>
      <c r="CW2" s="186">
        <f>EXP((17.625*Sheet3!BA2)/(243.04+Sheet3!BA2)) / EXP((17.625*Sheet3!DF2)/(243.04+Sheet3!DF2))</f>
        <v>0.56047858452612931</v>
      </c>
      <c r="CX2" s="183">
        <f>EXP((17.625*(Sheet3!BC2+273))/(243.04+(Sheet3!BC2+273)))/EXP((17.625*(Sheet3!BZ2+273))/(243.04+(Sheet3!BZ2+273)))</f>
        <v>0.84943797584041214</v>
      </c>
      <c r="CY2" s="183">
        <f>EXP((17.625*(Sheet3!BE2+273))/(243.04+(Sheet3!BE2+273))) / EXP((17.625*(Sheet3!CA2+273))/(243.04+(Sheet3!CA2+273)))</f>
        <v>0.88631694832933838</v>
      </c>
      <c r="CZ2" s="183">
        <f>EXP((17.625*(Sheet3!BG2+273))/(243.04+(Sheet3!BG2+273))) / EXP((17.625*(Sheet3!CB2+273))/(243.04+(Sheet3!CB2+273)))</f>
        <v>0.91343420163729572</v>
      </c>
      <c r="DA2" s="183">
        <f>EXP((17.625*(Sheet3!BI2+273))/(243.04+(Sheet3!BI2+273))) / EXP((17.625*(Sheet3!CC2+273))/(243.04+(Sheet3!CC2+273)))</f>
        <v>0.9339661512929871</v>
      </c>
      <c r="DB2" s="183">
        <f>EXP((17.625*(Sheet3!BK2+273))/(243.04+(Sheet3!BK2+273)))/EXP((17.625*(Sheet3!CD2+273))/(243.04+(Sheet3!CD2+273)))</f>
        <v>0.9580221872113831</v>
      </c>
      <c r="DC2" s="183">
        <f>EXP((17.625*(Sheet3!BM2+273))/(243.04+(Sheet3!BM2+273))) / EXP((17.625*(Sheet3!CE2+273))/(243.04+(Sheet3!CE2+273)))</f>
        <v>0.97219489392790903</v>
      </c>
      <c r="DD2" s="183">
        <f>EXP((17.625*(Sheet3!BO2+273))/(243.04+(Sheet3!BO2+273))) / EXP((17.625*(Sheet3!CF2+273))/(243.04+(Sheet3!CF2+273)))</f>
        <v>1.0564083294263118</v>
      </c>
      <c r="DE2" s="183">
        <f>EXP((17.625*(Sheet3!BQ2+273))/(243.04+(Sheet3!BQ2+273))) / EXP((17.625*(Sheet3!CG2+273))/(243.04+(Sheet3!CG2+273)))</f>
        <v>1.0331974640740713</v>
      </c>
      <c r="DF2" s="186">
        <f>((Sheet3!DA2-Sheet3!DB2)/New!$LQ$3)/(((Sheet3!DA2-Sheet3!DB2)/New!$LQ$3)+(Sheet3!DB2/New!$LP$3))</f>
        <v>0.59472086464141927</v>
      </c>
      <c r="DG2" s="183">
        <f>((Sheet3!DA2-Sheet3!DB2)/New!$LQ$3)/(((Sheet3!DA2-Sheet3!DB2)/New!$LQ$3)+((Sheet3!DB2-(Sheet3!B2*0.004))/New!$LP$3))</f>
        <v>0.59895331157888221</v>
      </c>
      <c r="DH2" s="183" cm="1">
        <f t="array" ref="DH2">((Sheet3!DA2-Sheet3!DB2)/New!$LQ$3)/(((Sheet3!DA2-Sheet3!DB2)/New!$LQ$3)+((Sheet3!DB2-(SUM(Sheet3!B2:C2*0.004)))/New!$LP$3))</f>
        <v>0.61565426733271555</v>
      </c>
      <c r="DI2" s="183" cm="1">
        <f t="array" ref="DI2">((Sheet3!DA2-Sheet3!DB2)/New!$LQ$3)/(((Sheet3!DA2-Sheet3!DB2)/New!$LQ$3)+((Sheet3!DB2-(SUM(Sheet3!B2:D2*0.004)))/New!$LP$3))</f>
        <v>0.616131488016466</v>
      </c>
      <c r="DJ2" s="183" cm="1">
        <f t="array" ref="DJ2">((Sheet3!DA2-Sheet3!DB2)/New!$LQ$3)/(((Sheet3!DA2-Sheet3!DB2)/New!$LQ$3)+((Sheet3!DB2-(SUM(Sheet3!B2:E2*0.004)))/New!$LP$3))</f>
        <v>0.63016130924994584</v>
      </c>
      <c r="DK2" s="183" cm="1">
        <f t="array" ref="DK2">((Sheet3!DA2-Sheet3!DB2)/New!$LQ$3)/(((Sheet3!DA2-Sheet3!DB2)/New!$LQ$3)+((Sheet3!DB2-(SUM(Sheet3!B2:F2*0.004)))/New!$LP$3))</f>
        <v>0.63166364787711815</v>
      </c>
      <c r="DL2" s="183" cm="1">
        <f t="array" ref="DL2">((Sheet3!DA2-Sheet3!DB2)/New!$LQ$3)/(((Sheet3!DA2-Sheet3!DB2)/New!$LQ$3)+((Sheet3!DB2-(SUM(Sheet3!B2:G2*0.004)))/New!$LP$3))</f>
        <v>0.65572069123400933</v>
      </c>
      <c r="DM2" s="183" cm="1">
        <f t="array" ref="DM2">((Sheet3!DA2-Sheet3!DB2)/New!$LQ$3)/(((Sheet3!DA2-Sheet3!DB2)/New!$LQ$3)+((Sheet3!DB2-(SUM(Sheet3!B2:H2*0.004)))/New!$LP$3))</f>
        <v>0.65683450614358119</v>
      </c>
      <c r="DN2" s="183" cm="1">
        <f t="array" ref="DN2">((Sheet3!DA2-Sheet3!DB2)/New!$LQ$3)/(((Sheet3!DA2-Sheet3!DB2)/New!$LQ$3)+((Sheet3!DB2-(SUM(Sheet3!B2:I2*0.004)))/New!$LP$3))</f>
        <v>0.68393115596472753</v>
      </c>
      <c r="DO2" s="186">
        <f>(Sheet3!DB2/$LP$3) / ((Sheet3!DB2/$LP$3) + ((Sheet3!DA2-Sheet3!DB2)/$LQ$3))</f>
        <v>0.40527913535858079</v>
      </c>
      <c r="DP2" s="183">
        <f>((Sheet3!$DB2-(Sheet3!B2/4000)) / $LP$3) / (((Sheet3!$DA2-Sheet3!DB2) / $LQ$3) + (Sheet3!$DB2-((Sheet3!B2/4000)))/$LP$3)</f>
        <v>0.40501636063207025</v>
      </c>
      <c r="DQ2" s="183">
        <f>((Sheet3!$DB2-(SUM(Sheet3!B2:C2)/4000))/$LP$3)/(((Sheet3!$DA2-Sheet3!$DB2)/$LQ$3)+(Sheet3!$DB2-(SUM(Sheet3!B2:C2)/4000))/$LP$3)</f>
        <v>0.40401259207782142</v>
      </c>
      <c r="DR2" s="183">
        <f>((Sheet3!$DB2-(SUM(Sheet3!B2:D2)/4000))/$LP$3)/(((Sheet3!$DA2-Sheet3!$DB2)/$LQ$3)+(Sheet3!$DB2-(SUM(Sheet3!B2:D2)/4000))/$LP$3)</f>
        <v>0.40398466126990212</v>
      </c>
      <c r="DS2" s="183">
        <f>((Sheet3!$DB2-(SUM(Sheet3!B2:E2)/4000))/$LP$3)/(((Sheet3!$DA2-Sheet3!$DB2)/$LQ$3)+(Sheet3!$DB2-(SUM(Sheet3!B2:E2)/4000))/$LP$3)</f>
        <v>0.40318130743891084</v>
      </c>
      <c r="DT2" s="183">
        <f>((Sheet3!$DB2-(SUM(Sheet3!B2:F2)/4000))/$LP$3)/(((Sheet3!$DA2-Sheet3!$DB2)/$LQ$3)+(Sheet3!$DB2-(SUM(Sheet3!B2:F2)/4000))/$LP$3)</f>
        <v>0.40309727321143002</v>
      </c>
      <c r="DU2" s="183">
        <f>((Sheet3!$DB2-(SUM(Sheet3!B2:G2)/4000))/$LP$3)/(((Sheet3!$DA2-Sheet3!$DB2)/$LQ$3)+(Sheet3!$DB2-(SUM(Sheet3!B2:G2)/4000))/$LP$3)</f>
        <v>0.4018010891495038</v>
      </c>
      <c r="DV2" s="183">
        <f>((Sheet3!$DB2-(SUM(Sheet3!B2:H2)/4000))/$LP$3)/(((Sheet3!$DA2-Sheet3!$DB2)/$LQ$3)+(Sheet3!$DB2-(SUM(Sheet3!B2:H2)/4000))/$LP$3)</f>
        <v>0.40174324606755318</v>
      </c>
      <c r="DW2" s="183">
        <f>((Sheet3!$DB2-(SUM(Sheet3!B2:I2)/4000))/$LP$3)/(((Sheet3!$DA2-Sheet3!$DB2)/$LQ$3)+(Sheet3!$DB2-(SUM(Sheet3!B2:I2)/4000))/$LP$3)</f>
        <v>0.40039091482073541</v>
      </c>
      <c r="DX2" s="186">
        <f>($LR$2*($LP$3/1000))/($LP$2*(Sheet3!DF2+273))*DO2</f>
        <v>0.24854903308063558</v>
      </c>
      <c r="DY2" s="183">
        <f>(($LR$2*($LP$3/1000))/($LP$2*(Sheet3!BZ2+273)))*(DP2)</f>
        <v>0.24878230779923216</v>
      </c>
      <c r="DZ2" s="183">
        <f>(($LR$2*($LP$3/1000))/($LP$2*(Sheet3!CA2+273)))*(DQ2)</f>
        <v>0.25085457673465211</v>
      </c>
      <c r="EA2" s="183">
        <f>(($LR$2*($LP$3/1000))/($LP$2*(Sheet3!CB2+273)))*(DR2)</f>
        <v>0.25262415639388602</v>
      </c>
      <c r="EB2" s="183">
        <f>(($LR$2*($LP$3/1000))/($LP$2*(Sheet3!CC2+273)))*(DS2)</f>
        <v>0.25360058592566387</v>
      </c>
      <c r="EC2" s="183">
        <f>(($LR$2*($LP$3/1000))/($LP$2*(Sheet3!CD2+273)))*(DT2)</f>
        <v>0.2550796232239263</v>
      </c>
      <c r="ED2" s="183">
        <f>(($LR$2*($LP$3/1000))/($LP$2*(Sheet3!CE2+273)))*(DU2)</f>
        <v>0.25540017911061674</v>
      </c>
      <c r="EE2" s="183">
        <f>(($LR$2*($LP$3/1000))/($LP$2*(Sheet3!CF2+273)))*(DV2)</f>
        <v>0.26038048753646909</v>
      </c>
      <c r="EF2" s="183">
        <f>(($LR$2*($LP$3/1000))/($LP$2*(Sheet3!CG2+273)))*(DW2)</f>
        <v>0.25844794591907227</v>
      </c>
      <c r="EG2" s="186">
        <f>(($LR$2*($LQ$3/1000))/($LQ$2*(Sheet3!DF2+273)))*(1-DO2)</f>
        <v>0.58632079598508902</v>
      </c>
      <c r="EH2" s="183">
        <f>(($LR$2*($LQ$3/1000))/($LQ$2*(Sheet3!BZ2+273)))*(1-DP2)</f>
        <v>0.58751132176164678</v>
      </c>
      <c r="EI2" s="183">
        <f>(($LR$2*($LQ$3/1000))/($LQ$2*(Sheet3!CA2+273)))*(1-DQ2)</f>
        <v>0.59487881480037608</v>
      </c>
      <c r="EJ2" s="183">
        <f>(($LR$2*($LQ$3/1000))/($LQ$2*(Sheet3!CB2+273)))*(1-DR2)</f>
        <v>0.59914470852098467</v>
      </c>
      <c r="EK2" s="183">
        <f>(($LR$2*($LQ$3/1000))/($LQ$2*(Sheet3!CC2+273)))*(1-DS2)</f>
        <v>0.60347123203582542</v>
      </c>
      <c r="EL2" s="183">
        <f>(($LR$2*($LQ$3/1000))/($LQ$2*(Sheet3!CD2+273)))*(1-DT2)</f>
        <v>0.60720279279401312</v>
      </c>
      <c r="EM2" s="183">
        <f>(($LR$2*($LQ$3/1000))/($LQ$2*(Sheet3!CE2+273)))*(1-DU2)</f>
        <v>0.61125158304852278</v>
      </c>
      <c r="EN2" s="183">
        <f>(($LR$2*($LQ$3/1000))/($LQ$2*(Sheet3!CF2+273)))*(1-DV2)</f>
        <v>0.62332099146801523</v>
      </c>
      <c r="EO2" s="183">
        <f>(($LR$2*($LQ$3/1000))/($LQ$2*(Sheet3!CG2+273)))*(1-DW2)</f>
        <v>0.62218762084899215</v>
      </c>
      <c r="EP2" s="186">
        <f>(FV2*0.018)/(0.011*JN2*3600)</f>
        <v>3473.2187052053791</v>
      </c>
      <c r="EQ2" s="183">
        <f xml:space="preserve"> (($FV2-(Sheet3!B2/4000))*0.018)/(0.011*JO2*3600)</f>
        <v>3476.2258664310825</v>
      </c>
      <c r="ER2" s="183">
        <f>((($FV2-(SUM(Sheet3!B2:C2)/4000))*0.018)/(0.011*JP2*3600))</f>
        <v>3501.5274397070721</v>
      </c>
      <c r="ES2" s="183">
        <f>((($FV2-(SUM(Sheet3!B2:D2)/4000))*0.018)/(0.011*JQ2*3600))</f>
        <v>3522.2173038321339</v>
      </c>
      <c r="ET2" s="183">
        <f>((($FV2-(SUM(Sheet3!B2:E2)/4000))*0.018)/(0.011*JR2))/3600</f>
        <v>3534.4420089371611</v>
      </c>
      <c r="EU2" s="183">
        <f>((($FV2-(SUM(Sheet3!B2:F2)/4000))*0.018)/(0.011*JS2))/3600</f>
        <v>3551.7435187228457</v>
      </c>
      <c r="EV2" s="183">
        <f>((($FV2-(SUM(Sheet3!B2:G2)/4000))*0.018)/(0.011*JT2))/3600</f>
        <v>3556.8474708539793</v>
      </c>
      <c r="EW2" s="183">
        <f>((($FV2-(SUM(Sheet3!B2:H2)/4000))*0.018)/(0.011*JU2))/3600</f>
        <v>3614.6118454271073</v>
      </c>
      <c r="EX2" s="183">
        <f>((($FV2-(SUM(Sheet3!B2:I2)/4000))*0.018)/(0.011*JV2))/3600</f>
        <v>3593.7139564314621</v>
      </c>
      <c r="EY2" s="186">
        <f t="shared" ref="EY2:FG2" si="27">0.27*EP2^0.63*ID2^0.36</f>
        <v>41.661764651371236</v>
      </c>
      <c r="EZ2" s="183">
        <f t="shared" si="27"/>
        <v>41.689744618884653</v>
      </c>
      <c r="FA2" s="183">
        <f t="shared" si="27"/>
        <v>41.962654449327317</v>
      </c>
      <c r="FB2" s="183">
        <f t="shared" si="27"/>
        <v>42.212100872280836</v>
      </c>
      <c r="FC2" s="183">
        <f t="shared" si="27"/>
        <v>42.335070260325089</v>
      </c>
      <c r="FD2" s="183">
        <f t="shared" si="27"/>
        <v>42.543604255118076</v>
      </c>
      <c r="FE2" s="183">
        <f t="shared" si="27"/>
        <v>42.563352154943374</v>
      </c>
      <c r="FF2" s="183">
        <f t="shared" si="27"/>
        <v>43.275819716918036</v>
      </c>
      <c r="FG2" s="183">
        <f t="shared" si="27"/>
        <v>42.969443619572182</v>
      </c>
      <c r="FH2" s="186">
        <f t="shared" ref="FH2:FH32" si="28">EY2*AL2/0.018</f>
        <v>66.135158969778644</v>
      </c>
      <c r="FI2" s="183">
        <f t="shared" ref="FI2:FI32" si="29">EZ2*AM2/0.018</f>
        <v>65.997368251829528</v>
      </c>
      <c r="FJ2" s="183">
        <f t="shared" ref="FJ2:FJ32" si="30">FA2*AN2/0.018</f>
        <v>65.183852952940939</v>
      </c>
      <c r="FK2" s="183">
        <f t="shared" ref="FK2:FK32" si="31">FB2*AO2/0.018</f>
        <v>64.745215024093525</v>
      </c>
      <c r="FL2" s="183">
        <f t="shared" ref="FL2:FL32" si="32">FC2*AP2/0.018</f>
        <v>64.267278306224256</v>
      </c>
      <c r="FM2" s="183">
        <f t="shared" ref="FM2:FM32" si="33">FD2*AQ2/0.018</f>
        <v>63.886779629675466</v>
      </c>
      <c r="FN2" s="183">
        <f t="shared" ref="FN2:FN32" si="34">FE2*AR2/0.018</f>
        <v>63.422085680172444</v>
      </c>
      <c r="FO2" s="183">
        <f t="shared" ref="FO2:FO32" si="35">FF2*AS2/0.018</f>
        <v>62.228448393495249</v>
      </c>
      <c r="FP2" s="183">
        <f t="shared" ref="FP2:FP32" si="36">FG2*AT2/0.018</f>
        <v>62.281500145242703</v>
      </c>
      <c r="FQ2" s="314">
        <f>Sheet3!CV2</f>
        <v>2</v>
      </c>
      <c r="FR2" s="183">
        <v>3000</v>
      </c>
      <c r="FS2" s="183">
        <v>30</v>
      </c>
      <c r="FT2" s="183">
        <v>0.2092</v>
      </c>
      <c r="FU2" s="183">
        <v>32.200000000000003</v>
      </c>
      <c r="FV2" s="183">
        <v>131</v>
      </c>
      <c r="FW2" s="183">
        <v>39</v>
      </c>
      <c r="FX2" s="183">
        <v>262</v>
      </c>
      <c r="FY2" s="183">
        <v>10</v>
      </c>
      <c r="FZ2" s="183">
        <v>29</v>
      </c>
      <c r="GA2" s="183">
        <v>85</v>
      </c>
      <c r="GB2" s="186">
        <f>EXP($LP$6-($LQ$6/('Trial and Error method'!T2+$LP$8))) / ($LR$2/1000)</f>
        <v>0.24331902126118965</v>
      </c>
      <c r="GC2" s="183">
        <f>EXP($LP$6-($LQ$6/('Trial and Error method'!U2+$LP$8))) / ($LR$2/1000)</f>
        <v>0.22144187707765314</v>
      </c>
      <c r="GD2" s="183">
        <f>EXP($LP$6-($LQ$6/('Trial and Error method'!V2+$LP$8))) / ($LR$2/1000)</f>
        <v>0.21701979325599405</v>
      </c>
      <c r="GE2" s="183">
        <f>EXP($LP$6-($LQ$6/('Trial and Error method'!W2+$LP$8))) / ($LR$2/1000)</f>
        <v>0.18237063201966244</v>
      </c>
      <c r="GF2" s="183">
        <f>EXP($LP$6-($LQ$6/('Trial and Error method'!X2+$LP$8))) / ($LR$2/1000)</f>
        <v>0.41263435251750286</v>
      </c>
      <c r="GG2" s="183">
        <f>EXP($LP$6-($LQ$6/('Trial and Error method'!Y2+$LP$8))) / ($LR$2/1000)</f>
        <v>0.4181559832909576</v>
      </c>
      <c r="GH2" s="183">
        <f>EXP($LP$6-($LQ$6/('Trial and Error method'!Z2+$LP$8))) / ($LR$2/1000)</f>
        <v>0.41737388182835589</v>
      </c>
      <c r="GI2" s="183">
        <f>EXP($LP$6-($LQ$6/('Trial and Error method'!AA2+$LP$8))) / ($LR$2/1000)</f>
        <v>0.41616986597446498</v>
      </c>
      <c r="GJ2" s="183">
        <f>EXP($LP$6-($LQ$6/('Trial and Error method'!AB2+$LP$8))) / ($LR$2/1000)</f>
        <v>0.41000617064260125</v>
      </c>
      <c r="GK2" s="188">
        <f>((1-GB2)-(1-DO2)) / (LN((1-GB2)/(1-DO2)))</f>
        <v>0.67245339139825966</v>
      </c>
      <c r="GL2" s="165">
        <f t="shared" ref="GL2:GS2" si="37">((1-GC2)-(1-DP2)) / (LN((1-GC2)/(1-DP2)))</f>
        <v>0.68266208331803668</v>
      </c>
      <c r="GM2" s="165">
        <f t="shared" si="37"/>
        <v>0.68523673669612772</v>
      </c>
      <c r="GN2" s="165">
        <f t="shared" si="37"/>
        <v>0.70099358370101594</v>
      </c>
      <c r="GO2" s="165">
        <f t="shared" si="37"/>
        <v>0.59207959292874035</v>
      </c>
      <c r="GP2" s="165">
        <f t="shared" si="37"/>
        <v>0.58934130738037482</v>
      </c>
      <c r="GQ2" s="165">
        <f t="shared" si="37"/>
        <v>0.59037828376638057</v>
      </c>
      <c r="GR2" s="165">
        <f t="shared" si="37"/>
        <v>0.59101409819071804</v>
      </c>
      <c r="GS2" s="165">
        <f t="shared" si="37"/>
        <v>0.5947885041007771</v>
      </c>
      <c r="GT2" s="188">
        <f t="shared" ref="GT2:GT32" si="38">(FH2*$LP$3) / (BV2*1000*$LQ$3*GK2*B2^(2/3))</f>
        <v>5.8297800812290544E-2</v>
      </c>
      <c r="GU2" s="165">
        <f t="shared" ref="GU2:GU32" si="39">(FI2*$LP$3) / (BW2*1000*$LQ$3*GL2*C2^(2/3))</f>
        <v>5.7419871614031691E-2</v>
      </c>
      <c r="GV2" s="165">
        <f t="shared" ref="GV2:GV32" si="40">(FJ2*$LP$3) / (BX2*1000*$LQ$3*GM2*D2^(2/3))</f>
        <v>5.7208413562514174E-2</v>
      </c>
      <c r="GW2" s="165">
        <f t="shared" ref="GW2:GW32" si="41">(FK2*$LP$3) / (BY2*1000*$LQ$3*GN2*E2^(2/3))</f>
        <v>5.595285140732436E-2</v>
      </c>
      <c r="GX2" s="165">
        <f t="shared" ref="GX2:GX32" si="42">(FL2*$LP$3) / (BZ2*1000*$LQ$3*GO2*F2^(2/3))</f>
        <v>6.623738910507411E-2</v>
      </c>
      <c r="GY2" s="165">
        <f t="shared" ref="GY2:GY32" si="43">(FM2*$LP$3) / (CA2*1000*$LQ$3*GP2*G2^(2/3))</f>
        <v>6.657458373237736E-2</v>
      </c>
      <c r="GZ2" s="165">
        <f t="shared" ref="GZ2:GZ32" si="44">(FN2*$LP$3) / (CB2*1000*$LQ$3*GQ2*H2^(2/3))</f>
        <v>6.6418680238257727E-2</v>
      </c>
      <c r="HA2" s="165">
        <f t="shared" ref="HA2:HA32" si="45">(FO2*$LP$3) / (CC2*1000*$LQ$3*GR2*I2^(2/3))</f>
        <v>6.6460321789932192E-2</v>
      </c>
      <c r="HB2" s="165">
        <f t="shared" ref="HB2:HB32" si="46">(FP2*$LP$3) / (CD2*1000*$LQ$3*GS2*J2^(2/3))</f>
        <v>6.5940247894857529E-2</v>
      </c>
      <c r="HC2" s="188">
        <f>BV2*Sheet3!DF2</f>
        <v>108.09480910030153</v>
      </c>
      <c r="HD2" s="165">
        <f>BW2*Sheet3!BZ2</f>
        <v>107.24244653890159</v>
      </c>
      <c r="HE2" s="165">
        <f>BX2*Sheet3!CA2</f>
        <v>101.86513497312308</v>
      </c>
      <c r="HF2" s="165">
        <f>BY2*Sheet3!CB2</f>
        <v>98.644954348281985</v>
      </c>
      <c r="HG2" s="165">
        <f>BZ2*Sheet3!CC2</f>
        <v>95.690164464494288</v>
      </c>
      <c r="HH2" s="165">
        <f>CA2*Sheet3!CD2</f>
        <v>92.981782805476428</v>
      </c>
      <c r="HI2" s="165">
        <f>CB2*Sheet3!CE2</f>
        <v>90.492362228012013</v>
      </c>
      <c r="HJ2" s="165">
        <f>CC2*Sheet3!CF2</f>
        <v>82.051480570306879</v>
      </c>
      <c r="HK2" s="165">
        <f>CD2*Sheet3!CG2</f>
        <v>83.296446859707785</v>
      </c>
      <c r="HL2" s="188">
        <f>(CE2*Sheet3!DF2)+2501</f>
        <v>2661.0442119434374</v>
      </c>
      <c r="HM2" s="165">
        <f>(CF2*Sheet3!BZ2)+2501</f>
        <v>2659.9568435347887</v>
      </c>
      <c r="HN2" s="165">
        <f>(CG2*Sheet3!CA2)+2501</f>
        <v>2652.6251117138036</v>
      </c>
      <c r="HO2" s="165">
        <f>(CH2*Sheet3!CB2)+2501</f>
        <v>2647.8460761408228</v>
      </c>
      <c r="HP2" s="165">
        <f>(CI2*Sheet3!CC2)+2501</f>
        <v>2643.9385106706673</v>
      </c>
      <c r="HQ2" s="165">
        <f>(CJ2*Sheet3!CD2)+2501</f>
        <v>2639.9415150636764</v>
      </c>
      <c r="HR2" s="165">
        <f>(CK2*Sheet3!CE2)+2501</f>
        <v>2636.989138136993</v>
      </c>
      <c r="HS2" s="165">
        <f>(CL2*Sheet3!CF2)+2501</f>
        <v>2624.3340067706586</v>
      </c>
      <c r="HT2" s="165">
        <f>(CM2*Sheet3!CG2)+2501</f>
        <v>2626.9628770791733</v>
      </c>
      <c r="HU2" s="188">
        <f>-0.0021*(Sheet3!DF2^2) - 2.2115*(Sheet3!DF2) + 2499</f>
        <v>2295.85</v>
      </c>
      <c r="HV2" s="165">
        <f>-0.0021*(Sheet3!BZ2^2) - 2.2115*(Sheet3!BZ2) + 2499</f>
        <v>2297.3071698799872</v>
      </c>
      <c r="HW2" s="165">
        <f>-0.0021*(Sheet3!CA2^2) - 2.2115*(Sheet3!CA2) + 2499</f>
        <v>2307.1076823713711</v>
      </c>
      <c r="HX2" s="165">
        <f>-0.0021*(Sheet3!CB2^2) - 2.2115*(Sheet3!CB2) + 2499</f>
        <v>2313.4726097610937</v>
      </c>
      <c r="HY2" s="165">
        <f>-0.0021*(Sheet3!CC2^2) - 2.2115*(Sheet3!CC2) + 2499</f>
        <v>2318.6630400705303</v>
      </c>
      <c r="HZ2" s="165">
        <f>-0.0021*(Sheet3!CD2^2) - 2.2115*(Sheet3!CD2) + 2499</f>
        <v>2323.9592690167706</v>
      </c>
      <c r="IA2" s="165">
        <f>-0.0021*(Sheet3!CE2^2) - 2.2115*(Sheet3!CE2) + 2499</f>
        <v>2327.8628228268212</v>
      </c>
      <c r="IB2" s="165">
        <f>-0.0021*(Sheet3!CF2^2) - 2.2115*(Sheet3!CF2) + 2499</f>
        <v>2344.5121386926598</v>
      </c>
      <c r="IC2" s="165">
        <f>-0.0021*(Sheet3!CG2^2) - 2.2115*(Sheet3!CG2) + 2499</f>
        <v>2341.064721537155</v>
      </c>
      <c r="ID2" s="188">
        <f t="shared" ref="ID2:ID32" si="47">(JN2*BV2*1000)/AL2</f>
        <v>0.76301864611566772</v>
      </c>
      <c r="IE2" s="165">
        <f t="shared" ref="IE2:IE32" si="48">(JO2*BW2*1000)/AM2</f>
        <v>0.76328605897519486</v>
      </c>
      <c r="IF2" s="165">
        <f t="shared" ref="IF2:IF32" si="49">(JP2*BX2*1000)/AN2</f>
        <v>0.76744464750746644</v>
      </c>
      <c r="IG2" s="165">
        <f t="shared" ref="IG2:IG32" si="50">(JQ2*BY2*1000)/AO2</f>
        <v>0.77218174505442516</v>
      </c>
      <c r="IH2" s="165">
        <f t="shared" ref="IH2:IH32" si="51">(JR2*BZ2*1000)/AP2</f>
        <v>0.77374079662257922</v>
      </c>
      <c r="II2" s="165">
        <f t="shared" ref="II2:II32" si="52">(JS2*CA2*1000)/AQ2</f>
        <v>0.77769977366207321</v>
      </c>
      <c r="IJ2" s="165">
        <f t="shared" ref="IJ2:IJ32" si="53">(JT2*CB2*1000)/AR2</f>
        <v>0.77674852750917023</v>
      </c>
      <c r="IK2" s="165">
        <f t="shared" ref="IK2:IK32" si="54">(JU2*CC2*1000)/AS2</f>
        <v>0.79079337600208544</v>
      </c>
      <c r="IL2" s="165">
        <f t="shared" ref="IL2:IL32" si="55">(JV2*CD2*1000)/AT2</f>
        <v>0.78324705417986273</v>
      </c>
      <c r="IM2" s="188">
        <f t="shared" ref="IM2:IM32" si="56">HU2*GT2*(DO2-GB2)</f>
        <v>21.677228522071367</v>
      </c>
      <c r="IN2" s="165">
        <f t="shared" ref="IN2" si="57">HV2*GU2*(DP2-GC2)</f>
        <v>24.21550889139478</v>
      </c>
      <c r="IO2" s="165">
        <f t="shared" ref="IO2" si="58">HW2*GV2*(DQ2-GD2)</f>
        <v>24.680426015239053</v>
      </c>
      <c r="IP2" s="165">
        <f t="shared" ref="IP2" si="59">HX2*GW2*(DR2-GE2)</f>
        <v>28.686914261580249</v>
      </c>
      <c r="IQ2" s="165">
        <f t="shared" ref="IQ2" si="60">HY2*GX2*(DS2-GF2)</f>
        <v>-1.4518193274199385</v>
      </c>
      <c r="IR2" s="165">
        <f t="shared" ref="IR2" si="61">HZ2*GY2*(DT2-GG2)</f>
        <v>-2.3298327393068381</v>
      </c>
      <c r="IS2" s="165">
        <f t="shared" ref="IS2" si="62">IA2*GZ2*(DU2-GH2)</f>
        <v>-2.4077651716698685</v>
      </c>
      <c r="IT2" s="165">
        <f t="shared" ref="IT2" si="63">IB2*HA2*(DV2-GI2)</f>
        <v>-2.2479130838272234</v>
      </c>
      <c r="IU2" s="165">
        <f t="shared" ref="IU2" si="64">IC2*HB2*(DW2-GJ2)</f>
        <v>-1.4843107726720792</v>
      </c>
      <c r="IV2" s="188">
        <f>_xlfn.FORECAST.LINEAR(Sheet3!DF2,Sheet2!$AK$2:$AK$69,Sheet2!$AJ$2:$AJ$69)</f>
        <v>1.1761434736095797E-5</v>
      </c>
      <c r="IW2" s="165">
        <f>_xlfn.FORECAST.LINEAR(Sheet3!BZ2,Sheet2!$AK$2:$AK$69,Sheet2!$AJ$2:$AJ$69)</f>
        <v>1.1741562214118105E-5</v>
      </c>
      <c r="IX2" s="165">
        <f>_xlfn.FORECAST.LINEAR(Sheet3!CA2,Sheet2!$AK$2:$AK$69,Sheet2!$AJ$2:$AJ$69)</f>
        <v>1.1607422601482711E-5</v>
      </c>
      <c r="IY2" s="165">
        <f>_xlfn.FORECAST.LINEAR(Sheet3!CB2,Sheet2!$AK$2:$AK$69,Sheet2!$AJ$2:$AJ$69)</f>
        <v>1.1519850602252251E-5</v>
      </c>
      <c r="IZ2" s="165">
        <f>_xlfn.FORECAST.LINEAR(Sheet3!CC2,Sheet2!$AK$2:$AK$69,Sheet2!$AJ$2:$AJ$69)</f>
        <v>1.1448168889023299E-5</v>
      </c>
      <c r="JA2" s="165">
        <f>_xlfn.FORECAST.LINEAR(Sheet3!CD2,Sheet2!$AK$2:$AK$69,Sheet2!$AJ$2:$AJ$69)</f>
        <v>1.1374774148957287E-5</v>
      </c>
      <c r="JB2" s="165">
        <f>_xlfn.FORECAST.LINEAR(Sheet3!CE2,Sheet2!$AK$2:$AK$69,Sheet2!$AJ$2:$AJ$69)</f>
        <v>1.1320514562970497E-5</v>
      </c>
      <c r="JC2" s="165">
        <f>_xlfn.FORECAST.LINEAR(Sheet3!CF2,Sheet2!$AK$2:$AK$69,Sheet2!$AJ$2:$AJ$69)</f>
        <v>1.1087494253139803E-5</v>
      </c>
      <c r="JD2" s="165">
        <f>_xlfn.FORECAST.LINEAR(Sheet3!CG2,Sheet2!$AK$2:$AK$69,Sheet2!$AJ$2:$AJ$69)</f>
        <v>1.1135958023697776E-5</v>
      </c>
      <c r="JE2" s="188">
        <f>_xlfn.FORECAST.LINEAR(Sheet3!DF2,New!$MC$2:$MC$18,New!$MB$2:$MB$18)</f>
        <v>2.0908514659214704E-5</v>
      </c>
      <c r="JF2" s="165">
        <f>_xlfn.FORECAST.LINEAR(Sheet3!BZ2,New!$MC$2:$MC$18,New!$MB$2:$MB$18)</f>
        <v>2.0885154029972354E-5</v>
      </c>
      <c r="JG2" s="165">
        <f>_xlfn.FORECAST.LINEAR(Sheet3!CA2,New!$MC$2:$MC$18,New!$MB$2:$MB$18)</f>
        <v>2.0727469677628692E-5</v>
      </c>
      <c r="JH2" s="165">
        <f>_xlfn.FORECAST.LINEAR(Sheet3!CB2,New!$MC$2:$MC$18,New!$MB$2:$MB$18)</f>
        <v>2.0624526678832143E-5</v>
      </c>
      <c r="JI2" s="165">
        <f>_xlfn.FORECAST.LINEAR(Sheet3!CC2,New!$MC$2:$MC$18,New!$MB$2:$MB$18)</f>
        <v>2.0540263094769806E-5</v>
      </c>
      <c r="JJ2" s="165">
        <f>_xlfn.FORECAST.LINEAR(Sheet3!CD2,New!$MC$2:$MC$18,New!$MB$2:$MB$18)</f>
        <v>2.0453985806313654E-5</v>
      </c>
      <c r="JK2" s="165">
        <f>_xlfn.FORECAST.LINEAR(Sheet3!CE2,New!$MC$2:$MC$18,New!$MB$2:$MB$18)</f>
        <v>2.039020235333755E-5</v>
      </c>
      <c r="JL2" s="165">
        <f>_xlfn.FORECAST.LINEAR(Sheet3!CF2,New!$MC$2:$MC$18,New!$MB$2:$MB$18)</f>
        <v>2.0116281354784751E-5</v>
      </c>
      <c r="JM2" s="165">
        <f>_xlfn.FORECAST.LINEAR(Sheet3!CG2,New!$MC$2:$MC$18,New!$MB$2:$MB$18)</f>
        <v>2.0173251686832286E-5</v>
      </c>
      <c r="JN2" s="188">
        <f t="shared" ref="JN2:JV2" si="65">(((1-DO2)*JE2)/((1-DO2)+DO2*JW2))+(((DO2)*IV2)/((DO2)+(1-DO2)*KF2))</f>
        <v>1.7144170753259111E-5</v>
      </c>
      <c r="JO2" s="165">
        <f t="shared" si="65"/>
        <v>1.7123782703092804E-5</v>
      </c>
      <c r="JP2" s="165">
        <f t="shared" si="65"/>
        <v>1.6979018735027714E-5</v>
      </c>
      <c r="JQ2" s="165">
        <f t="shared" si="65"/>
        <v>1.687870151588123E-5</v>
      </c>
      <c r="JR2" s="165">
        <f t="shared" si="65"/>
        <v>1.6803700384750174E-5</v>
      </c>
      <c r="JS2" s="165">
        <f t="shared" si="65"/>
        <v>1.6720117280082302E-5</v>
      </c>
      <c r="JT2" s="165">
        <f t="shared" si="65"/>
        <v>1.666957519249508E-5</v>
      </c>
      <c r="JU2" s="165">
        <f t="shared" si="65"/>
        <v>1.6402018903685742E-5</v>
      </c>
      <c r="JV2" s="165">
        <f t="shared" si="65"/>
        <v>1.6470109851240873E-5</v>
      </c>
      <c r="JW2" s="188">
        <f t="shared" ref="JW2:JW33" si="66">(SQRT(2)/4)*(1+($LQ$3/$LP$3))^-0.5*(1+((JE2/IV2)^0.5*($LP$3/$LQ$3)^0.25))^2</f>
        <v>1.0444458673781256</v>
      </c>
      <c r="JX2" s="165">
        <f t="shared" ref="JX2:JX33" si="67">(SQRT(2)/4)*(1+($LQ$3/$LP$3))^-0.5*(1+((JF2/IW2)^0.5*($LP$3/$LQ$3)^0.25))^2</f>
        <v>1.0447704870161112</v>
      </c>
      <c r="JY2" s="165">
        <f t="shared" ref="JY2:JY33" si="68">(SQRT(2)/4)*(1+($LQ$3/$LP$3))^-0.5*(1+((JG2/IX2)^0.5*($LP$3/$LQ$3)^0.25))^2</f>
        <v>1.046989605134615</v>
      </c>
      <c r="JZ2" s="165">
        <f t="shared" ref="JZ2:JZ33" si="69">(SQRT(2)/4)*(1+($LQ$3/$LP$3))^-0.5*(1+((JH2/IY2)^0.5*($LP$3/$LQ$3)^0.25))^2</f>
        <v>1.0484651237461555</v>
      </c>
      <c r="KA2" s="165">
        <f t="shared" ref="KA2:KA33" si="70">(SQRT(2)/4)*(1+($LQ$3/$LP$3))^-0.5*(1+((JI2/IZ2)^0.5*($LP$3/$LQ$3)^0.25))^2</f>
        <v>1.0496890416723124</v>
      </c>
      <c r="KB2" s="165">
        <f t="shared" ref="KB2:KB33" si="71">(SQRT(2)/4)*(1+($LQ$3/$LP$3))^-0.5*(1+((JJ2/JA2)^0.5*($LP$3/$LQ$3)^0.25))^2</f>
        <v>1.0509575584292457</v>
      </c>
      <c r="KC2" s="165">
        <f t="shared" ref="KC2:KC33" si="72">(SQRT(2)/4)*(1+($LQ$3/$LP$3))^-0.5*(1+((JK2/JB2)^0.5*($LP$3/$LQ$3)^0.25))^2</f>
        <v>1.0519055081358535</v>
      </c>
      <c r="KD2" s="165">
        <f t="shared" ref="KD2:KD33" si="73">(SQRT(2)/4)*(1+($LQ$3/$LP$3))^-0.5*(1+((JL2/JC2)^0.5*($LP$3/$LQ$3)^0.25))^2</f>
        <v>1.0560777491590425</v>
      </c>
      <c r="KE2" s="165">
        <f t="shared" ref="KE2:KE33" si="74">(SQRT(2)/4)*(1+($LQ$3/$LP$3))^-0.5*(1+((JM2/JD2)^0.5*($LP$3/$LQ$3)^0.25))^2</f>
        <v>1.0551961975092363</v>
      </c>
      <c r="KF2" s="188">
        <f t="shared" ref="KF2:KF65" si="75">(SQRT(2)/4)*(1+($LP$3/$LQ$3))^-0.5*(1+((IV2/JE2)^0.5*($LQ$3/$LP$3)^0.25))^2</f>
        <v>0.94446821821306282</v>
      </c>
      <c r="KG2" s="165">
        <f t="shared" ref="KG2:KG33" si="76">(SQRT(2)/4)*(1+($LP$3/$LQ$3))^-0.5*(1+((IW2/JF2)^0.5*($LQ$3/$LP$3)^0.25))^2</f>
        <v>0.94422041944418478</v>
      </c>
      <c r="KH2" s="165">
        <f t="shared" ref="KH2:KH33" si="77">(SQRT(2)/4)*(1+($LP$3/$LQ$3))^-0.5*(1+((IX2/JG2)^0.5*($LQ$3/$LP$3)^0.25))^2</f>
        <v>0.94253214110951056</v>
      </c>
      <c r="KI2" s="165">
        <f t="shared" ref="KI2:KI33" si="78">(SQRT(2)/4)*(1+($LP$3/$LQ$3))^-0.5*(1+((IY2/JH2)^0.5*($LQ$3/$LP$3)^0.25))^2</f>
        <v>0.94141504813341814</v>
      </c>
      <c r="KJ2" s="165">
        <f t="shared" ref="KJ2:KJ33" si="79">(SQRT(2)/4)*(1+($LP$3/$LQ$3))^-0.5*(1+((IZ2/JI2)^0.5*($LQ$3/$LP$3)^0.25))^2</f>
        <v>0.94049172797867508</v>
      </c>
      <c r="KK2" s="165">
        <f t="shared" ref="KK2:KK33" si="80">(SQRT(2)/4)*(1+($LP$3/$LQ$3))^-0.5*(1+((JA2/JJ2)^0.5*($LQ$3/$LP$3)^0.25))^2</f>
        <v>0.93953789417456124</v>
      </c>
      <c r="KL2" s="165">
        <f t="shared" ref="KL2:KL33" si="81">(SQRT(2)/4)*(1+($LP$3/$LQ$3))^-0.5*(1+((JB2/JK2)^0.5*($LQ$3/$LP$3)^0.25))^2</f>
        <v>0.93882717545392058</v>
      </c>
      <c r="KM2" s="165">
        <f t="shared" ref="KM2:KM33" si="82">(SQRT(2)/4)*(1+($LP$3/$LQ$3))^-0.5*(1+((JC2/JL2)^0.5*($LQ$3/$LP$3)^0.25))^2</f>
        <v>0.93571995230949812</v>
      </c>
      <c r="KN2" s="165">
        <f t="shared" ref="KN2:KN33" si="83">(SQRT(2)/4)*(1+($LP$3/$LQ$3))^-0.5*(1+((JD2/JM2)^0.5*($LQ$3/$LP$3)^0.25))^2</f>
        <v>0.93637365633919545</v>
      </c>
      <c r="KO2" s="188">
        <f t="shared" ref="KO2:KO32" si="84">JN2/(BM2*K2)</f>
        <v>0.57198798607966173</v>
      </c>
      <c r="KP2" s="165">
        <f t="shared" ref="KP2:KP32" si="85">JO2/(BN2*L2)</f>
        <v>0.57153463865322807</v>
      </c>
      <c r="KQ2" s="165">
        <f t="shared" ref="KQ2:KQ32" si="86">JP2/(BO2*M2)</f>
        <v>0.56824257710520965</v>
      </c>
      <c r="KR2" s="165">
        <f t="shared" ref="KR2:KR32" si="87">JQ2/(BP2*N2)</f>
        <v>0.56603676703109584</v>
      </c>
      <c r="KS2" s="165">
        <f t="shared" ref="KS2:KS32" si="88">JR2/(BQ2*O2)</f>
        <v>0.56426086703051703</v>
      </c>
      <c r="KT2" s="165">
        <f t="shared" ref="KT2:KT32" si="89">JS2/(BR2*P2)</f>
        <v>0.56238820814441481</v>
      </c>
      <c r="KU2" s="165">
        <f t="shared" ref="KU2:KU32" si="90">JT2/(BS2*Q2)</f>
        <v>0.56106631756284475</v>
      </c>
      <c r="KV2" s="165">
        <f t="shared" ref="KV2:KV32" si="91">JU2/(BT2*R2)</f>
        <v>0.55499208573040781</v>
      </c>
      <c r="KW2" s="165">
        <f t="shared" ref="KW2:KW32" si="92">JV2/(BU2*S2)</f>
        <v>0.55642937303479156</v>
      </c>
      <c r="KX2" s="188">
        <f>AVERAGE(Sheet3!J2:P2)*KO2^(1/3)/ID2^(1/3)</f>
        <v>340.42783552220084</v>
      </c>
      <c r="KY2" s="165">
        <f>Sheet3!J2*KP2^(1/3)/IE2^(1/3)</f>
        <v>183.99275391760287</v>
      </c>
      <c r="KZ2" s="165">
        <f>Sheet3!K2*KQ2^(1/3)/IF2^(1/3)</f>
        <v>267.92676825163335</v>
      </c>
      <c r="LA2" s="165">
        <f>Sheet3!L2*KR2^(1/3)/IG2^(1/3)</f>
        <v>329.88500046262595</v>
      </c>
      <c r="LB2" s="165">
        <f>Sheet3!M2*KS2^(1/3)/IH2^(1/3)</f>
        <v>367.9013039701864</v>
      </c>
      <c r="LC2" s="165">
        <f>Sheet3!N2*KT2^(1/3)/II2^(1/3)</f>
        <v>382.53203386732446</v>
      </c>
      <c r="LD2" s="165">
        <f>Sheet3!O2*KU2^(1/3)/IJ2^(1/3)</f>
        <v>416.63501623371997</v>
      </c>
      <c r="LE2" s="165">
        <f>Sheet3!P2*KV2^(1/3)/IK2^(1/3)</f>
        <v>408.2085906351063</v>
      </c>
      <c r="LF2" s="165">
        <f>Sheet3!Q2*KW2^(1/3)/IL2^(1/3)</f>
        <v>372.89942911669357</v>
      </c>
      <c r="LG2" s="186">
        <f t="shared" ref="LG2:LG33" si="93" xml:space="preserve">  DF2*$LQ$3 + DO2*$LP$3</f>
        <v>24.524219863500335</v>
      </c>
      <c r="LH2" s="183">
        <f t="shared" ref="LH2:LH33" si="94" xml:space="preserve">  DG2*$LQ$3 + DP2*$LP$3</f>
        <v>24.642057640111176</v>
      </c>
      <c r="LI2" s="183">
        <f t="shared" ref="LI2:LI33" si="95" xml:space="preserve">  DH2*$LQ$3 + DQ2*$LP$3</f>
        <v>25.107634428237397</v>
      </c>
      <c r="LJ2" s="183">
        <f t="shared" ref="LJ2:LJ33" si="96" xml:space="preserve">  DI2*$LQ$3 + DR2*$LP$3</f>
        <v>25.120951565734142</v>
      </c>
      <c r="LK2" s="183">
        <f t="shared" ref="LK2:LK33" si="97" xml:space="preserve">  DJ2*$LQ$3 + DS2*$LP$3</f>
        <v>25.512782769390412</v>
      </c>
      <c r="LL2" s="183">
        <f t="shared" ref="LL2:LL33" si="98" xml:space="preserve">  DK2*$LQ$3 + DT2*$LP$3</f>
        <v>25.554776619425255</v>
      </c>
      <c r="LM2" s="183">
        <f t="shared" ref="LM2:LM33" si="99" xml:space="preserve">  DL2*$LQ$3 + DU2*$LP$3</f>
        <v>26.228117839165222</v>
      </c>
      <c r="LN2" s="183">
        <f t="shared" ref="LN2:LN33" si="100" xml:space="preserve">  DM2*$LQ$3 + DV2*$LP$3</f>
        <v>26.259331875825083</v>
      </c>
      <c r="LO2" s="183">
        <f t="shared" ref="LO2:LO33" si="101" xml:space="preserve">  DN2*$LQ$3 + DW2*$LP$3</f>
        <v>27.019688607234059</v>
      </c>
      <c r="LP2" s="219">
        <v>8.3140000000000001</v>
      </c>
      <c r="LQ2" s="219">
        <v>8.3140000000000001</v>
      </c>
      <c r="LR2" s="219">
        <v>101325</v>
      </c>
      <c r="LS2" s="219">
        <f>LR2/1000</f>
        <v>101.325</v>
      </c>
      <c r="LT2" s="219">
        <v>0</v>
      </c>
      <c r="LU2" s="219">
        <v>1.006</v>
      </c>
      <c r="LV2" s="220"/>
      <c r="LW2" s="221" t="s">
        <v>471</v>
      </c>
      <c r="LZ2" s="222">
        <v>17.510000000000002</v>
      </c>
      <c r="MA2" s="220">
        <v>1.0000000000000001E-5</v>
      </c>
      <c r="MB2" s="220">
        <v>0</v>
      </c>
      <c r="MC2" s="220">
        <v>1.715E-5</v>
      </c>
      <c r="MD2" s="188">
        <f>Sheet3!DP2</f>
        <v>552.65417473179457</v>
      </c>
      <c r="ME2" s="263">
        <v>0</v>
      </c>
      <c r="MF2" s="263">
        <v>6.1000000000000004E-3</v>
      </c>
      <c r="MG2" s="263">
        <v>1.8640000000000001</v>
      </c>
      <c r="MH2" s="263">
        <v>4.7999999999999996E-3</v>
      </c>
      <c r="MI2" s="263">
        <v>8.0399999999999991</v>
      </c>
      <c r="MJ2" s="263">
        <v>1675</v>
      </c>
      <c r="MK2" s="271" t="s">
        <v>713</v>
      </c>
      <c r="ML2" s="266" t="s">
        <v>714</v>
      </c>
      <c r="MM2" s="266" t="s">
        <v>715</v>
      </c>
      <c r="MN2" s="266" t="s">
        <v>716</v>
      </c>
      <c r="MO2" s="266" t="s">
        <v>717</v>
      </c>
      <c r="MP2" s="272" t="s">
        <v>718</v>
      </c>
      <c r="MQ2"/>
      <c r="MR2"/>
      <c r="MS2"/>
    </row>
    <row r="3" spans="1:357" ht="22.2" customHeight="1" thickBot="1" x14ac:dyDescent="0.35">
      <c r="A3" s="184" t="str">
        <f>Sheet3!A3</f>
        <v>2022.11.24-1</v>
      </c>
      <c r="B3" s="186">
        <f t="shared" ref="B3:B65" si="102">AC3/T3</f>
        <v>0.8443705634995966</v>
      </c>
      <c r="C3" s="183">
        <f t="shared" ref="C3:C32" si="103">AD3/L3</f>
        <v>0.84285491670193569</v>
      </c>
      <c r="D3" s="183">
        <f t="shared" si="0"/>
        <v>0.83303681640486704</v>
      </c>
      <c r="E3" s="183">
        <f t="shared" si="1"/>
        <v>0.81970664351108524</v>
      </c>
      <c r="F3" s="183">
        <f t="shared" si="2"/>
        <v>0.81509418776033071</v>
      </c>
      <c r="G3" s="183">
        <f t="shared" si="3"/>
        <v>0.80784456223592838</v>
      </c>
      <c r="H3" s="183">
        <f t="shared" si="4"/>
        <v>0.80191040523663026</v>
      </c>
      <c r="I3" s="183">
        <f t="shared" si="5"/>
        <v>0.79323033971944845</v>
      </c>
      <c r="J3" s="183">
        <f t="shared" si="6"/>
        <v>0.7864362382629162</v>
      </c>
      <c r="K3" s="186">
        <f xml:space="preserve"> (6.057 * (10^(-6)))
+ (4.055 * (10^(-8)) * (Sheet3!DF3 + 273))
+ (1.25 * (10^(-10)) * (Sheet3!DF3 + 273)^2)
- (3.367 * (10^(-14)) * (DD3 + 273)^3)</f>
        <v>3.9917798506231708E-5</v>
      </c>
      <c r="L3" s="183">
        <f xml:space="preserve"> (6.057 * (10^(-6)))
+ (4.055 * (10^(-8)) * (Sheet3!BZ3 + 273))
+ (1.25 * (10^(-10)) * (Sheet3!BZ3 + 273)^2)
- (3.367 * (10^(-14)) * (BX3 + 273)^3)</f>
        <v>3.9808066999724429E-5</v>
      </c>
      <c r="M3" s="183">
        <f xml:space="preserve"> (6.057 * (10^(-6)))
+ (4.055 * (10^(-8)) * (Sheet3!CA3 + 273))
+ (1.25 * (10^(-10)) * (Sheet3!CA3 + 273)^2)
- (3.367 * (10^(-14)) * (BY3 + 273)^3)</f>
        <v>3.9058763640420014E-5</v>
      </c>
      <c r="N3" s="183">
        <f xml:space="preserve"> (6.057 * (10^(-6)))
+ (4.055 * (10^(-8)) * (Sheet3!CB3 + 273))
+ (1.25 * (10^(-10)) * (Sheet3!CB3 + 273)^2)
- (3.367 * (10^(-14)) * (BZ3 + 273)^3)</f>
        <v>3.8223252727817911E-5</v>
      </c>
      <c r="O3" s="183">
        <f xml:space="preserve"> (6.057 * (10^(-6)))
+ (4.055 * (10^(-8)) * (Sheet3!CC3 + 273))
+ (1.25 * (10^(-10)) * (Sheet3!CC3 + 273)^2)
- (3.367 * (10^(-14)) * (CA3 + 273)^3)</f>
        <v>3.7828282122772515E-5</v>
      </c>
      <c r="P3" s="183">
        <f xml:space="preserve"> (6.057 * (10^(-6)))
+ (4.055 * (10^(-8)) * (Sheet3!CD3 + 273))
+ (1.25 * (10^(-10)) * (Sheet3!CD3 + 273)^2)
- (3.367 * (10^(-14)) * (CB3 + 273)^3)</f>
        <v>3.7391381762610458E-5</v>
      </c>
      <c r="Q3" s="183">
        <f xml:space="preserve"> (6.057 * (10^(-6)))
+ (4.055 * (10^(-8)) * (Sheet3!CE3 + 273))
+ (1.25 * (10^(-10)) * (Sheet3!CE3 + 273)^2)
- (3.367 * (10^(-14)) * (CC3 + 273)^3)</f>
        <v>3.6935473085712746E-5</v>
      </c>
      <c r="R3" s="183">
        <f xml:space="preserve"> (6.057 * (10^(-6)))
+ (4.055 * (10^(-8)) * (Sheet3!CF3 + 273))
+ (1.25 * (10^(-10)) * (Sheet3!CF3 + 273)^2)
- (3.367 * (10^(-14)) * (CD3 + 273)^3)</f>
        <v>3.6432537886640731E-5</v>
      </c>
      <c r="S3" s="183">
        <f xml:space="preserve"> (6.057 * (10^(-6)))
+ (4.055 * (10^(-8)) * (Sheet3!CG3 + 273))
+ (1.25 * (10^(-10)) * (Sheet3!CG3 + 273)^2)
- (3.367 * (10^(-14)) * (CE3 + 273)^3)</f>
        <v>3.5938013817610725E-5</v>
      </c>
      <c r="T3" s="188">
        <f t="shared" ref="T3:T65" si="104">K3</f>
        <v>3.9917798506231708E-5</v>
      </c>
      <c r="U3" s="165">
        <f t="shared" ref="U3:U65" si="105">L3</f>
        <v>3.9808066999724429E-5</v>
      </c>
      <c r="V3" s="165">
        <f t="shared" ref="V3:V65" si="106">M3</f>
        <v>3.9058763640420014E-5</v>
      </c>
      <c r="W3" s="165">
        <f t="shared" ref="W3:W65" si="107">N3</f>
        <v>3.8223252727817911E-5</v>
      </c>
      <c r="X3" s="165">
        <f t="shared" ref="X3:X65" si="108">O3</f>
        <v>3.7828282122772515E-5</v>
      </c>
      <c r="Y3" s="165">
        <f t="shared" ref="Y3:Y65" si="109">P3</f>
        <v>3.7391381762610458E-5</v>
      </c>
      <c r="Z3" s="165">
        <f t="shared" ref="Z3:Z65" si="110">Q3</f>
        <v>3.6935473085712746E-5</v>
      </c>
      <c r="AA3" s="165">
        <f t="shared" ref="AA3:AA65" si="111">R3</f>
        <v>3.6432537886640731E-5</v>
      </c>
      <c r="AB3" s="165">
        <f t="shared" ref="AB3:AB65" si="112">S3</f>
        <v>3.5938013817610725E-5</v>
      </c>
      <c r="AC3" s="186">
        <f t="shared" si="8"/>
        <v>3.3705414018370223E-5</v>
      </c>
      <c r="AD3" s="183">
        <f t="shared" si="9"/>
        <v>3.3552424995117806E-5</v>
      </c>
      <c r="AE3" s="183">
        <f t="shared" si="10"/>
        <v>3.2537388115725665E-5</v>
      </c>
      <c r="AF3" s="183">
        <f t="shared" si="11"/>
        <v>3.1331854197595553E-5</v>
      </c>
      <c r="AG3" s="183">
        <f t="shared" si="12"/>
        <v>3.0833612891229902E-5</v>
      </c>
      <c r="AH3" s="183">
        <f t="shared" si="13"/>
        <v>3.0206424431412523E-5</v>
      </c>
      <c r="AI3" s="183">
        <f t="shared" si="14"/>
        <v>2.9618940189770557E-5</v>
      </c>
      <c r="AJ3" s="183">
        <f t="shared" si="15"/>
        <v>2.8899394404661703E-5</v>
      </c>
      <c r="AK3" s="183">
        <f t="shared" si="16"/>
        <v>2.8262956397362481E-5</v>
      </c>
      <c r="AL3" s="186">
        <f t="shared" ref="AL3:AL65" si="113">(( (1-DO3)*BD3)/((1-DO3)+DO3*JW3))+((DO3*AU3)/(DO3+(1-DO3)*KF3))</f>
        <v>3.2633102504875264E-2</v>
      </c>
      <c r="AM3" s="183">
        <f t="shared" ref="AM3:AM65" si="114">(( (1-DP3)*BE3)/((1-DP3)+DP3*JX3))+((DP3*AV3)/(DP3+(1-DP3)*KG3))</f>
        <v>3.2543602496869398E-2</v>
      </c>
      <c r="AN3" s="183">
        <f t="shared" ref="AN3:AN65" si="115">(( (1-DQ3)*BF3)/((1-DQ3)+DQ3*JY3))+((DQ3*AW3)/(DQ3+(1-DQ3)*KH3))</f>
        <v>3.1908466739358168E-2</v>
      </c>
      <c r="AO3" s="183">
        <f t="shared" ref="AO3:AO65" si="116">(( (1-DR3)*BG3)/((1-DR3)+DR3*JZ3))+((DR3*AX3)/(DR3+(1-DR3)*KI3))</f>
        <v>3.1192383560915395E-2</v>
      </c>
      <c r="AP3" s="183">
        <f t="shared" ref="AP3:AP65" si="117">(( (1-DS3)*BH3)/((1-DS3)+DS3*KA3))+((DS3*AY3)/(DS3+(1-DS3)*KJ3))</f>
        <v>3.0852032571881169E-2</v>
      </c>
      <c r="AQ3" s="183">
        <f t="shared" ref="AQ3:AQ65" si="118">(( (1-DT3)*BI3)/((1-DT3)+DT3*KB3))+((DT3*AZ3)/(DT3+(1-DT3)*KK3))</f>
        <v>3.0471834838209387E-2</v>
      </c>
      <c r="AR3" s="183">
        <f t="shared" ref="AR3:AR65" si="119">(( (1-DU3)*BJ3)/((1-DU3)+DU3*KC3))+((DU3*BA3)/(DU3+(1-DU3)*KL3))</f>
        <v>3.0074719277825349E-2</v>
      </c>
      <c r="AS3" s="183">
        <f t="shared" ref="AS3:AS65" si="120">(( (1-DV3)*BK3)/((1-DV3)+DV3*KD3))+((DV3*BB3)/(DV3+(1-DV3)*KM3))</f>
        <v>2.9630842625910529E-2</v>
      </c>
      <c r="AT3" s="183">
        <f t="shared" ref="AT3:AT65" si="121">(( (1-DW3)*BL3)/((1-DW3)+DW3*KE3))+((DW3*BC3)/(DW3+(1-DW3)*KN3))</f>
        <v>2.9199193343923839E-2</v>
      </c>
      <c r="AU3" s="186">
        <f>_xlfn.FORECAST.LINEAR(Sheet3!DF3,Sheet2!$AH$2:$AH$40,Sheet2!$AG$2:$AG$40)</f>
        <v>3.3278061617758661E-2</v>
      </c>
      <c r="AV3" s="183">
        <f>_xlfn.FORECAST.LINEAR(Sheet3!BZ3,Sheet2!$AH$2:$AH$40,Sheet2!$AG$2:$AG$40)</f>
        <v>3.3081558665606248E-2</v>
      </c>
      <c r="AW3" s="183">
        <f>_xlfn.FORECAST.LINEAR(Sheet3!CA3,Sheet2!$AH$2:$AH$40,Sheet2!$AG$2:$AG$40)</f>
        <v>3.1688182933472607E-2</v>
      </c>
      <c r="AX3" s="183">
        <f>_xlfn.FORECAST.LINEAR(Sheet3!CB3,Sheet2!$AH$2:$AH$40,Sheet2!$AG$2:$AG$40)</f>
        <v>3.0117718794079828E-2</v>
      </c>
      <c r="AY3" s="183">
        <f>_xlfn.FORECAST.LINEAR(Sheet3!CC3,Sheet2!$AH$2:$AH$40,Sheet2!$AG$2:$AG$40)</f>
        <v>2.9369011726169084E-2</v>
      </c>
      <c r="AZ3" s="183">
        <f>_xlfn.FORECAST.LINEAR(Sheet3!CD3,Sheet2!$AH$2:$AH$40,Sheet2!$AG$2:$AG$40)</f>
        <v>2.8535947347980147E-2</v>
      </c>
      <c r="BA3" s="183">
        <f>_xlfn.FORECAST.LINEAR(Sheet3!CE3,Sheet2!$AH$2:$AH$40,Sheet2!$AG$2:$AG$40)</f>
        <v>2.7661169461320832E-2</v>
      </c>
      <c r="BB3" s="183">
        <f>_xlfn.FORECAST.LINEAR(Sheet3!CF3,Sheet2!$AH$2:$AH$40,Sheet2!$AG$2:$AG$40)</f>
        <v>2.6689457706532249E-2</v>
      </c>
      <c r="BC3" s="183">
        <f>_xlfn.FORECAST.LINEAR(Sheet3!CG3,Sheet2!$AH$2:$AH$40,Sheet2!$AG$2:$AG$40)</f>
        <v>2.5737808015166497E-2</v>
      </c>
      <c r="BD3" s="186">
        <f>_xlfn.FORECAST.LINEAR(Sheet3!DF3,Sheet2!$AB$12:$AB$37,Sheet2!$AA$12:$AA$37)/1000</f>
        <v>3.221097904255335E-2</v>
      </c>
      <c r="BE3" s="183">
        <f>_xlfn.FORECAST.LINEAR(Sheet3!BZ3,Sheet2!$AB$12:$AB$37,Sheet2!$AA$12:$AA$37)/1000</f>
        <v>3.2167045530813461E-2</v>
      </c>
      <c r="BF3" s="183">
        <f>_xlfn.FORECAST.LINEAR(Sheet3!CA3,Sheet2!$AB$12:$AB$37,Sheet2!$AA$12:$AA$37)/1000</f>
        <v>3.1855518968920943E-2</v>
      </c>
      <c r="BG3" s="183">
        <f>_xlfn.FORECAST.LINEAR(Sheet3!CB3,Sheet2!$AB$12:$AB$37,Sheet2!$AA$12:$AA$37)/1000</f>
        <v>3.1504399538147342E-2</v>
      </c>
      <c r="BH3" s="183">
        <f>_xlfn.FORECAST.LINEAR(Sheet3!CC3,Sheet2!$AB$12:$AB$37,Sheet2!$AA$12:$AA$37)/1000</f>
        <v>3.133700596773277E-2</v>
      </c>
      <c r="BI3" s="183">
        <f>_xlfn.FORECAST.LINEAR(Sheet3!CD3,Sheet2!$AB$12:$AB$37,Sheet2!$AA$12:$AA$37)/1000</f>
        <v>3.1150752055318979E-2</v>
      </c>
      <c r="BJ3" s="183">
        <f>_xlfn.FORECAST.LINEAR(Sheet3!CE3,Sheet2!$AB$12:$AB$37,Sheet2!$AA$12:$AA$37)/1000</f>
        <v>3.0955171967934163E-2</v>
      </c>
      <c r="BK3" s="183">
        <f>_xlfn.FORECAST.LINEAR(Sheet3!CF3,Sheet2!$AB$12:$AB$37,Sheet2!$AA$12:$AA$37)/1000</f>
        <v>3.0737919711318291E-2</v>
      </c>
      <c r="BL3" s="183">
        <f>_xlfn.FORECAST.LINEAR(Sheet3!CG3,Sheet2!$AB$12:$AB$37,Sheet2!$AA$12:$AA$37)/1000</f>
        <v>3.0525152867716617E-2</v>
      </c>
      <c r="BM3" s="186">
        <f t="shared" ref="BM3:BM65" si="122">DX3+EG3</f>
        <v>0.81109239765880248</v>
      </c>
      <c r="BN3" s="183">
        <f t="shared" ref="BN3:BN65" si="123">DY3+EH3</f>
        <v>0.81271678374612455</v>
      </c>
      <c r="BO3" s="183">
        <f t="shared" ref="BO3:BO65" si="124">DZ3+EI3</f>
        <v>0.82467560935161233</v>
      </c>
      <c r="BP3" s="183">
        <f t="shared" ref="BP3:BP65" si="125">EA3+EJ3</f>
        <v>0.83824997432643433</v>
      </c>
      <c r="BQ3" s="183">
        <f t="shared" ref="BQ3:BQ65" si="126">EB3+EK3</f>
        <v>0.84518081899075981</v>
      </c>
      <c r="BR3" s="183">
        <f t="shared" ref="BR3:BR65" si="127">EC3+EL3</f>
        <v>0.85268785053307972</v>
      </c>
      <c r="BS3" s="183">
        <f t="shared" ref="BS3:BS65" si="128">ED3+EM3</f>
        <v>0.86100772711359175</v>
      </c>
      <c r="BT3" s="183">
        <f t="shared" ref="BT3:BT65" si="129">EE3+EN3</f>
        <v>0.87010551297993577</v>
      </c>
      <c r="BU3" s="183">
        <f t="shared" ref="BU3:BU65" si="130">EF3+EO3</f>
        <v>0.87948918942479981</v>
      </c>
      <c r="BV3" s="186">
        <f t="shared" ref="BV3:BV33" si="131">(($LQ$3/LG3)*DF3*CN3)+(($LP$3/LG3)*DO3*CE3)</f>
        <v>1.1936812391679736</v>
      </c>
      <c r="BW3" s="183">
        <f t="shared" si="19"/>
        <v>1.1934452046033277</v>
      </c>
      <c r="BX3" s="183">
        <f t="shared" si="20"/>
        <v>1.1891594686249674</v>
      </c>
      <c r="BY3" s="183">
        <f t="shared" si="21"/>
        <v>1.1876512136284278</v>
      </c>
      <c r="BZ3" s="183">
        <f t="shared" si="22"/>
        <v>1.1838855865501019</v>
      </c>
      <c r="CA3" s="183">
        <f t="shared" si="23"/>
        <v>1.183066645403557</v>
      </c>
      <c r="CB3" s="183">
        <f t="shared" si="24"/>
        <v>1.1793019548935852</v>
      </c>
      <c r="CC3" s="183">
        <f t="shared" si="25"/>
        <v>1.1783745098822034</v>
      </c>
      <c r="CD3" s="183">
        <f t="shared" si="26"/>
        <v>1.1746886154010394</v>
      </c>
      <c r="CE3" s="187">
        <f xml:space="preserve"> -0.0000000019505*Sheet3!DF3^3 + 0.0000015497*Sheet3!DF3^2  + 0.00016911*Sheet3!DF3 + 1.8585</f>
        <v>1.8954759658125</v>
      </c>
      <c r="CF3" s="185">
        <f xml:space="preserve"> -0.0000000019505*Sheet3!BZ3^3 + 0.0000015497*Sheet3!BZ3^2  + 0.00016911*Sheet3!BZ3 + 1.8585</f>
        <v>1.8951299808948174</v>
      </c>
      <c r="CG3" s="185">
        <f xml:space="preserve"> -0.0000000019505*Sheet3!CA3^3 + 0.0000015497*Sheet3!CA3^2  + 0.00016911*Sheet3!CA3 + 1.8585</f>
        <v>1.8927071908303481</v>
      </c>
      <c r="CH3" s="185">
        <f xml:space="preserve"> -0.0000000019505*Sheet3!CB3^3 + 0.0000015497*Sheet3!CB3^2  + 0.00016911*Sheet3!CB3 + 1.8585</f>
        <v>1.8900424011348047</v>
      </c>
      <c r="CI3" s="185">
        <f xml:space="preserve"> -0.0000000019505*Sheet3!CC3^3 + 0.0000015497*Sheet3!CC3^2  + 0.00016911*Sheet3!CC3 + 1.8585</f>
        <v>1.8887973397470865</v>
      </c>
      <c r="CJ3" s="185">
        <f xml:space="preserve"> -0.0000000019505*Sheet3!CD3^3 + 0.0000015497*Sheet3!CD3^2  + 0.00016911*Sheet3!CD3 + 1.8585</f>
        <v>1.8874317333400998</v>
      </c>
      <c r="CK3" s="185">
        <f xml:space="preserve"> -0.0000000019505*Sheet3!CE3^3 + 0.0000015497*Sheet3!CE3^2  + 0.00016911*Sheet3!CE3 + 1.8585</f>
        <v>1.8860205608339033</v>
      </c>
      <c r="CL3" s="185">
        <f xml:space="preserve"> -0.0000000019505*Sheet3!CF3^3 + 0.0000015497*Sheet3!CF3^2  + 0.00016911*Sheet3!CF3 + 1.8585</f>
        <v>1.8844809862238596</v>
      </c>
      <c r="CM3" s="185">
        <f xml:space="preserve"> -0.0000000019505*Sheet3!CG3^3 + 0.0000015497*Sheet3!CG3^2  + 0.00016911*Sheet3!CG3 + 1.8585</f>
        <v>1.8830023387933683</v>
      </c>
      <c r="CN3" s="186">
        <f>_xlfn.FORECAST.LINEAR(Sheet3!DF3,New!$LU$2:$LU$14,New!$LT$2:$LT$14)</f>
        <v>1.0182325575068421</v>
      </c>
      <c r="CO3" s="183">
        <f>_xlfn.FORECAST.LINEAR(Sheet3!BZ3,New!$LU$2:$LU$14,New!$LT$2:$LT$14)</f>
        <v>1.0180879287560809</v>
      </c>
      <c r="CP3" s="183">
        <f>_xlfn.FORECAST.LINEAR(Sheet3!CA3,New!$LU$2:$LU$14,New!$LT$2:$LT$14)</f>
        <v>1.0170623859371457</v>
      </c>
      <c r="CQ3" s="183">
        <f>_xlfn.FORECAST.LINEAR(Sheet3!CB3,New!$LU$2:$LU$14,New!$LT$2:$LT$14)</f>
        <v>1.0159065037271957</v>
      </c>
      <c r="CR3" s="183">
        <f>_xlfn.FORECAST.LINEAR(Sheet3!CC3,New!$LU$2:$LU$14,New!$LT$2:$LT$14)</f>
        <v>1.0153554455027165</v>
      </c>
      <c r="CS3" s="183">
        <f>_xlfn.FORECAST.LINEAR(Sheet3!CD3,New!$LU$2:$LU$14,New!$LT$2:$LT$14)</f>
        <v>1.0147422991911657</v>
      </c>
      <c r="CT3" s="183">
        <f>_xlfn.FORECAST.LINEAR(Sheet3!CE3,New!$LU$2:$LU$14,New!$LT$2:$LT$14)</f>
        <v>1.0140984511901294</v>
      </c>
      <c r="CU3" s="183">
        <f>_xlfn.FORECAST.LINEAR(Sheet3!CF3,New!$LU$2:$LU$14,New!$LT$2:$LT$14)</f>
        <v>1.0133832585904474</v>
      </c>
      <c r="CV3" s="183">
        <f>_xlfn.FORECAST.LINEAR(Sheet3!CG3,New!$LU$2:$LU$14,New!$LT$2:$LT$14)</f>
        <v>1.0126828319326446</v>
      </c>
      <c r="CW3" s="186">
        <f>EXP((17.625*Sheet3!BA3)/(243.04+Sheet3!BA3)) / EXP((17.625*Sheet3!DF3)/(243.04+Sheet3!DF3))</f>
        <v>0.140656462544655</v>
      </c>
      <c r="CX3" s="183">
        <f>EXP((17.625*(Sheet3!BC3+273))/(243.04+(Sheet3!BC3+273)))/EXP((17.625*(Sheet3!BZ3+273))/(243.04+(Sheet3!BZ3+273)))</f>
        <v>0.55914599739251081</v>
      </c>
      <c r="CY3" s="183">
        <f>EXP((17.625*(Sheet3!BE3+273))/(243.04+(Sheet3!BE3+273))) / EXP((17.625*(Sheet3!CA3+273))/(243.04+(Sheet3!CA3+273)))</f>
        <v>0.59145177514070002</v>
      </c>
      <c r="CZ3" s="183">
        <f>EXP((17.625*(Sheet3!BG3+273))/(243.04+(Sheet3!BG3+273))) / EXP((17.625*(Sheet3!CB3+273))/(243.04+(Sheet3!CB3+273)))</f>
        <v>0.63333775660624692</v>
      </c>
      <c r="DA3" s="183">
        <f>EXP((17.625*(Sheet3!BI3+273))/(243.04+(Sheet3!BI3+273))) / EXP((17.625*(Sheet3!CC3+273))/(243.04+(Sheet3!CC3+273)))</f>
        <v>0.65228813311799061</v>
      </c>
      <c r="DB3" s="183">
        <f>EXP((17.625*(Sheet3!BK3+273))/(243.04+(Sheet3!BK3+273)))/EXP((17.625*(Sheet3!CD3+273))/(243.04+(Sheet3!CD3+273)))</f>
        <v>0.67698748322917002</v>
      </c>
      <c r="DC3" s="183">
        <f>EXP((17.625*(Sheet3!BM3+273))/(243.04+(Sheet3!BM3+273))) / EXP((17.625*(Sheet3!CE3+273))/(243.04+(Sheet3!CE3+273)))</f>
        <v>0.70177477248204212</v>
      </c>
      <c r="DD3" s="183">
        <f>EXP((17.625*(Sheet3!BO3+273))/(243.04+(Sheet3!BO3+273))) / EXP((17.625*(Sheet3!CF3+273))/(243.04+(Sheet3!CF3+273)))</f>
        <v>0.73361466889244031</v>
      </c>
      <c r="DE3" s="183">
        <f>EXP((17.625*(Sheet3!BQ3+273))/(243.04+(Sheet3!BQ3+273))) / EXP((17.625*(Sheet3!CG3+273))/(243.04+(Sheet3!CG3+273)))</f>
        <v>0.76401006297559659</v>
      </c>
      <c r="DF3" s="186">
        <f>((Sheet3!DA3-Sheet3!DB3)/New!$LQ$3)/(((Sheet3!DA3-Sheet3!DB3)/New!$LQ$3)+(Sheet3!DB3/New!$LP$3))</f>
        <v>0.71332409423876464</v>
      </c>
      <c r="DG3" s="183">
        <f>((Sheet3!DA3-Sheet3!DB3)/New!$LQ$3)/(((Sheet3!DA3-Sheet3!DB3)/New!$LQ$3)+((Sheet3!DB3-(Sheet3!B3*0.004))/New!$LP$3))</f>
        <v>0.71354910730907184</v>
      </c>
      <c r="DH3" s="183" cm="1">
        <f t="array" ref="DH3">((Sheet3!DA3-Sheet3!DB3)/New!$LQ$3)/(((Sheet3!DA3-Sheet3!DB3)/New!$LQ$3)+((Sheet3!DB3-(SUM(Sheet3!B3:C3*0.004)))/New!$LP$3))</f>
        <v>0.72691098300154078</v>
      </c>
      <c r="DI3" s="183" cm="1">
        <f t="array" ref="DI3">((Sheet3!DA3-Sheet3!DB3)/New!$LQ$3)/(((Sheet3!DA3-Sheet3!DB3)/New!$LQ$3)+((Sheet3!DB3-(SUM(Sheet3!B3:D3*0.004)))/New!$LP$3))</f>
        <v>0.72716590087196931</v>
      </c>
      <c r="DJ3" s="183" cm="1">
        <f t="array" ref="DJ3">((Sheet3!DA3-Sheet3!DB3)/New!$LQ$3)/(((Sheet3!DA3-Sheet3!DB3)/New!$LQ$3)+((Sheet3!DB3-(SUM(Sheet3!B3:E3*0.004)))/New!$LP$3))</f>
        <v>0.74148923472054729</v>
      </c>
      <c r="DK3" s="183" cm="1">
        <f t="array" ref="DK3">((Sheet3!DA3-Sheet3!DB3)/New!$LQ$3)/(((Sheet3!DA3-Sheet3!DB3)/New!$LQ$3)+((Sheet3!DB3-(SUM(Sheet3!B3:F3*0.004)))/New!$LP$3))</f>
        <v>0.74177659426586728</v>
      </c>
      <c r="DL3" s="183" cm="1">
        <f t="array" ref="DL3">((Sheet3!DA3-Sheet3!DB3)/New!$LQ$3)/(((Sheet3!DA3-Sheet3!DB3)/New!$LQ$3)+((Sheet3!DB3-(SUM(Sheet3!B3:G3*0.004)))/New!$LP$3))</f>
        <v>0.75613533626301677</v>
      </c>
      <c r="DM3" s="183" cm="1">
        <f t="array" ref="DM3">((Sheet3!DA3-Sheet3!DB3)/New!$LQ$3)/(((Sheet3!DA3-Sheet3!DB3)/New!$LQ$3)+((Sheet3!DB3-(SUM(Sheet3!B3:H3*0.004)))/New!$LP$3))</f>
        <v>0.75641116722367752</v>
      </c>
      <c r="DN3" s="183" cm="1">
        <f t="array" ref="DN3">((Sheet3!DA3-Sheet3!DB3)/New!$LQ$3)/(((Sheet3!DA3-Sheet3!DB3)/New!$LQ$3)+((Sheet3!DB3-(SUM(Sheet3!B3:I3*0.004)))/New!$LP$3))</f>
        <v>0.77063109703304256</v>
      </c>
      <c r="DO3" s="186">
        <f>(Sheet3!DB3/$LP$3) / ((Sheet3!DB3/$LP$3) + ((Sheet3!DA3-Sheet3!DB3)/$LQ$3))</f>
        <v>0.28667590576123542</v>
      </c>
      <c r="DP3" s="183">
        <f>((Sheet3!$DB3-(Sheet3!B3/4000)) / $LP$3) / (((Sheet3!$DA3-Sheet3!DB3) / $LQ$3) + (Sheet3!$DB3-((Sheet3!B3/4000)))/$LP$3)</f>
        <v>0.28666184660202515</v>
      </c>
      <c r="DQ3" s="183">
        <f>((Sheet3!$DB3-(SUM(Sheet3!B3:C3)/4000))/$LP$3)/(((Sheet3!$DA3-Sheet3!$DB3)/$LQ$3)+(Sheet3!$DB3-(SUM(Sheet3!B3:C3)/4000))/$LP$3)</f>
        <v>0.28584162286277254</v>
      </c>
      <c r="DR3" s="183">
        <f>((Sheet3!$DB3-(SUM(Sheet3!B3:D3)/4000))/$LP$3)/(((Sheet3!$DA3-Sheet3!$DB3)/$LQ$3)+(Sheet3!$DB3-(SUM(Sheet3!B3:D3)/4000))/$LP$3)</f>
        <v>0.28582624967324027</v>
      </c>
      <c r="DS3" s="183">
        <f>((Sheet3!$DB3-(SUM(Sheet3!B3:E3)/4000))/$LP$3)/(((Sheet3!$DA3-Sheet3!$DB3)/$LQ$3)+(Sheet3!$DB3-(SUM(Sheet3!B3:E3)/4000))/$LP$3)</f>
        <v>0.2849784196147705</v>
      </c>
      <c r="DT3" s="183">
        <f>((Sheet3!$DB3-(SUM(Sheet3!B3:F3)/4000))/$LP$3)/(((Sheet3!$DA3-Sheet3!$DB3)/$LQ$3)+(Sheet3!$DB3-(SUM(Sheet3!B3:F3)/4000))/$LP$3)</f>
        <v>0.28496172501128275</v>
      </c>
      <c r="DU3" s="183">
        <f>((Sheet3!$DB3-(SUM(Sheet3!B3:G3)/4000))/$LP$3)/(((Sheet3!$DA3-Sheet3!$DB3)/$LQ$3)+(Sheet3!$DB3-(SUM(Sheet3!B3:G3)/4000))/$LP$3)</f>
        <v>0.28414273335583429</v>
      </c>
      <c r="DV3" s="183">
        <f>((Sheet3!$DB3-(SUM(Sheet3!B3:H3)/4000))/$LP$3)/(((Sheet3!$DA3-Sheet3!$DB3)/$LQ$3)+(Sheet3!$DB3-(SUM(Sheet3!B3:H3)/4000))/$LP$3)</f>
        <v>0.2841272869368936</v>
      </c>
      <c r="DW3" s="183">
        <f>((Sheet3!$DB3-(SUM(Sheet3!B3:I3)/4000))/$LP$3)/(((Sheet3!$DA3-Sheet3!$DB3)/$LQ$3)+(Sheet3!$DB3-(SUM(Sheet3!B3:I3)/4000))/$LP$3)</f>
        <v>0.28334508497552163</v>
      </c>
      <c r="DX3" s="186">
        <f>($LR$2*($LP$3/1000))/($LP$2*(Sheet3!DF3+273))*DO3</f>
        <v>0.1622184795317605</v>
      </c>
      <c r="DY3" s="183">
        <f>(($LR$2*($LP$3/1000))/($LP$2*(Sheet3!BZ3+273)))*(DP3)</f>
        <v>0.16253441674167857</v>
      </c>
      <c r="DZ3" s="183">
        <f>(($LR$2*($LP$3/1000))/($LP$2*(Sheet3!CA3+273)))*(DQ3)</f>
        <v>0.16439699479946246</v>
      </c>
      <c r="EA3" s="183">
        <f>(($LR$2*($LP$3/1000))/($LP$2*(Sheet3!CB3+273)))*(DR3)</f>
        <v>0.16709293452224941</v>
      </c>
      <c r="EB3" s="183">
        <f>(($LR$2*($LP$3/1000))/($LP$2*(Sheet3!CC3+273)))*(DS3)</f>
        <v>0.16791444136020137</v>
      </c>
      <c r="EC3" s="183">
        <f>(($LR$2*($LP$3/1000))/($LP$2*(Sheet3!CD3+273)))*(DT3)</f>
        <v>0.1693947624167414</v>
      </c>
      <c r="ED3" s="183">
        <f>(($LR$2*($LP$3/1000))/($LP$2*(Sheet3!CE3+273)))*(DU3)</f>
        <v>0.1704968466866644</v>
      </c>
      <c r="EE3" s="183">
        <f>(($LR$2*($LP$3/1000))/($LP$2*(Sheet3!CF3+273)))*(DV3)</f>
        <v>0.17228789809501674</v>
      </c>
      <c r="EF3" s="183">
        <f>(($LR$2*($LP$3/1000))/($LP$2*(Sheet3!CG3+273)))*(DW3)</f>
        <v>0.1736090214402701</v>
      </c>
      <c r="EG3" s="186">
        <f>(($LR$2*($LQ$3/1000))/($LQ$2*(Sheet3!DF3+273)))*(1-DO3)</f>
        <v>0.64887391812704198</v>
      </c>
      <c r="EH3" s="183">
        <f>(($LR$2*($LQ$3/1000))/($LQ$2*(Sheet3!BZ3+273)))*(1-DP3)</f>
        <v>0.65018236700444598</v>
      </c>
      <c r="EI3" s="183">
        <f>(($LR$2*($LQ$3/1000))/($LQ$2*(Sheet3!CA3+273)))*(1-DQ3)</f>
        <v>0.66027861455214987</v>
      </c>
      <c r="EJ3" s="183">
        <f>(($LR$2*($LQ$3/1000))/($LQ$2*(Sheet3!CB3+273)))*(1-DR3)</f>
        <v>0.67115703980418495</v>
      </c>
      <c r="EK3" s="183">
        <f>(($LR$2*($LQ$3/1000))/($LQ$2*(Sheet3!CC3+273)))*(1-DS3)</f>
        <v>0.67726637763055841</v>
      </c>
      <c r="EL3" s="183">
        <f>(($LR$2*($LQ$3/1000))/($LQ$2*(Sheet3!CD3+273)))*(1-DT3)</f>
        <v>0.68329308811633838</v>
      </c>
      <c r="EM3" s="183">
        <f>(($LR$2*($LQ$3/1000))/($LQ$2*(Sheet3!CE3+273)))*(1-DU3)</f>
        <v>0.69051088042692732</v>
      </c>
      <c r="EN3" s="183">
        <f>(($LR$2*($LQ$3/1000))/($LQ$2*(Sheet3!CF3+273)))*(1-DV3)</f>
        <v>0.697817614884919</v>
      </c>
      <c r="EO3" s="183">
        <f>(($LR$2*($LQ$3/1000))/($LQ$2*(Sheet3!CG3+273)))*(1-DW3)</f>
        <v>0.70588016798452968</v>
      </c>
      <c r="EP3" s="186">
        <f t="shared" ref="EP3:EP65" si="132">(FV3*0.018)/(0.011*JN3*3600)</f>
        <v>4672.4900416808941</v>
      </c>
      <c r="EQ3" s="183">
        <f xml:space="preserve"> (($FV3-(Sheet3!B3/4000))*0.018)/(0.011*JO3*3600)</f>
        <v>4679.9373331339502</v>
      </c>
      <c r="ER3" s="183">
        <f>((($FV3-(SUM(Sheet3!B3:C3)/4000))*0.018)/(0.011*JP3*3600))</f>
        <v>4728.4689599047761</v>
      </c>
      <c r="ES3" s="183">
        <f>((($FV3-(SUM(Sheet3!B3:D3)/4000))*0.018)/(0.011*JQ3*3600))</f>
        <v>4790.9264912338112</v>
      </c>
      <c r="ET3" s="183">
        <f>((($FV3-(SUM(Sheet3!B3:E3)/4000))*0.018)/(0.011*JR3))/3600</f>
        <v>4815.3513694233761</v>
      </c>
      <c r="EU3" s="183">
        <f>((($FV3-(SUM(Sheet3!B3:F3)/4000))*0.018)/(0.011*JS3))/3600</f>
        <v>4849.5020197108588</v>
      </c>
      <c r="EV3" s="183">
        <f>((($FV3-(SUM(Sheet3!B3:G3)/4000))*0.018)/(0.011*JT3))/3600</f>
        <v>4880.1354964049769</v>
      </c>
      <c r="EW3" s="183">
        <f>((($FV3-(SUM(Sheet3!B3:H3)/4000))*0.018)/(0.011*JU3))/3600</f>
        <v>4921.2007503040168</v>
      </c>
      <c r="EX3" s="183">
        <f>((($FV3-(SUM(Sheet3!B3:I3)/4000))*0.018)/(0.011*JV3))/3600</f>
        <v>4956.4865228858807</v>
      </c>
      <c r="EY3" s="186">
        <f t="shared" ref="EY3:EY65" si="133">0.27*EP3^0.63*ID3^0.36</f>
        <v>48.978249858945148</v>
      </c>
      <c r="EZ3" s="183">
        <f t="shared" ref="EZ3:EZ65" si="134">0.27*EQ3^0.63*IE3^0.36</f>
        <v>49.044049996073923</v>
      </c>
      <c r="FA3" s="183">
        <f t="shared" ref="FA3:FA65" si="135">0.27*ER3^0.63*IF3^0.36</f>
        <v>49.452672714992509</v>
      </c>
      <c r="FB3" s="183">
        <f t="shared" ref="FB3:FB65" si="136">0.27*ES3^0.63*IG3^0.36</f>
        <v>50.012247411398334</v>
      </c>
      <c r="FC3" s="183">
        <f t="shared" ref="FC3:FC65" si="137">0.27*ET3^0.63*IH3^0.36</f>
        <v>50.206752697640582</v>
      </c>
      <c r="FD3" s="183">
        <f t="shared" ref="FD3:FD65" si="138">0.27*EU3^0.63*II3^0.36</f>
        <v>50.5148114812839</v>
      </c>
      <c r="FE3" s="183">
        <f t="shared" ref="FE3:FE65" si="139">0.27*EV3^0.63*IJ3^0.36</f>
        <v>50.767407450600196</v>
      </c>
      <c r="FF3" s="183">
        <f t="shared" ref="FF3:FF65" si="140">0.27*EW3^0.63*IK3^0.36</f>
        <v>51.140732423746172</v>
      </c>
      <c r="FG3" s="183">
        <f t="shared" ref="FG3:FG65" si="141">0.27*EX3^0.63*IL3^0.36</f>
        <v>51.438733733036074</v>
      </c>
      <c r="FH3" s="186">
        <f t="shared" si="28"/>
        <v>88.795124897574979</v>
      </c>
      <c r="FI3" s="183">
        <f t="shared" si="29"/>
        <v>88.670559328267728</v>
      </c>
      <c r="FJ3" s="183">
        <f t="shared" si="30"/>
        <v>87.664386805483545</v>
      </c>
      <c r="FK3" s="183">
        <f t="shared" si="31"/>
        <v>86.66673355554083</v>
      </c>
      <c r="FL3" s="183">
        <f t="shared" si="32"/>
        <v>86.054464975332792</v>
      </c>
      <c r="FM3" s="183">
        <f t="shared" si="33"/>
        <v>85.515499574498136</v>
      </c>
      <c r="FN3" s="183">
        <f t="shared" si="34"/>
        <v>84.823084863321114</v>
      </c>
      <c r="FO3" s="183">
        <f t="shared" si="35"/>
        <v>84.185721901212389</v>
      </c>
      <c r="FP3" s="183">
        <f t="shared" si="36"/>
        <v>83.442751757640991</v>
      </c>
      <c r="FQ3" s="314">
        <f>Sheet3!CV3</f>
        <v>2</v>
      </c>
      <c r="FR3" s="183">
        <v>5000</v>
      </c>
      <c r="FS3" s="183">
        <v>20</v>
      </c>
      <c r="FT3" s="183">
        <v>0.17293333333333336</v>
      </c>
      <c r="FU3" s="183">
        <v>25.9</v>
      </c>
      <c r="FV3" s="183">
        <v>200</v>
      </c>
      <c r="FW3" s="183">
        <v>40</v>
      </c>
      <c r="FX3" s="183">
        <v>400</v>
      </c>
      <c r="FY3" s="183">
        <v>11</v>
      </c>
      <c r="FZ3" s="183">
        <v>18.5</v>
      </c>
      <c r="GA3" s="183">
        <v>115</v>
      </c>
      <c r="GB3" s="186">
        <f>EXP($LP$6-($LQ$6/('Trial and Error method'!T3+$LP$8))) / ($LR$2/1000)</f>
        <v>0.31261007679648894</v>
      </c>
      <c r="GC3" s="183">
        <f>EXP($LP$6-($LQ$6/('Trial and Error method'!U3+$LP$8))) / ($LR$2/1000)</f>
        <v>0.11891689180189065</v>
      </c>
      <c r="GD3" s="183">
        <f>EXP($LP$6-($LQ$6/('Trial and Error method'!V3+$LP$8))) / ($LR$2/1000)</f>
        <v>0.11443579178814116</v>
      </c>
      <c r="GE3" s="183">
        <f>EXP($LP$6-($LQ$6/('Trial and Error method'!W3+$LP$8))) / ($LR$2/1000)</f>
        <v>0.11014597819557126</v>
      </c>
      <c r="GF3" s="183">
        <f>EXP($LP$6-($LQ$6/('Trial and Error method'!X3+$LP$8))) / ($LR$2/1000)</f>
        <v>0.10604719859100686</v>
      </c>
      <c r="GG3" s="183">
        <f>EXP($LP$6-($LQ$6/('Trial and Error method'!Y3+$LP$8))) / ($LR$2/1000)</f>
        <v>0.10273504305615255</v>
      </c>
      <c r="GH3" s="183">
        <f>EXP($LP$6-($LQ$6/('Trial and Error method'!Z3+$LP$8))) / ($LR$2/1000)</f>
        <v>9.9270438379755924E-2</v>
      </c>
      <c r="GI3" s="183">
        <f>EXP($LP$6-($LQ$6/('Trial and Error method'!AA3+$LP$8))) / ($LR$2/1000)</f>
        <v>8.5615577198321802E-2</v>
      </c>
      <c r="GJ3" s="183">
        <f>EXP($LP$6-($LQ$6/('Trial and Error method'!AB3+$LP$8))) / ($LR$2/1000)</f>
        <v>0.30908251117500762</v>
      </c>
      <c r="GK3" s="188">
        <f t="shared" ref="GK3:GK66" si="142">((1-GB3)-(1-DO3)) / (LN((1-GB3)/(1-DO3)))</f>
        <v>0.70027697302582448</v>
      </c>
      <c r="GL3" s="165">
        <f t="shared" ref="GL3:GL65" si="143">((1-GC3)-(1-DP3)) / (LN((1-GC3)/(1-DP3)))</f>
        <v>0.79426056258855882</v>
      </c>
      <c r="GM3" s="165">
        <f t="shared" ref="GM3:GM65" si="144">((1-GD3)-(1-DQ3)) / (LN((1-GD3)/(1-DQ3)))</f>
        <v>0.7967909217932736</v>
      </c>
      <c r="GN3" s="165">
        <f t="shared" ref="GN3:GN65" si="145">((1-GE3)-(1-DR3)) / (LN((1-GE3)/(1-DR3)))</f>
        <v>0.7987966817707074</v>
      </c>
      <c r="GO3" s="165">
        <f t="shared" ref="GO3:GO65" si="146">((1-GF3)-(1-DS3)) / (LN((1-GF3)/(1-DS3)))</f>
        <v>0.80115974414326652</v>
      </c>
      <c r="GP3" s="165">
        <f t="shared" ref="GP3:GP65" si="147">((1-GG3)-(1-DT3)) / (LN((1-GG3)/(1-DT3)))</f>
        <v>0.80270722226354774</v>
      </c>
      <c r="GQ3" s="165">
        <f t="shared" ref="GQ3:GQ65" si="148">((1-GH3)-(1-DU3)) / (LN((1-GH3)/(1-DU3)))</f>
        <v>0.80475738548971676</v>
      </c>
      <c r="GR3" s="165">
        <f t="shared" ref="GR3:GR65" si="149">((1-GI3)-(1-DV3)) / (LN((1-GI3)/(1-DV3)))</f>
        <v>0.81108381409386765</v>
      </c>
      <c r="GS3" s="165">
        <f t="shared" ref="GS3:GS65" si="150">((1-GJ3)-(1-DW3)) / (LN((1-GJ3)/(1-DW3)))</f>
        <v>0.70370776023141834</v>
      </c>
      <c r="GT3" s="188">
        <f t="shared" si="38"/>
        <v>7.396811665439007E-2</v>
      </c>
      <c r="GU3" s="165">
        <f t="shared" si="39"/>
        <v>6.5215043910317669E-2</v>
      </c>
      <c r="GV3" s="165">
        <f t="shared" si="40"/>
        <v>6.5007725167017069E-2</v>
      </c>
      <c r="GW3" s="165">
        <f t="shared" si="41"/>
        <v>6.4881965606381459E-2</v>
      </c>
      <c r="GX3" s="165">
        <f t="shared" si="42"/>
        <v>6.468075309136026E-2</v>
      </c>
      <c r="GY3" s="165">
        <f t="shared" si="43"/>
        <v>6.4579641225585696E-2</v>
      </c>
      <c r="GZ3" s="165">
        <f t="shared" si="44"/>
        <v>6.4413349519258936E-2</v>
      </c>
      <c r="HA3" s="165">
        <f t="shared" si="45"/>
        <v>6.3942880602060326E-2</v>
      </c>
      <c r="HB3" s="165">
        <f t="shared" si="46"/>
        <v>7.3699897153565841E-2</v>
      </c>
      <c r="HC3" s="188">
        <f>BV3*Sheet3!DF3</f>
        <v>137.27334250431696</v>
      </c>
      <c r="HD3" s="165">
        <f>BW3*Sheet3!BZ3</f>
        <v>136.32343574675343</v>
      </c>
      <c r="HE3" s="165">
        <f>BX3*Sheet3!CA3</f>
        <v>129.31420129096239</v>
      </c>
      <c r="HF3" s="165">
        <f>BY3*Sheet3!CB3</f>
        <v>121.81121163341692</v>
      </c>
      <c r="HG3" s="165">
        <f>BZ3*Sheet3!CC3</f>
        <v>117.93728239182936</v>
      </c>
      <c r="HH3" s="165">
        <f>CA3*Sheet3!CD3</f>
        <v>113.9777140434699</v>
      </c>
      <c r="HI3" s="165">
        <f>CB3*Sheet3!CE3</f>
        <v>109.55581219822852</v>
      </c>
      <c r="HJ3" s="165">
        <f>CC3*Sheet3!CF3</f>
        <v>104.96419190430804</v>
      </c>
      <c r="HK3" s="165">
        <f>CD3*Sheet3!CG3</f>
        <v>100.23722976497305</v>
      </c>
      <c r="HL3" s="188">
        <f>(CE3*Sheet3!DF3)+2501</f>
        <v>2718.9797360684374</v>
      </c>
      <c r="HM3" s="165">
        <f>(CF3*Sheet3!BZ3)+2501</f>
        <v>2717.4746476719306</v>
      </c>
      <c r="HN3" s="165">
        <f>(CG3*Sheet3!CA3)+2501</f>
        <v>2706.8209391738674</v>
      </c>
      <c r="HO3" s="165">
        <f>(CH3*Sheet3!CB3)+2501</f>
        <v>2694.8518247435504</v>
      </c>
      <c r="HP3" s="165">
        <f>(CI3*Sheet3!CC3)+2501</f>
        <v>2689.1597578088777</v>
      </c>
      <c r="HQ3" s="165">
        <f>(CJ3*Sheet3!CD3)+2501</f>
        <v>2682.8368857029413</v>
      </c>
      <c r="HR3" s="165">
        <f>(CK3*Sheet3!CE3)+2501</f>
        <v>2676.2091680229273</v>
      </c>
      <c r="HS3" s="165">
        <f>(CL3*Sheet3!CF3)+2501</f>
        <v>2668.8609153704406</v>
      </c>
      <c r="HT3" s="165">
        <f>(CM3*Sheet3!CG3)+2501</f>
        <v>2661.6782730393402</v>
      </c>
      <c r="HU3" s="188">
        <f>-0.0021*(Sheet3!DF3^2) - 2.2115*(Sheet3!DF3) + 2499</f>
        <v>2216.9050000000002</v>
      </c>
      <c r="HV3" s="165">
        <f>-0.0021*(Sheet3!BZ3^2) - 2.2115*(Sheet3!BZ3) + 2499</f>
        <v>2218.9871115326605</v>
      </c>
      <c r="HW3" s="165">
        <f>-0.0021*(Sheet3!CA3^2) - 2.2115*(Sheet3!CA3) + 2499</f>
        <v>2233.6790556113087</v>
      </c>
      <c r="HX3" s="165">
        <f>-0.0021*(Sheet3!CB3^2) - 2.2115*(Sheet3!CB3) + 2499</f>
        <v>2250.0869091582945</v>
      </c>
      <c r="HY3" s="165">
        <f>-0.0021*(Sheet3!CC3^2) - 2.2115*(Sheet3!CC3) + 2499</f>
        <v>2257.852776164455</v>
      </c>
      <c r="HZ3" s="165">
        <f>-0.0021*(Sheet3!CD3^2) - 2.2115*(Sheet3!CD3) + 2499</f>
        <v>2266.4507855613774</v>
      </c>
      <c r="IA3" s="165">
        <f>-0.0021*(Sheet3!CE3^2) - 2.2115*(Sheet3!CE3) + 2499</f>
        <v>2275.4307438976871</v>
      </c>
      <c r="IB3" s="165">
        <f>-0.0021*(Sheet3!CF3^2) - 2.2115*(Sheet3!CF3) + 2499</f>
        <v>2285.3474321143667</v>
      </c>
      <c r="IC3" s="165">
        <f>-0.0021*(Sheet3!CG3^2) - 2.2115*(Sheet3!CG3) + 2499</f>
        <v>2294.9998687401467</v>
      </c>
      <c r="ID3" s="188">
        <f t="shared" si="47"/>
        <v>0.71168683707745772</v>
      </c>
      <c r="IE3" s="165">
        <f t="shared" si="48"/>
        <v>0.71235776514651739</v>
      </c>
      <c r="IF3" s="165">
        <f t="shared" si="49"/>
        <v>0.71592386603845448</v>
      </c>
      <c r="IG3" s="165">
        <f t="shared" si="50"/>
        <v>0.72188421866378827</v>
      </c>
      <c r="IH3" s="165">
        <f t="shared" si="51"/>
        <v>0.72324491318207262</v>
      </c>
      <c r="II3" s="165">
        <f t="shared" si="52"/>
        <v>0.72659734947896926</v>
      </c>
      <c r="IJ3" s="165">
        <f t="shared" si="53"/>
        <v>0.72866075692114007</v>
      </c>
      <c r="IK3" s="165">
        <f t="shared" si="54"/>
        <v>0.73281702451328035</v>
      </c>
      <c r="IL3" s="165">
        <f t="shared" si="55"/>
        <v>0.73548666553747211</v>
      </c>
      <c r="IM3" s="188">
        <f t="shared" si="56"/>
        <v>-4.2526928263692758</v>
      </c>
      <c r="IN3" s="165">
        <f t="shared" ref="IN3:IN65" si="151">HV3*GU3*(DP3-GC3)</f>
        <v>24.274597508603758</v>
      </c>
      <c r="IO3" s="165">
        <f t="shared" ref="IO3:IO65" si="152">HW3*GV3*(DQ3-GD3)</f>
        <v>24.889222668088568</v>
      </c>
      <c r="IP3" s="165">
        <f t="shared" ref="IP3:IP65" si="153">HX3*GW3*(DR3-GE3)</f>
        <v>25.6475736288196</v>
      </c>
      <c r="IQ3" s="165">
        <f t="shared" ref="IQ3:IQ65" si="154">HY3*GX3*(DS3-GF3)</f>
        <v>26.131047154369345</v>
      </c>
      <c r="IR3" s="165">
        <f t="shared" ref="IR3:IR65" si="155">HZ3*GY3*(DT3-GG3)</f>
        <v>26.671895965033933</v>
      </c>
      <c r="IS3" s="165">
        <f t="shared" ref="IS3:IS65" si="156">IA3*GZ3*(DU3-GH3)</f>
        <v>27.096383940770465</v>
      </c>
      <c r="IT3" s="165">
        <f t="shared" ref="IT3:IT65" si="157">IB3*HA3*(DV3-GI3)</f>
        <v>29.00885321418442</v>
      </c>
      <c r="IU3" s="165">
        <f t="shared" ref="IU3:IU65" si="158">IC3*HB3*(DW3-GJ3)</f>
        <v>-4.3532605496699182</v>
      </c>
      <c r="IV3" s="188">
        <f>_xlfn.FORECAST.LINEAR(Sheet3!DF3,Sheet2!$AK$2:$AK$69,Sheet2!$AJ$2:$AJ$69)</f>
        <v>1.2811804086396453E-5</v>
      </c>
      <c r="IW3" s="165">
        <f>_xlfn.FORECAST.LINEAR(Sheet3!BZ3,Sheet2!$AK$2:$AK$69,Sheet2!$AJ$2:$AJ$69)</f>
        <v>1.2784732832496863E-5</v>
      </c>
      <c r="IX3" s="165">
        <f>_xlfn.FORECAST.LINEAR(Sheet3!CA3,Sheet2!$AK$2:$AK$69,Sheet2!$AJ$2:$AJ$69)</f>
        <v>1.2592774249641282E-5</v>
      </c>
      <c r="IY3" s="165">
        <f>_xlfn.FORECAST.LINEAR(Sheet3!CB3,Sheet2!$AK$2:$AK$69,Sheet2!$AJ$2:$AJ$69)</f>
        <v>1.2376419060103335E-5</v>
      </c>
      <c r="IZ3" s="165">
        <f>_xlfn.FORECAST.LINEAR(Sheet3!CC3,Sheet2!$AK$2:$AK$69,Sheet2!$AJ$2:$AJ$69)</f>
        <v>1.2273273336795788E-5</v>
      </c>
      <c r="JA3" s="165">
        <f>_xlfn.FORECAST.LINEAR(Sheet3!CD3,Sheet2!$AK$2:$AK$69,Sheet2!$AJ$2:$AJ$69)</f>
        <v>1.2158506118035819E-5</v>
      </c>
      <c r="JB3" s="165">
        <f>_xlfn.FORECAST.LINEAR(Sheet3!CE3,Sheet2!$AK$2:$AK$69,Sheet2!$AJ$2:$AJ$69)</f>
        <v>1.203799223253891E-5</v>
      </c>
      <c r="JC3" s="165">
        <f>_xlfn.FORECAST.LINEAR(Sheet3!CF3,Sheet2!$AK$2:$AK$69,Sheet2!$AJ$2:$AJ$69)</f>
        <v>1.1904124240516612E-5</v>
      </c>
      <c r="JD3" s="165">
        <f>_xlfn.FORECAST.LINEAR(Sheet3!CG3,Sheet2!$AK$2:$AK$69,Sheet2!$AJ$2:$AJ$69)</f>
        <v>1.1773020101183144E-5</v>
      </c>
      <c r="JE3" s="188">
        <f>_xlfn.FORECAST.LINEAR(Sheet3!DF3,New!$MC$2:$MC$18,New!$MB$2:$MB$18)</f>
        <v>2.214324918296784E-5</v>
      </c>
      <c r="JF3" s="165">
        <f>_xlfn.FORECAST.LINEAR(Sheet3!BZ3,New!$MC$2:$MC$18,New!$MB$2:$MB$18)</f>
        <v>2.21114262705975E-5</v>
      </c>
      <c r="JG3" s="165">
        <f>_xlfn.FORECAST.LINEAR(Sheet3!CA3,New!$MC$2:$MC$18,New!$MB$2:$MB$18)</f>
        <v>2.1885774323199501E-5</v>
      </c>
      <c r="JH3" s="165">
        <f>_xlfn.FORECAST.LINEAR(Sheet3!CB3,New!$MC$2:$MC$18,New!$MB$2:$MB$18)</f>
        <v>2.1631443575792227E-5</v>
      </c>
      <c r="JI3" s="165">
        <f>_xlfn.FORECAST.LINEAR(Sheet3!CC3,New!$MC$2:$MC$18,New!$MB$2:$MB$18)</f>
        <v>2.1510193288444389E-5</v>
      </c>
      <c r="JJ3" s="165">
        <f>_xlfn.FORECAST.LINEAR(Sheet3!CD3,New!$MC$2:$MC$18,New!$MB$2:$MB$18)</f>
        <v>2.1375281652687404E-5</v>
      </c>
      <c r="JK3" s="165">
        <f>_xlfn.FORECAST.LINEAR(Sheet3!CE3,New!$MC$2:$MC$18,New!$MB$2:$MB$18)</f>
        <v>2.1233614671475439E-5</v>
      </c>
      <c r="JL3" s="165">
        <f>_xlfn.FORECAST.LINEAR(Sheet3!CF3,New!$MC$2:$MC$18,New!$MB$2:$MB$18)</f>
        <v>2.1076249615718506E-5</v>
      </c>
      <c r="JM3" s="165">
        <f>_xlfn.FORECAST.LINEAR(Sheet3!CG3,New!$MC$2:$MC$18,New!$MB$2:$MB$18)</f>
        <v>2.0922133535507637E-5</v>
      </c>
      <c r="JN3" s="188">
        <f t="shared" ref="JN3:JN65" si="159">(((1-DO3)*JE3)/((1-DO3)+DO3*JW3))+(((DO3)*IV3)/((DO3)+(1-DO3)*KF3))</f>
        <v>1.9456240697815813E-5</v>
      </c>
      <c r="JO3" s="165">
        <f t="shared" ref="JO3:JO65" si="160">(((1-DP3)*JF3)/((1-DP3)+DP3*JX3))+(((DP3)*IW3)/((DP3)+(1-DP3)*KG3))</f>
        <v>1.9425012438834066E-5</v>
      </c>
      <c r="JP3" s="165">
        <f t="shared" ref="JP3:JP65" si="161">(((1-DQ3)*JG3)/((1-DQ3)+DQ3*JY3))+(((DQ3)*IX3)/((DQ3)+(1-DQ3)*KH3))</f>
        <v>1.9210235019038648E-5</v>
      </c>
      <c r="JQ3" s="165">
        <f t="shared" ref="JQ3:JQ65" si="162">(((1-DR3)*JH3)/((1-DR3)+DR3*JZ3))+(((DR3)*IY3)/((DR3)+(1-DR3)*KI3))</f>
        <v>1.8959513682758238E-5</v>
      </c>
      <c r="JR3" s="165">
        <f t="shared" ref="JR3:JR65" si="163">(((1-DS3)*JI3)/((1-DS3)+DS3*KA3))+(((DS3)*IZ3)/((DS3)+(1-DS3)*KJ3))</f>
        <v>1.884774666778694E-5</v>
      </c>
      <c r="JS3" s="165">
        <f t="shared" ref="JS3:JS65" si="164">(((1-DT3)*JJ3)/((1-DT3)+DT3*KB3))+(((DT3)*JA3)/((DT3)+(1-DT3)*KK3))</f>
        <v>1.8714714435763171E-5</v>
      </c>
      <c r="JT3" s="165">
        <f t="shared" ref="JT3:JT65" si="165">(((1-DU3)*JK3)/((1-DU3)+DU3*KC3))+(((DU3)*JB3)/((DU3)+(1-DU3)*KL3))</f>
        <v>1.8582405992151911E-5</v>
      </c>
      <c r="JU3" s="165">
        <f t="shared" ref="JU3:JU65" si="166">(((1-DV3)*JL3)/((1-DV3)+DV3*KD3))+(((DV3)*JC3)/((DV3)+(1-DV3)*KM3))</f>
        <v>1.8427066900073793E-5</v>
      </c>
      <c r="JV3" s="165">
        <f t="shared" ref="JV3:JV65" si="167">(((1-DW3)*JM3)/((1-DW3)+DW3*KE3))+(((DW3)*JD3)/((DW3)+(1-DW3)*KN3))</f>
        <v>1.8281966018351768E-5</v>
      </c>
      <c r="JW3" s="188">
        <f t="shared" si="66"/>
        <v>1.0286695457519455</v>
      </c>
      <c r="JX3" s="165">
        <f t="shared" si="67"/>
        <v>1.0290447950402992</v>
      </c>
      <c r="JY3" s="165">
        <f t="shared" si="68"/>
        <v>1.0317501857575797</v>
      </c>
      <c r="JZ3" s="165">
        <f t="shared" si="69"/>
        <v>1.0348961995997485</v>
      </c>
      <c r="KA3" s="165">
        <f t="shared" si="70"/>
        <v>1.0364335988432429</v>
      </c>
      <c r="KB3" s="165">
        <f t="shared" si="71"/>
        <v>1.0381737063815424</v>
      </c>
      <c r="KC3" s="165">
        <f t="shared" si="72"/>
        <v>1.0400352868385905</v>
      </c>
      <c r="KD3" s="165">
        <f t="shared" si="73"/>
        <v>1.0421456283502988</v>
      </c>
      <c r="KE3" s="165">
        <f t="shared" si="74"/>
        <v>1.0442571053686815</v>
      </c>
      <c r="KF3" s="188">
        <f t="shared" si="75"/>
        <v>0.95677344983303514</v>
      </c>
      <c r="KG3" s="165">
        <f t="shared" si="76"/>
        <v>0.95647466529327352</v>
      </c>
      <c r="KH3" s="165">
        <f t="shared" si="77"/>
        <v>0.95432949815736745</v>
      </c>
      <c r="KI3" s="165">
        <f t="shared" si="78"/>
        <v>0.95185454085038379</v>
      </c>
      <c r="KJ3" s="165">
        <f t="shared" si="79"/>
        <v>0.95065266055258058</v>
      </c>
      <c r="KK3" s="165">
        <f t="shared" si="80"/>
        <v>0.94929826727171396</v>
      </c>
      <c r="KL3" s="165">
        <f t="shared" si="81"/>
        <v>0.94785628129592381</v>
      </c>
      <c r="KM3" s="165">
        <f t="shared" si="82"/>
        <v>0.94623023175507204</v>
      </c>
      <c r="KN3" s="165">
        <f t="shared" si="83"/>
        <v>0.94461240791151735</v>
      </c>
      <c r="KO3" s="188">
        <f t="shared" si="84"/>
        <v>0.60092741565833852</v>
      </c>
      <c r="KP3" s="165">
        <f t="shared" si="85"/>
        <v>0.60041424480454486</v>
      </c>
      <c r="KQ3" s="165">
        <f t="shared" si="86"/>
        <v>0.59639093815293864</v>
      </c>
      <c r="KR3" s="165">
        <f t="shared" si="87"/>
        <v>0.59173328988451623</v>
      </c>
      <c r="KS3" s="165">
        <f t="shared" si="88"/>
        <v>0.58951272506193242</v>
      </c>
      <c r="KT3" s="165">
        <f t="shared" si="89"/>
        <v>0.58697771771162388</v>
      </c>
      <c r="KU3" s="165">
        <f t="shared" si="90"/>
        <v>0.58432064286266105</v>
      </c>
      <c r="KV3" s="165">
        <f t="shared" si="91"/>
        <v>0.58129269730686473</v>
      </c>
      <c r="KW3" s="165">
        <f t="shared" si="92"/>
        <v>0.57841336653782516</v>
      </c>
      <c r="KX3" s="188">
        <f>AVERAGE(Sheet3!J3:P3)*KO3^(1/3)/ID3^(1/3)</f>
        <v>151.88208691169106</v>
      </c>
      <c r="KY3" s="165">
        <f>Sheet3!J3*KP3^(1/3)/IE3^(1/3)</f>
        <v>100.10521232576136</v>
      </c>
      <c r="KZ3" s="165">
        <f>Sheet3!K3*KQ3^(1/3)/IF3^(1/3)</f>
        <v>117.69803024498354</v>
      </c>
      <c r="LA3" s="165">
        <f>Sheet3!L3*KR3^(1/3)/IG3^(1/3)</f>
        <v>134.37888648714505</v>
      </c>
      <c r="LB3" s="165">
        <f>Sheet3!M3*KS3^(1/3)/IH3^(1/3)</f>
        <v>149.845800277221</v>
      </c>
      <c r="LC3" s="165">
        <f>Sheet3!N3*KT3^(1/3)/II3^(1/3)</f>
        <v>166.58868191522689</v>
      </c>
      <c r="LD3" s="165">
        <f>Sheet3!O3*KU3^(1/3)/IJ3^(1/3)</f>
        <v>183.28817714732619</v>
      </c>
      <c r="LE3" s="165">
        <f>Sheet3!P3*KV3^(1/3)/IK3^(1/3)</f>
        <v>197.75609974854862</v>
      </c>
      <c r="LF3" s="165">
        <f>Sheet3!Q3*KW3^(1/3)/IL3^(1/3)</f>
        <v>206.41426693370366</v>
      </c>
      <c r="LG3" s="186">
        <f t="shared" si="93"/>
        <v>25.822332211443282</v>
      </c>
      <c r="LH3" s="183">
        <f t="shared" si="94"/>
        <v>25.828595314206204</v>
      </c>
      <c r="LI3" s="183">
        <f t="shared" si="95"/>
        <v>26.20077890359747</v>
      </c>
      <c r="LJ3" s="183">
        <f t="shared" si="96"/>
        <v>26.207884377115654</v>
      </c>
      <c r="LK3" s="183">
        <f t="shared" si="97"/>
        <v>26.607414466867141</v>
      </c>
      <c r="LL3" s="183">
        <f t="shared" si="98"/>
        <v>26.615435646017776</v>
      </c>
      <c r="LM3" s="183">
        <f t="shared" si="99"/>
        <v>27.016510679582321</v>
      </c>
      <c r="LN3" s="183">
        <f t="shared" si="100"/>
        <v>27.024220476965837</v>
      </c>
      <c r="LO3" s="183">
        <f t="shared" si="101"/>
        <v>27.421938275910936</v>
      </c>
      <c r="LP3" s="219">
        <v>18.015000000000001</v>
      </c>
      <c r="LQ3" s="219">
        <v>28.96</v>
      </c>
      <c r="LS3" s="219"/>
      <c r="LT3" s="219">
        <v>15.6</v>
      </c>
      <c r="LU3" s="219">
        <v>1.006</v>
      </c>
      <c r="LV3" s="220"/>
      <c r="LW3" s="220"/>
      <c r="LX3" s="220"/>
      <c r="LY3" s="220"/>
      <c r="LZ3" s="222">
        <v>28.98</v>
      </c>
      <c r="MA3" s="220">
        <v>1.0000000000000001E-5</v>
      </c>
      <c r="MB3" s="220">
        <v>10</v>
      </c>
      <c r="MC3" s="220">
        <v>1.7640000000000001E-5</v>
      </c>
      <c r="MD3" s="188">
        <f>Sheet3!DP3</f>
        <v>265.10697033159926</v>
      </c>
      <c r="ME3" s="263">
        <v>20</v>
      </c>
      <c r="MF3" s="263">
        <v>2.3400000000000001E-2</v>
      </c>
      <c r="MG3" s="263">
        <v>1.87</v>
      </c>
      <c r="MH3" s="263">
        <v>1.7299999999999999E-2</v>
      </c>
      <c r="MI3" s="263">
        <v>8.85</v>
      </c>
      <c r="MJ3" s="263">
        <v>511.56</v>
      </c>
      <c r="MK3" s="273">
        <v>10</v>
      </c>
      <c r="ML3" s="267">
        <v>1.23E-2</v>
      </c>
      <c r="MM3" s="267">
        <v>9.4000000000000004E-3</v>
      </c>
      <c r="MN3" s="267">
        <v>1.8680000000000001</v>
      </c>
      <c r="MO3" s="267">
        <v>8.4499999999999993</v>
      </c>
      <c r="MP3" s="274">
        <v>898.94</v>
      </c>
      <c r="MQ3"/>
      <c r="MR3"/>
      <c r="MS3"/>
    </row>
    <row r="4" spans="1:357" ht="15" thickBot="1" x14ac:dyDescent="0.35">
      <c r="A4" s="184" t="str">
        <f>Sheet3!A4</f>
        <v>2022.11.24-2</v>
      </c>
      <c r="B4" s="186">
        <f t="shared" si="102"/>
        <v>0.8649109696163193</v>
      </c>
      <c r="C4" s="183">
        <f t="shared" si="103"/>
        <v>0.86523029158325382</v>
      </c>
      <c r="D4" s="183">
        <f t="shared" si="0"/>
        <v>0.85448827380080106</v>
      </c>
      <c r="E4" s="183">
        <f t="shared" si="1"/>
        <v>0.84390624438897588</v>
      </c>
      <c r="F4" s="183">
        <f t="shared" si="2"/>
        <v>0.83370665676609568</v>
      </c>
      <c r="G4" s="183">
        <f t="shared" si="3"/>
        <v>0.82671542934063147</v>
      </c>
      <c r="H4" s="183">
        <f t="shared" si="4"/>
        <v>0.81770134686149287</v>
      </c>
      <c r="I4" s="183">
        <f t="shared" si="5"/>
        <v>0.80921677252333191</v>
      </c>
      <c r="J4" s="183">
        <f t="shared" si="6"/>
        <v>0.80174991596392842</v>
      </c>
      <c r="K4" s="186">
        <f xml:space="preserve"> (6.057 * (10^(-6)))
+ (4.055 * (10^(-8)) * (Sheet3!DF4 + 273))
+ (1.25 * (10^(-10)) * (Sheet3!DF4 + 273)^2)
- (3.367 * (10^(-14)) * (DD4 + 273)^3)</f>
        <v>4.1306234708832428E-5</v>
      </c>
      <c r="L4" s="183">
        <f xml:space="preserve"> (6.057 * (10^(-6)))
+ (4.055 * (10^(-8)) * (Sheet3!BZ4 + 273))
+ (1.25 * (10^(-10)) * (Sheet3!BZ4 + 273)^2)
- (3.367 * (10^(-14)) * (BX4 + 273)^3)</f>
        <v>4.1316670810167785E-5</v>
      </c>
      <c r="M4" s="183">
        <f xml:space="preserve"> (6.057 * (10^(-6)))
+ (4.055 * (10^(-8)) * (Sheet3!CA4 + 273))
+ (1.25 * (10^(-10)) * (Sheet3!CA4 + 273)^2)
- (3.367 * (10^(-14)) * (BY4 + 273)^3)</f>
        <v>4.0463622881185929E-5</v>
      </c>
      <c r="N4" s="183">
        <f xml:space="preserve"> (6.057 * (10^(-6)))
+ (4.055 * (10^(-8)) * (Sheet3!CB4 + 273))
+ (1.25 * (10^(-10)) * (Sheet3!CB4 + 273)^2)
- (3.367 * (10^(-14)) * (BZ4 + 273)^3)</f>
        <v>3.9760712587285618E-5</v>
      </c>
      <c r="O4" s="183">
        <f xml:space="preserve"> (6.057 * (10^(-6)))
+ (4.055 * (10^(-8)) * (Sheet3!CC4 + 273))
+ (1.25 * (10^(-10)) * (Sheet3!CC4 + 273)^2)
- (3.367 * (10^(-14)) * (CA4 + 273)^3)</f>
        <v>3.8985732440362566E-5</v>
      </c>
      <c r="P4" s="183">
        <f xml:space="preserve"> (6.057 * (10^(-6)))
+ (4.055 * (10^(-8)) * (Sheet3!CD4 + 273))
+ (1.25 * (10^(-10)) * (Sheet3!CD4 + 273)^2)
- (3.367 * (10^(-14)) * (CB4 + 273)^3)</f>
        <v>3.8544274201751171E-5</v>
      </c>
      <c r="Q4" s="183">
        <f xml:space="preserve"> (6.057 * (10^(-6)))
+ (4.055 * (10^(-8)) * (Sheet3!CE4 + 273))
+ (1.25 * (10^(-10)) * (Sheet3!CE4 + 273)^2)
- (3.367 * (10^(-14)) * (CC4 + 273)^3)</f>
        <v>3.7879289895150753E-5</v>
      </c>
      <c r="R4" s="183">
        <f xml:space="preserve"> (6.057 * (10^(-6)))
+ (4.055 * (10^(-8)) * (Sheet3!CF4 + 273))
+ (1.25 * (10^(-10)) * (Sheet3!CF4 + 273)^2)
- (3.367 * (10^(-14)) * (CD4 + 273)^3)</f>
        <v>3.7368308186024923E-5</v>
      </c>
      <c r="S4" s="183">
        <f xml:space="preserve"> (6.057 * (10^(-6)))
+ (4.055 * (10^(-8)) * (Sheet3!CG4 + 273))
+ (1.25 * (10^(-10)) * (Sheet3!CG4 + 273)^2)
- (3.367 * (10^(-14)) * (CE4 + 273)^3)</f>
        <v>3.6815398940166491E-5</v>
      </c>
      <c r="T4" s="188">
        <f t="shared" si="104"/>
        <v>4.1306234708832428E-5</v>
      </c>
      <c r="U4" s="165">
        <f t="shared" si="105"/>
        <v>4.1316670810167785E-5</v>
      </c>
      <c r="V4" s="165">
        <f t="shared" si="106"/>
        <v>4.0463622881185929E-5</v>
      </c>
      <c r="W4" s="165">
        <f t="shared" si="107"/>
        <v>3.9760712587285618E-5</v>
      </c>
      <c r="X4" s="165">
        <f t="shared" si="108"/>
        <v>3.8985732440362566E-5</v>
      </c>
      <c r="Y4" s="165">
        <f t="shared" si="109"/>
        <v>3.8544274201751171E-5</v>
      </c>
      <c r="Z4" s="165">
        <f t="shared" si="110"/>
        <v>3.7879289895150753E-5</v>
      </c>
      <c r="AA4" s="165">
        <f t="shared" si="111"/>
        <v>3.7368308186024923E-5</v>
      </c>
      <c r="AB4" s="165">
        <f t="shared" si="112"/>
        <v>3.6815398940166491E-5</v>
      </c>
      <c r="AC4" s="186">
        <f t="shared" si="8"/>
        <v>3.5726215513215519E-5</v>
      </c>
      <c r="AD4" s="183">
        <f t="shared" si="9"/>
        <v>3.5748435132330786E-5</v>
      </c>
      <c r="AE4" s="183">
        <f t="shared" si="10"/>
        <v>3.4575691267471162E-5</v>
      </c>
      <c r="AF4" s="183">
        <f t="shared" si="11"/>
        <v>3.3554313633765684E-5</v>
      </c>
      <c r="AG4" s="183">
        <f t="shared" si="12"/>
        <v>3.2502664654432195E-5</v>
      </c>
      <c r="AH4" s="183">
        <f t="shared" si="13"/>
        <v>3.1865146195323744E-5</v>
      </c>
      <c r="AI4" s="183">
        <f t="shared" si="14"/>
        <v>3.0973946365421707E-5</v>
      </c>
      <c r="AJ4" s="183">
        <f t="shared" si="15"/>
        <v>3.023906174495229E-5</v>
      </c>
      <c r="AK4" s="183">
        <f t="shared" si="16"/>
        <v>2.9516743006456985E-5</v>
      </c>
      <c r="AL4" s="186">
        <f t="shared" si="113"/>
        <v>3.3788605367829856E-2</v>
      </c>
      <c r="AM4" s="183">
        <f t="shared" si="114"/>
        <v>3.3800375767410545E-2</v>
      </c>
      <c r="AN4" s="183">
        <f t="shared" si="115"/>
        <v>3.3091565699722297E-2</v>
      </c>
      <c r="AO4" s="183">
        <f t="shared" si="116"/>
        <v>3.2502791926193007E-2</v>
      </c>
      <c r="AP4" s="183">
        <f t="shared" si="117"/>
        <v>3.1846299471387715E-2</v>
      </c>
      <c r="AQ4" s="183">
        <f t="shared" si="118"/>
        <v>3.1469234278973204E-2</v>
      </c>
      <c r="AR4" s="183">
        <f t="shared" si="119"/>
        <v>3.0897611249244269E-2</v>
      </c>
      <c r="AS4" s="183">
        <f t="shared" si="120"/>
        <v>3.0453665505240018E-2</v>
      </c>
      <c r="AT4" s="183">
        <f t="shared" si="121"/>
        <v>2.9976475614248824E-2</v>
      </c>
      <c r="AU4" s="186">
        <f>_xlfn.FORECAST.LINEAR(Sheet3!DF4,Sheet2!$AH$2:$AH$40,Sheet2!$AG$2:$AG$40)</f>
        <v>3.581951116851409E-2</v>
      </c>
      <c r="AV4" s="183">
        <f>_xlfn.FORECAST.LINEAR(Sheet3!BZ4,Sheet2!$AH$2:$AH$40,Sheet2!$AG$2:$AG$40)</f>
        <v>3.5845540310460874E-2</v>
      </c>
      <c r="AW4" s="183">
        <f>_xlfn.FORECAST.LINEAR(Sheet3!CA4,Sheet2!$AH$2:$AH$40,Sheet2!$AG$2:$AG$40)</f>
        <v>3.4289298863800562E-2</v>
      </c>
      <c r="AX4" s="183">
        <f>_xlfn.FORECAST.LINEAR(Sheet3!CB4,Sheet2!$AH$2:$AH$40,Sheet2!$AG$2:$AG$40)</f>
        <v>3.299386930126931E-2</v>
      </c>
      <c r="AY4" s="183">
        <f>_xlfn.FORECAST.LINEAR(Sheet3!CC4,Sheet2!$AH$2:$AH$40,Sheet2!$AG$2:$AG$40)</f>
        <v>3.1551592276814484E-2</v>
      </c>
      <c r="AZ4" s="183">
        <f>_xlfn.FORECAST.LINEAR(Sheet3!CD4,Sheet2!$AH$2:$AH$40,Sheet2!$AG$2:$AG$40)</f>
        <v>3.0723189793143056E-2</v>
      </c>
      <c r="BA4" s="183">
        <f>_xlfn.FORECAST.LINEAR(Sheet3!CE4,Sheet2!$AH$2:$AH$40,Sheet2!$AG$2:$AG$40)</f>
        <v>2.9465890038147757E-2</v>
      </c>
      <c r="BB4" s="183">
        <f>_xlfn.FORECAST.LINEAR(Sheet3!CF4,Sheet2!$AH$2:$AH$40,Sheet2!$AG$2:$AG$40)</f>
        <v>2.849176856560107E-2</v>
      </c>
      <c r="BC4" s="183">
        <f>_xlfn.FORECAST.LINEAR(Sheet3!CG4,Sheet2!$AH$2:$AH$40,Sheet2!$AG$2:$AG$40)</f>
        <v>2.744042397491895E-2</v>
      </c>
      <c r="BD4" s="186">
        <f>_xlfn.FORECAST.LINEAR(Sheet3!DF4,Sheet2!$AB$12:$AB$37,Sheet2!$AA$12:$AA$37)/1000</f>
        <v>3.2779188336365124E-2</v>
      </c>
      <c r="BE4" s="183">
        <f>_xlfn.FORECAST.LINEAR(Sheet3!BZ4,Sheet2!$AB$12:$AB$37,Sheet2!$AA$12:$AA$37)/1000</f>
        <v>3.2785007850020115E-2</v>
      </c>
      <c r="BF4" s="183">
        <f>_xlfn.FORECAST.LINEAR(Sheet3!CA4,Sheet2!$AB$12:$AB$37,Sheet2!$AA$12:$AA$37)/1000</f>
        <v>3.2437068284135513E-2</v>
      </c>
      <c r="BG4" s="183">
        <f>_xlfn.FORECAST.LINEAR(Sheet3!CB4,Sheet2!$AB$12:$AB$37,Sheet2!$AA$12:$AA$37)/1000</f>
        <v>3.2147440218652186E-2</v>
      </c>
      <c r="BH4" s="183">
        <f>_xlfn.FORECAST.LINEAR(Sheet3!CC4,Sheet2!$AB$12:$AB$37,Sheet2!$AA$12:$AA$37)/1000</f>
        <v>3.1824980459691857E-2</v>
      </c>
      <c r="BI4" s="183">
        <f>_xlfn.FORECAST.LINEAR(Sheet3!CD4,Sheet2!$AB$12:$AB$37,Sheet2!$AA$12:$AA$37)/1000</f>
        <v>3.1639768838985498E-2</v>
      </c>
      <c r="BJ4" s="183">
        <f>_xlfn.FORECAST.LINEAR(Sheet3!CE4,Sheet2!$AB$12:$AB$37,Sheet2!$AA$12:$AA$37)/1000</f>
        <v>3.135866571589449E-2</v>
      </c>
      <c r="BK4" s="183">
        <f>_xlfn.FORECAST.LINEAR(Sheet3!CF4,Sheet2!$AB$12:$AB$37,Sheet2!$AA$12:$AA$37)/1000</f>
        <v>3.114087470216451E-2</v>
      </c>
      <c r="BL4" s="183">
        <f>_xlfn.FORECAST.LINEAR(Sheet3!CG4,Sheet2!$AB$12:$AB$37,Sheet2!$AA$12:$AA$37)/1000</f>
        <v>3.0905818386666631E-2</v>
      </c>
      <c r="BM4" s="186">
        <f t="shared" si="122"/>
        <v>0.79071319168747578</v>
      </c>
      <c r="BN4" s="183">
        <f t="shared" si="123"/>
        <v>0.79051447824516063</v>
      </c>
      <c r="BO4" s="183">
        <f t="shared" si="124"/>
        <v>0.80313549355401692</v>
      </c>
      <c r="BP4" s="183">
        <f t="shared" si="125"/>
        <v>0.81372130371037532</v>
      </c>
      <c r="BQ4" s="183">
        <f t="shared" si="126"/>
        <v>0.82612776039579761</v>
      </c>
      <c r="BR4" s="183">
        <f t="shared" si="127"/>
        <v>0.8332585063423964</v>
      </c>
      <c r="BS4" s="183">
        <f t="shared" si="128"/>
        <v>0.84460257748683132</v>
      </c>
      <c r="BT4" s="183">
        <f t="shared" si="129"/>
        <v>0.85337738012884101</v>
      </c>
      <c r="BU4" s="183">
        <f t="shared" si="130"/>
        <v>0.8633342821715696</v>
      </c>
      <c r="BV4" s="186">
        <f t="shared" si="131"/>
        <v>1.1960911266120466</v>
      </c>
      <c r="BW4" s="183">
        <f t="shared" si="19"/>
        <v>1.1960646764266414</v>
      </c>
      <c r="BX4" s="183">
        <f t="shared" si="20"/>
        <v>1.1916744413543241</v>
      </c>
      <c r="BY4" s="183">
        <f t="shared" si="21"/>
        <v>1.1904101516196903</v>
      </c>
      <c r="BZ4" s="183">
        <f t="shared" si="22"/>
        <v>1.1860221274418228</v>
      </c>
      <c r="CA4" s="183">
        <f t="shared" si="23"/>
        <v>1.1851968933406192</v>
      </c>
      <c r="CB4" s="183">
        <f t="shared" si="24"/>
        <v>1.181070875495694</v>
      </c>
      <c r="CC4" s="183">
        <f t="shared" si="25"/>
        <v>1.1801307707945083</v>
      </c>
      <c r="CD4" s="183">
        <f t="shared" si="26"/>
        <v>1.1763407723396226</v>
      </c>
      <c r="CE4" s="187">
        <f xml:space="preserve"> -0.0000000019505*Sheet3!DF4^3 + 0.0000015497*Sheet3!DF4^2  + 0.00016911*Sheet3!DF4 + 1.8585</f>
        <v>1.9000432421875</v>
      </c>
      <c r="CF4" s="185">
        <f xml:space="preserve"> -0.0000000019505*Sheet3!BZ4^3 + 0.0000015497*Sheet3!BZ4^2  + 0.00016911*Sheet3!BZ4 + 1.8585</f>
        <v>1.9000908861513188</v>
      </c>
      <c r="CG4" s="185">
        <f xml:space="preserve"> -0.0000000019505*Sheet3!CA4^3 + 0.0000015497*Sheet3!CA4^2  + 0.00016911*Sheet3!CA4 + 1.8585</f>
        <v>1.8972729229594969</v>
      </c>
      <c r="CH4" s="185">
        <f xml:space="preserve"> -0.0000000019505*Sheet3!CB4^3 + 0.0000015497*Sheet3!CB4^2  + 0.00016911*Sheet3!CB4 + 1.8585</f>
        <v>1.8949759249734333</v>
      </c>
      <c r="CI4" s="185">
        <f xml:space="preserve"> -0.0000000019505*Sheet3!CC4^3 + 0.0000015497*Sheet3!CC4^2  + 0.00016911*Sheet3!CC4 + 1.8585</f>
        <v>1.892472612172819</v>
      </c>
      <c r="CJ4" s="185">
        <f xml:space="preserve"> -0.0000000019505*Sheet3!CD4^3 + 0.0000015497*Sheet3!CD4^2  + 0.00016911*Sheet3!CD4 + 1.8585</f>
        <v>1.8910613359528279</v>
      </c>
      <c r="CK4" s="185">
        <f xml:space="preserve"> -0.0000000019505*Sheet3!CE4^3 + 0.0000015497*Sheet3!CE4^2  + 0.00016911*Sheet3!CE4 + 1.8585</f>
        <v>1.8889575045446851</v>
      </c>
      <c r="CL4" s="185">
        <f xml:space="preserve"> -0.0000000019505*Sheet3!CF4^3 + 0.0000015497*Sheet3!CF4^2  + 0.00016911*Sheet3!CF4 + 1.8585</f>
        <v>1.8873599009431812</v>
      </c>
      <c r="CM4" s="185">
        <f xml:space="preserve"> -0.0000000019505*Sheet3!CG4^3 + 0.0000015497*Sheet3!CG4^2  + 0.00016911*Sheet3!CG4 + 1.8585</f>
        <v>1.8856682072356643</v>
      </c>
      <c r="CN4" s="186">
        <f>_xlfn.FORECAST.LINEAR(Sheet3!DF4,New!$LU$2:$LU$14,New!$LT$2:$LT$14)</f>
        <v>1.0201030977181833</v>
      </c>
      <c r="CO4" s="183">
        <f>_xlfn.FORECAST.LINEAR(Sheet3!BZ4,New!$LU$2:$LU$14,New!$LT$2:$LT$14)</f>
        <v>1.0201222555081397</v>
      </c>
      <c r="CP4" s="183">
        <f>_xlfn.FORECAST.LINEAR(Sheet3!CA4,New!$LU$2:$LU$14,New!$LT$2:$LT$14)</f>
        <v>1.0189768413866322</v>
      </c>
      <c r="CQ4" s="183">
        <f>_xlfn.FORECAST.LINEAR(Sheet3!CB4,New!$LU$2:$LU$14,New!$LT$2:$LT$14)</f>
        <v>1.0180233882335077</v>
      </c>
      <c r="CR4" s="183">
        <f>_xlfn.FORECAST.LINEAR(Sheet3!CC4,New!$LU$2:$LU$14,New!$LT$2:$LT$14)</f>
        <v>1.0169618534218743</v>
      </c>
      <c r="CS4" s="183">
        <f>_xlfn.FORECAST.LINEAR(Sheet3!CD4,New!$LU$2:$LU$14,New!$LT$2:$LT$14)</f>
        <v>1.0163521383258489</v>
      </c>
      <c r="CT4" s="183">
        <f>_xlfn.FORECAST.LINEAR(Sheet3!CE4,New!$LU$2:$LU$14,New!$LT$2:$LT$14)</f>
        <v>1.0154267492113065</v>
      </c>
      <c r="CU4" s="183">
        <f>_xlfn.FORECAST.LINEAR(Sheet3!CF4,New!$LU$2:$LU$14,New!$LT$2:$LT$14)</f>
        <v>1.0147097830277407</v>
      </c>
      <c r="CV4" s="183">
        <f>_xlfn.FORECAST.LINEAR(Sheet3!CG4,New!$LU$2:$LU$14,New!$LT$2:$LT$14)</f>
        <v>1.013935979616116</v>
      </c>
      <c r="CW4" s="186">
        <f>EXP((17.625*Sheet3!BA4)/(243.04+Sheet3!BA4)) / EXP((17.625*Sheet3!DF4)/(243.04+Sheet3!DF4))</f>
        <v>0.1016207677629422</v>
      </c>
      <c r="CX4" s="183">
        <f>EXP((17.625*(Sheet3!BC4+273))/(243.04+(Sheet3!BC4+273)))/EXP((17.625*(Sheet3!BZ4+273))/(243.04+(Sheet3!BZ4+273)))</f>
        <v>0.49827961837695783</v>
      </c>
      <c r="CY4" s="183">
        <f>EXP((17.625*(Sheet3!BE4+273))/(243.04+(Sheet3!BE4+273))) / EXP((17.625*(Sheet3!CA4+273))/(243.04+(Sheet3!CA4+273)))</f>
        <v>0.53099289646184089</v>
      </c>
      <c r="CZ4" s="183">
        <f>EXP((17.625*(Sheet3!BG4+273))/(243.04+(Sheet3!BG4+273))) / EXP((17.625*(Sheet3!CB4+273))/(243.04+(Sheet3!CB4+273)))</f>
        <v>0.55930829141922378</v>
      </c>
      <c r="DA4" s="183">
        <f>EXP((17.625*(Sheet3!BI4+273))/(243.04+(Sheet3!BI4+273))) / EXP((17.625*(Sheet3!CC4+273))/(243.04+(Sheet3!CC4+273)))</f>
        <v>0.5928372554820508</v>
      </c>
      <c r="DB4" s="183">
        <f>EXP((17.625*(Sheet3!BK4+273))/(243.04+(Sheet3!BK4+273)))/EXP((17.625*(Sheet3!CD4+273))/(243.04+(Sheet3!CD4+273)))</f>
        <v>0.61454056881894847</v>
      </c>
      <c r="DC4" s="183">
        <f>EXP((17.625*(Sheet3!BM4+273))/(243.04+(Sheet3!BM4+273))) / EXP((17.625*(Sheet3!CE4+273))/(243.04+(Sheet3!CE4+273)))</f>
        <v>0.64954376290003601</v>
      </c>
      <c r="DD4" s="183">
        <f>EXP((17.625*(Sheet3!BO4+273))/(243.04+(Sheet3!BO4+273))) / EXP((17.625*(Sheet3!CF4+273))/(243.04+(Sheet3!CF4+273)))</f>
        <v>0.67597000986110567</v>
      </c>
      <c r="DE4" s="183">
        <f>EXP((17.625*(Sheet3!BQ4+273))/(243.04+(Sheet3!BQ4+273))) / EXP((17.625*(Sheet3!CG4+273))/(243.04+(Sheet3!CG4+273)))</f>
        <v>0.70646182031791138</v>
      </c>
      <c r="DF4" s="186">
        <f>((Sheet3!DA4-Sheet3!DB4)/New!$LQ$3)/(((Sheet3!DA4-Sheet3!DB4)/New!$LQ$3)+(Sheet3!DB4/New!$LP$3))</f>
        <v>0.71332409423876464</v>
      </c>
      <c r="DG4" s="183">
        <f>((Sheet3!DA4-Sheet3!DB4)/New!$LQ$3)/(((Sheet3!DA4-Sheet3!DB4)/New!$LQ$3)+((Sheet3!DB4-(Sheet3!B4*0.004))/New!$LP$3))</f>
        <v>0.71354910730907184</v>
      </c>
      <c r="DH4" s="183" cm="1">
        <f t="array" ref="DH4">((Sheet3!DA4-Sheet3!DB4)/New!$LQ$3)/(((Sheet3!DA4-Sheet3!DB4)/New!$LQ$3)+((Sheet3!DB4-(SUM(Sheet3!B4:C4*0.004)))/New!$LP$3))</f>
        <v>0.7265501551506216</v>
      </c>
      <c r="DI4" s="183" cm="1">
        <f t="array" ref="DI4">((Sheet3!DA4-Sheet3!DB4)/New!$LQ$3)/(((Sheet3!DA4-Sheet3!DB4)/New!$LQ$3)+((Sheet3!DB4-(SUM(Sheet3!B4:D4*0.004)))/New!$LP$3))</f>
        <v>0.72676236343201273</v>
      </c>
      <c r="DJ4" s="183" cm="1">
        <f t="array" ref="DJ4">((Sheet3!DA4-Sheet3!DB4)/New!$LQ$3)/(((Sheet3!DA4-Sheet3!DB4)/New!$LQ$3)+((Sheet3!DB4-(SUM(Sheet3!B4:E4*0.004)))/New!$LP$3))</f>
        <v>0.74087106203280717</v>
      </c>
      <c r="DK4" s="183" cm="1">
        <f t="array" ref="DK4">((Sheet3!DA4-Sheet3!DB4)/New!$LQ$3)/(((Sheet3!DA4-Sheet3!DB4)/New!$LQ$3)+((Sheet3!DB4-(SUM(Sheet3!B4:F4*0.004)))/New!$LP$3))</f>
        <v>0.74115794254719725</v>
      </c>
      <c r="DL4" s="183" cm="1">
        <f t="array" ref="DL4">((Sheet3!DA4-Sheet3!DB4)/New!$LQ$3)/(((Sheet3!DA4-Sheet3!DB4)/New!$LQ$3)+((Sheet3!DB4-(SUM(Sheet3!B4:G4*0.004)))/New!$LP$3))</f>
        <v>0.75546957455845187</v>
      </c>
      <c r="DM4" s="183" cm="1">
        <f t="array" ref="DM4">((Sheet3!DA4-Sheet3!DB4)/New!$LQ$3)/(((Sheet3!DA4-Sheet3!DB4)/New!$LQ$3)+((Sheet3!DB4-(SUM(Sheet3!B4:H4*0.004)))/New!$LP$3))</f>
        <v>0.75574491991746751</v>
      </c>
      <c r="DN4" s="183" cm="1">
        <f t="array" ref="DN4">((Sheet3!DA4-Sheet3!DB4)/New!$LQ$3)/(((Sheet3!DA4-Sheet3!DB4)/New!$LQ$3)+((Sheet3!DB4-(SUM(Sheet3!B4:I4*0.004)))/New!$LP$3))</f>
        <v>0.76993957587719253</v>
      </c>
      <c r="DO4" s="186">
        <f>(Sheet3!DB4/$LP$3) / ((Sheet3!DB4/$LP$3) + ((Sheet3!DA4-Sheet3!DB4)/$LQ$3))</f>
        <v>0.28667590576123542</v>
      </c>
      <c r="DP4" s="183">
        <f>((Sheet3!$DB4-(Sheet3!B4/4000)) / $LP$3) / (((Sheet3!$DA4-Sheet3!DB4) / $LQ$3) + (Sheet3!$DB4-((Sheet3!B4/4000)))/$LP$3)</f>
        <v>0.28666184660202515</v>
      </c>
      <c r="DQ4" s="183">
        <f>((Sheet3!$DB4-(SUM(Sheet3!B4:C4)/4000))/$LP$3)/(((Sheet3!$DA4-Sheet3!$DB4)/$LQ$3)+(Sheet3!$DB4-(SUM(Sheet3!B4:C4)/4000))/$LP$3)</f>
        <v>0.28586340041503366</v>
      </c>
      <c r="DR4" s="183">
        <f>((Sheet3!$DB4-(SUM(Sheet3!B4:D4)/4000))/$LP$3)/(((Sheet3!$DA4-Sheet3!$DB4)/$LQ$3)+(Sheet3!$DB4-(SUM(Sheet3!B4:D4)/4000))/$LP$3)</f>
        <v>0.28585059025102799</v>
      </c>
      <c r="DS4" s="183">
        <f>((Sheet3!$DB4-(SUM(Sheet3!B4:E4)/4000))/$LP$3)/(((Sheet3!$DA4-Sheet3!$DB4)/$LQ$3)+(Sheet3!$DB4-(SUM(Sheet3!B4:E4)/4000))/$LP$3)</f>
        <v>0.28501437457465867</v>
      </c>
      <c r="DT4" s="183">
        <f>((Sheet3!$DB4-(SUM(Sheet3!B4:F4)/4000))/$LP$3)/(((Sheet3!$DA4-Sheet3!$DB4)/$LQ$3)+(Sheet3!$DB4-(SUM(Sheet3!B4:F4)/4000))/$LP$3)</f>
        <v>0.28499768165012929</v>
      </c>
      <c r="DU4" s="183">
        <f>((Sheet3!$DB4-(SUM(Sheet3!B4:G4)/4000))/$LP$3)/(((Sheet3!$DA4-Sheet3!$DB4)/$LQ$3)+(Sheet3!$DB4-(SUM(Sheet3!B4:G4)/4000))/$LP$3)</f>
        <v>0.28418005944980962</v>
      </c>
      <c r="DV4" s="183">
        <f>((Sheet3!$DB4-(SUM(Sheet3!B4:H4)/4000))/$LP$3)/(((Sheet3!$DA4-Sheet3!$DB4)/$LQ$3)+(Sheet3!$DB4-(SUM(Sheet3!B4:H4)/4000))/$LP$3)</f>
        <v>0.28416461464165288</v>
      </c>
      <c r="DW4" s="183">
        <f>((Sheet3!$DB4-(SUM(Sheet3!B4:I4)/4000))/$LP$3)/(((Sheet3!$DA4-Sheet3!$DB4)/$LQ$3)+(Sheet3!$DB4-(SUM(Sheet3!B4:I4)/4000))/$LP$3)</f>
        <v>0.28338249429532786</v>
      </c>
      <c r="DX4" s="186">
        <f>($LR$2*($LP$3/1000))/($LP$2*(Sheet3!DF4+273))*DO4</f>
        <v>0.15814263833749517</v>
      </c>
      <c r="DY4" s="183">
        <f>(($LR$2*($LP$3/1000))/($LP$2*(Sheet3!BZ4+273)))*(DP4)</f>
        <v>0.15809419987020445</v>
      </c>
      <c r="DZ4" s="183">
        <f>(($LR$2*($LP$3/1000))/($LP$2*(Sheet3!CA4+273)))*(DQ4)</f>
        <v>0.16011670254544033</v>
      </c>
      <c r="EA4" s="183">
        <f>(($LR$2*($LP$3/1000))/($LP$2*(Sheet3!CB4+273)))*(DR4)</f>
        <v>0.16221898699922663</v>
      </c>
      <c r="EB4" s="183">
        <f>(($LR$2*($LP$3/1000))/($LP$2*(Sheet3!CC4+273)))*(DS4)</f>
        <v>0.16415232440355707</v>
      </c>
      <c r="EC4" s="183">
        <f>(($LR$2*($LP$3/1000))/($LP$2*(Sheet3!CD4+273)))*(DT4)</f>
        <v>0.16555834224977758</v>
      </c>
      <c r="ED4" s="183">
        <f>(($LR$2*($LP$3/1000))/($LP$2*(Sheet3!CE4+273)))*(DU4)</f>
        <v>0.16727291108384096</v>
      </c>
      <c r="EE4" s="183">
        <f>(($LR$2*($LP$3/1000))/($LP$2*(Sheet3!CF4+273)))*(DV4)</f>
        <v>0.16900046352237388</v>
      </c>
      <c r="EF4" s="183">
        <f>(($LR$2*($LP$3/1000))/($LP$2*(Sheet3!CG4+273)))*(DW4)</f>
        <v>0.17044528107454657</v>
      </c>
      <c r="EG4" s="186">
        <f>(($LR$2*($LQ$3/1000))/($LQ$2*(Sheet3!DF4+273)))*(1-DO4)</f>
        <v>0.63257055334998058</v>
      </c>
      <c r="EH4" s="183">
        <f>(($LR$2*($LQ$3/1000))/($LQ$2*(Sheet3!BZ4+273)))*(1-DP4)</f>
        <v>0.63242027837495618</v>
      </c>
      <c r="EI4" s="183">
        <f>(($LR$2*($LQ$3/1000))/($LQ$2*(Sheet3!CA4+273)))*(1-DQ4)</f>
        <v>0.64301879100857662</v>
      </c>
      <c r="EJ4" s="183">
        <f>(($LR$2*($LQ$3/1000))/($LQ$2*(Sheet3!CB4+273)))*(1-DR4)</f>
        <v>0.65150231671114867</v>
      </c>
      <c r="EK4" s="183">
        <f>(($LR$2*($LQ$3/1000))/($LQ$2*(Sheet3!CC4+273)))*(1-DS4)</f>
        <v>0.66197543599224051</v>
      </c>
      <c r="EL4" s="183">
        <f>(($LR$2*($LQ$3/1000))/($LQ$2*(Sheet3!CD4+273)))*(1-DT4)</f>
        <v>0.66770016409261879</v>
      </c>
      <c r="EM4" s="183">
        <f>(($LR$2*($LQ$3/1000))/($LQ$2*(Sheet3!CE4+273)))*(1-DU4)</f>
        <v>0.6773296664029903</v>
      </c>
      <c r="EN4" s="183">
        <f>(($LR$2*($LQ$3/1000))/($LQ$2*(Sheet3!CF4+273)))*(1-DV4)</f>
        <v>0.68437691660646716</v>
      </c>
      <c r="EO4" s="183">
        <f>(($LR$2*($LQ$3/1000))/($LQ$2*(Sheet3!CG4+273)))*(1-DW4)</f>
        <v>0.69288900109702301</v>
      </c>
      <c r="EP4" s="186">
        <f t="shared" si="132"/>
        <v>4577.1211335108419</v>
      </c>
      <c r="EQ4" s="183">
        <f xml:space="preserve"> (($FV4-(Sheet3!B4/4000))*0.018)/(0.011*JO4*3600)</f>
        <v>4576.0715907980157</v>
      </c>
      <c r="ER4" s="183">
        <f>((($FV4-(SUM(Sheet3!B4:C4)/4000))*0.018)/(0.011*JP4*3600))</f>
        <v>4628.5854385264638</v>
      </c>
      <c r="ES4" s="183">
        <f>((($FV4-(SUM(Sheet3!B4:D4)/4000))*0.018)/(0.011*JQ4*3600))</f>
        <v>4677.7712627063211</v>
      </c>
      <c r="ET4" s="183">
        <f>((($FV4-(SUM(Sheet3!B4:E4)/4000))*0.018)/(0.011*JR4))/3600</f>
        <v>4728.1220007507982</v>
      </c>
      <c r="EU4" s="183">
        <f>((($FV4-(SUM(Sheet3!B4:F4)/4000))*0.018)/(0.011*JS4))/3600</f>
        <v>4760.8245564153285</v>
      </c>
      <c r="EV4" s="183">
        <f>((($FV4-(SUM(Sheet3!B4:G4)/4000))*0.018)/(0.011*JT4))/3600</f>
        <v>4805.7650337496398</v>
      </c>
      <c r="EW4" s="183">
        <f>((($FV4-(SUM(Sheet3!B4:H4)/4000))*0.018)/(0.011*JU4))/3600</f>
        <v>4845.6493495279392</v>
      </c>
      <c r="EX4" s="183">
        <f>((($FV4-(SUM(Sheet3!B4:I4)/4000))*0.018)/(0.011*JV4))/3600</f>
        <v>4883.9561895715406</v>
      </c>
      <c r="EY4" s="186">
        <f t="shared" si="133"/>
        <v>48.134912632120731</v>
      </c>
      <c r="EZ4" s="183">
        <f t="shared" si="134"/>
        <v>48.125276247379738</v>
      </c>
      <c r="FA4" s="183">
        <f t="shared" si="135"/>
        <v>48.565492434118823</v>
      </c>
      <c r="FB4" s="183">
        <f t="shared" si="136"/>
        <v>49.001137438492528</v>
      </c>
      <c r="FC4" s="183">
        <f t="shared" si="137"/>
        <v>49.425017523593432</v>
      </c>
      <c r="FD4" s="183">
        <f t="shared" si="138"/>
        <v>49.717114769976064</v>
      </c>
      <c r="FE4" s="183">
        <f t="shared" si="139"/>
        <v>50.096096458272008</v>
      </c>
      <c r="FF4" s="183">
        <f t="shared" si="140"/>
        <v>50.45554587863559</v>
      </c>
      <c r="FG4" s="183">
        <f t="shared" si="141"/>
        <v>50.778470037278765</v>
      </c>
      <c r="FH4" s="186">
        <f t="shared" si="28"/>
        <v>90.35619818564976</v>
      </c>
      <c r="FI4" s="183">
        <f t="shared" si="29"/>
        <v>90.369578948437365</v>
      </c>
      <c r="FJ4" s="183">
        <f t="shared" si="30"/>
        <v>89.283787979056072</v>
      </c>
      <c r="FK4" s="183">
        <f t="shared" si="31"/>
        <v>88.48187635056162</v>
      </c>
      <c r="FL4" s="183">
        <f t="shared" si="32"/>
        <v>87.444661635274571</v>
      </c>
      <c r="FM4" s="183">
        <f t="shared" si="33"/>
        <v>86.919974020609772</v>
      </c>
      <c r="FN4" s="183">
        <f t="shared" si="34"/>
        <v>85.99165074846286</v>
      </c>
      <c r="FO4" s="183">
        <f t="shared" si="35"/>
        <v>85.364239837347768</v>
      </c>
      <c r="FP4" s="183">
        <f t="shared" si="36"/>
        <v>84.564420488963975</v>
      </c>
      <c r="FQ4" s="314">
        <f>Sheet3!CV4</f>
        <v>2</v>
      </c>
      <c r="FR4" s="183">
        <v>5000</v>
      </c>
      <c r="FS4" s="183">
        <v>20</v>
      </c>
      <c r="FT4" s="183">
        <v>0.17100000000000001</v>
      </c>
      <c r="FU4" s="183">
        <v>25.6</v>
      </c>
      <c r="FV4" s="183">
        <v>200</v>
      </c>
      <c r="FW4" s="183">
        <v>40</v>
      </c>
      <c r="FX4" s="183">
        <v>400</v>
      </c>
      <c r="FY4" s="183">
        <v>11</v>
      </c>
      <c r="FZ4" s="183">
        <v>18.7</v>
      </c>
      <c r="GA4" s="183">
        <v>125</v>
      </c>
      <c r="GB4" s="186">
        <f>EXP($LP$6-($LQ$6/('Trial and Error method'!T4+$LP$8))) / ($LR$2/1000)</f>
        <v>0.3222545105510673</v>
      </c>
      <c r="GC4" s="183">
        <f>EXP($LP$6-($LQ$6/('Trial and Error method'!U4+$LP$8))) / ($LR$2/1000)</f>
        <v>0.12162040514799737</v>
      </c>
      <c r="GD4" s="183">
        <f>EXP($LP$6-($LQ$6/('Trial and Error method'!V4+$LP$8))) / ($LR$2/1000)</f>
        <v>0.11700667220436553</v>
      </c>
      <c r="GE4" s="183">
        <f>EXP($LP$6-($LQ$6/('Trial and Error method'!W4+$LP$8))) / ($LR$2/1000)</f>
        <v>0.11296741621538726</v>
      </c>
      <c r="GF4" s="183">
        <f>EXP($LP$6-($LQ$6/('Trial and Error method'!X4+$LP$8))) / ($LR$2/1000)</f>
        <v>0.10806373892231147</v>
      </c>
      <c r="GG4" s="183">
        <f>EXP($LP$6-($LQ$6/('Trial and Error method'!Y4+$LP$8))) / ($LR$2/1000)</f>
        <v>0.10446715932129094</v>
      </c>
      <c r="GH4" s="183">
        <f>EXP($LP$6-($LQ$6/('Trial and Error method'!Z4+$LP$8))) / ($LR$2/1000)</f>
        <v>0.10050803964694906</v>
      </c>
      <c r="GI4" s="183">
        <f>EXP($LP$6-($LQ$6/('Trial and Error method'!AA4+$LP$8))) / ($LR$2/1000)</f>
        <v>8.6468333226861815E-2</v>
      </c>
      <c r="GJ4" s="183">
        <f>EXP($LP$6-($LQ$6/('Trial and Error method'!AB4+$LP$8))) / ($LR$2/1000)</f>
        <v>0.31311240436793919</v>
      </c>
      <c r="GK4" s="188">
        <f t="shared" si="142"/>
        <v>0.69538310304944129</v>
      </c>
      <c r="GL4" s="165">
        <f t="shared" si="143"/>
        <v>0.7929985248078576</v>
      </c>
      <c r="GM4" s="165">
        <f t="shared" si="144"/>
        <v>0.79558064327230182</v>
      </c>
      <c r="GN4" s="165">
        <f t="shared" si="145"/>
        <v>0.79747016880174926</v>
      </c>
      <c r="GO4" s="165">
        <f t="shared" si="146"/>
        <v>0.80020280687164513</v>
      </c>
      <c r="GP4" s="165">
        <f t="shared" si="147"/>
        <v>0.80188348737811876</v>
      </c>
      <c r="GQ4" s="165">
        <f t="shared" si="148"/>
        <v>0.80416307309564505</v>
      </c>
      <c r="GR4" s="165">
        <f t="shared" si="149"/>
        <v>0.81066985611506692</v>
      </c>
      <c r="GS4" s="165">
        <f t="shared" si="150"/>
        <v>0.70164757856015292</v>
      </c>
      <c r="GT4" s="188">
        <f t="shared" si="38"/>
        <v>7.4443077591989287E-2</v>
      </c>
      <c r="GU4" s="165">
        <f t="shared" si="39"/>
        <v>6.5274433809350926E-2</v>
      </c>
      <c r="GV4" s="165">
        <f t="shared" si="40"/>
        <v>6.5057256568829921E-2</v>
      </c>
      <c r="GW4" s="165">
        <f t="shared" si="41"/>
        <v>6.4925628783906869E-2</v>
      </c>
      <c r="GX4" s="165">
        <f t="shared" si="42"/>
        <v>6.4704423038093428E-2</v>
      </c>
      <c r="GY4" s="165">
        <f t="shared" si="43"/>
        <v>6.4587651483861724E-2</v>
      </c>
      <c r="GZ4" s="165">
        <f t="shared" si="44"/>
        <v>6.4408338999130899E-2</v>
      </c>
      <c r="HA4" s="165">
        <f t="shared" si="45"/>
        <v>6.3918652408464824E-2</v>
      </c>
      <c r="HB4" s="165">
        <f t="shared" si="46"/>
        <v>7.3849108416894488E-2</v>
      </c>
      <c r="HC4" s="188">
        <f>BV4*Sheet3!DF4</f>
        <v>149.51139082650582</v>
      </c>
      <c r="HD4" s="165">
        <f>BW4*Sheet3!BZ4</f>
        <v>149.63058368864051</v>
      </c>
      <c r="HE4" s="165">
        <f>BX4*Sheet3!CA4</f>
        <v>141.78420742701593</v>
      </c>
      <c r="HF4" s="165">
        <f>BY4*Sheet3!CB4</f>
        <v>135.56601601340543</v>
      </c>
      <c r="HG4" s="165">
        <f>BZ4*Sheet3!CC4</f>
        <v>128.33560392251417</v>
      </c>
      <c r="HH4" s="165">
        <f>CA4*Sheet3!CD4</f>
        <v>124.38307945465291</v>
      </c>
      <c r="HI4" s="165">
        <f>CB4*Sheet3!CE4</f>
        <v>118.1071003132988</v>
      </c>
      <c r="HJ4" s="165">
        <f>CC4*Sheet3!CF4</f>
        <v>113.48972353640342</v>
      </c>
      <c r="HK4" s="165">
        <f>CD4*Sheet3!CG4</f>
        <v>108.25897442457563</v>
      </c>
      <c r="HL4" s="188">
        <f>(CE4*Sheet3!DF4)+2501</f>
        <v>2738.5054052734376</v>
      </c>
      <c r="HM4" s="165">
        <f>(CF4*Sheet3!BZ4)+2501</f>
        <v>2738.7059652039025</v>
      </c>
      <c r="HN4" s="165">
        <f>(CG4*Sheet3!CA4)+2501</f>
        <v>2726.7355938160686</v>
      </c>
      <c r="HO4" s="165">
        <f>(CH4*Sheet3!CB4)+2501</f>
        <v>2716.8032139094512</v>
      </c>
      <c r="HP4" s="165">
        <f>(CI4*Sheet3!CC4)+2501</f>
        <v>2705.7783173437715</v>
      </c>
      <c r="HQ4" s="165">
        <f>(CJ4*Sheet3!CD4)+2501</f>
        <v>2699.4615667869821</v>
      </c>
      <c r="HR4" s="165">
        <f>(CK4*Sheet3!CE4)+2501</f>
        <v>2689.8957708682665</v>
      </c>
      <c r="HS4" s="165">
        <f>(CL4*Sheet3!CF4)+2501</f>
        <v>2682.5018798531373</v>
      </c>
      <c r="HT4" s="165">
        <f>(CM4*Sheet3!CG4)+2501</f>
        <v>2674.5385791434792</v>
      </c>
      <c r="HU4" s="188">
        <f>-0.0021*(Sheet3!DF4^2) - 2.2115*(Sheet3!DF4) + 2499</f>
        <v>2189.75</v>
      </c>
      <c r="HV4" s="165">
        <f>-0.0021*(Sheet3!BZ4^2) - 2.2115*(Sheet3!BZ4) + 2499</f>
        <v>2189.4697097804542</v>
      </c>
      <c r="HW4" s="165">
        <f>-0.0021*(Sheet3!CA4^2) - 2.2115*(Sheet3!CA4) + 2499</f>
        <v>2206.1503953699685</v>
      </c>
      <c r="HX4" s="165">
        <f>-0.0021*(Sheet3!CB4^2) - 2.2115*(Sheet3!CB4) + 2499</f>
        <v>2219.9154427334761</v>
      </c>
      <c r="HY4" s="165">
        <f>-0.0021*(Sheet3!CC4^2) - 2.2115*(Sheet3!CC4) + 2499</f>
        <v>2235.1124916293229</v>
      </c>
      <c r="HZ4" s="165">
        <f>-0.0021*(Sheet3!CD4^2) - 2.2115*(Sheet3!CD4) + 2499</f>
        <v>2243.780081839368</v>
      </c>
      <c r="IA4" s="165">
        <f>-0.0021*(Sheet3!CE4^2) - 2.2115*(Sheet3!CE4) + 2499</f>
        <v>2256.8499715616099</v>
      </c>
      <c r="IB4" s="165">
        <f>-0.0021*(Sheet3!CF4^2) - 2.2115*(Sheet3!CF4) + 2499</f>
        <v>2266.9054921695561</v>
      </c>
      <c r="IC4" s="165">
        <f>-0.0021*(Sheet3!CG4^2) - 2.2115*(Sheet3!CG4) + 2499</f>
        <v>2277.6889253346158</v>
      </c>
      <c r="ID4" s="188">
        <f t="shared" si="47"/>
        <v>0.70308674530335968</v>
      </c>
      <c r="IE4" s="165">
        <f t="shared" si="48"/>
        <v>0.7029778952178507</v>
      </c>
      <c r="IF4" s="165">
        <f t="shared" si="49"/>
        <v>0.70673155214327776</v>
      </c>
      <c r="IG4" s="165">
        <f t="shared" si="50"/>
        <v>0.71120368195639816</v>
      </c>
      <c r="IH4" s="165">
        <f t="shared" si="51"/>
        <v>0.71490409751133399</v>
      </c>
      <c r="II4" s="165">
        <f t="shared" si="52"/>
        <v>0.71798889339392669</v>
      </c>
      <c r="IJ4" s="165">
        <f t="shared" si="53"/>
        <v>0.72133686648523387</v>
      </c>
      <c r="IK4" s="165">
        <f t="shared" si="54"/>
        <v>0.72523984033441935</v>
      </c>
      <c r="IL4" s="165">
        <f t="shared" si="55"/>
        <v>0.72810404005575602</v>
      </c>
      <c r="IM4" s="188">
        <f t="shared" si="56"/>
        <v>-5.7997298877860999</v>
      </c>
      <c r="IN4" s="165">
        <f t="shared" si="151"/>
        <v>23.587127945266189</v>
      </c>
      <c r="IO4" s="165">
        <f t="shared" si="152"/>
        <v>24.235346358810848</v>
      </c>
      <c r="IP4" s="165">
        <f t="shared" si="153"/>
        <v>24.917549175373065</v>
      </c>
      <c r="IQ4" s="165">
        <f t="shared" si="154"/>
        <v>25.590895408602105</v>
      </c>
      <c r="IR4" s="165">
        <f t="shared" si="155"/>
        <v>26.162571021502107</v>
      </c>
      <c r="IS4" s="165">
        <f t="shared" si="156"/>
        <v>26.698557091393862</v>
      </c>
      <c r="IT4" s="165">
        <f t="shared" si="157"/>
        <v>28.645705673847782</v>
      </c>
      <c r="IU4" s="165">
        <f t="shared" si="158"/>
        <v>-5.0007283353223251</v>
      </c>
      <c r="IV4" s="188">
        <f>_xlfn.FORECAST.LINEAR(Sheet3!DF4,Sheet2!$AK$2:$AK$69,Sheet2!$AJ$2:$AJ$69)</f>
        <v>1.3161927203163338E-5</v>
      </c>
      <c r="IW4" s="165">
        <f>_xlfn.FORECAST.LINEAR(Sheet3!BZ4,Sheet2!$AK$2:$AK$69,Sheet2!$AJ$2:$AJ$69)</f>
        <v>1.3165513111174955E-5</v>
      </c>
      <c r="IX4" s="165">
        <f>_xlfn.FORECAST.LINEAR(Sheet3!CA4,Sheet2!$AK$2:$AK$69,Sheet2!$AJ$2:$AJ$69)</f>
        <v>1.2951117312688791E-5</v>
      </c>
      <c r="IY4" s="165">
        <f>_xlfn.FORECAST.LINEAR(Sheet3!CB4,Sheet2!$AK$2:$AK$69,Sheet2!$AJ$2:$AJ$69)</f>
        <v>1.2772652296198266E-5</v>
      </c>
      <c r="IZ4" s="165">
        <f>_xlfn.FORECAST.LINEAR(Sheet3!CC4,Sheet2!$AK$2:$AK$69,Sheet2!$AJ$2:$AJ$69)</f>
        <v>1.2573956820660187E-5</v>
      </c>
      <c r="JA4" s="165">
        <f>_xlfn.FORECAST.LINEAR(Sheet3!CD4,Sheet2!$AK$2:$AK$69,Sheet2!$AJ$2:$AJ$69)</f>
        <v>1.2459831848384323E-5</v>
      </c>
      <c r="JB4" s="165">
        <f>_xlfn.FORECAST.LINEAR(Sheet3!CE4,Sheet2!$AK$2:$AK$69,Sheet2!$AJ$2:$AJ$69)</f>
        <v>1.2286619789621109E-5</v>
      </c>
      <c r="JC4" s="165">
        <f>_xlfn.FORECAST.LINEAR(Sheet3!CF4,Sheet2!$AK$2:$AK$69,Sheet2!$AJ$2:$AJ$69)</f>
        <v>1.2152419822529015E-5</v>
      </c>
      <c r="JD4" s="165">
        <f>_xlfn.FORECAST.LINEAR(Sheet3!CG4,Sheet2!$AK$2:$AK$69,Sheet2!$AJ$2:$AJ$69)</f>
        <v>1.2007581202861663E-5</v>
      </c>
      <c r="JE4" s="188">
        <f>_xlfn.FORECAST.LINEAR(Sheet3!DF4,New!$MC$2:$MC$18,New!$MB$2:$MB$18)</f>
        <v>2.2554827357552221E-5</v>
      </c>
      <c r="JF4" s="165">
        <f>_xlfn.FORECAST.LINEAR(Sheet3!BZ4,New!$MC$2:$MC$18,New!$MB$2:$MB$18)</f>
        <v>2.2559042678971948E-5</v>
      </c>
      <c r="JG4" s="165">
        <f>_xlfn.FORECAST.LINEAR(Sheet3!CA4,New!$MC$2:$MC$18,New!$MB$2:$MB$18)</f>
        <v>2.2307015243039326E-5</v>
      </c>
      <c r="JH4" s="165">
        <f>_xlfn.FORECAST.LINEAR(Sheet3!CB4,New!$MC$2:$MC$18,New!$MB$2:$MB$18)</f>
        <v>2.2097225308593934E-5</v>
      </c>
      <c r="JI4" s="165">
        <f>_xlfn.FORECAST.LINEAR(Sheet3!CC4,New!$MC$2:$MC$18,New!$MB$2:$MB$18)</f>
        <v>2.186365398124114E-5</v>
      </c>
      <c r="JJ4" s="165">
        <f>_xlfn.FORECAST.LINEAR(Sheet3!CD4,New!$MC$2:$MC$18,New!$MB$2:$MB$18)</f>
        <v>2.1729497321727949E-5</v>
      </c>
      <c r="JK4" s="165">
        <f>_xlfn.FORECAST.LINEAR(Sheet3!CE4,New!$MC$2:$MC$18,New!$MB$2:$MB$18)</f>
        <v>2.1525882365880199E-5</v>
      </c>
      <c r="JL4" s="165">
        <f>_xlfn.FORECAST.LINEAR(Sheet3!CF4,New!$MC$2:$MC$18,New!$MB$2:$MB$18)</f>
        <v>2.1368127065415924E-5</v>
      </c>
      <c r="JM4" s="165">
        <f>_xlfn.FORECAST.LINEAR(Sheet3!CG4,New!$MC$2:$MC$18,New!$MB$2:$MB$18)</f>
        <v>2.1197865772067218E-5</v>
      </c>
      <c r="JN4" s="188">
        <f t="shared" si="159"/>
        <v>1.9861630980991725E-5</v>
      </c>
      <c r="JO4" s="165">
        <f t="shared" si="160"/>
        <v>1.9865913175811481E-5</v>
      </c>
      <c r="JP4" s="165">
        <f t="shared" si="161"/>
        <v>1.9625203644744703E-5</v>
      </c>
      <c r="JQ4" s="165">
        <f t="shared" si="162"/>
        <v>1.9418605646397613E-5</v>
      </c>
      <c r="JR4" s="165">
        <f t="shared" si="163"/>
        <v>1.919614268224088E-5</v>
      </c>
      <c r="JS4" s="165">
        <f t="shared" si="164"/>
        <v>1.9063972258844455E-5</v>
      </c>
      <c r="JT4" s="165">
        <f t="shared" si="165"/>
        <v>1.8870659282877247E-5</v>
      </c>
      <c r="JU4" s="165">
        <f t="shared" si="166"/>
        <v>1.871505434414596E-5</v>
      </c>
      <c r="JV4" s="165">
        <f t="shared" si="167"/>
        <v>1.8554141380271747E-5</v>
      </c>
      <c r="JW4" s="188">
        <f t="shared" si="66"/>
        <v>1.0239503695842871</v>
      </c>
      <c r="JX4" s="165">
        <f t="shared" si="67"/>
        <v>1.0239032880550074</v>
      </c>
      <c r="JY4" s="165">
        <f t="shared" si="68"/>
        <v>1.0267623520803366</v>
      </c>
      <c r="JZ4" s="165">
        <f t="shared" si="69"/>
        <v>1.0292127442025114</v>
      </c>
      <c r="KA4" s="165">
        <f t="shared" si="70"/>
        <v>1.0320196708019223</v>
      </c>
      <c r="KB4" s="165">
        <f t="shared" si="71"/>
        <v>1.0336708412200435</v>
      </c>
      <c r="KC4" s="165">
        <f t="shared" si="72"/>
        <v>1.0362332694735925</v>
      </c>
      <c r="KD4" s="165">
        <f t="shared" si="73"/>
        <v>1.0382668699107012</v>
      </c>
      <c r="KE4" s="165">
        <f t="shared" si="74"/>
        <v>1.0405107244338778</v>
      </c>
      <c r="KF4" s="188">
        <f t="shared" si="75"/>
        <v>0.96055707553902758</v>
      </c>
      <c r="KG4" s="165">
        <f t="shared" si="76"/>
        <v>0.96059506855329591</v>
      </c>
      <c r="KH4" s="165">
        <f t="shared" si="77"/>
        <v>0.95829671736258593</v>
      </c>
      <c r="KI4" s="165">
        <f t="shared" si="78"/>
        <v>0.95634103747133381</v>
      </c>
      <c r="KJ4" s="165">
        <f t="shared" si="79"/>
        <v>0.95411667368179631</v>
      </c>
      <c r="KK4" s="165">
        <f t="shared" si="80"/>
        <v>0.95281603686201854</v>
      </c>
      <c r="KL4" s="165">
        <f t="shared" si="81"/>
        <v>0.95080898994887864</v>
      </c>
      <c r="KM4" s="165">
        <f t="shared" si="82"/>
        <v>0.94922593205206163</v>
      </c>
      <c r="KN4" s="165">
        <f t="shared" si="83"/>
        <v>0.94748915201414385</v>
      </c>
      <c r="KO4" s="188">
        <f t="shared" si="84"/>
        <v>0.60810743860471095</v>
      </c>
      <c r="KP4" s="165">
        <f t="shared" si="85"/>
        <v>0.6082377692559231</v>
      </c>
      <c r="KQ4" s="165">
        <f t="shared" si="86"/>
        <v>0.60389382403147029</v>
      </c>
      <c r="KR4" s="165">
        <f t="shared" si="87"/>
        <v>0.60018922823543552</v>
      </c>
      <c r="KS4" s="165">
        <f t="shared" si="88"/>
        <v>0.59602030504455716</v>
      </c>
      <c r="KT4" s="165">
        <f t="shared" si="89"/>
        <v>0.59357249626396491</v>
      </c>
      <c r="KU4" s="165">
        <f t="shared" si="90"/>
        <v>0.58983812726582474</v>
      </c>
      <c r="KV4" s="165">
        <f t="shared" si="91"/>
        <v>0.58687624290075535</v>
      </c>
      <c r="KW4" s="165">
        <f t="shared" si="92"/>
        <v>0.58375735292769904</v>
      </c>
      <c r="KX4" s="188">
        <f>AVERAGE(Sheet3!J4:P4)*KO4^(1/3)/ID4^(1/3)</f>
        <v>134.91708800548986</v>
      </c>
      <c r="KY4" s="165">
        <f>Sheet3!J4*KP4^(1/3)/IE4^(1/3)</f>
        <v>84.092112455094892</v>
      </c>
      <c r="KZ4" s="165">
        <f>Sheet3!K4*KQ4^(1/3)/IF4^(1/3)</f>
        <v>99.863079868416904</v>
      </c>
      <c r="LA4" s="165">
        <f>Sheet3!L4*KR4^(1/3)/IG4^(1/3)</f>
        <v>117.20339667429603</v>
      </c>
      <c r="LB4" s="165">
        <f>Sheet3!M4*KS4^(1/3)/IH4^(1/3)</f>
        <v>133.48722934924402</v>
      </c>
      <c r="LC4" s="165">
        <f>Sheet3!N4*KT4^(1/3)/II4^(1/3)</f>
        <v>150.60121266444432</v>
      </c>
      <c r="LD4" s="165">
        <f>Sheet3!O4*KU4^(1/3)/IJ4^(1/3)</f>
        <v>166.85594310887205</v>
      </c>
      <c r="LE4" s="165">
        <f>Sheet3!P4*KV4^(1/3)/IK4^(1/3)</f>
        <v>179.84269126166271</v>
      </c>
      <c r="LF4" s="165">
        <f>Sheet3!Q4*KW4^(1/3)/IL4^(1/3)</f>
        <v>188.22808738267668</v>
      </c>
      <c r="LG4" s="186">
        <f t="shared" si="93"/>
        <v>25.822332211443282</v>
      </c>
      <c r="LH4" s="183">
        <f t="shared" si="94"/>
        <v>25.828595314206204</v>
      </c>
      <c r="LI4" s="183">
        <f t="shared" si="95"/>
        <v>26.190721651638832</v>
      </c>
      <c r="LJ4" s="183">
        <f t="shared" si="96"/>
        <v>26.196636428363359</v>
      </c>
      <c r="LK4" s="183">
        <f t="shared" si="97"/>
        <v>26.590159914432572</v>
      </c>
      <c r="LL4" s="183">
        <f t="shared" si="98"/>
        <v>26.598167251093912</v>
      </c>
      <c r="LM4" s="183">
        <f t="shared" si="99"/>
        <v>26.997902650201087</v>
      </c>
      <c r="LN4" s="183">
        <f t="shared" si="100"/>
        <v>27.005598413579236</v>
      </c>
      <c r="LO4" s="183">
        <f t="shared" si="101"/>
        <v>27.402585752133827</v>
      </c>
      <c r="LP4" s="219"/>
      <c r="LQ4" s="219"/>
      <c r="LR4" s="219"/>
      <c r="LS4" s="219"/>
      <c r="LT4" s="219">
        <v>26.9</v>
      </c>
      <c r="LU4" s="219">
        <v>1.006</v>
      </c>
      <c r="LV4" s="220"/>
      <c r="LW4" s="220"/>
      <c r="LX4" s="220"/>
      <c r="LY4" s="220"/>
      <c r="LZ4" s="222">
        <v>32.9</v>
      </c>
      <c r="MA4" s="220">
        <v>1.0000000000000001E-5</v>
      </c>
      <c r="MB4" s="220">
        <v>15</v>
      </c>
      <c r="MC4" s="220">
        <v>1.789E-5</v>
      </c>
      <c r="MD4" s="188">
        <f>Sheet3!DP4</f>
        <v>239.59108555095295</v>
      </c>
      <c r="ME4" s="264">
        <v>30</v>
      </c>
      <c r="MF4" s="264">
        <v>4.24E-2</v>
      </c>
      <c r="MG4" s="264">
        <v>1.883</v>
      </c>
      <c r="MH4" s="264">
        <v>3.04E-2</v>
      </c>
      <c r="MI4" s="264">
        <v>9.26</v>
      </c>
      <c r="MJ4" s="264">
        <v>304.60000000000002</v>
      </c>
      <c r="MK4" s="273">
        <v>20</v>
      </c>
      <c r="ML4" s="267">
        <v>2.3400000000000001E-2</v>
      </c>
      <c r="MM4" s="267">
        <v>1.7299999999999999E-2</v>
      </c>
      <c r="MN4" s="267">
        <v>1.87</v>
      </c>
      <c r="MO4" s="267">
        <v>8.85</v>
      </c>
      <c r="MP4" s="274">
        <v>511.56</v>
      </c>
      <c r="MQ4"/>
      <c r="MR4"/>
      <c r="MS4"/>
    </row>
    <row r="5" spans="1:357" ht="15" thickBot="1" x14ac:dyDescent="0.35">
      <c r="A5" s="184">
        <f>Sheet3!A5</f>
        <v>44890</v>
      </c>
      <c r="B5" s="186">
        <f t="shared" si="102"/>
        <v>0.88473878912954507</v>
      </c>
      <c r="C5" s="183">
        <f t="shared" si="103"/>
        <v>0.88483705713738248</v>
      </c>
      <c r="D5" s="183">
        <f t="shared" si="0"/>
        <v>0.87305383401554748</v>
      </c>
      <c r="E5" s="183">
        <f t="shared" si="1"/>
        <v>0.86160655711543832</v>
      </c>
      <c r="F5" s="183">
        <f t="shared" si="2"/>
        <v>0.85027657714377258</v>
      </c>
      <c r="G5" s="183">
        <f t="shared" si="3"/>
        <v>0.84280226357283983</v>
      </c>
      <c r="H5" s="183">
        <f t="shared" si="4"/>
        <v>0.83303761571681345</v>
      </c>
      <c r="I5" s="183">
        <f t="shared" si="5"/>
        <v>0.82077839021086219</v>
      </c>
      <c r="J5" s="183">
        <f t="shared" si="6"/>
        <v>0.81543454436884677</v>
      </c>
      <c r="K5" s="186">
        <f xml:space="preserve"> (6.057 * (10^(-6)))
+ (4.055 * (10^(-8)) * (Sheet3!DF5 + 273))
+ (1.25 * (10^(-10)) * (Sheet3!DF5 + 273)^2)
- (3.367 * (10^(-14)) * (DD5 + 273)^3)</f>
        <v>4.2719531801912479E-5</v>
      </c>
      <c r="L5" s="183">
        <f xml:space="preserve"> (6.057 * (10^(-6)))
+ (4.055 * (10^(-8)) * (Sheet3!BZ5 + 273))
+ (1.25 * (10^(-10)) * (Sheet3!BZ5 + 273)^2)
- (3.367 * (10^(-14)) * (BX5 + 273)^3)</f>
        <v>4.2714046266676726E-5</v>
      </c>
      <c r="M5" s="183">
        <f xml:space="preserve"> (6.057 * (10^(-6)))
+ (4.055 * (10^(-8)) * (Sheet3!CA5 + 273))
+ (1.25 * (10^(-10)) * (Sheet3!CA5 + 273)^2)
- (3.367 * (10^(-14)) * (BY5 + 273)^3)</f>
        <v>4.1747153134620495E-5</v>
      </c>
      <c r="N5" s="183">
        <f xml:space="preserve"> (6.057 * (10^(-6)))
+ (4.055 * (10^(-8)) * (Sheet3!CB5 + 273))
+ (1.25 * (10^(-10)) * (Sheet3!CB5 + 273)^2)
- (3.367 * (10^(-14)) * (BZ5 + 273)^3)</f>
        <v>4.0947975291543597E-5</v>
      </c>
      <c r="O5" s="183">
        <f xml:space="preserve"> (6.057 * (10^(-6)))
+ (4.055 * (10^(-8)) * (Sheet3!CC5 + 273))
+ (1.25 * (10^(-10)) * (Sheet3!CC5 + 273)^2)
- (3.367 * (10^(-14)) * (CA5 + 273)^3)</f>
        <v>4.0070427020711957E-5</v>
      </c>
      <c r="P5" s="183">
        <f xml:space="preserve"> (6.057 * (10^(-6)))
+ (4.055 * (10^(-8)) * (Sheet3!CD5 + 273))
+ (1.25 * (10^(-10)) * (Sheet3!CD5 + 273)^2)
- (3.367 * (10^(-14)) * (CB5 + 273)^3)</f>
        <v>3.9579398610554288E-5</v>
      </c>
      <c r="Q5" s="183">
        <f xml:space="preserve"> (6.057 * (10^(-6)))
+ (4.055 * (10^(-8)) * (Sheet3!CE5 + 273))
+ (1.25 * (10^(-10)) * (Sheet3!CE5 + 273)^2)
- (3.367 * (10^(-14)) * (CC5 + 273)^3)</f>
        <v>3.8841680994448633E-5</v>
      </c>
      <c r="R5" s="183">
        <f xml:space="preserve"> (6.057 * (10^(-6)))
+ (4.055 * (10^(-8)) * (Sheet3!CF5 + 273))
+ (1.25 * (10^(-10)) * (Sheet3!CF5 + 273)^2)
- (3.367 * (10^(-14)) * (CD5 + 273)^3)</f>
        <v>3.8079461735927453E-5</v>
      </c>
      <c r="S5" s="183">
        <f xml:space="preserve"> (6.057 * (10^(-6)))
+ (4.055 * (10^(-8)) * (Sheet3!CG5 + 273))
+ (1.25 * (10^(-10)) * (Sheet3!CG5 + 273)^2)
- (3.367 * (10^(-14)) * (CE5 + 273)^3)</f>
        <v>3.7640263911349811E-5</v>
      </c>
      <c r="T5" s="188">
        <f t="shared" si="104"/>
        <v>4.2719531801912479E-5</v>
      </c>
      <c r="U5" s="165">
        <f t="shared" si="105"/>
        <v>4.2714046266676726E-5</v>
      </c>
      <c r="V5" s="165">
        <f t="shared" si="106"/>
        <v>4.1747153134620495E-5</v>
      </c>
      <c r="W5" s="165">
        <f t="shared" si="107"/>
        <v>4.0947975291543597E-5</v>
      </c>
      <c r="X5" s="165">
        <f t="shared" si="108"/>
        <v>4.0070427020711957E-5</v>
      </c>
      <c r="Y5" s="165">
        <f t="shared" si="109"/>
        <v>3.9579398610554288E-5</v>
      </c>
      <c r="Z5" s="165">
        <f t="shared" si="110"/>
        <v>3.8841680994448633E-5</v>
      </c>
      <c r="AA5" s="165">
        <f t="shared" si="111"/>
        <v>3.8079461735927453E-5</v>
      </c>
      <c r="AB5" s="165">
        <f t="shared" si="112"/>
        <v>3.7640263911349811E-5</v>
      </c>
      <c r="AC5" s="186">
        <f t="shared" si="8"/>
        <v>3.7795626838605138E-5</v>
      </c>
      <c r="AD5" s="183">
        <f t="shared" si="9"/>
        <v>3.7794970997036232E-5</v>
      </c>
      <c r="AE5" s="183">
        <f t="shared" si="10"/>
        <v>3.6447512103414604E-5</v>
      </c>
      <c r="AF5" s="183">
        <f t="shared" si="11"/>
        <v>3.5281044011794917E-5</v>
      </c>
      <c r="AG5" s="183">
        <f t="shared" si="12"/>
        <v>3.4070945531860298E-5</v>
      </c>
      <c r="AH5" s="183">
        <f t="shared" si="13"/>
        <v>3.3357606739826864E-5</v>
      </c>
      <c r="AI5" s="183">
        <f t="shared" si="14"/>
        <v>3.2356581326048558E-5</v>
      </c>
      <c r="AJ5" s="183">
        <f t="shared" si="15"/>
        <v>3.1254799303710658E-5</v>
      </c>
      <c r="AK5" s="183">
        <f t="shared" si="16"/>
        <v>3.069317145247468E-5</v>
      </c>
      <c r="AL5" s="186">
        <f t="shared" si="113"/>
        <v>3.4940869795721169E-2</v>
      </c>
      <c r="AM5" s="183">
        <f t="shared" si="114"/>
        <v>3.4939783212125083E-2</v>
      </c>
      <c r="AN5" s="183">
        <f t="shared" si="115"/>
        <v>3.4150833074303034E-2</v>
      </c>
      <c r="AO5" s="183">
        <f t="shared" si="116"/>
        <v>3.3493623527012177E-2</v>
      </c>
      <c r="AP5" s="183">
        <f t="shared" si="117"/>
        <v>3.2761827324325081E-2</v>
      </c>
      <c r="AQ5" s="183">
        <f t="shared" si="118"/>
        <v>3.2349261940741211E-2</v>
      </c>
      <c r="AR5" s="183">
        <f t="shared" si="119"/>
        <v>3.1723742886423642E-2</v>
      </c>
      <c r="AS5" s="183">
        <f t="shared" si="120"/>
        <v>3.1070361457346266E-2</v>
      </c>
      <c r="AT5" s="183">
        <f t="shared" si="121"/>
        <v>3.069659293980035E-2</v>
      </c>
      <c r="AU5" s="186">
        <f>_xlfn.FORECAST.LINEAR(Sheet3!DF5,Sheet2!$AH$2:$AH$40,Sheet2!$AG$2:$AG$40)</f>
        <v>3.8360960719269525E-2</v>
      </c>
      <c r="AV5" s="183">
        <f>_xlfn.FORECAST.LINEAR(Sheet3!BZ5,Sheet2!$AH$2:$AH$40,Sheet2!$AG$2:$AG$40)</f>
        <v>3.8358711359540276E-2</v>
      </c>
      <c r="AW5" s="183">
        <f>_xlfn.FORECAST.LINEAR(Sheet3!CA5,Sheet2!$AH$2:$AH$40,Sheet2!$AG$2:$AG$40)</f>
        <v>3.6624463918288032E-2</v>
      </c>
      <c r="AX5" s="183">
        <f>_xlfn.FORECAST.LINEAR(Sheet3!CB5,Sheet2!$AH$2:$AH$40,Sheet2!$AG$2:$AG$40)</f>
        <v>3.517497406996406E-2</v>
      </c>
      <c r="AY5" s="183">
        <f>_xlfn.FORECAST.LINEAR(Sheet3!CC5,Sheet2!$AH$2:$AH$40,Sheet2!$AG$2:$AG$40)</f>
        <v>3.3566124972420314E-2</v>
      </c>
      <c r="AZ5" s="183">
        <f>_xlfn.FORECAST.LINEAR(Sheet3!CD5,Sheet2!$AH$2:$AH$40,Sheet2!$AG$2:$AG$40)</f>
        <v>3.2657735758451684E-2</v>
      </c>
      <c r="BA5" s="183">
        <f>_xlfn.FORECAST.LINEAR(Sheet3!CE5,Sheet2!$AH$2:$AH$40,Sheet2!$AG$2:$AG$40)</f>
        <v>3.1281795292077273E-2</v>
      </c>
      <c r="BB5" s="183">
        <f>_xlfn.FORECAST.LINEAR(Sheet3!CF5,Sheet2!$AH$2:$AH$40,Sheet2!$AG$2:$AG$40)</f>
        <v>2.9845547111520123E-2</v>
      </c>
      <c r="BC5" s="183">
        <f>_xlfn.FORECAST.LINEAR(Sheet3!CG5,Sheet2!$AH$2:$AH$40,Sheet2!$AG$2:$AG$40)</f>
        <v>2.9021628546993011E-2</v>
      </c>
      <c r="BD5" s="186">
        <f>_xlfn.FORECAST.LINEAR(Sheet3!DF5,Sheet2!$AB$12:$AB$37,Sheet2!$AA$12:$AA$37)/1000</f>
        <v>3.3347397630176891E-2</v>
      </c>
      <c r="BE5" s="183">
        <f>_xlfn.FORECAST.LINEAR(Sheet3!BZ5,Sheet2!$AB$12:$AB$37,Sheet2!$AA$12:$AA$37)/1000</f>
        <v>3.3346894725406299E-2</v>
      </c>
      <c r="BF5" s="183">
        <f>_xlfn.FORECAST.LINEAR(Sheet3!CA5,Sheet2!$AB$12:$AB$37,Sheet2!$AA$12:$AA$37)/1000</f>
        <v>3.2959157139351956E-2</v>
      </c>
      <c r="BG5" s="183">
        <f>_xlfn.FORECAST.LINEAR(Sheet3!CB5,Sheet2!$AB$12:$AB$37,Sheet2!$AA$12:$AA$37)/1000</f>
        <v>3.2635084759926339E-2</v>
      </c>
      <c r="BH5" s="183">
        <f>_xlfn.FORECAST.LINEAR(Sheet3!CC5,Sheet2!$AB$12:$AB$37,Sheet2!$AA$12:$AA$37)/1000</f>
        <v>3.2275383340988742E-2</v>
      </c>
      <c r="BI5" s="183">
        <f>_xlfn.FORECAST.LINEAR(Sheet3!CD5,Sheet2!$AB$12:$AB$37,Sheet2!$AA$12:$AA$37)/1000</f>
        <v>3.2072288538803145E-2</v>
      </c>
      <c r="BJ5" s="183">
        <f>_xlfn.FORECAST.LINEAR(Sheet3!CE5,Sheet2!$AB$12:$AB$37,Sheet2!$AA$12:$AA$37)/1000</f>
        <v>3.17646600987685E-2</v>
      </c>
      <c r="BK5" s="183">
        <f>_xlfn.FORECAST.LINEAR(Sheet3!CF5,Sheet2!$AB$12:$AB$37,Sheet2!$AA$12:$AA$37)/1000</f>
        <v>3.1443548249756884E-2</v>
      </c>
      <c r="BL5" s="183">
        <f>_xlfn.FORECAST.LINEAR(Sheet3!CG5,Sheet2!$AB$12:$AB$37,Sheet2!$AA$12:$AA$37)/1000</f>
        <v>3.1259339129584028E-2</v>
      </c>
      <c r="BM5" s="186">
        <f t="shared" si="122"/>
        <v>0.77133296640101801</v>
      </c>
      <c r="BN5" s="183">
        <f t="shared" si="123"/>
        <v>0.77135387786372078</v>
      </c>
      <c r="BO5" s="183">
        <f t="shared" si="124"/>
        <v>0.7847281592718891</v>
      </c>
      <c r="BP5" s="183">
        <f t="shared" si="125"/>
        <v>0.79605418491667046</v>
      </c>
      <c r="BQ5" s="183">
        <f t="shared" si="126"/>
        <v>0.80927080653945438</v>
      </c>
      <c r="BR5" s="183">
        <f t="shared" si="127"/>
        <v>0.81677664047832765</v>
      </c>
      <c r="BS5" s="183">
        <f t="shared" si="128"/>
        <v>0.82869006689289315</v>
      </c>
      <c r="BT5" s="183">
        <f t="shared" si="129"/>
        <v>0.84119952906099571</v>
      </c>
      <c r="BU5" s="183">
        <f t="shared" si="130"/>
        <v>0.84881920417713497</v>
      </c>
      <c r="BV5" s="186">
        <f t="shared" si="131"/>
        <v>1.1985337445561197</v>
      </c>
      <c r="BW5" s="183">
        <f t="shared" si="19"/>
        <v>1.1984847779660179</v>
      </c>
      <c r="BX5" s="183">
        <f t="shared" si="20"/>
        <v>1.1940270794280505</v>
      </c>
      <c r="BY5" s="183">
        <f t="shared" si="21"/>
        <v>1.1925540638513845</v>
      </c>
      <c r="BZ5" s="183">
        <f t="shared" si="22"/>
        <v>1.1882013917681364</v>
      </c>
      <c r="CA5" s="183">
        <f t="shared" si="23"/>
        <v>1.1873156262120161</v>
      </c>
      <c r="CB5" s="183">
        <f t="shared" si="24"/>
        <v>1.1831223504192139</v>
      </c>
      <c r="CC5" s="183">
        <f t="shared" si="25"/>
        <v>1.1817634946898206</v>
      </c>
      <c r="CD5" s="183">
        <f t="shared" si="26"/>
        <v>1.1782385094161851</v>
      </c>
      <c r="CE5" s="187">
        <f xml:space="preserve"> -0.0000000019505*Sheet3!DF5^3 + 0.0000015497*Sheet3!DF5^2  + 0.00016911*Sheet3!DF5 + 1.8585</f>
        <v>1.9047741710625001</v>
      </c>
      <c r="CF5" s="185">
        <f xml:space="preserve"> -0.0000000019505*Sheet3!BZ5^3 + 0.0000015497*Sheet3!BZ5^2  + 0.00016911*Sheet3!BZ5 + 1.8585</f>
        <v>1.9047699149514346</v>
      </c>
      <c r="CG5" s="185">
        <f xml:space="preserve"> -0.0000000019505*Sheet3!CA5^3 + 0.0000015497*Sheet3!CA5^2  + 0.00016911*Sheet3!CA5 + 1.8585</f>
        <v>1.9015245158581444</v>
      </c>
      <c r="CH5" s="185">
        <f xml:space="preserve"> -0.0000000019505*Sheet3!CB5^3 + 0.0000015497*Sheet3!CB5^2  + 0.00016911*Sheet3!CB5 + 1.8585</f>
        <v>1.8988689831823764</v>
      </c>
      <c r="CI5" s="185">
        <f xml:space="preserve"> -0.0000000019505*Sheet3!CC5^3 + 0.0000015497*Sheet3!CC5^2  + 0.00016911*Sheet3!CC5 + 1.8585</f>
        <v>1.8959850554418773</v>
      </c>
      <c r="CJ5" s="185">
        <f xml:space="preserve"> -0.0000000019505*Sheet3!CD5^3 + 0.0000015497*Sheet3!CD5^2  + 0.00016911*Sheet3!CD5 + 1.8585</f>
        <v>1.8943873456096174</v>
      </c>
      <c r="CK5" s="185">
        <f xml:space="preserve"> -0.0000000019505*Sheet3!CE5^3 + 0.0000015497*Sheet3!CE5^2  + 0.00016911*Sheet3!CE5 + 1.8585</f>
        <v>1.8920108246099883</v>
      </c>
      <c r="CL5" s="185">
        <f xml:space="preserve"> -0.0000000019505*Sheet3!CF5^3 + 0.0000015497*Sheet3!CF5^2  + 0.00016911*Sheet3!CF5 + 1.8585</f>
        <v>1.8895878711464542</v>
      </c>
      <c r="CM5" s="185">
        <f xml:space="preserve"> -0.0000000019505*Sheet3!CG5^3 + 0.0000015497*Sheet3!CG5^2  + 0.00016911*Sheet3!CG5 + 1.8585</f>
        <v>1.8882253404902014</v>
      </c>
      <c r="CN5" s="186">
        <f>_xlfn.FORECAST.LINEAR(Sheet3!DF5,New!$LU$2:$LU$14,New!$LT$2:$LT$14)</f>
        <v>1.0219736379295246</v>
      </c>
      <c r="CO5" s="183">
        <f>_xlfn.FORECAST.LINEAR(Sheet3!BZ5,New!$LU$2:$LU$14,New!$LT$2:$LT$14)</f>
        <v>1.0219719823712539</v>
      </c>
      <c r="CP5" s="183">
        <f>_xlfn.FORECAST.LINEAR(Sheet3!CA5,New!$LU$2:$LU$14,New!$LT$2:$LT$14)</f>
        <v>1.0206955535024165</v>
      </c>
      <c r="CQ5" s="183">
        <f>_xlfn.FORECAST.LINEAR(Sheet3!CB5,New!$LU$2:$LU$14,New!$LT$2:$LT$14)</f>
        <v>1.0196287099577885</v>
      </c>
      <c r="CR5" s="183">
        <f>_xlfn.FORECAST.LINEAR(Sheet3!CC5,New!$LU$2:$LU$14,New!$LT$2:$LT$14)</f>
        <v>1.0184445759150564</v>
      </c>
      <c r="CS5" s="183">
        <f>_xlfn.FORECAST.LINEAR(Sheet3!CD5,New!$LU$2:$LU$14,New!$LT$2:$LT$14)</f>
        <v>1.0177759895361642</v>
      </c>
      <c r="CT5" s="183">
        <f>_xlfn.FORECAST.LINEAR(Sheet3!CE5,New!$LU$2:$LU$14,New!$LT$2:$LT$14)</f>
        <v>1.016763279301566</v>
      </c>
      <c r="CU5" s="183">
        <f>_xlfn.FORECAST.LINEAR(Sheet3!CF5,New!$LU$2:$LU$14,New!$LT$2:$LT$14)</f>
        <v>1.0157061817981354</v>
      </c>
      <c r="CV5" s="183">
        <f>_xlfn.FORECAST.LINEAR(Sheet3!CG5,New!$LU$2:$LU$14,New!$LT$2:$LT$14)</f>
        <v>1.0150997669254263</v>
      </c>
      <c r="CW5" s="186">
        <f>EXP((17.625*Sheet3!BA5)/(243.04+Sheet3!BA5)) / EXP((17.625*Sheet3!DF5)/(243.04+Sheet3!DF5))</f>
        <v>7.4692011673649403E-2</v>
      </c>
      <c r="CX5" s="183">
        <f>EXP((17.625*(Sheet3!BC5+273))/(243.04+(Sheet3!BC5+273)))/EXP((17.625*(Sheet3!BZ5+273))/(243.04+(Sheet3!BZ5+273)))</f>
        <v>0.45019985618500585</v>
      </c>
      <c r="CY5" s="183">
        <f>EXP((17.625*(Sheet3!BE5+273))/(243.04+(Sheet3!BE5+273))) / EXP((17.625*(Sheet3!CA5+273))/(243.04+(Sheet3!CA5+273)))</f>
        <v>0.48231005553419259</v>
      </c>
      <c r="CZ5" s="183">
        <f>EXP((17.625*(Sheet3!BG5+273))/(243.04+(Sheet3!BG5+273))) / EXP((17.625*(Sheet3!CB5+273))/(243.04+(Sheet3!CB5+273)))</f>
        <v>0.51050549871932771</v>
      </c>
      <c r="DA5" s="183">
        <f>EXP((17.625*(Sheet3!BI5+273))/(243.04+(Sheet3!BI5+273))) / EXP((17.625*(Sheet3!CC5+273))/(243.04+(Sheet3!CC5+273)))</f>
        <v>0.54416242138858995</v>
      </c>
      <c r="DB5" s="183">
        <f>EXP((17.625*(Sheet3!BK5+273))/(243.04+(Sheet3!BK5+273)))/EXP((17.625*(Sheet3!CD5+273))/(243.04+(Sheet3!CD5+273)))</f>
        <v>0.5655087742768492</v>
      </c>
      <c r="DC5" s="183">
        <f>EXP((17.625*(Sheet3!BM5+273))/(243.04+(Sheet3!BM5+273))) / EXP((17.625*(Sheet3!CE5+273))/(243.04+(Sheet3!CE5+273)))</f>
        <v>0.59790852026291019</v>
      </c>
      <c r="DD5" s="183">
        <f>EXP((17.625*(Sheet3!BO5+273))/(243.04+(Sheet3!BO5+273))) / EXP((17.625*(Sheet3!CF5+273))/(243.04+(Sheet3!CF5+273)))</f>
        <v>0.6366949224865659</v>
      </c>
      <c r="DE5" s="183">
        <f>EXP((17.625*(Sheet3!BQ5+273))/(243.04+(Sheet3!BQ5+273))) / EXP((17.625*(Sheet3!CG5+273))/(243.04+(Sheet3!CG5+273)))</f>
        <v>0.6581990531825066</v>
      </c>
      <c r="DF5" s="186">
        <f>((Sheet3!DA5-Sheet3!DB5)/New!$LQ$3)/(((Sheet3!DA5-Sheet3!DB5)/New!$LQ$3)+(Sheet3!DB5/New!$LP$3))</f>
        <v>0.71332409423876464</v>
      </c>
      <c r="DG5" s="183">
        <f>((Sheet3!DA5-Sheet3!DB5)/New!$LQ$3)/(((Sheet3!DA5-Sheet3!DB5)/New!$LQ$3)+((Sheet3!DB5-(Sheet3!B5*0.004))/New!$LP$3))</f>
        <v>0.71352864570955998</v>
      </c>
      <c r="DH5" s="183" cm="1">
        <f t="array" ref="DH5">((Sheet3!DA5-Sheet3!DB5)/New!$LQ$3)/(((Sheet3!DA5-Sheet3!DB5)/New!$LQ$3)+((Sheet3!DB5-(SUM(Sheet3!B5:C5*0.004)))/New!$LP$3))</f>
        <v>0.72593545134286175</v>
      </c>
      <c r="DI5" s="183" cm="1">
        <f t="array" ref="DI5">((Sheet3!DA5-Sheet3!DB5)/New!$LQ$3)/(((Sheet3!DA5-Sheet3!DB5)/New!$LQ$3)+((Sheet3!DB5-(SUM(Sheet3!B5:D5*0.004)))/New!$LP$3))</f>
        <v>0.72635927362621133</v>
      </c>
      <c r="DJ5" s="183" cm="1">
        <f t="array" ref="DJ5">((Sheet3!DA5-Sheet3!DB5)/New!$LQ$3)/(((Sheet3!DA5-Sheet3!DB5)/New!$LQ$3)+((Sheet3!DB5-(SUM(Sheet3!B5:E5*0.004)))/New!$LP$3))</f>
        <v>0.73943998431722291</v>
      </c>
      <c r="DK5" s="183" cm="1">
        <f t="array" ref="DK5">((Sheet3!DA5-Sheet3!DB5)/New!$LQ$3)/(((Sheet3!DA5-Sheet3!DB5)/New!$LQ$3)+((Sheet3!DB5-(SUM(Sheet3!B5:F5*0.004)))/New!$LP$3))</f>
        <v>0.73961581854101688</v>
      </c>
      <c r="DL5" s="183" cm="1">
        <f t="array" ref="DL5">((Sheet3!DA5-Sheet3!DB5)/New!$LQ$3)/(((Sheet3!DA5-Sheet3!DB5)/New!$LQ$3)+((Sheet3!DB5-(SUM(Sheet3!B5:G5*0.004)))/New!$LP$3))</f>
        <v>0.75357058180919523</v>
      </c>
      <c r="DM5" s="183" cm="1">
        <f t="array" ref="DM5">((Sheet3!DA5-Sheet3!DB5)/New!$LQ$3)/(((Sheet3!DA5-Sheet3!DB5)/New!$LQ$3)+((Sheet3!DB5-(SUM(Sheet3!B5:H5*0.004)))/New!$LP$3))</f>
        <v>0.75377603508533508</v>
      </c>
      <c r="DN5" s="183" cm="1">
        <f t="array" ref="DN5">((Sheet3!DA5-Sheet3!DB5)/New!$LQ$3)/(((Sheet3!DA5-Sheet3!DB5)/New!$LQ$3)+((Sheet3!DB5-(SUM(Sheet3!B5:I5*0.004)))/New!$LP$3))</f>
        <v>0.76754083240538229</v>
      </c>
      <c r="DO5" s="186">
        <f>(Sheet3!DB5/$LP$3) / ((Sheet3!DB5/$LP$3) + ((Sheet3!DA5-Sheet3!DB5)/$LQ$3))</f>
        <v>0.28667590576123542</v>
      </c>
      <c r="DP5" s="183">
        <f>((Sheet3!$DB5-(Sheet3!B5/4000)) / $LP$3) / (((Sheet3!$DA5-Sheet3!DB5) / $LQ$3) + (Sheet3!$DB5-((Sheet3!B5/4000)))/$LP$3)</f>
        <v>0.28666312473030847</v>
      </c>
      <c r="DQ5" s="183">
        <f>((Sheet3!$DB5-(SUM(Sheet3!B5:C5)/4000))/$LP$3)/(((Sheet3!$DA5-Sheet3!$DB5)/$LQ$3)+(Sheet3!$DB5-(SUM(Sheet3!B5:C5)/4000))/$LP$3)</f>
        <v>0.28590054729192499</v>
      </c>
      <c r="DR5" s="183">
        <f>((Sheet3!$DB5-(SUM(Sheet3!B5:D5)/4000))/$LP$3)/(((Sheet3!$DA5-Sheet3!$DB5)/$LQ$3)+(Sheet3!$DB5-(SUM(Sheet3!B5:D5)/4000))/$LP$3)</f>
        <v>0.28587492916971391</v>
      </c>
      <c r="DS5" s="183">
        <f>((Sheet3!$DB5-(SUM(Sheet3!B5:E5)/4000))/$LP$3)/(((Sheet3!$DA5-Sheet3!$DB5)/$LQ$3)+(Sheet3!$DB5-(SUM(Sheet3!B5:E5)/4000))/$LP$3)</f>
        <v>0.28509782750694346</v>
      </c>
      <c r="DT5" s="183">
        <f>((Sheet3!$DB5-(SUM(Sheet3!B5:F5)/4000))/$LP$3)/(((Sheet3!$DA5-Sheet3!$DB5)/$LQ$3)+(Sheet3!$DB5-(SUM(Sheet3!B5:F5)/4000))/$LP$3)</f>
        <v>0.2850875574281248</v>
      </c>
      <c r="DU5" s="183">
        <f>((Sheet3!$DB5-(SUM(Sheet3!B5:G5)/4000))/$LP$3)/(((Sheet3!$DA5-Sheet3!$DB5)/$LQ$3)+(Sheet3!$DB5-(SUM(Sheet3!B5:G5)/4000))/$LP$3)</f>
        <v>0.28428686779529977</v>
      </c>
      <c r="DV5" s="183">
        <f>((Sheet3!$DB5-(SUM(Sheet3!B5:H5)/4000))/$LP$3)/(((Sheet3!$DA5-Sheet3!$DB5)/$LQ$3)+(Sheet3!$DB5-(SUM(Sheet3!B5:H5)/4000))/$LP$3)</f>
        <v>0.28427528770822363</v>
      </c>
      <c r="DW5" s="183">
        <f>((Sheet3!$DB5-(SUM(Sheet3!B5:I5)/4000))/$LP$3)/(((Sheet3!$DA5-Sheet3!$DB5)/$LQ$3)+(Sheet3!$DB5-(SUM(Sheet3!B5:I5)/4000))/$LP$3)</f>
        <v>0.28351275144466737</v>
      </c>
      <c r="DX5" s="186">
        <f>($LR$2*($LP$3/1000))/($LP$2*(Sheet3!DF5+273))*DO5</f>
        <v>0.15426659328020359</v>
      </c>
      <c r="DY5" s="183">
        <f>(($LR$2*($LP$3/1000))/($LP$2*(Sheet3!BZ5+273)))*(DP5)</f>
        <v>0.15426306193754505</v>
      </c>
      <c r="DZ5" s="183">
        <f>(($LR$2*($LP$3/1000))/($LP$2*(Sheet3!CA5+273)))*(DQ5)</f>
        <v>0.15646972609124349</v>
      </c>
      <c r="EA5" s="183">
        <f>(($LR$2*($LP$3/1000))/($LP$2*(Sheet3!CB5+273)))*(DR5)</f>
        <v>0.15871211681504455</v>
      </c>
      <c r="EB5" s="183">
        <f>(($LR$2*($LP$3/1000))/($LP$2*(Sheet3!CC5+273)))*(DS5)</f>
        <v>0.16085560189273493</v>
      </c>
      <c r="EC5" s="183">
        <f>(($LR$2*($LP$3/1000))/($LP$2*(Sheet3!CD5+273)))*(DT5)</f>
        <v>0.16234095277973273</v>
      </c>
      <c r="ED5" s="183">
        <f>(($LR$2*($LP$3/1000))/($LP$2*(Sheet3!CE5+273)))*(DU5)</f>
        <v>0.16419056015225639</v>
      </c>
      <c r="EE5" s="183">
        <f>(($LR$2*($LP$3/1000))/($LP$2*(Sheet3!CF5+273)))*(DV5)</f>
        <v>0.16666148679329271</v>
      </c>
      <c r="EF5" s="183">
        <f>(($LR$2*($LP$3/1000))/($LP$2*(Sheet3!CG5+273)))*(DW5)</f>
        <v>0.16766588862352186</v>
      </c>
      <c r="EG5" s="186">
        <f>(($LR$2*($LQ$3/1000))/($LQ$2*(Sheet3!DF5+273)))*(1-DO5)</f>
        <v>0.61706637312081447</v>
      </c>
      <c r="EH5" s="183">
        <f>(($LR$2*($LQ$3/1000))/($LQ$2*(Sheet3!BZ5+273)))*(1-DP5)</f>
        <v>0.61709081592617576</v>
      </c>
      <c r="EI5" s="183">
        <f>(($LR$2*($LQ$3/1000))/($LQ$2*(Sheet3!CA5+273)))*(1-DQ5)</f>
        <v>0.62825843318064567</v>
      </c>
      <c r="EJ5" s="183">
        <f>(($LR$2*($LQ$3/1000))/($LQ$2*(Sheet3!CB5+273)))*(1-DR5)</f>
        <v>0.63734206810162586</v>
      </c>
      <c r="EK5" s="183">
        <f>(($LR$2*($LQ$3/1000))/($LQ$2*(Sheet3!CC5+273)))*(1-DS5)</f>
        <v>0.64841520464671942</v>
      </c>
      <c r="EL5" s="183">
        <f>(($LR$2*($LQ$3/1000))/($LQ$2*(Sheet3!CD5+273)))*(1-DT5)</f>
        <v>0.65443568769859495</v>
      </c>
      <c r="EM5" s="183">
        <f>(($LR$2*($LQ$3/1000))/($LQ$2*(Sheet3!CE5+273)))*(1-DU5)</f>
        <v>0.66449950674063674</v>
      </c>
      <c r="EN5" s="183">
        <f>(($LR$2*($LQ$3/1000))/($LQ$2*(Sheet3!CF5+273)))*(1-DV5)</f>
        <v>0.67453804226770298</v>
      </c>
      <c r="EO5" s="183">
        <f>(($LR$2*($LQ$3/1000))/($LQ$2*(Sheet3!CG5+273)))*(1-DW5)</f>
        <v>0.68115331555361314</v>
      </c>
      <c r="EP5" s="186">
        <f t="shared" si="132"/>
        <v>4485.6448788927164</v>
      </c>
      <c r="EQ5" s="183">
        <f xml:space="preserve"> (($FV5-(Sheet3!B5/4000))*0.018)/(0.011*JO5*3600)</f>
        <v>4485.6414326599252</v>
      </c>
      <c r="ER5" s="183">
        <f>((($FV5-(SUM(Sheet3!B5:C5)/4000))*0.018)/(0.011*JP5*3600))</f>
        <v>4542.6358698987033</v>
      </c>
      <c r="ES5" s="183">
        <f>((($FV5-(SUM(Sheet3!B5:D5)/4000))*0.018)/(0.011*JQ5*3600))</f>
        <v>4595.5805265199851</v>
      </c>
      <c r="ET5" s="183">
        <f>((($FV5-(SUM(Sheet3!B5:E5)/4000))*0.018)/(0.011*JR5))/3600</f>
        <v>4650.7747701721291</v>
      </c>
      <c r="EU5" s="183">
        <f>((($FV5-(SUM(Sheet3!B5:F5)/4000))*0.018)/(0.011*JS5))/3600</f>
        <v>4685.5143936161576</v>
      </c>
      <c r="EV5" s="183">
        <f>((($FV5-(SUM(Sheet3!B5:G5)/4000))*0.018)/(0.011*JT5))/3600</f>
        <v>4733.7241201967418</v>
      </c>
      <c r="EW5" s="183">
        <f>((($FV5-(SUM(Sheet3!B5:H5)/4000))*0.018)/(0.011*JU5))/3600</f>
        <v>4791.0285023242968</v>
      </c>
      <c r="EX5" s="183">
        <f>((($FV5-(SUM(Sheet3!B5:I5)/4000))*0.018)/(0.011*JV5))/3600</f>
        <v>4819.199398029431</v>
      </c>
      <c r="EY5" s="186">
        <f t="shared" si="133"/>
        <v>47.333549914370522</v>
      </c>
      <c r="EZ5" s="183">
        <f t="shared" si="134"/>
        <v>47.333160818253482</v>
      </c>
      <c r="FA5" s="183">
        <f t="shared" si="135"/>
        <v>47.809884568691423</v>
      </c>
      <c r="FB5" s="183">
        <f t="shared" si="136"/>
        <v>48.274485158380791</v>
      </c>
      <c r="FC5" s="183">
        <f t="shared" si="137"/>
        <v>48.739511320109095</v>
      </c>
      <c r="FD5" s="183">
        <f t="shared" si="138"/>
        <v>49.047512701029213</v>
      </c>
      <c r="FE5" s="183">
        <f t="shared" si="139"/>
        <v>49.453264152550105</v>
      </c>
      <c r="FF5" s="183">
        <f t="shared" si="140"/>
        <v>49.966418150448717</v>
      </c>
      <c r="FG5" s="183">
        <f t="shared" si="141"/>
        <v>50.196660384502849</v>
      </c>
      <c r="FH5" s="186">
        <f t="shared" si="28"/>
        <v>91.881966918182741</v>
      </c>
      <c r="FI5" s="183">
        <f t="shared" si="29"/>
        <v>91.87835431857944</v>
      </c>
      <c r="FJ5" s="183">
        <f t="shared" si="30"/>
        <v>90.708188178170971</v>
      </c>
      <c r="FK5" s="183">
        <f t="shared" si="31"/>
        <v>89.82707954750795</v>
      </c>
      <c r="FL5" s="183">
        <f t="shared" si="32"/>
        <v>88.710858541188998</v>
      </c>
      <c r="FM5" s="183">
        <f t="shared" si="33"/>
        <v>88.14726866152364</v>
      </c>
      <c r="FN5" s="183">
        <f t="shared" si="34"/>
        <v>87.157924270549486</v>
      </c>
      <c r="FO5" s="183">
        <f t="shared" si="35"/>
        <v>86.248592925741605</v>
      </c>
      <c r="FP5" s="183">
        <f t="shared" si="36"/>
        <v>85.603691708915903</v>
      </c>
      <c r="FQ5" s="314">
        <f>Sheet3!CV5</f>
        <v>2</v>
      </c>
      <c r="FR5" s="183">
        <v>5000</v>
      </c>
      <c r="FS5" s="183">
        <v>20</v>
      </c>
      <c r="FT5" s="183">
        <v>0.16426666666666664</v>
      </c>
      <c r="FU5" s="183">
        <v>24</v>
      </c>
      <c r="FV5" s="183">
        <v>200</v>
      </c>
      <c r="FW5" s="183">
        <v>40</v>
      </c>
      <c r="FX5" s="183">
        <v>400</v>
      </c>
      <c r="FY5" s="183">
        <v>12</v>
      </c>
      <c r="FZ5" s="183">
        <v>19</v>
      </c>
      <c r="GA5" s="183">
        <v>135</v>
      </c>
      <c r="GB5" s="186">
        <f>EXP($LP$6-($LQ$6/('Trial and Error method'!T5+$LP$8))) / ($LR$2/1000)</f>
        <v>0.35342264542065588</v>
      </c>
      <c r="GC5" s="183">
        <f>EXP($LP$6-($LQ$6/('Trial and Error method'!U5+$LP$8))) / ($LR$2/1000)</f>
        <v>0.12640967574827383</v>
      </c>
      <c r="GD5" s="183">
        <f>EXP($LP$6-($LQ$6/('Trial and Error method'!V5+$LP$8))) / ($LR$2/1000)</f>
        <v>0.12011834963164315</v>
      </c>
      <c r="GE5" s="183">
        <f>EXP($LP$6-($LQ$6/('Trial and Error method'!W5+$LP$8))) / ($LR$2/1000)</f>
        <v>0.11490154743966154</v>
      </c>
      <c r="GF5" s="183">
        <f>EXP($LP$6-($LQ$6/('Trial and Error method'!X5+$LP$8))) / ($LR$2/1000)</f>
        <v>0.10932405805322032</v>
      </c>
      <c r="GG5" s="183">
        <f>EXP($LP$6-($LQ$6/('Trial and Error method'!Y5+$LP$8))) / ($LR$2/1000)</f>
        <v>0.10561347152796952</v>
      </c>
      <c r="GH5" s="183">
        <f>EXP($LP$6-($LQ$6/('Trial and Error method'!Z5+$LP$8))) / ($LR$2/1000)</f>
        <v>0.10147212073586748</v>
      </c>
      <c r="GI5" s="183">
        <f>EXP($LP$6-($LQ$6/('Trial and Error method'!AA5+$LP$8))) / ($LR$2/1000)</f>
        <v>9.8867298492840691E-2</v>
      </c>
      <c r="GJ5" s="183">
        <f>EXP($LP$6-($LQ$6/('Trial and Error method'!AB5+$LP$8))) / ($LR$2/1000)</f>
        <v>0.31742863441395702</v>
      </c>
      <c r="GK5" s="188">
        <f t="shared" si="142"/>
        <v>0.67940436215787781</v>
      </c>
      <c r="GL5" s="165">
        <f t="shared" si="143"/>
        <v>0.79075906693403786</v>
      </c>
      <c r="GM5" s="165">
        <f t="shared" si="144"/>
        <v>0.79410851531517423</v>
      </c>
      <c r="GN5" s="165">
        <f t="shared" si="145"/>
        <v>0.79655595247314692</v>
      </c>
      <c r="GO5" s="165">
        <f t="shared" si="146"/>
        <v>0.79957154643369588</v>
      </c>
      <c r="GP5" s="165">
        <f t="shared" si="147"/>
        <v>0.80130242965343579</v>
      </c>
      <c r="GQ5" s="165">
        <f t="shared" si="148"/>
        <v>0.80365795852967314</v>
      </c>
      <c r="GR5" s="165">
        <f t="shared" si="149"/>
        <v>0.80487268295377112</v>
      </c>
      <c r="GS5" s="165">
        <f t="shared" si="150"/>
        <v>0.69939225450481157</v>
      </c>
      <c r="GT5" s="188">
        <f t="shared" si="38"/>
        <v>7.6162995519760496E-2</v>
      </c>
      <c r="GU5" s="165">
        <f t="shared" si="39"/>
        <v>6.5432976853727648E-2</v>
      </c>
      <c r="GV5" s="165">
        <f t="shared" si="40"/>
        <v>6.5146960195960224E-2</v>
      </c>
      <c r="GW5" s="165">
        <f t="shared" si="41"/>
        <v>6.4964479235264522E-2</v>
      </c>
      <c r="GX5" s="165">
        <f t="shared" si="42"/>
        <v>6.4717980961119706E-2</v>
      </c>
      <c r="GY5" s="165">
        <f t="shared" si="43"/>
        <v>6.4594885087301726E-2</v>
      </c>
      <c r="GZ5" s="165">
        <f t="shared" si="44"/>
        <v>6.4406831936627107E-2</v>
      </c>
      <c r="HA5" s="165">
        <f t="shared" si="45"/>
        <v>6.4344687158863323E-2</v>
      </c>
      <c r="HB5" s="165">
        <f t="shared" si="46"/>
        <v>7.4036878740238857E-2</v>
      </c>
      <c r="HC5" s="188">
        <f>BV5*Sheet3!DF5</f>
        <v>161.80205551507615</v>
      </c>
      <c r="HD5" s="165">
        <f>BW5*Sheet3!BZ5</f>
        <v>161.78483760102</v>
      </c>
      <c r="HE5" s="165">
        <f>BX5*Sheet3!CA5</f>
        <v>153.03522423593802</v>
      </c>
      <c r="HF5" s="165">
        <f>BY5*Sheet3!CB5</f>
        <v>146.04482125416106</v>
      </c>
      <c r="HG5" s="165">
        <f>BZ5*Sheet3!CC5</f>
        <v>137.98993980280832</v>
      </c>
      <c r="HH5" s="165">
        <f>CA5*Sheet3!CD5</f>
        <v>133.64325567462893</v>
      </c>
      <c r="HI5" s="165">
        <f>CB5*Sheet3!CE5</f>
        <v>126.76584113849306</v>
      </c>
      <c r="HJ5" s="165">
        <f>CC5*Sheet3!CF5</f>
        <v>119.94175187651204</v>
      </c>
      <c r="HK5" s="165">
        <f>CD5*Sheet3!CG5</f>
        <v>115.76422807436424</v>
      </c>
      <c r="HL5" s="188">
        <f>(CE5*Sheet3!DF5)+2501</f>
        <v>2758.1445130934376</v>
      </c>
      <c r="HM5" s="165">
        <f>(CF5*Sheet3!BZ5)+2501</f>
        <v>2758.1270799790368</v>
      </c>
      <c r="HN5" s="165">
        <f>(CG5*Sheet3!CA5)+2501</f>
        <v>2744.7132588432387</v>
      </c>
      <c r="HO5" s="165">
        <f>(CH5*Sheet3!CB5)+2501</f>
        <v>2733.5429006868908</v>
      </c>
      <c r="HP5" s="165">
        <f>(CI5*Sheet3!CC5)+2501</f>
        <v>2721.1873061923684</v>
      </c>
      <c r="HQ5" s="165">
        <f>(CJ5*Sheet3!CD5)+2501</f>
        <v>2714.2306581223074</v>
      </c>
      <c r="HR5" s="165">
        <f>(CK5*Sheet3!CE5)+2501</f>
        <v>2703.7198146834398</v>
      </c>
      <c r="HS5" s="165">
        <f>(CL5*Sheet3!CF5)+2501</f>
        <v>2692.7815879474269</v>
      </c>
      <c r="HT5" s="165">
        <f>(CM5*Sheet3!CG5)+2501</f>
        <v>2686.52181686933</v>
      </c>
      <c r="HU5" s="188">
        <f>-0.0021*(Sheet3!DF5^2) - 2.2115*(Sheet3!DF5) + 2499</f>
        <v>2162.1750000000002</v>
      </c>
      <c r="HV5" s="165">
        <f>-0.0021*(Sheet3!BZ5^2) - 2.2115*(Sheet3!BZ5) + 2499</f>
        <v>2162.1995914942449</v>
      </c>
      <c r="HW5" s="165">
        <f>-0.0021*(Sheet3!CA5^2) - 2.2115*(Sheet3!CA5) + 2499</f>
        <v>2181.0616229212355</v>
      </c>
      <c r="HX5" s="165">
        <f>-0.0021*(Sheet3!CB5^2) - 2.2115*(Sheet3!CB5) + 2499</f>
        <v>2196.6765316996702</v>
      </c>
      <c r="HY5" s="165">
        <f>-0.0021*(Sheet3!CC5^2) - 2.2115*(Sheet3!CC5) + 2499</f>
        <v>2213.8481918220727</v>
      </c>
      <c r="HZ5" s="165">
        <f>-0.0021*(Sheet3!CD5^2) - 2.2115*(Sheet3!CD5) + 2499</f>
        <v>2223.4693183441441</v>
      </c>
      <c r="IA5" s="165">
        <f>-0.0021*(Sheet3!CE5^2) - 2.2115*(Sheet3!CE5) + 2499</f>
        <v>2237.9402824020062</v>
      </c>
      <c r="IB5" s="165">
        <f>-0.0021*(Sheet3!CF5^2) - 2.2115*(Sheet3!CF5) + 2499</f>
        <v>2252.9141915643959</v>
      </c>
      <c r="IC5" s="165">
        <f>-0.0021*(Sheet3!CG5^2) - 2.2115*(Sheet3!CG5) + 2499</f>
        <v>2261.4435834221013</v>
      </c>
      <c r="ID5" s="188">
        <f t="shared" si="47"/>
        <v>0.69518273986514767</v>
      </c>
      <c r="IE5" s="165">
        <f t="shared" si="48"/>
        <v>0.69516780070332085</v>
      </c>
      <c r="IF5" s="165">
        <f t="shared" si="49"/>
        <v>0.69917060354792371</v>
      </c>
      <c r="IG5" s="165">
        <f t="shared" si="50"/>
        <v>0.70378970240814487</v>
      </c>
      <c r="IH5" s="165">
        <f t="shared" si="51"/>
        <v>0.7078392124826367</v>
      </c>
      <c r="II5" s="165">
        <f t="shared" si="52"/>
        <v>0.71101402404965419</v>
      </c>
      <c r="IJ5" s="165">
        <f t="shared" si="53"/>
        <v>0.71455730871421708</v>
      </c>
      <c r="IK5" s="165">
        <f t="shared" si="54"/>
        <v>0.7200213677149554</v>
      </c>
      <c r="IL5" s="165">
        <f t="shared" si="55"/>
        <v>0.72183139246917105</v>
      </c>
      <c r="IM5" s="188">
        <f t="shared" si="56"/>
        <v>-10.991701227463539</v>
      </c>
      <c r="IN5" s="165">
        <f t="shared" si="151"/>
        <v>22.672522679763727</v>
      </c>
      <c r="IO5" s="165">
        <f t="shared" si="152"/>
        <v>23.555915332627702</v>
      </c>
      <c r="IP5" s="165">
        <f t="shared" si="153"/>
        <v>24.398918339645018</v>
      </c>
      <c r="IQ5" s="165">
        <f t="shared" si="154"/>
        <v>25.18412482359242</v>
      </c>
      <c r="IR5" s="165">
        <f t="shared" si="155"/>
        <v>25.776919841902764</v>
      </c>
      <c r="IS5" s="165">
        <f t="shared" si="156"/>
        <v>26.350669680889773</v>
      </c>
      <c r="IT5" s="165">
        <f t="shared" si="157"/>
        <v>26.877309252255813</v>
      </c>
      <c r="IU5" s="165">
        <f t="shared" si="158"/>
        <v>-5.6785438950416109</v>
      </c>
      <c r="IV5" s="188">
        <f>_xlfn.FORECAST.LINEAR(Sheet3!DF5,Sheet2!$AK$2:$AK$69,Sheet2!$AJ$2:$AJ$69)</f>
        <v>1.3512050319930225E-5</v>
      </c>
      <c r="IW5" s="165">
        <f>_xlfn.FORECAST.LINEAR(Sheet3!BZ5,Sheet2!$AK$2:$AK$69,Sheet2!$AJ$2:$AJ$69)</f>
        <v>1.3511740436604426E-5</v>
      </c>
      <c r="IX5" s="165">
        <f>_xlfn.FORECAST.LINEAR(Sheet3!CA5,Sheet2!$AK$2:$AK$69,Sheet2!$AJ$2:$AJ$69)</f>
        <v>1.3272821619901672E-5</v>
      </c>
      <c r="IY5" s="165">
        <f>_xlfn.FORECAST.LINEAR(Sheet3!CB5,Sheet2!$AK$2:$AK$69,Sheet2!$AJ$2:$AJ$69)</f>
        <v>1.3073132468776757E-5</v>
      </c>
      <c r="IZ5" s="165">
        <f>_xlfn.FORECAST.LINEAR(Sheet3!CC5,Sheet2!$AK$2:$AK$69,Sheet2!$AJ$2:$AJ$69)</f>
        <v>1.2851489170654956E-5</v>
      </c>
      <c r="JA5" s="165">
        <f>_xlfn.FORECAST.LINEAR(Sheet3!CD5,Sheet2!$AK$2:$AK$69,Sheet2!$AJ$2:$AJ$69)</f>
        <v>1.2726344816427039E-5</v>
      </c>
      <c r="JB5" s="165">
        <f>_xlfn.FORECAST.LINEAR(Sheet3!CE5,Sheet2!$AK$2:$AK$69,Sheet2!$AJ$2:$AJ$69)</f>
        <v>1.2536788205150025E-5</v>
      </c>
      <c r="JC5" s="165">
        <f>_xlfn.FORECAST.LINEAR(Sheet3!CF5,Sheet2!$AK$2:$AK$69,Sheet2!$AJ$2:$AJ$69)</f>
        <v>1.2338923294049206E-5</v>
      </c>
      <c r="JD5" s="165">
        <f>_xlfn.FORECAST.LINEAR(Sheet3!CG5,Sheet2!$AK$2:$AK$69,Sheet2!$AJ$2:$AJ$69)</f>
        <v>1.2225416049457795E-5</v>
      </c>
      <c r="JE5" s="188">
        <f>_xlfn.FORECAST.LINEAR(Sheet3!DF5,New!$MC$2:$MC$18,New!$MB$2:$MB$18)</f>
        <v>2.2966405532136602E-5</v>
      </c>
      <c r="JF5" s="165">
        <f>_xlfn.FORECAST.LINEAR(Sheet3!BZ5,New!$MC$2:$MC$18,New!$MB$2:$MB$18)</f>
        <v>2.2966041256807558E-5</v>
      </c>
      <c r="JG5" s="165">
        <f>_xlfn.FORECAST.LINEAR(Sheet3!CA5,New!$MC$2:$MC$18,New!$MB$2:$MB$18)</f>
        <v>2.2685186421056022E-5</v>
      </c>
      <c r="JH5" s="165">
        <f>_xlfn.FORECAST.LINEAR(Sheet3!CB5,New!$MC$2:$MC$18,New!$MB$2:$MB$18)</f>
        <v>2.2450447004066832E-5</v>
      </c>
      <c r="JI5" s="165">
        <f>_xlfn.FORECAST.LINEAR(Sheet3!CC5,New!$MC$2:$MC$18,New!$MB$2:$MB$18)</f>
        <v>2.2189899957381621E-5</v>
      </c>
      <c r="JJ5" s="165">
        <f>_xlfn.FORECAST.LINEAR(Sheet3!CD5,New!$MC$2:$MC$18,New!$MB$2:$MB$18)</f>
        <v>2.2042789748412015E-5</v>
      </c>
      <c r="JK5" s="165">
        <f>_xlfn.FORECAST.LINEAR(Sheet3!CE5,New!$MC$2:$MC$18,New!$MB$2:$MB$18)</f>
        <v>2.1819961376580346E-5</v>
      </c>
      <c r="JL5" s="165">
        <f>_xlfn.FORECAST.LINEAR(Sheet3!CF5,New!$MC$2:$MC$18,New!$MB$2:$MB$18)</f>
        <v>2.158736639777066E-5</v>
      </c>
      <c r="JM5" s="165">
        <f>_xlfn.FORECAST.LINEAR(Sheet3!CG5,New!$MC$2:$MC$18,New!$MB$2:$MB$18)</f>
        <v>2.1453935892060464E-5</v>
      </c>
      <c r="JN5" s="188">
        <f t="shared" si="159"/>
        <v>2.0266671429311152E-5</v>
      </c>
      <c r="JO5" s="165">
        <f t="shared" si="160"/>
        <v>2.0266433666220917E-5</v>
      </c>
      <c r="JP5" s="165">
        <f t="shared" si="161"/>
        <v>1.9997250467436855E-5</v>
      </c>
      <c r="JQ5" s="165">
        <f t="shared" si="162"/>
        <v>1.9766372065781603E-5</v>
      </c>
      <c r="JR5" s="165">
        <f t="shared" si="163"/>
        <v>1.9516982738282865E-5</v>
      </c>
      <c r="JS5" s="165">
        <f t="shared" si="164"/>
        <v>1.9372084726033528E-5</v>
      </c>
      <c r="JT5" s="165">
        <f t="shared" si="165"/>
        <v>1.9159837806489411E-5</v>
      </c>
      <c r="JU5" s="165">
        <f t="shared" si="166"/>
        <v>1.8930457957485251E-5</v>
      </c>
      <c r="JV5" s="165">
        <f t="shared" si="167"/>
        <v>1.8805839606086669E-5</v>
      </c>
      <c r="JW5" s="188">
        <f t="shared" si="66"/>
        <v>1.0194671042902146</v>
      </c>
      <c r="JX5" s="165">
        <f t="shared" si="67"/>
        <v>1.0194709732211744</v>
      </c>
      <c r="JY5" s="165">
        <f t="shared" si="68"/>
        <v>1.0225057176936774</v>
      </c>
      <c r="JZ5" s="165">
        <f t="shared" si="69"/>
        <v>1.0251241462751084</v>
      </c>
      <c r="KA5" s="165">
        <f t="shared" si="70"/>
        <v>1.0281222016707303</v>
      </c>
      <c r="KB5" s="165">
        <f t="shared" si="71"/>
        <v>1.0298593762134174</v>
      </c>
      <c r="KC5" s="165">
        <f t="shared" si="72"/>
        <v>1.0325542519908715</v>
      </c>
      <c r="KD5" s="165">
        <f t="shared" si="73"/>
        <v>1.0354522170156915</v>
      </c>
      <c r="KE5" s="165">
        <f t="shared" si="74"/>
        <v>1.0371553931985507</v>
      </c>
      <c r="KF5" s="188">
        <f t="shared" si="75"/>
        <v>0.96419690375091571</v>
      </c>
      <c r="KG5" s="165">
        <f t="shared" si="76"/>
        <v>0.96419374339222019</v>
      </c>
      <c r="KH5" s="165">
        <f t="shared" si="77"/>
        <v>0.96172507926696604</v>
      </c>
      <c r="KI5" s="165">
        <f t="shared" si="78"/>
        <v>0.95961145515577717</v>
      </c>
      <c r="KJ5" s="165">
        <f t="shared" si="79"/>
        <v>0.95720980595962157</v>
      </c>
      <c r="KK5" s="165">
        <f t="shared" si="80"/>
        <v>0.95582711463293013</v>
      </c>
      <c r="KL5" s="165">
        <f t="shared" si="81"/>
        <v>0.95369494786951858</v>
      </c>
      <c r="KM5" s="165">
        <f t="shared" si="82"/>
        <v>0.95141929555427707</v>
      </c>
      <c r="KN5" s="165">
        <f t="shared" si="83"/>
        <v>0.95009009463750593</v>
      </c>
      <c r="KO5" s="188">
        <f t="shared" si="84"/>
        <v>0.61505513549205015</v>
      </c>
      <c r="KP5" s="165">
        <f t="shared" si="85"/>
        <v>0.61511023099099282</v>
      </c>
      <c r="KQ5" s="165">
        <f t="shared" si="86"/>
        <v>0.61041357605847923</v>
      </c>
      <c r="KR5" s="165">
        <f t="shared" si="87"/>
        <v>0.60638982242518058</v>
      </c>
      <c r="KS5" s="165">
        <f t="shared" si="88"/>
        <v>0.6018591027578799</v>
      </c>
      <c r="KT5" s="165">
        <f t="shared" si="89"/>
        <v>0.59924422890108209</v>
      </c>
      <c r="KU5" s="165">
        <f t="shared" si="90"/>
        <v>0.59525311674431436</v>
      </c>
      <c r="KV5" s="165">
        <f t="shared" si="91"/>
        <v>0.59097797911050431</v>
      </c>
      <c r="KW5" s="165">
        <f t="shared" si="92"/>
        <v>0.58860625262922883</v>
      </c>
      <c r="KX5" s="188">
        <f>AVERAGE(Sheet3!J5:P5)*KO5^(1/3)/ID5^(1/3)</f>
        <v>125.53100323508549</v>
      </c>
      <c r="KY5" s="165">
        <f>Sheet3!J5*KP5^(1/3)/IE5^(1/3)</f>
        <v>96.690806235183658</v>
      </c>
      <c r="KZ5" s="165">
        <f>Sheet3!K5*KQ5^(1/3)/IF5^(1/3)</f>
        <v>106.48917086315045</v>
      </c>
      <c r="LA5" s="165">
        <f>Sheet3!L5*KR5^(1/3)/IG5^(1/3)</f>
        <v>117.29600301934235</v>
      </c>
      <c r="LB5" s="165">
        <f>Sheet3!M5*KS5^(1/3)/IH5^(1/3)</f>
        <v>125.97270783734359</v>
      </c>
      <c r="LC5" s="165">
        <f>Sheet3!N5*KT5^(1/3)/II5^(1/3)</f>
        <v>134.23339279716717</v>
      </c>
      <c r="LD5" s="165">
        <f>Sheet3!O5*KU5^(1/3)/IJ5^(1/3)</f>
        <v>142.30190367792525</v>
      </c>
      <c r="LE5" s="165">
        <f>Sheet3!P5*KV5^(1/3)/IK5^(1/3)</f>
        <v>143.82536251368228</v>
      </c>
      <c r="LF5" s="165">
        <f>Sheet3!Q5*KW5^(1/3)/IL5^(1/3)</f>
        <v>139.79737403867503</v>
      </c>
      <c r="LG5" s="186">
        <f t="shared" si="93"/>
        <v>25.822332211443282</v>
      </c>
      <c r="LH5" s="183">
        <f t="shared" si="94"/>
        <v>25.828025771765365</v>
      </c>
      <c r="LI5" s="183">
        <f t="shared" si="95"/>
        <v>26.173589030353305</v>
      </c>
      <c r="LJ5" s="183">
        <f t="shared" si="96"/>
        <v>26.185401413207476</v>
      </c>
      <c r="LK5" s="183">
        <f t="shared" si="97"/>
        <v>26.550219308364362</v>
      </c>
      <c r="LL5" s="183">
        <f t="shared" si="98"/>
        <v>26.555126452015518</v>
      </c>
      <c r="LM5" s="183">
        <f t="shared" si="99"/>
        <v>26.944831972526622</v>
      </c>
      <c r="LN5" s="183">
        <f t="shared" si="100"/>
        <v>26.950573284134954</v>
      </c>
      <c r="LO5" s="183">
        <f t="shared" si="101"/>
        <v>27.335464723735555</v>
      </c>
      <c r="LP5" s="218" t="s">
        <v>472</v>
      </c>
      <c r="LQ5" s="218" t="s">
        <v>473</v>
      </c>
      <c r="LR5" s="219"/>
      <c r="LS5" s="219"/>
      <c r="LT5" s="219">
        <v>46.9</v>
      </c>
      <c r="LU5" s="219">
        <v>1.0069999999999999</v>
      </c>
      <c r="LV5" s="220"/>
      <c r="LW5" s="220"/>
      <c r="LX5" s="220"/>
      <c r="LY5" s="220"/>
      <c r="LZ5" s="222">
        <v>36.18</v>
      </c>
      <c r="MA5" s="220">
        <v>1.0000000000000001E-5</v>
      </c>
      <c r="MB5" s="220">
        <v>20</v>
      </c>
      <c r="MC5" s="220">
        <v>1.8130000000000001E-5</v>
      </c>
      <c r="MD5" s="188">
        <f>Sheet3!DP5</f>
        <v>218.51899888331505</v>
      </c>
      <c r="ME5" s="263">
        <v>40</v>
      </c>
      <c r="MF5" s="263">
        <v>7.3700000000000002E-2</v>
      </c>
      <c r="MG5" s="263">
        <v>1.8939999999999999</v>
      </c>
      <c r="MH5" s="263">
        <v>5.0900000000000001E-2</v>
      </c>
      <c r="MI5" s="263">
        <v>9.66</v>
      </c>
      <c r="MJ5" s="263">
        <v>189.78</v>
      </c>
      <c r="MK5" s="273">
        <v>30</v>
      </c>
      <c r="ML5" s="267">
        <v>4.24E-2</v>
      </c>
      <c r="MM5" s="267">
        <v>3.04E-2</v>
      </c>
      <c r="MN5" s="267">
        <v>1.883</v>
      </c>
      <c r="MO5" s="267">
        <v>9.26</v>
      </c>
      <c r="MP5" s="274">
        <v>304.60000000000002</v>
      </c>
      <c r="MQ5"/>
      <c r="MR5"/>
      <c r="MS5"/>
    </row>
    <row r="6" spans="1:357" ht="15" thickBot="1" x14ac:dyDescent="0.35">
      <c r="A6" s="184">
        <f>Sheet3!A6</f>
        <v>44893</v>
      </c>
      <c r="B6" s="186">
        <f t="shared" si="102"/>
        <v>0.9035724836661696</v>
      </c>
      <c r="C6" s="183">
        <f t="shared" si="103"/>
        <v>0.90469531727700181</v>
      </c>
      <c r="D6" s="183">
        <f t="shared" si="0"/>
        <v>0.89215060750673481</v>
      </c>
      <c r="E6" s="183">
        <f t="shared" si="1"/>
        <v>0.88069789391250908</v>
      </c>
      <c r="F6" s="183">
        <f t="shared" si="2"/>
        <v>0.86787390852385782</v>
      </c>
      <c r="G6" s="183">
        <f t="shared" si="3"/>
        <v>0.86049502846669823</v>
      </c>
      <c r="H6" s="183">
        <f t="shared" si="4"/>
        <v>0.84921599729647856</v>
      </c>
      <c r="I6" s="183">
        <f t="shared" si="5"/>
        <v>0.83983478973035197</v>
      </c>
      <c r="J6" s="183">
        <f t="shared" si="6"/>
        <v>0.82811055333072836</v>
      </c>
      <c r="K6" s="186">
        <f xml:space="preserve"> (6.057 * (10^(-6)))
+ (4.055 * (10^(-8)) * (Sheet3!DF6 + 273))
+ (1.25 * (10^(-10)) * (Sheet3!DF6 + 273)^2)
- (3.367 * (10^(-14)) * (DD6 + 273)^3)</f>
        <v>4.4157994734427408E-5</v>
      </c>
      <c r="L6" s="183">
        <f xml:space="preserve"> (6.057 * (10^(-6)))
+ (4.055 * (10^(-8)) * (Sheet3!BZ6 + 273))
+ (1.25 * (10^(-10)) * (Sheet3!BZ6 + 273)^2)
- (3.367 * (10^(-14)) * (BX6 + 273)^3)</f>
        <v>4.4232089774644518E-5</v>
      </c>
      <c r="M6" s="183">
        <f xml:space="preserve"> (6.057 * (10^(-6)))
+ (4.055 * (10^(-8)) * (Sheet3!CA6 + 273))
+ (1.25 * (10^(-10)) * (Sheet3!CA6 + 273)^2)
- (3.367 * (10^(-14)) * (BY6 + 273)^3)</f>
        <v>4.3150538228992644E-5</v>
      </c>
      <c r="N6" s="183">
        <f xml:space="preserve"> (6.057 * (10^(-6)))
+ (4.055 * (10^(-8)) * (Sheet3!CB6 + 273))
+ (1.25 * (10^(-10)) * (Sheet3!CB6 + 273)^2)
- (3.367 * (10^(-14)) * (BZ6 + 273)^3)</f>
        <v>4.2297966164561691E-5</v>
      </c>
      <c r="O6" s="183">
        <f xml:space="preserve"> (6.057 * (10^(-6)))
+ (4.055 * (10^(-8)) * (Sheet3!CC6 + 273))
+ (1.25 * (10^(-10)) * (Sheet3!CC6 + 273)^2)
- (3.367 * (10^(-14)) * (CA6 + 273)^3)</f>
        <v>4.126056750359572E-5</v>
      </c>
      <c r="P6" s="183">
        <f xml:space="preserve"> (6.057 * (10^(-6)))
+ (4.055 * (10^(-8)) * (Sheet3!CD6 + 273))
+ (1.25 * (10^(-10)) * (Sheet3!CD6 + 273)^2)
- (3.367 * (10^(-14)) * (CB6 + 273)^3)</f>
        <v>4.0745280112215328E-5</v>
      </c>
      <c r="Q6" s="183">
        <f xml:space="preserve"> (6.057 * (10^(-6)))
+ (4.055 * (10^(-8)) * (Sheet3!CE6 + 273))
+ (1.25 * (10^(-10)) * (Sheet3!CE6 + 273)^2)
- (3.367 * (10^(-14)) * (CC6 + 273)^3)</f>
        <v>3.9869971289031965E-5</v>
      </c>
      <c r="R6" s="183">
        <f xml:space="preserve"> (6.057 * (10^(-6)))
+ (4.055 * (10^(-8)) * (Sheet3!CF6 + 273))
+ (1.25 * (10^(-10)) * (Sheet3!CF6 + 273)^2)
- (3.367 * (10^(-14)) * (CD6 + 273)^3)</f>
        <v>3.9250986977960981E-5</v>
      </c>
      <c r="S6" s="183">
        <f xml:space="preserve"> (6.057 * (10^(-6)))
+ (4.055 * (10^(-8)) * (Sheet3!CG6 + 273))
+ (1.25 * (10^(-10)) * (Sheet3!CG6 + 273)^2)
- (3.367 * (10^(-14)) * (CE6 + 273)^3)</f>
        <v>3.8387656536064145E-5</v>
      </c>
      <c r="T6" s="188">
        <f t="shared" si="104"/>
        <v>4.4157994734427408E-5</v>
      </c>
      <c r="U6" s="165">
        <f t="shared" si="105"/>
        <v>4.4232089774644518E-5</v>
      </c>
      <c r="V6" s="165">
        <f t="shared" si="106"/>
        <v>4.3150538228992644E-5</v>
      </c>
      <c r="W6" s="165">
        <f t="shared" si="107"/>
        <v>4.2297966164561691E-5</v>
      </c>
      <c r="X6" s="165">
        <f t="shared" si="108"/>
        <v>4.126056750359572E-5</v>
      </c>
      <c r="Y6" s="165">
        <f t="shared" si="109"/>
        <v>4.0745280112215328E-5</v>
      </c>
      <c r="Z6" s="165">
        <f t="shared" si="110"/>
        <v>3.9869971289031965E-5</v>
      </c>
      <c r="AA6" s="165">
        <f t="shared" si="111"/>
        <v>3.9250986977960981E-5</v>
      </c>
      <c r="AB6" s="165">
        <f t="shared" si="112"/>
        <v>3.8387656536064145E-5</v>
      </c>
      <c r="AC6" s="186">
        <f t="shared" si="8"/>
        <v>3.9899948975904211E-5</v>
      </c>
      <c r="AD6" s="183">
        <f t="shared" si="9"/>
        <v>4.0016564492496852E-5</v>
      </c>
      <c r="AE6" s="183">
        <f t="shared" si="10"/>
        <v>3.8496778895238372E-5</v>
      </c>
      <c r="AF6" s="183">
        <f t="shared" si="11"/>
        <v>3.7251729717912052E-5</v>
      </c>
      <c r="AG6" s="183">
        <f t="shared" si="12"/>
        <v>3.580896998725809E-5</v>
      </c>
      <c r="AH6" s="183">
        <f t="shared" si="13"/>
        <v>3.506111097004432E-5</v>
      </c>
      <c r="AI6" s="183">
        <f t="shared" si="14"/>
        <v>3.3858217430397248E-5</v>
      </c>
      <c r="AJ6" s="183">
        <f t="shared" si="15"/>
        <v>3.2964344395344645E-5</v>
      </c>
      <c r="AK6" s="183">
        <f t="shared" si="16"/>
        <v>3.178922349515003E-5</v>
      </c>
      <c r="AL6" s="186">
        <f t="shared" si="113"/>
        <v>3.6041502240936246E-2</v>
      </c>
      <c r="AM6" s="183">
        <f t="shared" si="114"/>
        <v>3.610299695665882E-2</v>
      </c>
      <c r="AN6" s="183">
        <f t="shared" si="115"/>
        <v>3.524752523293577E-2</v>
      </c>
      <c r="AO6" s="183">
        <f t="shared" si="116"/>
        <v>3.4568107662090508E-2</v>
      </c>
      <c r="AP6" s="183">
        <f t="shared" si="117"/>
        <v>3.3727719699740359E-2</v>
      </c>
      <c r="AQ6" s="183">
        <f t="shared" si="118"/>
        <v>3.3307273244210164E-2</v>
      </c>
      <c r="AR6" s="183">
        <f t="shared" si="119"/>
        <v>3.258470409417516E-2</v>
      </c>
      <c r="AS6" s="183">
        <f t="shared" si="120"/>
        <v>3.2069172094208093E-2</v>
      </c>
      <c r="AT6" s="183">
        <f t="shared" si="121"/>
        <v>3.1347166108756382E-2</v>
      </c>
      <c r="AU6" s="186">
        <f>_xlfn.FORECAST.LINEAR(Sheet3!DF6,Sheet2!$AH$2:$AH$40,Sheet2!$AG$2:$AG$40)</f>
        <v>4.0902410270024961E-2</v>
      </c>
      <c r="AV6" s="183">
        <f>_xlfn.FORECAST.LINEAR(Sheet3!BZ6,Sheet2!$AH$2:$AH$40,Sheet2!$AG$2:$AG$40)</f>
        <v>4.1040356506904248E-2</v>
      </c>
      <c r="AW6" s="183">
        <f>_xlfn.FORECAST.LINEAR(Sheet3!CA6,Sheet2!$AH$2:$AH$40,Sheet2!$AG$2:$AG$40)</f>
        <v>3.9134798944017203E-2</v>
      </c>
      <c r="AX6" s="183">
        <f>_xlfn.FORECAST.LINEAR(Sheet3!CB6,Sheet2!$AH$2:$AH$40,Sheet2!$AG$2:$AG$40)</f>
        <v>3.7614877486962205E-2</v>
      </c>
      <c r="AY6" s="183">
        <f>_xlfn.FORECAST.LINEAR(Sheet3!CC6,Sheet2!$AH$2:$AH$40,Sheet2!$AG$2:$AG$40)</f>
        <v>3.5743625406969445E-2</v>
      </c>
      <c r="AZ6" s="183">
        <f>_xlfn.FORECAST.LINEAR(Sheet3!CD6,Sheet2!$AH$2:$AH$40,Sheet2!$AG$2:$AG$40)</f>
        <v>3.4804894463583327E-2</v>
      </c>
      <c r="BA6" s="183">
        <f>_xlfn.FORECAST.LINEAR(Sheet3!CE6,Sheet2!$AH$2:$AH$40,Sheet2!$AG$2:$AG$40)</f>
        <v>3.319592204491098E-2</v>
      </c>
      <c r="BB6" s="183">
        <f>_xlfn.FORECAST.LINEAR(Sheet3!CF6,Sheet2!$AH$2:$AH$40,Sheet2!$AG$2:$AG$40)</f>
        <v>3.2046799094828812E-2</v>
      </c>
      <c r="BC6" s="183">
        <f>_xlfn.FORECAST.LINEAR(Sheet3!CG6,Sheet2!$AH$2:$AH$40,Sheet2!$AG$2:$AG$40)</f>
        <v>3.0438573744927248E-2</v>
      </c>
      <c r="BD6" s="186">
        <f>_xlfn.FORECAST.LINEAR(Sheet3!DF6,Sheet2!$AB$12:$AB$37,Sheet2!$AA$12:$AA$37)/1000</f>
        <v>3.3915606923988664E-2</v>
      </c>
      <c r="BE6" s="183">
        <f>_xlfn.FORECAST.LINEAR(Sheet3!BZ6,Sheet2!$AB$12:$AB$37,Sheet2!$AA$12:$AA$37)/1000</f>
        <v>3.3946448509578224E-2</v>
      </c>
      <c r="BF6" s="183">
        <f>_xlfn.FORECAST.LINEAR(Sheet3!CA6,Sheet2!$AB$12:$AB$37,Sheet2!$AA$12:$AA$37)/1000</f>
        <v>3.3520409945561137E-2</v>
      </c>
      <c r="BG6" s="183">
        <f>_xlfn.FORECAST.LINEAR(Sheet3!CB6,Sheet2!$AB$12:$AB$37,Sheet2!$AA$12:$AA$37)/1000</f>
        <v>3.3180590688670561E-2</v>
      </c>
      <c r="BH6" s="183">
        <f>_xlfn.FORECAST.LINEAR(Sheet3!CC6,Sheet2!$AB$12:$AB$37,Sheet2!$AA$12:$AA$37)/1000</f>
        <v>3.2762222036575757E-2</v>
      </c>
      <c r="BI6" s="183">
        <f>_xlfn.FORECAST.LINEAR(Sheet3!CD6,Sheet2!$AB$12:$AB$37,Sheet2!$AA$12:$AA$37)/1000</f>
        <v>3.2552343525998145E-2</v>
      </c>
      <c r="BJ6" s="183">
        <f>_xlfn.FORECAST.LINEAR(Sheet3!CE6,Sheet2!$AB$12:$AB$37,Sheet2!$AA$12:$AA$37)/1000</f>
        <v>3.2192614535310658E-2</v>
      </c>
      <c r="BK6" s="183">
        <f>_xlfn.FORECAST.LINEAR(Sheet3!CF6,Sheet2!$AB$12:$AB$37,Sheet2!$AA$12:$AA$37)/1000</f>
        <v>3.1935697241880612E-2</v>
      </c>
      <c r="BL6" s="183">
        <f>_xlfn.FORECAST.LINEAR(Sheet3!CG6,Sheet2!$AB$12:$AB$37,Sheet2!$AA$12:$AA$37)/1000</f>
        <v>3.1576135278478218E-2</v>
      </c>
      <c r="BM6" s="186">
        <f t="shared" si="122"/>
        <v>0.75499221939528693</v>
      </c>
      <c r="BN6" s="183">
        <f t="shared" si="123"/>
        <v>0.75401659445539038</v>
      </c>
      <c r="BO6" s="183">
        <f t="shared" si="124"/>
        <v>0.76799677432933044</v>
      </c>
      <c r="BP6" s="183">
        <f t="shared" si="125"/>
        <v>0.77933858707546178</v>
      </c>
      <c r="BQ6" s="183">
        <f t="shared" si="126"/>
        <v>0.79402202384528464</v>
      </c>
      <c r="BR6" s="183">
        <f t="shared" si="127"/>
        <v>0.80146900286163036</v>
      </c>
      <c r="BS6" s="183">
        <f t="shared" si="128"/>
        <v>0.81481693712760872</v>
      </c>
      <c r="BT6" s="183">
        <f t="shared" si="129"/>
        <v>0.82443580500812552</v>
      </c>
      <c r="BU6" s="183">
        <f t="shared" si="130"/>
        <v>0.83853633549564832</v>
      </c>
      <c r="BV6" s="186">
        <f t="shared" si="131"/>
        <v>1.1964321319380975</v>
      </c>
      <c r="BW6" s="183">
        <f t="shared" si="19"/>
        <v>1.1965271293489788</v>
      </c>
      <c r="BX6" s="183">
        <f t="shared" si="20"/>
        <v>1.1921882616954469</v>
      </c>
      <c r="BY6" s="183">
        <f t="shared" si="21"/>
        <v>1.1907017251302781</v>
      </c>
      <c r="BZ6" s="183">
        <f t="shared" si="22"/>
        <v>1.1862127894466603</v>
      </c>
      <c r="CA6" s="183">
        <f t="shared" si="23"/>
        <v>1.1852956104807988</v>
      </c>
      <c r="CB6" s="183">
        <f t="shared" si="24"/>
        <v>1.1811080894162536</v>
      </c>
      <c r="CC6" s="183">
        <f t="shared" si="25"/>
        <v>1.1800120999659038</v>
      </c>
      <c r="CD6" s="183">
        <f t="shared" si="26"/>
        <v>1.1759706408716943</v>
      </c>
      <c r="CE6" s="187">
        <f xml:space="preserve"> -0.0000000019505*Sheet3!DF6^3 + 0.0000015497*Sheet3!DF6^2  + 0.00016911*Sheet3!DF6 + 1.8585</f>
        <v>1.9096570494375</v>
      </c>
      <c r="CF6" s="185">
        <f xml:space="preserve"> -0.0000000019505*Sheet3!BZ6^3 + 0.0000015497*Sheet3!BZ6^2  + 0.00016911*Sheet3!BZ6 + 1.8585</f>
        <v>1.9099262034154578</v>
      </c>
      <c r="CG6" s="185">
        <f xml:space="preserve"> -0.0000000019505*Sheet3!CA6^3 + 0.0000015497*Sheet3!CA6^2  + 0.00016911*Sheet3!CA6 + 1.8585</f>
        <v>1.9062453931247318</v>
      </c>
      <c r="CH6" s="185">
        <f xml:space="preserve"> -0.0000000019505*Sheet3!CB6^3 + 0.0000015497*Sheet3!CB6^2  + 0.00016911*Sheet3!CB6 + 1.8585</f>
        <v>1.9033690518191102</v>
      </c>
      <c r="CI6" s="185">
        <f xml:space="preserve"> -0.0000000019505*Sheet3!CC6^3 + 0.0000015497*Sheet3!CC6^2  + 0.00016911*Sheet3!CC6 + 1.8585</f>
        <v>1.8999044382647923</v>
      </c>
      <c r="CJ6" s="185">
        <f xml:space="preserve"> -0.0000000019505*Sheet3!CD6^3 + 0.0000015497*Sheet3!CD6^2  + 0.00016911*Sheet3!CD6 + 1.8585</f>
        <v>1.8981995793878472</v>
      </c>
      <c r="CK6" s="185">
        <f xml:space="preserve"> -0.0000000019505*Sheet3!CE6^3 + 0.0000015497*Sheet3!CE6^2  + 0.00016911*Sheet3!CE6 + 1.8585</f>
        <v>1.8953312139322269</v>
      </c>
      <c r="CL6" s="185">
        <f xml:space="preserve"> -0.0000000019505*Sheet3!CF6^3 + 0.0000015497*Sheet3!CF6^2  + 0.00016911*Sheet3!CF6 + 1.8585</f>
        <v>1.8933255792781112</v>
      </c>
      <c r="CM6" s="185">
        <f xml:space="preserve"> -0.0000000019505*Sheet3!CG6^3 + 0.0000015497*Sheet3!CG6^2  + 0.00016911*Sheet3!CG6 + 1.8585</f>
        <v>1.8905810289354874</v>
      </c>
      <c r="CN6" s="186">
        <f>_xlfn.FORECAST.LINEAR(Sheet3!DF6,New!$LU$2:$LU$14,New!$LT$2:$LT$14)</f>
        <v>1.023844178140866</v>
      </c>
      <c r="CO6" s="183">
        <f>_xlfn.FORECAST.LINEAR(Sheet3!BZ6,New!$LU$2:$LU$14,New!$LT$2:$LT$14)</f>
        <v>1.0239457083809642</v>
      </c>
      <c r="CP6" s="183">
        <f>_xlfn.FORECAST.LINEAR(Sheet3!CA6,New!$LU$2:$LU$14,New!$LT$2:$LT$14)</f>
        <v>1.0225431930151383</v>
      </c>
      <c r="CQ6" s="183">
        <f>_xlfn.FORECAST.LINEAR(Sheet3!CB6,New!$LU$2:$LU$14,New!$LT$2:$LT$14)</f>
        <v>1.0214245108824724</v>
      </c>
      <c r="CR6" s="183">
        <f>_xlfn.FORECAST.LINEAR(Sheet3!CC6,New!$LU$2:$LU$14,New!$LT$2:$LT$14)</f>
        <v>1.0200472448021201</v>
      </c>
      <c r="CS6" s="183">
        <f>_xlfn.FORECAST.LINEAR(Sheet3!CD6,New!$LU$2:$LU$14,New!$LT$2:$LT$14)</f>
        <v>1.0193563265123149</v>
      </c>
      <c r="CT6" s="183">
        <f>_xlfn.FORECAST.LINEAR(Sheet3!CE6,New!$LU$2:$LU$14,New!$LT$2:$LT$14)</f>
        <v>1.0181721017036141</v>
      </c>
      <c r="CU6" s="183">
        <f>_xlfn.FORECAST.LINEAR(Sheet3!CF6,New!$LU$2:$LU$14,New!$LT$2:$LT$14)</f>
        <v>1.0173263321366892</v>
      </c>
      <c r="CV6" s="183">
        <f>_xlfn.FORECAST.LINEAR(Sheet3!CG6,New!$LU$2:$LU$14,New!$LT$2:$LT$14)</f>
        <v>1.0161426571804049</v>
      </c>
      <c r="CW6" s="186">
        <f>EXP((17.625*Sheet3!BA6)/(243.04+Sheet3!BA6)) / EXP((17.625*Sheet3!DF6)/(243.04+Sheet3!DF6))</f>
        <v>6.4156365946647739E-2</v>
      </c>
      <c r="CX6" s="183">
        <f>EXP((17.625*(Sheet3!BC6+273))/(243.04+(Sheet3!BC6+273)))/EXP((17.625*(Sheet3!BZ6+273))/(243.04+(Sheet3!BZ6+273)))</f>
        <v>0.40307834329134873</v>
      </c>
      <c r="CY6" s="183">
        <f>EXP((17.625*(Sheet3!BE6+273))/(243.04+(Sheet3!BE6+273))) / EXP((17.625*(Sheet3!CA6+273))/(243.04+(Sheet3!CA6+273)))</f>
        <v>0.43380773036502446</v>
      </c>
      <c r="CZ6" s="183">
        <f>EXP((17.625*(Sheet3!BG6+273))/(243.04+(Sheet3!BG6+273))) / EXP((17.625*(Sheet3!CB6+273))/(243.04+(Sheet3!CB6+273)))</f>
        <v>0.45975942803184705</v>
      </c>
      <c r="DA6" s="183">
        <f>EXP((17.625*(Sheet3!BI6+273))/(243.04+(Sheet3!BI6+273))) / EXP((17.625*(Sheet3!CC6+273))/(243.04+(Sheet3!CC6+273)))</f>
        <v>0.49439790351838186</v>
      </c>
      <c r="DB6" s="183">
        <f>EXP((17.625*(Sheet3!BK6+273))/(243.04+(Sheet3!BK6+273)))/EXP((17.625*(Sheet3!CD6+273))/(243.04+(Sheet3!CD6+273)))</f>
        <v>0.51391206469641371</v>
      </c>
      <c r="DC6" s="183">
        <f>EXP((17.625*(Sheet3!BM6+273))/(243.04+(Sheet3!BM6+273))) / EXP((17.625*(Sheet3!CE6+273))/(243.04+(Sheet3!CE6+273)))</f>
        <v>0.54795445137829712</v>
      </c>
      <c r="DD6" s="183">
        <f>EXP((17.625*(Sheet3!BO6+273))/(243.04+(Sheet3!BO6+273))) / EXP((17.625*(Sheet3!CF6+273))/(243.04+(Sheet3!CF6+273)))</f>
        <v>0.57547372631377769</v>
      </c>
      <c r="DE6" s="183">
        <f>EXP((17.625*(Sheet3!BQ6+273))/(243.04+(Sheet3!BQ6+273))) / EXP((17.625*(Sheet3!CG6+273))/(243.04+(Sheet3!CG6+273)))</f>
        <v>0.61508409856874791</v>
      </c>
      <c r="DF6" s="186">
        <f>((Sheet3!DA6-Sheet3!DB6)/New!$LQ$3)/(((Sheet3!DA6-Sheet3!DB6)/New!$LQ$3)+(Sheet3!DB6/New!$LP$3))</f>
        <v>0.71994302575201052</v>
      </c>
      <c r="DG6" s="183">
        <f>((Sheet3!DA6-Sheet3!DB6)/New!$LQ$3)/(((Sheet3!DA6-Sheet3!DB6)/New!$LQ$3)+((Sheet3!DB6-(Sheet3!B6*0.004))/New!$LP$3))</f>
        <v>0.7201179719248173</v>
      </c>
      <c r="DH6" s="183" cm="1">
        <f t="array" ref="DH6">((Sheet3!DA6-Sheet3!DB6)/New!$LQ$3)/(((Sheet3!DA6-Sheet3!DB6)/New!$LQ$3)+((Sheet3!DB6-(SUM(Sheet3!B6:C6*0.004)))/New!$LP$3))</f>
        <v>0.73143398829281381</v>
      </c>
      <c r="DI6" s="183" cm="1">
        <f t="array" ref="DI6">((Sheet3!DA6-Sheet3!DB6)/New!$LQ$3)/(((Sheet3!DA6-Sheet3!DB6)/New!$LQ$3)+((Sheet3!DB6-(SUM(Sheet3!B6:D6*0.004)))/New!$LP$3))</f>
        <v>0.73157442862631139</v>
      </c>
      <c r="DJ6" s="183" cm="1">
        <f t="array" ref="DJ6">((Sheet3!DA6-Sheet3!DB6)/New!$LQ$3)/(((Sheet3!DA6-Sheet3!DB6)/New!$LQ$3)+((Sheet3!DB6-(SUM(Sheet3!B6:E6*0.004)))/New!$LP$3))</f>
        <v>0.74431413836181948</v>
      </c>
      <c r="DK6" s="183" cm="1">
        <f t="array" ref="DK6">((Sheet3!DA6-Sheet3!DB6)/New!$LQ$3)/(((Sheet3!DA6-Sheet3!DB6)/New!$LQ$3)+((Sheet3!DB6-(SUM(Sheet3!B6:F6*0.004)))/New!$LP$3))</f>
        <v>0.74448034931976625</v>
      </c>
      <c r="DL6" s="183" cm="1">
        <f t="array" ref="DL6">((Sheet3!DA6-Sheet3!DB6)/New!$LQ$3)/(((Sheet3!DA6-Sheet3!DB6)/New!$LQ$3)+((Sheet3!DB6-(SUM(Sheet3!B6:G6*0.004)))/New!$LP$3))</f>
        <v>0.75754844431300239</v>
      </c>
      <c r="DM6" s="183" cm="1">
        <f t="array" ref="DM6">((Sheet3!DA6-Sheet3!DB6)/New!$LQ$3)/(((Sheet3!DA6-Sheet3!DB6)/New!$LQ$3)+((Sheet3!DB6-(SUM(Sheet3!B6:H6*0.004)))/New!$LP$3))</f>
        <v>0.75772061914232491</v>
      </c>
      <c r="DN6" s="183" cm="1">
        <f t="array" ref="DN6">((Sheet3!DA6-Sheet3!DB6)/New!$LQ$3)/(((Sheet3!DA6-Sheet3!DB6)/New!$LQ$3)+((Sheet3!DB6-(SUM(Sheet3!B6:I6*0.004)))/New!$LP$3))</f>
        <v>0.77066018383092949</v>
      </c>
      <c r="DO6" s="186">
        <f>(Sheet3!DB6/$LP$3) / ((Sheet3!DB6/$LP$3) + ((Sheet3!DA6-Sheet3!DB6)/$LQ$3))</f>
        <v>0.28005697424798948</v>
      </c>
      <c r="DP6" s="183">
        <f>((Sheet3!$DB6-(Sheet3!B6/4000)) / $LP$3) / (((Sheet3!$DA6-Sheet3!DB6) / $LQ$3) + (Sheet3!$DB6-((Sheet3!B6/4000)))/$LP$3)</f>
        <v>0.28004604260255478</v>
      </c>
      <c r="DQ6" s="183">
        <f>((Sheet3!$DB6-(SUM(Sheet3!B6:C6)/4000))/$LP$3)/(((Sheet3!$DA6-Sheet3!$DB6)/$LQ$3)+(Sheet3!$DB6-(SUM(Sheet3!B6:C6)/4000))/$LP$3)</f>
        <v>0.27934937713012337</v>
      </c>
      <c r="DR6" s="183">
        <f>((Sheet3!$DB6-(SUM(Sheet3!B6:D6)/4000))/$LP$3)/(((Sheet3!$DA6-Sheet3!$DB6)/$LQ$3)+(Sheet3!$DB6-(SUM(Sheet3!B6:D6)/4000))/$LP$3)</f>
        <v>0.27934085804648684</v>
      </c>
      <c r="DS6" s="183">
        <f>((Sheet3!$DB6-(SUM(Sheet3!B6:E6)/4000))/$LP$3)/(((Sheet3!$DA6-Sheet3!$DB6)/$LQ$3)+(Sheet3!$DB6-(SUM(Sheet3!B6:E6)/4000))/$LP$3)</f>
        <v>0.27858063249436904</v>
      </c>
      <c r="DT6" s="183">
        <f>((Sheet3!$DB6-(SUM(Sheet3!B6:F6)/4000))/$LP$3)/(((Sheet3!$DA6-Sheet3!$DB6)/$LQ$3)+(Sheet3!$DB6-(SUM(Sheet3!B6:F6)/4000))/$LP$3)</f>
        <v>0.27857087559938215</v>
      </c>
      <c r="DU6" s="183">
        <f>((Sheet3!$DB6-(SUM(Sheet3!B6:G6)/4000))/$LP$3)/(((Sheet3!$DA6-Sheet3!$DB6)/$LQ$3)+(Sheet3!$DB6-(SUM(Sheet3!B6:G6)/4000))/$LP$3)</f>
        <v>0.27781635696650941</v>
      </c>
      <c r="DV6" s="183">
        <f>((Sheet3!$DB6-(SUM(Sheet3!B6:H6)/4000))/$LP$3)/(((Sheet3!$DA6-Sheet3!$DB6)/$LQ$3)+(Sheet3!$DB6-(SUM(Sheet3!B6:H6)/4000))/$LP$3)</f>
        <v>0.27780657938741865</v>
      </c>
      <c r="DW6" s="183">
        <f>((Sheet3!$DB6-(SUM(Sheet3!B6:I6)/4000))/$LP$3)/(((Sheet3!$DA6-Sheet3!$DB6)/$LQ$3)+(Sheet3!$DB6-(SUM(Sheet3!B6:I6)/4000))/$LP$3)</f>
        <v>0.27708352776588574</v>
      </c>
      <c r="DX6" s="186">
        <f>($LR$2*($LP$3/1000))/($LP$2*(Sheet3!DF6+273))*DO6</f>
        <v>0.14709942302772022</v>
      </c>
      <c r="DY6" s="183">
        <f>(($LR$2*($LP$3/1000))/($LP$2*(Sheet3!BZ6+273)))*(DP6)</f>
        <v>0.14690292330581509</v>
      </c>
      <c r="DZ6" s="183">
        <f>(($LR$2*($LP$3/1000))/($LP$2*(Sheet3!CA6+273)))*(DQ6)</f>
        <v>0.14921048229660305</v>
      </c>
      <c r="EA6" s="183">
        <f>(($LR$2*($LP$3/1000))/($LP$2*(Sheet3!CB6+273)))*(DR6)</f>
        <v>0.15140886719426835</v>
      </c>
      <c r="EB6" s="183">
        <f>(($LR$2*($LP$3/1000))/($LP$2*(Sheet3!CC6+273)))*(DS6)</f>
        <v>0.15379232080813757</v>
      </c>
      <c r="EC6" s="183">
        <f>(($LR$2*($LP$3/1000))/($LP$2*(Sheet3!CD6+273)))*(DT6)</f>
        <v>0.15522863260909892</v>
      </c>
      <c r="ED6" s="183">
        <f>(($LR$2*($LP$3/1000))/($LP$2*(Sheet3!CE6+273)))*(DU6)</f>
        <v>0.15733627303040879</v>
      </c>
      <c r="EE6" s="183">
        <f>(($LR$2*($LP$3/1000))/($LP$2*(Sheet3!CF6+273)))*(DV6)</f>
        <v>0.15918735886305033</v>
      </c>
      <c r="EF6" s="183">
        <f>(($LR$2*($LP$3/1000))/($LP$2*(Sheet3!CG6+273)))*(DW6)</f>
        <v>0.16143928295561624</v>
      </c>
      <c r="EG6" s="186">
        <f>(($LR$2*($LQ$3/1000))/($LQ$2*(Sheet3!DF6+273)))*(1-DO6)</f>
        <v>0.60789279636756666</v>
      </c>
      <c r="EH6" s="183">
        <f>(($LR$2*($LQ$3/1000))/($LQ$2*(Sheet3!BZ6+273)))*(1-DP6)</f>
        <v>0.60711367114957526</v>
      </c>
      <c r="EI6" s="183">
        <f>(($LR$2*($LQ$3/1000))/($LQ$2*(Sheet3!CA6+273)))*(1-DQ6)</f>
        <v>0.61878629203272739</v>
      </c>
      <c r="EJ6" s="183">
        <f>(($LR$2*($LQ$3/1000))/($LQ$2*(Sheet3!CB6+273)))*(1-DR6)</f>
        <v>0.62792971988119339</v>
      </c>
      <c r="EK6" s="183">
        <f>(($LR$2*($LQ$3/1000))/($LQ$2*(Sheet3!CC6+273)))*(1-DS6)</f>
        <v>0.6402297030371471</v>
      </c>
      <c r="EL6" s="183">
        <f>(($LR$2*($LQ$3/1000))/($LQ$2*(Sheet3!CD6+273)))*(1-DT6)</f>
        <v>0.64624037025253145</v>
      </c>
      <c r="EM6" s="183">
        <f>(($LR$2*($LQ$3/1000))/($LQ$2*(Sheet3!CE6+273)))*(1-DU6)</f>
        <v>0.65748066409719996</v>
      </c>
      <c r="EN6" s="183">
        <f>(($LR$2*($LQ$3/1000))/($LQ$2*(Sheet3!CF6+273)))*(1-DV6)</f>
        <v>0.66524844614507517</v>
      </c>
      <c r="EO6" s="183">
        <f>(($LR$2*($LQ$3/1000))/($LQ$2*(Sheet3!CG6+273)))*(1-DW6)</f>
        <v>0.67709705254003205</v>
      </c>
      <c r="EP6" s="186">
        <f t="shared" si="132"/>
        <v>4669.5181534563926</v>
      </c>
      <c r="EQ6" s="183">
        <f xml:space="preserve"> (($FV6-(Sheet3!B6/4000))*0.018)/(0.011*JO6*3600)</f>
        <v>4664.5024350138501</v>
      </c>
      <c r="ER6" s="183">
        <f>((($FV6-(SUM(Sheet3!B6:C6)/4000))*0.018)/(0.011*JP6*3600))</f>
        <v>4729.0382183951742</v>
      </c>
      <c r="ES6" s="183">
        <f>((($FV6-(SUM(Sheet3!B6:D6)/4000))*0.018)/(0.011*JQ6*3600))</f>
        <v>4785.6584405703989</v>
      </c>
      <c r="ET6" s="183">
        <f>((($FV6-(SUM(Sheet3!B6:E6)/4000))*0.018)/(0.011*JR6))/3600</f>
        <v>4852.0708138732016</v>
      </c>
      <c r="EU6" s="183">
        <f>((($FV6-(SUM(Sheet3!B6:F6)/4000))*0.018)/(0.011*JS6))/3600</f>
        <v>4888.7593857767133</v>
      </c>
      <c r="EV6" s="183">
        <f>((($FV6-(SUM(Sheet3!B6:G6)/4000))*0.018)/(0.011*JT6))/3600</f>
        <v>4947.7130296155947</v>
      </c>
      <c r="EW6" s="183">
        <f>((($FV6-(SUM(Sheet3!B6:H6)/4000))*0.018)/(0.011*JU6))/3600</f>
        <v>4994.5996930847641</v>
      </c>
      <c r="EX6" s="183">
        <f>((($FV6-(SUM(Sheet3!B6:I6)/4000))*0.018)/(0.011*JV6))/3600</f>
        <v>5056.5641448803881</v>
      </c>
      <c r="EY6" s="186">
        <f t="shared" si="133"/>
        <v>48.372928546847724</v>
      </c>
      <c r="EZ6" s="183">
        <f t="shared" si="134"/>
        <v>48.33042214788707</v>
      </c>
      <c r="FA6" s="183">
        <f t="shared" si="135"/>
        <v>48.854876366349707</v>
      </c>
      <c r="FB6" s="183">
        <f t="shared" si="136"/>
        <v>49.334445256074545</v>
      </c>
      <c r="FC6" s="183">
        <f t="shared" si="137"/>
        <v>49.878002855573747</v>
      </c>
      <c r="FD6" s="183">
        <f t="shared" si="138"/>
        <v>50.191619605064197</v>
      </c>
      <c r="FE6" s="183">
        <f t="shared" si="139"/>
        <v>50.675606196983104</v>
      </c>
      <c r="FF6" s="183">
        <f t="shared" si="140"/>
        <v>51.080092720110095</v>
      </c>
      <c r="FG6" s="183">
        <f t="shared" si="141"/>
        <v>51.595588573015895</v>
      </c>
      <c r="FH6" s="186">
        <f t="shared" si="28"/>
        <v>96.857389590103409</v>
      </c>
      <c r="FI6" s="183">
        <f t="shared" si="29"/>
        <v>96.937393539955735</v>
      </c>
      <c r="FJ6" s="183">
        <f t="shared" si="30"/>
        <v>95.667415970826042</v>
      </c>
      <c r="FK6" s="183">
        <f t="shared" si="31"/>
        <v>94.744356392305292</v>
      </c>
      <c r="FL6" s="183">
        <f t="shared" si="32"/>
        <v>93.459516638646704</v>
      </c>
      <c r="FM6" s="183">
        <f t="shared" si="33"/>
        <v>92.874777153073836</v>
      </c>
      <c r="FN6" s="183">
        <f t="shared" si="34"/>
        <v>91.736090706757977</v>
      </c>
      <c r="FO6" s="183">
        <f t="shared" si="35"/>
        <v>91.005349112739808</v>
      </c>
      <c r="FP6" s="183">
        <f t="shared" si="36"/>
        <v>89.854193637632335</v>
      </c>
      <c r="FQ6" s="314">
        <f>Sheet3!CV6</f>
        <v>2</v>
      </c>
      <c r="FR6" s="183">
        <v>5000</v>
      </c>
      <c r="FS6" s="183">
        <v>20</v>
      </c>
      <c r="FT6" s="183">
        <v>0.16253333333333331</v>
      </c>
      <c r="FU6" s="183">
        <v>23.5</v>
      </c>
      <c r="FV6" s="183">
        <v>213</v>
      </c>
      <c r="FW6" s="183">
        <v>41.5</v>
      </c>
      <c r="FX6" s="183">
        <v>403.5</v>
      </c>
      <c r="FY6" s="183">
        <v>8.84</v>
      </c>
      <c r="FZ6" s="183">
        <v>19.82</v>
      </c>
      <c r="GA6" s="183">
        <v>145</v>
      </c>
      <c r="GB6" s="186">
        <f>EXP($LP$6-($LQ$6/('Trial and Error method'!T6+$LP$8))) / ($LR$2/1000)</f>
        <v>0.32945543727164994</v>
      </c>
      <c r="GC6" s="183">
        <f>EXP($LP$6-($LQ$6/('Trial and Error method'!U6+$LP$8))) / ($LR$2/1000)</f>
        <v>0.12369495588813291</v>
      </c>
      <c r="GD6" s="183">
        <f>EXP($LP$6-($LQ$6/('Trial and Error method'!V6+$LP$8))) / ($LR$2/1000)</f>
        <v>0.12023116830880047</v>
      </c>
      <c r="GE6" s="183">
        <f>EXP($LP$6-($LQ$6/('Trial and Error method'!W6+$LP$8))) / ($LR$2/1000)</f>
        <v>0.11674998937483691</v>
      </c>
      <c r="GF6" s="183">
        <f>EXP($LP$6-($LQ$6/('Trial and Error method'!X6+$LP$8))) / ($LR$2/1000)</f>
        <v>0.11157678622857023</v>
      </c>
      <c r="GG6" s="183">
        <f>EXP($LP$6-($LQ$6/('Trial and Error method'!Y6+$LP$8))) / ($LR$2/1000)</f>
        <v>0.1077534775837778</v>
      </c>
      <c r="GH6" s="183">
        <f>EXP($LP$6-($LQ$6/('Trial and Error method'!Z6+$LP$8))) / ($LR$2/1000)</f>
        <v>0.10290299473053886</v>
      </c>
      <c r="GI6" s="183">
        <f>EXP($LP$6-($LQ$6/('Trial and Error method'!AA6+$LP$8))) / ($LR$2/1000)</f>
        <v>8.7906883675412884E-2</v>
      </c>
      <c r="GJ6" s="183">
        <f>EXP($LP$6-($LQ$6/('Trial and Error method'!AB6+$LP$8))) / ($LR$2/1000)</f>
        <v>0.3200138031258869</v>
      </c>
      <c r="GK6" s="188">
        <f t="shared" si="142"/>
        <v>0.69495120743022076</v>
      </c>
      <c r="GL6" s="165">
        <f t="shared" si="143"/>
        <v>0.79557054680130856</v>
      </c>
      <c r="GM6" s="165">
        <f t="shared" si="144"/>
        <v>0.79756607749230179</v>
      </c>
      <c r="GN6" s="165">
        <f t="shared" si="145"/>
        <v>0.79919999117088891</v>
      </c>
      <c r="GO6" s="165">
        <f t="shared" si="146"/>
        <v>0.80202548170476462</v>
      </c>
      <c r="GP6" s="165">
        <f t="shared" si="147"/>
        <v>0.80381508784722799</v>
      </c>
      <c r="GQ6" s="165">
        <f t="shared" si="148"/>
        <v>0.80648146612321492</v>
      </c>
      <c r="GR6" s="165">
        <f t="shared" si="149"/>
        <v>0.81345229381593909</v>
      </c>
      <c r="GS6" s="165">
        <f t="shared" si="150"/>
        <v>0.70123232803380053</v>
      </c>
      <c r="GT6" s="188">
        <f t="shared" si="38"/>
        <v>7.7532553800786788E-2</v>
      </c>
      <c r="GU6" s="165">
        <f t="shared" si="39"/>
        <v>6.7721136680049629E-2</v>
      </c>
      <c r="GV6" s="165">
        <f t="shared" si="40"/>
        <v>6.7535085392198144E-2</v>
      </c>
      <c r="GW6" s="165">
        <f t="shared" si="41"/>
        <v>6.7408185006803137E-2</v>
      </c>
      <c r="GX6" s="165">
        <f t="shared" si="42"/>
        <v>6.7164128291359343E-2</v>
      </c>
      <c r="GY6" s="165">
        <f t="shared" si="43"/>
        <v>6.702730432050226E-2</v>
      </c>
      <c r="GZ6" s="165">
        <f t="shared" si="44"/>
        <v>6.6805639369422409E-2</v>
      </c>
      <c r="HA6" s="165">
        <f t="shared" si="45"/>
        <v>6.6255434457840559E-2</v>
      </c>
      <c r="HB6" s="165">
        <f t="shared" si="46"/>
        <v>7.6864080860933617E-2</v>
      </c>
      <c r="HC6" s="188">
        <f>BV6*Sheet3!DF6</f>
        <v>173.48265913102415</v>
      </c>
      <c r="HD6" s="165">
        <f>BW6*Sheet3!BZ6</f>
        <v>174.14589152181495</v>
      </c>
      <c r="HE6" s="165">
        <f>BX6*Sheet3!CA6</f>
        <v>164.57547301671627</v>
      </c>
      <c r="HF6" s="165">
        <f>BY6*Sheet3!CB6</f>
        <v>157.24923721558287</v>
      </c>
      <c r="HG6" s="165">
        <f>BZ6*Sheet3!CC6</f>
        <v>147.92240451296323</v>
      </c>
      <c r="HH6" s="165">
        <f>CA6*Sheet3!CD6</f>
        <v>143.42992455663759</v>
      </c>
      <c r="HI6" s="165">
        <f>CB6*Sheet3!CE6</f>
        <v>135.44569650451126</v>
      </c>
      <c r="HJ6" s="165">
        <f>CC6*Sheet3!CF6</f>
        <v>129.98455688545332</v>
      </c>
      <c r="HK6" s="165">
        <f>CD6*Sheet3!CG6</f>
        <v>122.0978447991708</v>
      </c>
      <c r="HL6" s="188">
        <f>(CE6*Sheet3!DF6)+2501</f>
        <v>2777.9002721684374</v>
      </c>
      <c r="HM6" s="165">
        <f>(CF6*Sheet3!BZ6)+2501</f>
        <v>2778.975980047881</v>
      </c>
      <c r="HN6" s="165">
        <f>(CG6*Sheet3!CA6)+2501</f>
        <v>2764.147396547326</v>
      </c>
      <c r="HO6" s="165">
        <f>(CH6*Sheet3!CB6)+2501</f>
        <v>2752.3671772043117</v>
      </c>
      <c r="HP6" s="165">
        <f>(CI6*Sheet3!CC6)+2501</f>
        <v>2737.9207576863814</v>
      </c>
      <c r="HQ6" s="165">
        <f>(CJ6*Sheet3!CD6)+2501</f>
        <v>2730.6968115444233</v>
      </c>
      <c r="HR6" s="165">
        <f>(CK6*Sheet3!CE6)+2501</f>
        <v>2718.3505191253653</v>
      </c>
      <c r="HS6" s="165">
        <f>(CL6*Sheet3!CF6)+2501</f>
        <v>2709.5597990643237</v>
      </c>
      <c r="HT6" s="165">
        <f>(CM6*Sheet3!CG6)+2501</f>
        <v>2697.2939048207136</v>
      </c>
      <c r="HU6" s="188">
        <f>-0.0021*(Sheet3!DF6^2) - 2.2115*(Sheet3!DF6) + 2499</f>
        <v>2134.1799999999998</v>
      </c>
      <c r="HV6" s="165">
        <f>-0.0021*(Sheet3!BZ6^2) - 2.2115*(Sheet3!BZ6) + 2499</f>
        <v>2132.6484543550969</v>
      </c>
      <c r="HW6" s="165">
        <f>-0.0021*(Sheet3!CA6^2) - 2.2115*(Sheet3!CA6) + 2499</f>
        <v>2153.6953604836681</v>
      </c>
      <c r="HX6" s="165">
        <f>-0.0021*(Sheet3!CB6^2) - 2.2115*(Sheet3!CB6) + 2499</f>
        <v>2170.313633882965</v>
      </c>
      <c r="HY6" s="165">
        <f>-0.0021*(Sheet3!CC6^2) - 2.2115*(Sheet3!CC6) + 2499</f>
        <v>2190.5669109738369</v>
      </c>
      <c r="HZ6" s="165">
        <f>-0.0021*(Sheet3!CD6^2) - 2.2115*(Sheet3!CD6) + 2499</f>
        <v>2200.6413918445633</v>
      </c>
      <c r="IA6" s="165">
        <f>-0.0021*(Sheet3!CE6^2) - 2.2115*(Sheet3!CE6) + 2499</f>
        <v>2217.7756422256284</v>
      </c>
      <c r="IB6" s="165">
        <f>-0.0021*(Sheet3!CF6^2) - 2.2115*(Sheet3!CF6) + 2499</f>
        <v>2229.9098227653931</v>
      </c>
      <c r="IC6" s="165">
        <f>-0.0021*(Sheet3!CG6^2) - 2.2115*(Sheet3!CG6) + 2499</f>
        <v>2246.7477251673104</v>
      </c>
      <c r="ID6" s="188">
        <f t="shared" si="47"/>
        <v>0.68828774687146788</v>
      </c>
      <c r="IE6" s="165">
        <f t="shared" si="48"/>
        <v>0.68790157863516233</v>
      </c>
      <c r="IF6" s="165">
        <f t="shared" si="49"/>
        <v>0.69199593421001215</v>
      </c>
      <c r="IG6" s="165">
        <f t="shared" si="50"/>
        <v>0.69637354247178795</v>
      </c>
      <c r="IH6" s="165">
        <f t="shared" si="51"/>
        <v>0.7007880133017137</v>
      </c>
      <c r="II6" s="165">
        <f t="shared" si="52"/>
        <v>0.70375747835103941</v>
      </c>
      <c r="IJ6" s="165">
        <f t="shared" si="53"/>
        <v>0.70776627786029944</v>
      </c>
      <c r="IK6" s="165">
        <f t="shared" si="54"/>
        <v>0.71172536825885357</v>
      </c>
      <c r="IL6" s="165">
        <f t="shared" si="55"/>
        <v>0.7162342414554379</v>
      </c>
      <c r="IM6" s="188">
        <f t="shared" si="56"/>
        <v>-8.1738859070706233</v>
      </c>
      <c r="IN6" s="165">
        <f t="shared" si="151"/>
        <v>22.581064716243318</v>
      </c>
      <c r="IO6" s="165">
        <f t="shared" si="152"/>
        <v>23.143743485638989</v>
      </c>
      <c r="IP6" s="165">
        <f t="shared" si="153"/>
        <v>23.786540535518217</v>
      </c>
      <c r="IQ6" s="165">
        <f t="shared" si="154"/>
        <v>24.570861237125591</v>
      </c>
      <c r="IR6" s="165">
        <f t="shared" si="155"/>
        <v>25.196088954909523</v>
      </c>
      <c r="IS6" s="165">
        <f t="shared" si="156"/>
        <v>25.915149713276023</v>
      </c>
      <c r="IT6" s="165">
        <f t="shared" si="157"/>
        <v>28.05647305970616</v>
      </c>
      <c r="IU6" s="165">
        <f t="shared" si="158"/>
        <v>-7.4138095084765787</v>
      </c>
      <c r="IV6" s="188">
        <f>_xlfn.FORECAST.LINEAR(Sheet3!DF6,Sheet2!$AK$2:$AK$69,Sheet2!$AJ$2:$AJ$69)</f>
        <v>1.386217343669711E-5</v>
      </c>
      <c r="IW6" s="165">
        <f>_xlfn.FORECAST.LINEAR(Sheet3!BZ6,Sheet2!$AK$2:$AK$69,Sheet2!$AJ$2:$AJ$69)</f>
        <v>1.3881177617357743E-5</v>
      </c>
      <c r="IX6" s="165">
        <f>_xlfn.FORECAST.LINEAR(Sheet3!CA6,Sheet2!$AK$2:$AK$69,Sheet2!$AJ$2:$AJ$69)</f>
        <v>1.361865824021787E-5</v>
      </c>
      <c r="IY6" s="165">
        <f>_xlfn.FORECAST.LINEAR(Sheet3!CB6,Sheet2!$AK$2:$AK$69,Sheet2!$AJ$2:$AJ$69)</f>
        <v>1.3409266069664344E-5</v>
      </c>
      <c r="IZ6" s="165">
        <f>_xlfn.FORECAST.LINEAR(Sheet3!CC6,Sheet2!$AK$2:$AK$69,Sheet2!$AJ$2:$AJ$69)</f>
        <v>1.3151472791686887E-5</v>
      </c>
      <c r="JA6" s="165">
        <f>_xlfn.FORECAST.LINEAR(Sheet3!CD6,Sheet2!$AK$2:$AK$69,Sheet2!$AJ$2:$AJ$69)</f>
        <v>1.3022148405292448E-5</v>
      </c>
      <c r="JB6" s="165">
        <f>_xlfn.FORECAST.LINEAR(Sheet3!CE6,Sheet2!$AK$2:$AK$69,Sheet2!$AJ$2:$AJ$69)</f>
        <v>1.2800488117819867E-5</v>
      </c>
      <c r="JC6" s="165">
        <f>_xlfn.FORECAST.LINEAR(Sheet3!CF6,Sheet2!$AK$2:$AK$69,Sheet2!$AJ$2:$AJ$69)</f>
        <v>1.2642179050181073E-5</v>
      </c>
      <c r="JD6" s="165">
        <f>_xlfn.FORECAST.LINEAR(Sheet3!CG6,Sheet2!$AK$2:$AK$69,Sheet2!$AJ$2:$AJ$69)</f>
        <v>1.2420621682731586E-5</v>
      </c>
      <c r="JE6" s="188">
        <f>_xlfn.FORECAST.LINEAR(Sheet3!DF6,New!$MC$2:$MC$18,New!$MB$2:$MB$18)</f>
        <v>2.337798370672098E-5</v>
      </c>
      <c r="JF6" s="165">
        <f>_xlfn.FORECAST.LINEAR(Sheet3!BZ6,New!$MC$2:$MC$18,New!$MB$2:$MB$18)</f>
        <v>2.3400323579786209E-5</v>
      </c>
      <c r="JG6" s="165">
        <f>_xlfn.FORECAST.LINEAR(Sheet3!CA6,New!$MC$2:$MC$18,New!$MB$2:$MB$18)</f>
        <v>2.3091725715600637E-5</v>
      </c>
      <c r="JH6" s="165">
        <f>_xlfn.FORECAST.LINEAR(Sheet3!CB6,New!$MC$2:$MC$18,New!$MB$2:$MB$18)</f>
        <v>2.2845580165074018E-5</v>
      </c>
      <c r="JI6" s="165">
        <f>_xlfn.FORECAST.LINEAR(Sheet3!CC6,New!$MC$2:$MC$18,New!$MB$2:$MB$18)</f>
        <v>2.254253794452641E-5</v>
      </c>
      <c r="JJ6" s="165">
        <f>_xlfn.FORECAST.LINEAR(Sheet3!CD6,New!$MC$2:$MC$18,New!$MB$2:$MB$18)</f>
        <v>2.2390514006852775E-5</v>
      </c>
      <c r="JK6" s="165">
        <f>_xlfn.FORECAST.LINEAR(Sheet3!CE6,New!$MC$2:$MC$18,New!$MB$2:$MB$18)</f>
        <v>2.2129946988775656E-5</v>
      </c>
      <c r="JL6" s="165">
        <f>_xlfn.FORECAST.LINEAR(Sheet3!CF6,New!$MC$2:$MC$18,New!$MB$2:$MB$18)</f>
        <v>2.194385085870404E-5</v>
      </c>
      <c r="JM6" s="165">
        <f>_xlfn.FORECAST.LINEAR(Sheet3!CG6,New!$MC$2:$MC$18,New!$MB$2:$MB$18)</f>
        <v>2.1683404825598224E-5</v>
      </c>
      <c r="JN6" s="188">
        <f t="shared" si="159"/>
        <v>2.0734084039595536E-5</v>
      </c>
      <c r="JO6" s="165">
        <f t="shared" si="160"/>
        <v>2.0756160049173949E-5</v>
      </c>
      <c r="JP6" s="165">
        <f t="shared" si="161"/>
        <v>2.0459137986704367E-5</v>
      </c>
      <c r="JQ6" s="165">
        <f t="shared" si="162"/>
        <v>2.0216915018379016E-5</v>
      </c>
      <c r="JR6" s="165">
        <f t="shared" si="163"/>
        <v>1.9925583244304534E-5</v>
      </c>
      <c r="JS6" s="165">
        <f t="shared" si="164"/>
        <v>1.9775862174657151E-5</v>
      </c>
      <c r="JT6" s="165">
        <f t="shared" si="165"/>
        <v>1.9526032323859422E-5</v>
      </c>
      <c r="JU6" s="165">
        <f t="shared" si="166"/>
        <v>1.9342550232464828E-5</v>
      </c>
      <c r="JV6" s="165">
        <f t="shared" si="167"/>
        <v>1.9092240026536837E-5</v>
      </c>
      <c r="JW6" s="188">
        <f t="shared" si="66"/>
        <v>1.0152024173422087</v>
      </c>
      <c r="JX6" s="165">
        <f t="shared" si="67"/>
        <v>1.0149768761651807</v>
      </c>
      <c r="JY6" s="165">
        <f t="shared" si="68"/>
        <v>1.0181461701347971</v>
      </c>
      <c r="JZ6" s="165">
        <f t="shared" si="69"/>
        <v>1.0207598323279741</v>
      </c>
      <c r="KA6" s="165">
        <f t="shared" si="70"/>
        <v>1.0240877730160511</v>
      </c>
      <c r="KB6" s="165">
        <f t="shared" si="71"/>
        <v>1.0258050735362521</v>
      </c>
      <c r="KC6" s="165">
        <f t="shared" si="72"/>
        <v>1.0288262165723316</v>
      </c>
      <c r="KD6" s="165">
        <f t="shared" si="73"/>
        <v>1.0310463342133067</v>
      </c>
      <c r="KE6" s="165">
        <f t="shared" si="74"/>
        <v>1.0342448771894188</v>
      </c>
      <c r="KF6" s="188">
        <f t="shared" si="75"/>
        <v>0.9677010468805306</v>
      </c>
      <c r="KG6" s="165">
        <f t="shared" si="76"/>
        <v>0.96788751420955099</v>
      </c>
      <c r="KH6" s="165">
        <f t="shared" si="77"/>
        <v>0.96527787998253911</v>
      </c>
      <c r="KI6" s="165">
        <f t="shared" si="78"/>
        <v>0.96314279405602299</v>
      </c>
      <c r="KJ6" s="165">
        <f t="shared" si="79"/>
        <v>0.96044622402925073</v>
      </c>
      <c r="KK6" s="165">
        <f t="shared" si="80"/>
        <v>0.95906426784376364</v>
      </c>
      <c r="KL6" s="165">
        <f t="shared" si="81"/>
        <v>0.95664866701035423</v>
      </c>
      <c r="KM6" s="165">
        <f t="shared" si="82"/>
        <v>0.95488609133191626</v>
      </c>
      <c r="KN6" s="165">
        <f t="shared" si="83"/>
        <v>0.95236521679718722</v>
      </c>
      <c r="KO6" s="188">
        <f t="shared" si="84"/>
        <v>0.621917868917644</v>
      </c>
      <c r="KP6" s="165">
        <f t="shared" si="85"/>
        <v>0.62234133693868854</v>
      </c>
      <c r="KQ6" s="165">
        <f t="shared" si="86"/>
        <v>0.6173645930976529</v>
      </c>
      <c r="KR6" s="165">
        <f t="shared" si="87"/>
        <v>0.61329471223129672</v>
      </c>
      <c r="KS6" s="165">
        <f t="shared" si="88"/>
        <v>0.60819563215082761</v>
      </c>
      <c r="KT6" s="165">
        <f t="shared" si="89"/>
        <v>0.60557981136732919</v>
      </c>
      <c r="KU6" s="165">
        <f t="shared" si="90"/>
        <v>0.60104644550595077</v>
      </c>
      <c r="KV6" s="165">
        <f t="shared" si="91"/>
        <v>0.59773172499743166</v>
      </c>
      <c r="KW6" s="165">
        <f t="shared" si="92"/>
        <v>0.59312113400607736</v>
      </c>
      <c r="KX6" s="188">
        <f>AVERAGE(Sheet3!J6:P6)*KO6^(1/3)/ID6^(1/3)</f>
        <v>114.11285393745648</v>
      </c>
      <c r="KY6" s="165">
        <f>Sheet3!J6*KP6^(1/3)/IE6^(1/3)</f>
        <v>40.532278783942381</v>
      </c>
      <c r="KZ6" s="165">
        <f>Sheet3!K6*KQ6^(1/3)/IF6^(1/3)</f>
        <v>64.544920282973223</v>
      </c>
      <c r="LA6" s="165">
        <f>Sheet3!L6*KR6^(1/3)/IG6^(1/3)</f>
        <v>89.428373082000618</v>
      </c>
      <c r="LB6" s="165">
        <f>Sheet3!M6*KS6^(1/3)/IH6^(1/3)</f>
        <v>112.82139154388138</v>
      </c>
      <c r="LC6" s="165">
        <f>Sheet3!N6*KT6^(1/3)/II6^(1/3)</f>
        <v>136.77131179062042</v>
      </c>
      <c r="LD6" s="165">
        <f>Sheet3!O6*KU6^(1/3)/IJ6^(1/3)</f>
        <v>159.83435914458752</v>
      </c>
      <c r="LE6" s="165">
        <f>Sheet3!P6*KV6^(1/3)/IK6^(1/3)</f>
        <v>182.22294678870654</v>
      </c>
      <c r="LF6" s="165">
        <f>Sheet3!Q6*KW6^(1/3)/IL6^(1/3)</f>
        <v>198.81651934037669</v>
      </c>
      <c r="LG6" s="186">
        <f t="shared" si="93"/>
        <v>25.894776416855755</v>
      </c>
      <c r="LH6" s="183">
        <f t="shared" si="94"/>
        <v>25.899645924427734</v>
      </c>
      <c r="LI6" s="183">
        <f t="shared" si="95"/>
        <v>26.214807329959061</v>
      </c>
      <c r="LJ6" s="183">
        <f t="shared" si="96"/>
        <v>26.218721010725439</v>
      </c>
      <c r="LK6" s="183">
        <f t="shared" si="97"/>
        <v>26.573967541344352</v>
      </c>
      <c r="LL6" s="183">
        <f t="shared" si="98"/>
        <v>26.578605240223304</v>
      </c>
      <c r="LM6" s="183">
        <f t="shared" si="99"/>
        <v>26.943464618056218</v>
      </c>
      <c r="LN6" s="183">
        <f t="shared" si="100"/>
        <v>26.948274658026076</v>
      </c>
      <c r="LO6" s="183">
        <f t="shared" si="101"/>
        <v>27.30997867644615</v>
      </c>
      <c r="LP6" s="223">
        <v>16.262</v>
      </c>
      <c r="LQ6" s="223">
        <v>3799.89</v>
      </c>
      <c r="LR6" s="219"/>
      <c r="LS6" s="219"/>
      <c r="LT6" s="219">
        <v>66.900000000000006</v>
      </c>
      <c r="LU6" s="219">
        <v>1.0089999999999999</v>
      </c>
      <c r="LV6" s="220"/>
      <c r="LW6" s="220"/>
      <c r="LX6" s="220"/>
      <c r="LY6" s="220"/>
      <c r="LZ6" s="222">
        <v>39.020000000000003</v>
      </c>
      <c r="MA6" s="220">
        <v>1.0000000000000001E-5</v>
      </c>
      <c r="MB6" s="220">
        <v>25</v>
      </c>
      <c r="MC6" s="220">
        <v>1.8369999999999999E-5</v>
      </c>
      <c r="MD6" s="188">
        <f>Sheet3!DP6</f>
        <v>216.10257337101359</v>
      </c>
      <c r="ME6" s="264">
        <v>50</v>
      </c>
      <c r="MF6" s="264">
        <v>0.12330000000000001</v>
      </c>
      <c r="MG6" s="264">
        <v>1.907</v>
      </c>
      <c r="MH6" s="264">
        <v>8.3099999999999993E-2</v>
      </c>
      <c r="MI6" s="264">
        <v>10</v>
      </c>
      <c r="MJ6" s="264">
        <v>120.34</v>
      </c>
      <c r="MK6" s="273">
        <v>40</v>
      </c>
      <c r="ML6" s="267">
        <v>7.3700000000000002E-2</v>
      </c>
      <c r="MM6" s="267">
        <v>5.0900000000000001E-2</v>
      </c>
      <c r="MN6" s="267">
        <v>1.8939999999999999</v>
      </c>
      <c r="MO6" s="267">
        <v>9.66</v>
      </c>
      <c r="MP6" s="274">
        <v>189.78</v>
      </c>
      <c r="MQ6"/>
      <c r="MR6"/>
      <c r="MS6"/>
    </row>
    <row r="7" spans="1:357" ht="15" thickBot="1" x14ac:dyDescent="0.35">
      <c r="A7" s="184">
        <f>Sheet3!A7</f>
        <v>44893</v>
      </c>
      <c r="B7" s="186">
        <f t="shared" si="102"/>
        <v>0.92133916120717241</v>
      </c>
      <c r="C7" s="183">
        <f t="shared" si="103"/>
        <v>0.91623825112980428</v>
      </c>
      <c r="D7" s="183">
        <f t="shared" si="0"/>
        <v>0.90733204585631799</v>
      </c>
      <c r="E7" s="183">
        <f t="shared" si="1"/>
        <v>0.89567547103483081</v>
      </c>
      <c r="F7" s="183">
        <f t="shared" si="2"/>
        <v>0.88065851253353478</v>
      </c>
      <c r="G7" s="183">
        <f t="shared" si="3"/>
        <v>0.87301455872222045</v>
      </c>
      <c r="H7" s="183">
        <f t="shared" si="4"/>
        <v>0.86379092410095304</v>
      </c>
      <c r="I7" s="183">
        <f t="shared" si="5"/>
        <v>0.85280296146679724</v>
      </c>
      <c r="J7" s="183">
        <f t="shared" si="6"/>
        <v>0.84288770799356094</v>
      </c>
      <c r="K7" s="186">
        <f xml:space="preserve"> (6.057 * (10^(-6)))
+ (4.055 * (10^(-8)) * (Sheet3!DF7 + 273))
+ (1.25 * (10^(-10)) * (Sheet3!DF7 + 273)^2)
- (3.367 * (10^(-14)) * (DD7 + 273)^3)</f>
        <v>4.5621291802159058E-5</v>
      </c>
      <c r="L7" s="183">
        <f xml:space="preserve"> (6.057 * (10^(-6)))
+ (4.055 * (10^(-8)) * (Sheet3!BZ7 + 273))
+ (1.25 * (10^(-10)) * (Sheet3!BZ7 + 273)^2)
- (3.367 * (10^(-14)) * (BX7 + 273)^3)</f>
        <v>4.5184198506612372E-5</v>
      </c>
      <c r="M7" s="183">
        <f xml:space="preserve"> (6.057 * (10^(-6)))
+ (4.055 * (10^(-8)) * (Sheet3!CA7 + 273))
+ (1.25 * (10^(-10)) * (Sheet3!CA7 + 273)^2)
- (3.367 * (10^(-14)) * (BY7 + 273)^3)</f>
        <v>4.4348652017761427E-5</v>
      </c>
      <c r="N7" s="183">
        <f xml:space="preserve"> (6.057 * (10^(-6)))
+ (4.055 * (10^(-8)) * (Sheet3!CB7 + 273))
+ (1.25 * (10^(-10)) * (Sheet3!CB7 + 273)^2)
- (3.367 * (10^(-14)) * (BZ7 + 273)^3)</f>
        <v>4.3432591401466881E-5</v>
      </c>
      <c r="O7" s="183">
        <f xml:space="preserve"> (6.057 * (10^(-6)))
+ (4.055 * (10^(-8)) * (Sheet3!CC7 + 273))
+ (1.25 * (10^(-10)) * (Sheet3!CC7 + 273)^2)
- (3.367 * (10^(-14)) * (CA7 + 273)^3)</f>
        <v>4.2185494172337095E-5</v>
      </c>
      <c r="P7" s="183">
        <f xml:space="preserve"> (6.057 * (10^(-6)))
+ (4.055 * (10^(-8)) * (Sheet3!CD7 + 273))
+ (1.25 * (10^(-10)) * (Sheet3!CD7 + 273)^2)
- (3.367 * (10^(-14)) * (CB7 + 273)^3)</f>
        <v>4.1627266675455542E-5</v>
      </c>
      <c r="Q7" s="183">
        <f xml:space="preserve"> (6.057 * (10^(-6)))
+ (4.055 * (10^(-8)) * (Sheet3!CE7 + 273))
+ (1.25 * (10^(-10)) * (Sheet3!CE7 + 273)^2)
- (3.367 * (10^(-14)) * (CC7 + 273)^3)</f>
        <v>4.0860011673103278E-5</v>
      </c>
      <c r="R7" s="183">
        <f xml:space="preserve"> (6.057 * (10^(-6)))
+ (4.055 * (10^(-8)) * (Sheet3!CF7 + 273))
+ (1.25 * (10^(-10)) * (Sheet3!CF7 + 273)^2)
- (3.367 * (10^(-14)) * (CD7 + 273)^3)</f>
        <v>4.0100365918779373E-5</v>
      </c>
      <c r="S7" s="183">
        <f xml:space="preserve"> (6.057 * (10^(-6)))
+ (4.055 * (10^(-8)) * (Sheet3!CG7 + 273))
+ (1.25 * (10^(-10)) * (Sheet3!CG7 + 273)^2)
- (3.367 * (10^(-14)) * (CE7 + 273)^3)</f>
        <v>3.9319928151097524E-5</v>
      </c>
      <c r="T7" s="188">
        <f t="shared" si="104"/>
        <v>4.5621291802159058E-5</v>
      </c>
      <c r="U7" s="165">
        <f t="shared" si="105"/>
        <v>4.5184198506612372E-5</v>
      </c>
      <c r="V7" s="165">
        <f t="shared" si="106"/>
        <v>4.4348652017761427E-5</v>
      </c>
      <c r="W7" s="165">
        <f t="shared" si="107"/>
        <v>4.3432591401466881E-5</v>
      </c>
      <c r="X7" s="165">
        <f t="shared" si="108"/>
        <v>4.2185494172337095E-5</v>
      </c>
      <c r="Y7" s="165">
        <f t="shared" si="109"/>
        <v>4.1627266675455542E-5</v>
      </c>
      <c r="Z7" s="165">
        <f t="shared" si="110"/>
        <v>4.0860011673103278E-5</v>
      </c>
      <c r="AA7" s="165">
        <f t="shared" si="111"/>
        <v>4.0100365918779373E-5</v>
      </c>
      <c r="AB7" s="165">
        <f t="shared" si="112"/>
        <v>3.9319928151097524E-5</v>
      </c>
      <c r="AC7" s="186">
        <f t="shared" si="8"/>
        <v>4.2032682722188875E-5</v>
      </c>
      <c r="AD7" s="183">
        <f t="shared" si="9"/>
        <v>4.1399491018400433E-5</v>
      </c>
      <c r="AE7" s="183">
        <f t="shared" si="10"/>
        <v>4.0238953166245398E-5</v>
      </c>
      <c r="AF7" s="183">
        <f t="shared" si="11"/>
        <v>3.8901506761772193E-5</v>
      </c>
      <c r="AG7" s="183">
        <f t="shared" si="12"/>
        <v>3.7151014548302488E-5</v>
      </c>
      <c r="AH7" s="183">
        <f t="shared" si="13"/>
        <v>3.6341209847485014E-5</v>
      </c>
      <c r="AI7" s="183">
        <f t="shared" si="14"/>
        <v>3.5294507241885611E-5</v>
      </c>
      <c r="AJ7" s="183">
        <f t="shared" si="15"/>
        <v>3.4197710811437276E-5</v>
      </c>
      <c r="AK7" s="183">
        <f t="shared" si="16"/>
        <v>3.3142284117750088E-5</v>
      </c>
      <c r="AL7" s="186">
        <f t="shared" si="113"/>
        <v>3.713139633115814E-2</v>
      </c>
      <c r="AM7" s="183">
        <f t="shared" si="114"/>
        <v>3.6801642975290094E-2</v>
      </c>
      <c r="AN7" s="183">
        <f t="shared" si="115"/>
        <v>3.615367416346682E-2</v>
      </c>
      <c r="AO7" s="183">
        <f t="shared" si="116"/>
        <v>3.5441232274754264E-2</v>
      </c>
      <c r="AP7" s="183">
        <f t="shared" si="117"/>
        <v>3.445344524013879E-2</v>
      </c>
      <c r="AQ7" s="183">
        <f t="shared" si="118"/>
        <v>3.4007590356623207E-2</v>
      </c>
      <c r="AR7" s="183">
        <f t="shared" si="119"/>
        <v>3.3386889330485343E-2</v>
      </c>
      <c r="AS7" s="183">
        <f t="shared" si="120"/>
        <v>3.2768080804162117E-2</v>
      </c>
      <c r="AT7" s="183">
        <f t="shared" si="121"/>
        <v>3.2129202860440284E-2</v>
      </c>
      <c r="AU7" s="186">
        <f>_xlfn.FORECAST.LINEAR(Sheet3!DF7,Sheet2!$AH$2:$AH$40,Sheet2!$AG$2:$AG$40)</f>
        <v>4.3443859820780389E-2</v>
      </c>
      <c r="AV7" s="183">
        <f>_xlfn.FORECAST.LINEAR(Sheet3!BZ7,Sheet2!$AH$2:$AH$40,Sheet2!$AG$2:$AG$40)</f>
        <v>4.2697687543794161E-2</v>
      </c>
      <c r="AW7" s="183">
        <f>_xlfn.FORECAST.LINEAR(Sheet3!CA7,Sheet2!$AH$2:$AH$40,Sheet2!$AG$2:$AG$40)</f>
        <v>4.124422176044816E-2</v>
      </c>
      <c r="AX7" s="183">
        <f>_xlfn.FORECAST.LINEAR(Sheet3!CB7,Sheet2!$AH$2:$AH$40,Sheet2!$AG$2:$AG$40)</f>
        <v>3.9634053305018645E-2</v>
      </c>
      <c r="AY7" s="183">
        <f>_xlfn.FORECAST.LINEAR(Sheet3!CC7,Sheet2!$AH$2:$AH$40,Sheet2!$AG$2:$AG$40)</f>
        <v>3.7413148125771158E-2</v>
      </c>
      <c r="AZ7" s="183">
        <f>_xlfn.FORECAST.LINEAR(Sheet3!CD7,Sheet2!$AH$2:$AH$40,Sheet2!$AG$2:$AG$40)</f>
        <v>3.6407797792643762E-2</v>
      </c>
      <c r="BA7" s="183">
        <f>_xlfn.FORECAST.LINEAR(Sheet3!CE7,Sheet2!$AH$2:$AH$40,Sheet2!$AG$2:$AG$40)</f>
        <v>3.5014401525950589E-2</v>
      </c>
      <c r="BB7" s="183">
        <f>_xlfn.FORECAST.LINEAR(Sheet3!CF7,Sheet2!$AH$2:$AH$40,Sheet2!$AG$2:$AG$40)</f>
        <v>3.3621144015365541E-2</v>
      </c>
      <c r="BC7" s="183">
        <f>_xlfn.FORECAST.LINEAR(Sheet3!CG7,Sheet2!$AH$2:$AH$40,Sheet2!$AG$2:$AG$40)</f>
        <v>3.2185724600819469E-2</v>
      </c>
      <c r="BD7" s="186">
        <f>_xlfn.FORECAST.LINEAR(Sheet3!DF7,Sheet2!$AB$12:$AB$37,Sheet2!$AA$12:$AA$37)/1000</f>
        <v>3.4483816217800438E-2</v>
      </c>
      <c r="BE7" s="183">
        <f>_xlfn.FORECAST.LINEAR(Sheet3!BZ7,Sheet2!$AB$12:$AB$37,Sheet2!$AA$12:$AA$37)/1000</f>
        <v>3.4316989367964977E-2</v>
      </c>
      <c r="BF7" s="183">
        <f>_xlfn.FORECAST.LINEAR(Sheet3!CA7,Sheet2!$AB$12:$AB$37,Sheet2!$AA$12:$AA$37)/1000</f>
        <v>3.3992028061497523E-2</v>
      </c>
      <c r="BG7" s="183">
        <f>_xlfn.FORECAST.LINEAR(Sheet3!CB7,Sheet2!$AB$12:$AB$37,Sheet2!$AA$12:$AA$37)/1000</f>
        <v>3.3632031664675231E-2</v>
      </c>
      <c r="BH7" s="183">
        <f>_xlfn.FORECAST.LINEAR(Sheet3!CC7,Sheet2!$AB$12:$AB$37,Sheet2!$AA$12:$AA$37)/1000</f>
        <v>3.3135488672842869E-2</v>
      </c>
      <c r="BI7" s="183">
        <f>_xlfn.FORECAST.LINEAR(Sheet3!CD7,Sheet2!$AB$12:$AB$37,Sheet2!$AA$12:$AA$37)/1000</f>
        <v>3.2910715608726784E-2</v>
      </c>
      <c r="BJ7" s="183">
        <f>_xlfn.FORECAST.LINEAR(Sheet3!CE7,Sheet2!$AB$12:$AB$37,Sheet2!$AA$12:$AA$37)/1000</f>
        <v>3.2599184455782061E-2</v>
      </c>
      <c r="BK7" s="183">
        <f>_xlfn.FORECAST.LINEAR(Sheet3!CF7,Sheet2!$AB$12:$AB$37,Sheet2!$AA$12:$AA$37)/1000</f>
        <v>3.2287684325491388E-2</v>
      </c>
      <c r="BL7" s="183">
        <f>_xlfn.FORECAST.LINEAR(Sheet3!CG7,Sheet2!$AB$12:$AB$37,Sheet2!$AA$12:$AA$37)/1000</f>
        <v>3.1966757769376797E-2</v>
      </c>
      <c r="BM7" s="186">
        <f t="shared" si="122"/>
        <v>0.73879362249461966</v>
      </c>
      <c r="BN7" s="183">
        <f t="shared" si="123"/>
        <v>0.74389851910919258</v>
      </c>
      <c r="BO7" s="183">
        <f t="shared" si="124"/>
        <v>0.754256275793322</v>
      </c>
      <c r="BP7" s="183">
        <f t="shared" si="125"/>
        <v>0.76582941302388441</v>
      </c>
      <c r="BQ7" s="183">
        <f t="shared" si="126"/>
        <v>0.7826211188325678</v>
      </c>
      <c r="BR7" s="183">
        <f t="shared" si="127"/>
        <v>0.79035720614961524</v>
      </c>
      <c r="BS7" s="183">
        <f t="shared" si="128"/>
        <v>0.80158198702611749</v>
      </c>
      <c r="BT7" s="183">
        <f t="shared" si="129"/>
        <v>0.81287176118015825</v>
      </c>
      <c r="BU7" s="183">
        <f t="shared" si="130"/>
        <v>0.82508667425447957</v>
      </c>
      <c r="BV7" s="186">
        <f t="shared" si="131"/>
        <v>1.1957242410358577</v>
      </c>
      <c r="BW7" s="183">
        <f t="shared" si="19"/>
        <v>1.194974153442089</v>
      </c>
      <c r="BX7" s="183">
        <f t="shared" si="20"/>
        <v>1.191205893319577</v>
      </c>
      <c r="BY7" s="183">
        <f t="shared" si="21"/>
        <v>1.1896257289894374</v>
      </c>
      <c r="BZ7" s="183">
        <f t="shared" si="22"/>
        <v>1.1849783486326042</v>
      </c>
      <c r="CA7" s="183">
        <f t="shared" si="23"/>
        <v>1.1840037061547597</v>
      </c>
      <c r="CB7" s="183">
        <f t="shared" si="24"/>
        <v>1.1801056383133854</v>
      </c>
      <c r="CC7" s="183">
        <f t="shared" si="25"/>
        <v>1.1787777611945303</v>
      </c>
      <c r="CD7" s="183">
        <f t="shared" si="26"/>
        <v>1.1749460933588307</v>
      </c>
      <c r="CE7" s="187">
        <f xml:space="preserve"> -0.0000000019505*Sheet3!DF7^3 + 0.0000015497*Sheet3!DF7^2  + 0.00016911*Sheet3!DF7 + 1.8585</f>
        <v>1.9146801743125001</v>
      </c>
      <c r="CF7" s="185">
        <f xml:space="preserve"> -0.0000000019505*Sheet3!BZ7^3 + 0.0000015497*Sheet3!BZ7^2  + 0.00016911*Sheet3!BZ7 + 1.8585</f>
        <v>1.9131915263034514</v>
      </c>
      <c r="CG7" s="185">
        <f xml:space="preserve"> -0.0000000019505*Sheet3!CA7^3 + 0.0000015497*Sheet3!CA7^2  + 0.00016911*Sheet3!CA7 + 1.8585</f>
        <v>1.9103247279301914</v>
      </c>
      <c r="CH7" s="185">
        <f xml:space="preserve"> -0.0000000019505*Sheet3!CB7^3 + 0.0000015497*Sheet3!CB7^2  + 0.00016911*Sheet3!CB7 + 1.8585</f>
        <v>1.9072018977837262</v>
      </c>
      <c r="CI7" s="185">
        <f xml:space="preserve"> -0.0000000019505*Sheet3!CC7^3 + 0.0000015497*Sheet3!CC7^2  + 0.00016911*Sheet3!CC7 + 1.8585</f>
        <v>1.9029914168459821</v>
      </c>
      <c r="CJ7" s="185">
        <f xml:space="preserve"> -0.0000000019505*Sheet3!CD7^3 + 0.0000015497*Sheet3!CD7^2  + 0.00016911*Sheet3!CD7 + 1.8585</f>
        <v>1.9011242132908697</v>
      </c>
      <c r="CK7" s="185">
        <f xml:space="preserve"> -0.0000000019505*Sheet3!CE7^3 + 0.0000015497*Sheet3!CE7^2  + 0.00016911*Sheet3!CE7 + 1.8585</f>
        <v>1.8985781018779713</v>
      </c>
      <c r="CL7" s="185">
        <f xml:space="preserve"> -0.0000000019505*Sheet3!CF7^3 + 0.0000015497*Sheet3!CF7^2  + 0.00016911*Sheet3!CF7 + 1.8585</f>
        <v>1.8960825445107197</v>
      </c>
      <c r="CM7" s="185">
        <f xml:space="preserve"> -0.0000000019505*Sheet3!CG7^3 + 0.0000015497*Sheet3!CG7^2  + 0.00016911*Sheet3!CG7 + 1.8585</f>
        <v>1.8935661092669132</v>
      </c>
      <c r="CN7" s="186">
        <f>_xlfn.FORECAST.LINEAR(Sheet3!DF7,New!$LU$2:$LU$14,New!$LT$2:$LT$14)</f>
        <v>1.0257147183522073</v>
      </c>
      <c r="CO7" s="183">
        <f>_xlfn.FORECAST.LINEAR(Sheet3!BZ7,New!$LU$2:$LU$14,New!$LT$2:$LT$14)</f>
        <v>1.0251655257671033</v>
      </c>
      <c r="CP7" s="183">
        <f>_xlfn.FORECAST.LINEAR(Sheet3!CA7,New!$LU$2:$LU$14,New!$LT$2:$LT$14)</f>
        <v>1.0240957558821377</v>
      </c>
      <c r="CQ7" s="183">
        <f>_xlfn.FORECAST.LINEAR(Sheet3!CB7,New!$LU$2:$LU$14,New!$LT$2:$LT$14)</f>
        <v>1.0229106507746926</v>
      </c>
      <c r="CR7" s="183">
        <f>_xlfn.FORECAST.LINEAR(Sheet3!CC7,New!$LU$2:$LU$14,New!$LT$2:$LT$14)</f>
        <v>1.0212760354260921</v>
      </c>
      <c r="CS7" s="183">
        <f>_xlfn.FORECAST.LINEAR(Sheet3!CD7,New!$LU$2:$LU$14,New!$LT$2:$LT$14)</f>
        <v>1.0205360843914391</v>
      </c>
      <c r="CT7" s="183">
        <f>_xlfn.FORECAST.LINEAR(Sheet3!CE7,New!$LU$2:$LU$14,New!$LT$2:$LT$14)</f>
        <v>1.0195105264587987</v>
      </c>
      <c r="CU7" s="183">
        <f>_xlfn.FORECAST.LINEAR(Sheet3!CF7,New!$LU$2:$LU$14,New!$LT$2:$LT$14)</f>
        <v>1.0184850706524742</v>
      </c>
      <c r="CV7" s="183">
        <f>_xlfn.FORECAST.LINEAR(Sheet3!CG7,New!$LU$2:$LU$14,New!$LT$2:$LT$14)</f>
        <v>1.0174285831317009</v>
      </c>
      <c r="CW7" s="186">
        <f>EXP((17.625*Sheet3!BA7)/(243.04+Sheet3!BA7)) / EXP((17.625*Sheet3!DF7)/(243.04+Sheet3!DF7))</f>
        <v>4.0838812919358966E-2</v>
      </c>
      <c r="CX7" s="183">
        <f>EXP((17.625*(Sheet3!BC7+273))/(243.04+(Sheet3!BC7+273)))/EXP((17.625*(Sheet3!BZ7+273))/(243.04+(Sheet3!BZ7+273)))</f>
        <v>0.37687800262294502</v>
      </c>
      <c r="CY7" s="183">
        <f>EXP((17.625*(Sheet3!BE7+273))/(243.04+(Sheet3!BE7+273))) / EXP((17.625*(Sheet3!CA7+273))/(243.04+(Sheet3!CA7+273)))</f>
        <v>0.39804006863859226</v>
      </c>
      <c r="CZ7" s="183">
        <f>EXP((17.625*(Sheet3!BG7+273))/(243.04+(Sheet3!BG7+273))) / EXP((17.625*(Sheet3!CB7+273))/(243.04+(Sheet3!CB7+273)))</f>
        <v>0.42274187989886269</v>
      </c>
      <c r="DA7" s="183">
        <f>EXP((17.625*(Sheet3!BI7+273))/(243.04+(Sheet3!BI7+273))) / EXP((17.625*(Sheet3!CC7+273))/(243.04+(Sheet3!CC7+273)))</f>
        <v>0.46022685926214746</v>
      </c>
      <c r="DB7" s="183">
        <f>EXP((17.625*(Sheet3!BK7+273))/(243.04+(Sheet3!BK7+273)))/EXP((17.625*(Sheet3!CD7+273))/(243.04+(Sheet3!CD7+273)))</f>
        <v>0.47932098912745552</v>
      </c>
      <c r="DC7" s="183">
        <f>EXP((17.625*(Sheet3!BM7+273))/(243.04+(Sheet3!BM7+273))) / EXP((17.625*(Sheet3!CE7+273))/(243.04+(Sheet3!CE7+273)))</f>
        <v>0.50587013156782801</v>
      </c>
      <c r="DD7" s="183">
        <f>EXP((17.625*(Sheet3!BO7+273))/(243.04+(Sheet3!BO7+273))) / EXP((17.625*(Sheet3!CF7+273))/(243.04+(Sheet3!CF7+273)))</f>
        <v>0.53617312644228177</v>
      </c>
      <c r="DE7" s="183">
        <f>EXP((17.625*(Sheet3!BQ7+273))/(243.04+(Sheet3!BQ7+273))) / EXP((17.625*(Sheet3!CG7+273))/(243.04+(Sheet3!CG7+273)))</f>
        <v>0.56805327307965836</v>
      </c>
      <c r="DF7" s="186">
        <f>((Sheet3!DA7-Sheet3!DB7)/New!$LQ$3)/(((Sheet3!DA7-Sheet3!DB7)/New!$LQ$3)+(Sheet3!DB7/New!$LP$3))</f>
        <v>0.72456799028755192</v>
      </c>
      <c r="DG7" s="183">
        <f>((Sheet3!DA7-Sheet3!DB7)/New!$LQ$3)/(((Sheet3!DA7-Sheet3!DB7)/New!$LQ$3)+((Sheet3!DB7-(Sheet3!B7*0.004))/New!$LP$3))</f>
        <v>0.72466418099200358</v>
      </c>
      <c r="DH7" s="183" cm="1">
        <f t="array" ref="DH7">((Sheet3!DA7-Sheet3!DB7)/New!$LQ$3)/(((Sheet3!DA7-Sheet3!DB7)/New!$LQ$3)+((Sheet3!DB7-(SUM(Sheet3!B7:C7*0.004)))/New!$LP$3))</f>
        <v>0.7355024788174741</v>
      </c>
      <c r="DI7" s="183" cm="1">
        <f t="array" ref="DI7">((Sheet3!DA7-Sheet3!DB7)/New!$LQ$3)/(((Sheet3!DA7-Sheet3!DB7)/New!$LQ$3)+((Sheet3!DB7-(SUM(Sheet3!B7:D7*0.004)))/New!$LP$3))</f>
        <v>0.73564124876219561</v>
      </c>
      <c r="DJ7" s="183" cm="1">
        <f t="array" ref="DJ7">((Sheet3!DA7-Sheet3!DB7)/New!$LQ$3)/(((Sheet3!DA7-Sheet3!DB7)/New!$LQ$3)+((Sheet3!DB7-(SUM(Sheet3!B7:E7*0.004)))/New!$LP$3))</f>
        <v>0.7476721671165194</v>
      </c>
      <c r="DK7" s="183" cm="1">
        <f t="array" ref="DK7">((Sheet3!DA7-Sheet3!DB7)/New!$LQ$3)/(((Sheet3!DA7-Sheet3!DB7)/New!$LQ$3)+((Sheet3!DB7-(SUM(Sheet3!B7:F7*0.004)))/New!$LP$3))</f>
        <v>0.7477950785343509</v>
      </c>
      <c r="DL7" s="183" cm="1">
        <f t="array" ref="DL7">((Sheet3!DA7-Sheet3!DB7)/New!$LQ$3)/(((Sheet3!DA7-Sheet3!DB7)/New!$LQ$3)+((Sheet3!DB7-(SUM(Sheet3!B7:G7*0.004)))/New!$LP$3))</f>
        <v>0.76054794414308113</v>
      </c>
      <c r="DM7" s="183" cm="1">
        <f t="array" ref="DM7">((Sheet3!DA7-Sheet3!DB7)/New!$LQ$3)/(((Sheet3!DA7-Sheet3!DB7)/New!$LQ$3)+((Sheet3!DB7-(SUM(Sheet3!B7:H7*0.004)))/New!$LP$3))</f>
        <v>0.76071752903893097</v>
      </c>
      <c r="DN7" s="183" cm="1">
        <f t="array" ref="DN7">((Sheet3!DA7-Sheet3!DB7)/New!$LQ$3)/(((Sheet3!DA7-Sheet3!DB7)/New!$LQ$3)+((Sheet3!DB7-(SUM(Sheet3!B7:I7*0.004)))/New!$LP$3))</f>
        <v>0.77350211848984318</v>
      </c>
      <c r="DO7" s="186">
        <f>(Sheet3!DB7/$LP$3) / ((Sheet3!DB7/$LP$3) + ((Sheet3!DA7-Sheet3!DB7)/$LQ$3))</f>
        <v>0.27543200971244808</v>
      </c>
      <c r="DP7" s="183">
        <f>((Sheet3!$DB7-(Sheet3!B7/4000)) / $LP$3) / (((Sheet3!$DA7-Sheet3!DB7) / $LQ$3) + (Sheet3!$DB7-((Sheet3!B7/4000)))/$LP$3)</f>
        <v>0.2754259985415623</v>
      </c>
      <c r="DQ7" s="183">
        <f>((Sheet3!$DB7-(SUM(Sheet3!B7:C7)/4000))/$LP$3)/(((Sheet3!$DA7-Sheet3!$DB7)/$LQ$3)+(Sheet3!$DB7-(SUM(Sheet3!B7:C7)/4000))/$LP$3)</f>
        <v>0.27475813801846627</v>
      </c>
      <c r="DR7" s="183">
        <f>((Sheet3!$DB7-(SUM(Sheet3!B7:D7)/4000))/$LP$3)/(((Sheet3!$DA7-Sheet3!$DB7)/$LQ$3)+(Sheet3!$DB7-(SUM(Sheet3!B7:D7)/4000))/$LP$3)</f>
        <v>0.27474970669024273</v>
      </c>
      <c r="DS7" s="183">
        <f>((Sheet3!$DB7-(SUM(Sheet3!B7:E7)/4000))/$LP$3)/(((Sheet3!$DA7-Sheet3!$DB7)/$LQ$3)+(Sheet3!$DB7-(SUM(Sheet3!B7:E7)/4000))/$LP$3)</f>
        <v>0.27402991281050193</v>
      </c>
      <c r="DT7" s="183">
        <f>((Sheet3!$DB7-(SUM(Sheet3!B7:F7)/4000))/$LP$3)/(((Sheet3!$DA7-Sheet3!$DB7)/$LQ$3)+(Sheet3!$DB7-(SUM(Sheet3!B7:F7)/4000))/$LP$3)</f>
        <v>0.27402267144924419</v>
      </c>
      <c r="DU7" s="183">
        <f>((Sheet3!$DB7-(SUM(Sheet3!B7:G7)/4000))/$LP$3)/(((Sheet3!$DA7-Sheet3!$DB7)/$LQ$3)+(Sheet3!$DB7-(SUM(Sheet3!B7:G7)/4000))/$LP$3)</f>
        <v>0.27328329297257598</v>
      </c>
      <c r="DV7" s="183">
        <f>((Sheet3!$DB7-(SUM(Sheet3!B7:H7)/4000))/$LP$3)/(((Sheet3!$DA7-Sheet3!$DB7)/$LQ$3)+(Sheet3!$DB7-(SUM(Sheet3!B7:H7)/4000))/$LP$3)</f>
        <v>0.27327361792215349</v>
      </c>
      <c r="DW7" s="183">
        <f>((Sheet3!$DB7-(SUM(Sheet3!B7:I7)/4000))/$LP$3)/(((Sheet3!$DA7-Sheet3!$DB7)/$LQ$3)+(Sheet3!$DB7-(SUM(Sheet3!B7:I7)/4000))/$LP$3)</f>
        <v>0.27255573681806472</v>
      </c>
      <c r="DX7" s="186">
        <f>($LR$2*($LP$3/1000))/($LP$2*(Sheet3!DF7+273))*DO7</f>
        <v>0.14129002457846412</v>
      </c>
      <c r="DY7" s="183">
        <f>(($LR$2*($LP$3/1000))/($LP$2*(Sheet3!BZ7+273)))*(DP7)</f>
        <v>0.14226284100660769</v>
      </c>
      <c r="DZ7" s="183">
        <f>(($LR$2*($LP$3/1000))/($LP$2*(Sheet3!CA7+273)))*(DQ7)</f>
        <v>0.14385335961824125</v>
      </c>
      <c r="EA7" s="183">
        <f>(($LR$2*($LP$3/1000))/($LP$2*(Sheet3!CB7+273)))*(DR7)</f>
        <v>0.14605561153977342</v>
      </c>
      <c r="EB7" s="183">
        <f>(($LR$2*($LP$3/1000))/($LP$2*(Sheet3!CC7+273)))*(DS7)</f>
        <v>0.14882184720510588</v>
      </c>
      <c r="EC7" s="183">
        <f>(($LR$2*($LP$3/1000))/($LP$2*(Sheet3!CD7+273)))*(DT7)</f>
        <v>0.15028849750197967</v>
      </c>
      <c r="ED7" s="183">
        <f>(($LR$2*($LP$3/1000))/($LP$2*(Sheet3!CE7+273)))*(DU7)</f>
        <v>0.15196427544273494</v>
      </c>
      <c r="EE7" s="183">
        <f>(($LR$2*($LP$3/1000))/($LP$2*(Sheet3!CF7+273)))*(DV7)</f>
        <v>0.15409851179667031</v>
      </c>
      <c r="EF7" s="183">
        <f>(($LR$2*($LP$3/1000))/($LP$2*(Sheet3!CG7+273)))*(DW7)</f>
        <v>0.15595604797675547</v>
      </c>
      <c r="EG7" s="186">
        <f>(($LR$2*($LQ$3/1000))/($LQ$2*(Sheet3!DF7+273)))*(1-DO7)</f>
        <v>0.59750359791615548</v>
      </c>
      <c r="EH7" s="183">
        <f>(($LR$2*($LQ$3/1000))/($LQ$2*(Sheet3!BZ7+273)))*(1-DP7)</f>
        <v>0.60163567810258489</v>
      </c>
      <c r="EI7" s="183">
        <f>(($LR$2*($LQ$3/1000))/($LQ$2*(Sheet3!CA7+273)))*(1-DQ7)</f>
        <v>0.61040291617508069</v>
      </c>
      <c r="EJ7" s="183">
        <f>(($LR$2*($LQ$3/1000))/($LQ$2*(Sheet3!CB7+273)))*(1-DR7)</f>
        <v>0.61977380148411099</v>
      </c>
      <c r="EK7" s="183">
        <f>(($LR$2*($LQ$3/1000))/($LQ$2*(Sheet3!CC7+273)))*(1-DS7)</f>
        <v>0.63379927162746197</v>
      </c>
      <c r="EL7" s="183">
        <f>(($LR$2*($LQ$3/1000))/($LQ$2*(Sheet3!CD7+273)))*(1-DT7)</f>
        <v>0.64006870864763554</v>
      </c>
      <c r="EM7" s="183">
        <f>(($LR$2*($LQ$3/1000))/($LQ$2*(Sheet3!CE7+273)))*(1-DU7)</f>
        <v>0.64961771158338255</v>
      </c>
      <c r="EN7" s="183">
        <f>(($LR$2*($LQ$3/1000))/($LQ$2*(Sheet3!CF7+273)))*(1-DV7)</f>
        <v>0.65877324938348791</v>
      </c>
      <c r="EO7" s="183">
        <f>(($LR$2*($LQ$3/1000))/($LQ$2*(Sheet3!CG7+273)))*(1-DW7)</f>
        <v>0.66913062627772413</v>
      </c>
      <c r="EP7" s="186">
        <f t="shared" si="132"/>
        <v>4656.450252631179</v>
      </c>
      <c r="EQ7" s="183">
        <f xml:space="preserve"> (($FV7-(Sheet3!B7/4000))*0.018)/(0.011*JO7*3600)</f>
        <v>4682.6804753958595</v>
      </c>
      <c r="ER7" s="183">
        <f>((($FV7-(SUM(Sheet3!B7:C7)/4000))*0.018)/(0.011*JP7*3600))</f>
        <v>4730.2630835514292</v>
      </c>
      <c r="ES7" s="183">
        <f>((($FV7-(SUM(Sheet3!B7:D7)/4000))*0.018)/(0.011*JQ7*3600))</f>
        <v>4789.1881043632129</v>
      </c>
      <c r="ET7" s="183">
        <f>((($FV7-(SUM(Sheet3!B7:E7)/4000))*0.018)/(0.011*JR7))/3600</f>
        <v>4868.0605523697577</v>
      </c>
      <c r="EU7" s="183">
        <f>((($FV7-(SUM(Sheet3!B7:F7)/4000))*0.018)/(0.011*JS7))/3600</f>
        <v>4906.913131880231</v>
      </c>
      <c r="EV7" s="183">
        <f>((($FV7-(SUM(Sheet3!B7:G7)/4000))*0.018)/(0.011*JT7))/3600</f>
        <v>4956.6573467421613</v>
      </c>
      <c r="EW7" s="183">
        <f>((($FV7-(SUM(Sheet3!B7:H7)/4000))*0.018)/(0.011*JU7))/3600</f>
        <v>5012.7594874874585</v>
      </c>
      <c r="EX7" s="183">
        <f>((($FV7-(SUM(Sheet3!B7:I7)/4000))*0.018)/(0.011*JV7))/3600</f>
        <v>5066.7834073427102</v>
      </c>
      <c r="EY7" s="186">
        <f t="shared" si="133"/>
        <v>48.131816843888373</v>
      </c>
      <c r="EZ7" s="183">
        <f t="shared" si="134"/>
        <v>48.348899549998634</v>
      </c>
      <c r="FA7" s="183">
        <f t="shared" si="135"/>
        <v>48.725422531034006</v>
      </c>
      <c r="FB7" s="183">
        <f t="shared" si="136"/>
        <v>49.216440949687943</v>
      </c>
      <c r="FC7" s="183">
        <f t="shared" si="137"/>
        <v>49.856915425748127</v>
      </c>
      <c r="FD7" s="183">
        <f t="shared" si="138"/>
        <v>50.18388397205522</v>
      </c>
      <c r="FE7" s="183">
        <f t="shared" si="139"/>
        <v>50.582579400238465</v>
      </c>
      <c r="FF7" s="183">
        <f t="shared" si="140"/>
        <v>51.058522116975794</v>
      </c>
      <c r="FG7" s="183">
        <f t="shared" si="141"/>
        <v>51.497659378768297</v>
      </c>
      <c r="FH7" s="186">
        <f t="shared" si="28"/>
        <v>99.288975964951803</v>
      </c>
      <c r="FI7" s="183">
        <f t="shared" si="29"/>
        <v>98.851052193734091</v>
      </c>
      <c r="FJ7" s="183">
        <f t="shared" si="30"/>
        <v>97.866836092458243</v>
      </c>
      <c r="FK7" s="183">
        <f t="shared" si="31"/>
        <v>96.905073079700998</v>
      </c>
      <c r="FL7" s="183">
        <f t="shared" si="32"/>
        <v>95.43013919240245</v>
      </c>
      <c r="FM7" s="183">
        <f t="shared" si="33"/>
        <v>94.81294270144241</v>
      </c>
      <c r="FN7" s="183">
        <f t="shared" si="34"/>
        <v>93.821943360347191</v>
      </c>
      <c r="FO7" s="183">
        <f t="shared" si="35"/>
        <v>92.949432137231199</v>
      </c>
      <c r="FP7" s="183">
        <f t="shared" si="36"/>
        <v>91.921041389905668</v>
      </c>
      <c r="FQ7" s="314">
        <f>Sheet3!CV7</f>
        <v>2</v>
      </c>
      <c r="FR7" s="183">
        <v>5000</v>
      </c>
      <c r="FS7" s="183">
        <v>20</v>
      </c>
      <c r="FT7" s="183">
        <v>0.15886666666666666</v>
      </c>
      <c r="FU7" s="183">
        <v>22.97</v>
      </c>
      <c r="FV7" s="183">
        <v>217</v>
      </c>
      <c r="FW7" s="183">
        <v>41.5</v>
      </c>
      <c r="FX7" s="183">
        <v>405</v>
      </c>
      <c r="FY7" s="183">
        <v>8.8800000000000008</v>
      </c>
      <c r="FZ7" s="183">
        <v>20.21</v>
      </c>
      <c r="GA7" s="183">
        <v>155</v>
      </c>
      <c r="GB7" s="186">
        <f>EXP($LP$6-($LQ$6/('Trial and Error method'!T7+$LP$8))) / ($LR$2/1000)</f>
        <v>0.33926929059231037</v>
      </c>
      <c r="GC7" s="183">
        <f>EXP($LP$6-($LQ$6/('Trial and Error method'!U7+$LP$8))) / ($LR$2/1000)</f>
        <v>0.12478862803810532</v>
      </c>
      <c r="GD7" s="183">
        <f>EXP($LP$6-($LQ$6/('Trial and Error method'!V7+$LP$8))) / ($LR$2/1000)</f>
        <v>0.12111054398599748</v>
      </c>
      <c r="GE7" s="183">
        <f>EXP($LP$6-($LQ$6/('Trial and Error method'!W7+$LP$8))) / ($LR$2/1000)</f>
        <v>0.11709272616291175</v>
      </c>
      <c r="GF7" s="183">
        <f>EXP($LP$6-($LQ$6/('Trial and Error method'!X7+$LP$8))) / ($LR$2/1000)</f>
        <v>0.11134373354167126</v>
      </c>
      <c r="GG7" s="183">
        <f>EXP($LP$6-($LQ$6/('Trial and Error method'!Y7+$LP$8))) / ($LR$2/1000)</f>
        <v>0.10741310203594956</v>
      </c>
      <c r="GH7" s="183">
        <f>EXP($LP$6-($LQ$6/('Trial and Error method'!Z7+$LP$8))) / ($LR$2/1000)</f>
        <v>0.10282626059821529</v>
      </c>
      <c r="GI7" s="183">
        <f>EXP($LP$6-($LQ$6/('Trial and Error method'!AA7+$LP$8))) / ($LR$2/1000)</f>
        <v>8.7341786293549356E-2</v>
      </c>
      <c r="GJ7" s="183">
        <f>EXP($LP$6-($LQ$6/('Trial and Error method'!AB7+$LP$8))) / ($LR$2/1000)</f>
        <v>0.32182529160650841</v>
      </c>
      <c r="GK7" s="188">
        <f t="shared" si="142"/>
        <v>0.69215878071359305</v>
      </c>
      <c r="GL7" s="165">
        <f t="shared" si="143"/>
        <v>0.79752304396741081</v>
      </c>
      <c r="GM7" s="165">
        <f t="shared" si="144"/>
        <v>0.79960683934353005</v>
      </c>
      <c r="GN7" s="165">
        <f t="shared" si="145"/>
        <v>0.80149614382963585</v>
      </c>
      <c r="GO7" s="165">
        <f t="shared" si="146"/>
        <v>0.80457375786041674</v>
      </c>
      <c r="GP7" s="165">
        <f t="shared" si="147"/>
        <v>0.80641561988820487</v>
      </c>
      <c r="GQ7" s="165">
        <f t="shared" si="148"/>
        <v>0.80895431249473337</v>
      </c>
      <c r="GR7" s="165">
        <f t="shared" si="149"/>
        <v>0.81616556447574884</v>
      </c>
      <c r="GS7" s="165">
        <f t="shared" si="150"/>
        <v>0.70252155986069076</v>
      </c>
      <c r="GT7" s="188">
        <f t="shared" si="38"/>
        <v>7.8817070084318958E-2</v>
      </c>
      <c r="GU7" s="165">
        <f t="shared" si="39"/>
        <v>6.8397932411545279E-2</v>
      </c>
      <c r="GV7" s="165">
        <f t="shared" si="40"/>
        <v>6.8196762387305015E-2</v>
      </c>
      <c r="GW7" s="165">
        <f t="shared" si="41"/>
        <v>6.804088954692078E-2</v>
      </c>
      <c r="GX7" s="165">
        <f t="shared" si="42"/>
        <v>6.7770386531366397E-2</v>
      </c>
      <c r="GY7" s="165">
        <f t="shared" si="43"/>
        <v>6.7625478486220872E-2</v>
      </c>
      <c r="GZ7" s="165">
        <f t="shared" si="44"/>
        <v>6.7404593774331861E-2</v>
      </c>
      <c r="HA7" s="165">
        <f t="shared" si="45"/>
        <v>6.6830254588148424E-2</v>
      </c>
      <c r="HB7" s="165">
        <f t="shared" si="46"/>
        <v>7.7635418654614707E-2</v>
      </c>
      <c r="HC7" s="188">
        <f>BV7*Sheet3!DF7</f>
        <v>185.33725736055794</v>
      </c>
      <c r="HD7" s="165">
        <f>BW7*Sheet3!BZ7</f>
        <v>181.71253702604642</v>
      </c>
      <c r="HE7" s="165">
        <f>BX7*Sheet3!CA7</f>
        <v>174.32696330298609</v>
      </c>
      <c r="HF7" s="165">
        <f>BY7*Sheet3!CB7</f>
        <v>166.55868552912702</v>
      </c>
      <c r="HG7" s="165">
        <f>BZ7*Sheet3!CC7</f>
        <v>155.55279830567551</v>
      </c>
      <c r="HH7" s="165">
        <f>CA7*Sheet3!CD7</f>
        <v>150.74115722899393</v>
      </c>
      <c r="HI7" s="165">
        <f>CB7*Sheet3!CE7</f>
        <v>143.77473030964927</v>
      </c>
      <c r="HJ7" s="165">
        <f>CC7*Sheet3!CF7</f>
        <v>137.15073086507388</v>
      </c>
      <c r="HK7" s="165">
        <f>CD7*Sheet3!CG7</f>
        <v>130.06878071795572</v>
      </c>
      <c r="HL7" s="188">
        <f>(CE7*Sheet3!DF7)+2501</f>
        <v>2797.7754270184378</v>
      </c>
      <c r="HM7" s="165">
        <f>(CF7*Sheet3!BZ7)+2501</f>
        <v>2791.9275360140095</v>
      </c>
      <c r="HN7" s="165">
        <f>(CG7*Sheet3!CA7)+2501</f>
        <v>2780.5663710281278</v>
      </c>
      <c r="HO7" s="165">
        <f>(CH7*Sheet3!CB7)+2501</f>
        <v>2768.0260346532355</v>
      </c>
      <c r="HP7" s="165">
        <f>(CI7*Sheet3!CC7)+2501</f>
        <v>2750.8067921524976</v>
      </c>
      <c r="HQ7" s="165">
        <f>(CJ7*Sheet3!CD7)+2501</f>
        <v>2743.0411882647168</v>
      </c>
      <c r="HR7" s="165">
        <f>(CK7*Sheet3!CE7)+2501</f>
        <v>2732.3077284838992</v>
      </c>
      <c r="HS7" s="165">
        <f>(CL7*Sheet3!CF7)+2501</f>
        <v>2721.6091048889739</v>
      </c>
      <c r="HT7" s="165">
        <f>(CM7*Sheet3!CG7)+2501</f>
        <v>2710.6213915117655</v>
      </c>
      <c r="HU7" s="188">
        <f>-0.0021*(Sheet3!DF7^2) - 2.2115*(Sheet3!DF7) + 2499</f>
        <v>2105.7649999999999</v>
      </c>
      <c r="HV7" s="165">
        <f>-0.0021*(Sheet3!BZ7^2) - 2.2115*(Sheet3!BZ7) + 2499</f>
        <v>2114.1512279535314</v>
      </c>
      <c r="HW7" s="165">
        <f>-0.0021*(Sheet3!CA7^2) - 2.2115*(Sheet3!CA7) + 2499</f>
        <v>2130.3827783831071</v>
      </c>
      <c r="HX7" s="165">
        <f>-0.0021*(Sheet3!CB7^2) - 2.2115*(Sheet3!CB7) + 2499</f>
        <v>2148.2039175170348</v>
      </c>
      <c r="HY7" s="165">
        <f>-0.0021*(Sheet3!CC7^2) - 2.2115*(Sheet3!CC7) + 2499</f>
        <v>2172.5079780203946</v>
      </c>
      <c r="HZ7" s="165">
        <f>-0.0021*(Sheet3!CD7^2) - 2.2115*(Sheet3!CD7) + 2499</f>
        <v>2183.4043850916373</v>
      </c>
      <c r="IA7" s="165">
        <f>-0.0021*(Sheet3!CE7^2) - 2.2115*(Sheet3!CE7) + 2499</f>
        <v>2198.3979247495699</v>
      </c>
      <c r="IB7" s="165">
        <f>-0.0021*(Sheet3!CF7^2) - 2.2115*(Sheet3!CF7) + 2499</f>
        <v>2213.2637389685024</v>
      </c>
      <c r="IC7" s="165">
        <f>-0.0021*(Sheet3!CG7^2) - 2.2115*(Sheet3!CG7) + 2499</f>
        <v>2228.4473997979867</v>
      </c>
      <c r="ID7" s="188">
        <f t="shared" si="47"/>
        <v>0.68213736319903417</v>
      </c>
      <c r="IE7" s="165">
        <f t="shared" si="48"/>
        <v>0.68396098781293146</v>
      </c>
      <c r="IF7" s="165">
        <f t="shared" si="49"/>
        <v>0.68660327521709497</v>
      </c>
      <c r="IG7" s="165">
        <f t="shared" si="50"/>
        <v>0.69086454857530954</v>
      </c>
      <c r="IH7" s="165">
        <f t="shared" si="51"/>
        <v>0.69594681922532475</v>
      </c>
      <c r="II7" s="165">
        <f t="shared" si="52"/>
        <v>0.69890813053031986</v>
      </c>
      <c r="IJ7" s="165">
        <f t="shared" si="53"/>
        <v>0.70194092321558132</v>
      </c>
      <c r="IK7" s="165">
        <f t="shared" si="54"/>
        <v>0.70639006309967023</v>
      </c>
      <c r="IL7" s="165">
        <f t="shared" si="55"/>
        <v>0.70995162269503775</v>
      </c>
      <c r="IM7" s="188">
        <f t="shared" si="56"/>
        <v>-10.59508803610891</v>
      </c>
      <c r="IN7" s="165">
        <f t="shared" si="151"/>
        <v>21.78270197159819</v>
      </c>
      <c r="IO7" s="165">
        <f t="shared" si="152"/>
        <v>22.322722677895996</v>
      </c>
      <c r="IP7" s="165">
        <f t="shared" si="153"/>
        <v>23.044043781999488</v>
      </c>
      <c r="IQ7" s="165">
        <f t="shared" si="154"/>
        <v>23.95256362086187</v>
      </c>
      <c r="IR7" s="165">
        <f t="shared" si="155"/>
        <v>24.600530420618377</v>
      </c>
      <c r="IS7" s="165">
        <f t="shared" si="156"/>
        <v>25.258684267970729</v>
      </c>
      <c r="IT7" s="165">
        <f t="shared" si="157"/>
        <v>27.501731134256012</v>
      </c>
      <c r="IU7" s="165">
        <f t="shared" si="158"/>
        <v>-8.523950610997602</v>
      </c>
      <c r="IV7" s="188">
        <f>_xlfn.FORECAST.LINEAR(Sheet3!DF7,Sheet2!$AK$2:$AK$69,Sheet2!$AJ$2:$AJ$69)</f>
        <v>1.4212296553463994E-5</v>
      </c>
      <c r="IW7" s="165">
        <f>_xlfn.FORECAST.LINEAR(Sheet3!BZ7,Sheet2!$AK$2:$AK$69,Sheet2!$AJ$2:$AJ$69)</f>
        <v>1.4109500035946734E-5</v>
      </c>
      <c r="IX7" s="165">
        <f>_xlfn.FORECAST.LINEAR(Sheet3!CA7,Sheet2!$AK$2:$AK$69,Sheet2!$AJ$2:$AJ$69)</f>
        <v>1.3909263139633818E-5</v>
      </c>
      <c r="IY7" s="165">
        <f>_xlfn.FORECAST.LINEAR(Sheet3!CB7,Sheet2!$AK$2:$AK$69,Sheet2!$AJ$2:$AJ$69)</f>
        <v>1.3687438080007067E-5</v>
      </c>
      <c r="IZ7" s="165">
        <f>_xlfn.FORECAST.LINEAR(Sheet3!CC7,Sheet2!$AK$2:$AK$69,Sheet2!$AJ$2:$AJ$69)</f>
        <v>1.3381474798866699E-5</v>
      </c>
      <c r="JA7" s="165">
        <f>_xlfn.FORECAST.LINEAR(Sheet3!CD7,Sheet2!$AK$2:$AK$69,Sheet2!$AJ$2:$AJ$69)</f>
        <v>1.3242972583871889E-5</v>
      </c>
      <c r="JB7" s="165">
        <f>_xlfn.FORECAST.LINEAR(Sheet3!CE7,Sheet2!$AK$2:$AK$69,Sheet2!$AJ$2:$AJ$69)</f>
        <v>1.3051011172070131E-5</v>
      </c>
      <c r="JC7" s="165">
        <f>_xlfn.FORECAST.LINEAR(Sheet3!CF7,Sheet2!$AK$2:$AK$69,Sheet2!$AJ$2:$AJ$69)</f>
        <v>1.2859068876021048E-5</v>
      </c>
      <c r="JD7" s="165">
        <f>_xlfn.FORECAST.LINEAR(Sheet3!CG7,Sheet2!$AK$2:$AK$69,Sheet2!$AJ$2:$AJ$69)</f>
        <v>1.2661318139973905E-5</v>
      </c>
      <c r="JE7" s="188">
        <f>_xlfn.FORECAST.LINEAR(Sheet3!DF7,New!$MC$2:$MC$18,New!$MB$2:$MB$18)</f>
        <v>2.3789561881305357E-5</v>
      </c>
      <c r="JF7" s="165">
        <f>_xlfn.FORECAST.LINEAR(Sheet3!BZ7,New!$MC$2:$MC$18,New!$MB$2:$MB$18)</f>
        <v>2.3668722093792686E-5</v>
      </c>
      <c r="JG7" s="165">
        <f>_xlfn.FORECAST.LINEAR(Sheet3!CA7,New!$MC$2:$MC$18,New!$MB$2:$MB$18)</f>
        <v>2.3433338789114226E-5</v>
      </c>
      <c r="JH7" s="165">
        <f>_xlfn.FORECAST.LINEAR(Sheet3!CB7,New!$MC$2:$MC$18,New!$MB$2:$MB$18)</f>
        <v>2.3172578077392823E-5</v>
      </c>
      <c r="JI7" s="165">
        <f>_xlfn.FORECAST.LINEAR(Sheet3!CC7,New!$MC$2:$MC$18,New!$MB$2:$MB$18)</f>
        <v>2.2812910855461163E-5</v>
      </c>
      <c r="JJ7" s="165">
        <f>_xlfn.FORECAST.LINEAR(Sheet3!CD7,New!$MC$2:$MC$18,New!$MB$2:$MB$18)</f>
        <v>2.2650098158745077E-5</v>
      </c>
      <c r="JK7" s="165">
        <f>_xlfn.FORECAST.LINEAR(Sheet3!CE7,New!$MC$2:$MC$18,New!$MB$2:$MB$18)</f>
        <v>2.2424442885852565E-5</v>
      </c>
      <c r="JL7" s="165">
        <f>_xlfn.FORECAST.LINEAR(Sheet3!CF7,New!$MC$2:$MC$18,New!$MB$2:$MB$18)</f>
        <v>2.219881008398872E-5</v>
      </c>
      <c r="JM7" s="165">
        <f>_xlfn.FORECAST.LINEAR(Sheet3!CG7,New!$MC$2:$MC$18,New!$MB$2:$MB$18)</f>
        <v>2.1966349320710439E-5</v>
      </c>
      <c r="JN7" s="188">
        <f t="shared" si="159"/>
        <v>2.1182737554347988E-5</v>
      </c>
      <c r="JO7" s="165">
        <f t="shared" si="160"/>
        <v>2.1063960262248533E-5</v>
      </c>
      <c r="JP7" s="165">
        <f t="shared" si="161"/>
        <v>2.0838741002692809E-5</v>
      </c>
      <c r="JQ7" s="165">
        <f t="shared" si="162"/>
        <v>2.0582180041827422E-5</v>
      </c>
      <c r="JR7" s="165">
        <f t="shared" si="163"/>
        <v>2.0234771085815563E-5</v>
      </c>
      <c r="JS7" s="165">
        <f t="shared" si="164"/>
        <v>2.0074414696875744E-5</v>
      </c>
      <c r="JT7" s="165">
        <f t="shared" si="165"/>
        <v>1.9858920387357581E-5</v>
      </c>
      <c r="JU7" s="165">
        <f t="shared" si="166"/>
        <v>1.9636480623328692E-5</v>
      </c>
      <c r="JV7" s="165">
        <f t="shared" si="167"/>
        <v>1.9413809565900959E-5</v>
      </c>
      <c r="JW7" s="188">
        <f t="shared" si="66"/>
        <v>1.0111406393405753</v>
      </c>
      <c r="JX7" s="165">
        <f t="shared" si="67"/>
        <v>1.0123130038921431</v>
      </c>
      <c r="JY7" s="165">
        <f t="shared" si="68"/>
        <v>1.014644646698005</v>
      </c>
      <c r="JZ7" s="165">
        <f t="shared" si="69"/>
        <v>1.0173044817948471</v>
      </c>
      <c r="KA7" s="165">
        <f t="shared" si="70"/>
        <v>1.0211126539551592</v>
      </c>
      <c r="KB7" s="165">
        <f t="shared" si="71"/>
        <v>1.0228922755527721</v>
      </c>
      <c r="KC7" s="165">
        <f t="shared" si="72"/>
        <v>1.0254189618702707</v>
      </c>
      <c r="KD7" s="165">
        <f t="shared" si="73"/>
        <v>1.0280180310737737</v>
      </c>
      <c r="KE7" s="165">
        <f t="shared" si="74"/>
        <v>1.0307750881584861</v>
      </c>
      <c r="KF7" s="188">
        <f t="shared" si="75"/>
        <v>0.97107701287668002</v>
      </c>
      <c r="KG7" s="165">
        <f t="shared" si="76"/>
        <v>0.97009869720320452</v>
      </c>
      <c r="KH7" s="165">
        <f t="shared" si="77"/>
        <v>0.96816239811557137</v>
      </c>
      <c r="KI7" s="165">
        <f t="shared" si="78"/>
        <v>0.96596871760477099</v>
      </c>
      <c r="KJ7" s="165">
        <f t="shared" si="79"/>
        <v>0.96285574565475318</v>
      </c>
      <c r="KK7" s="165">
        <f t="shared" si="80"/>
        <v>0.96141209529827487</v>
      </c>
      <c r="KL7" s="165">
        <f t="shared" si="81"/>
        <v>0.95937441949237401</v>
      </c>
      <c r="KM7" s="165">
        <f t="shared" si="82"/>
        <v>0.95729292661705945</v>
      </c>
      <c r="KN7" s="165">
        <f t="shared" si="83"/>
        <v>0.95510087012178135</v>
      </c>
      <c r="KO7" s="188">
        <f t="shared" si="84"/>
        <v>0.62847986603787043</v>
      </c>
      <c r="KP7" s="165">
        <f t="shared" si="85"/>
        <v>0.6266712193147338</v>
      </c>
      <c r="KQ7" s="165">
        <f t="shared" si="86"/>
        <v>0.62297715439437529</v>
      </c>
      <c r="KR7" s="165">
        <f t="shared" si="87"/>
        <v>0.61879042996645617</v>
      </c>
      <c r="KS7" s="165">
        <f t="shared" si="88"/>
        <v>0.61289149062141912</v>
      </c>
      <c r="KT7" s="165">
        <f t="shared" si="89"/>
        <v>0.61015697316229933</v>
      </c>
      <c r="KU7" s="165">
        <f t="shared" si="90"/>
        <v>0.60633019872866312</v>
      </c>
      <c r="KV7" s="165">
        <f t="shared" si="91"/>
        <v>0.60241153776211653</v>
      </c>
      <c r="KW7" s="165">
        <f t="shared" si="92"/>
        <v>0.59840949603972959</v>
      </c>
      <c r="KX7" s="188">
        <f>AVERAGE(Sheet3!J7:P7)*KO7^(1/3)/ID7^(1/3)</f>
        <v>106.4832463839721</v>
      </c>
      <c r="KY7" s="165">
        <f>Sheet3!J7*KP7^(1/3)/IE7^(1/3)</f>
        <v>47.600769707773367</v>
      </c>
      <c r="KZ7" s="165">
        <f>Sheet3!K7*KQ7^(1/3)/IF7^(1/3)</f>
        <v>64.300359751666605</v>
      </c>
      <c r="LA7" s="165">
        <f>Sheet3!L7*KR7^(1/3)/IG7^(1/3)</f>
        <v>83.94706372276508</v>
      </c>
      <c r="LB7" s="165">
        <f>Sheet3!M7*KS7^(1/3)/IH7^(1/3)</f>
        <v>103.37123706416993</v>
      </c>
      <c r="LC7" s="165">
        <f>Sheet3!N7*KT7^(1/3)/II7^(1/3)</f>
        <v>123.10709220635701</v>
      </c>
      <c r="LD7" s="165">
        <f>Sheet3!O7*KU7^(1/3)/IJ7^(1/3)</f>
        <v>144.47355491129045</v>
      </c>
      <c r="LE7" s="165">
        <f>Sheet3!P7*KV7^(1/3)/IK7^(1/3)</f>
        <v>166.09737921290912</v>
      </c>
      <c r="LF7" s="165">
        <f>Sheet3!Q7*KW7^(1/3)/IL7^(1/3)</f>
        <v>188.92790709459152</v>
      </c>
      <c r="LG7" s="186">
        <f t="shared" si="93"/>
        <v>25.945396653697259</v>
      </c>
      <c r="LH7" s="183">
        <f t="shared" si="94"/>
        <v>25.948074045254671</v>
      </c>
      <c r="LI7" s="183">
        <f t="shared" si="95"/>
        <v>26.249919642956719</v>
      </c>
      <c r="LJ7" s="183">
        <f t="shared" si="96"/>
        <v>26.253786530177909</v>
      </c>
      <c r="LK7" s="183">
        <f t="shared" si="97"/>
        <v>26.589234838975596</v>
      </c>
      <c r="LL7" s="183">
        <f t="shared" si="98"/>
        <v>26.592663900512935</v>
      </c>
      <c r="LM7" s="183">
        <f t="shared" si="99"/>
        <v>26.948666985284589</v>
      </c>
      <c r="LN7" s="183">
        <f t="shared" si="100"/>
        <v>26.953403867835039</v>
      </c>
      <c r="LO7" s="183">
        <f t="shared" si="101"/>
        <v>27.310712950243293</v>
      </c>
      <c r="LP7" s="218" t="s">
        <v>474</v>
      </c>
      <c r="LQ7" s="219"/>
      <c r="LR7" s="219"/>
      <c r="LS7" s="219"/>
      <c r="LT7" s="219">
        <v>86.9</v>
      </c>
      <c r="LU7" s="219">
        <v>1.01</v>
      </c>
      <c r="LV7" s="220"/>
      <c r="LW7" s="220"/>
      <c r="LX7" s="220"/>
      <c r="LY7" s="220"/>
      <c r="LZ7" s="222">
        <v>41.53</v>
      </c>
      <c r="MA7" s="220">
        <v>1.0000000000000001E-5</v>
      </c>
      <c r="MB7" s="220">
        <v>30</v>
      </c>
      <c r="MC7" s="220">
        <v>1.8600000000000001E-5</v>
      </c>
      <c r="MD7" s="188">
        <f>Sheet3!DP7</f>
        <v>203.98601959325762</v>
      </c>
      <c r="ME7" s="263">
        <v>60</v>
      </c>
      <c r="MF7" s="263">
        <v>0.19919999999999999</v>
      </c>
      <c r="MG7" s="263">
        <v>1.9239999999999999</v>
      </c>
      <c r="MH7" s="263">
        <v>0.13020000000000001</v>
      </c>
      <c r="MI7" s="263">
        <v>10.5</v>
      </c>
      <c r="MJ7" s="263">
        <v>80.64</v>
      </c>
      <c r="MK7" s="273">
        <v>50</v>
      </c>
      <c r="ML7" s="267">
        <v>0.12330000000000001</v>
      </c>
      <c r="MM7" s="267">
        <v>8.3099999999999993E-2</v>
      </c>
      <c r="MN7" s="267">
        <v>1.907</v>
      </c>
      <c r="MO7" s="267">
        <v>10</v>
      </c>
      <c r="MP7" s="274">
        <v>120.34</v>
      </c>
      <c r="MQ7"/>
      <c r="MR7"/>
      <c r="MS7"/>
    </row>
    <row r="8" spans="1:357" ht="15" thickBot="1" x14ac:dyDescent="0.35">
      <c r="A8" s="184" t="str">
        <f>Sheet3!A8</f>
        <v>30.11.2022</v>
      </c>
      <c r="B8" s="186">
        <f t="shared" si="102"/>
        <v>0.94017998563203231</v>
      </c>
      <c r="C8" s="183">
        <f t="shared" si="103"/>
        <v>0.93831888313467027</v>
      </c>
      <c r="D8" s="183">
        <f t="shared" si="0"/>
        <v>0.9224080419730698</v>
      </c>
      <c r="E8" s="183">
        <f t="shared" si="1"/>
        <v>0.91139765575280129</v>
      </c>
      <c r="F8" s="183">
        <f t="shared" si="2"/>
        <v>0.89695622591833624</v>
      </c>
      <c r="G8" s="183">
        <f t="shared" si="3"/>
        <v>0.88850753197645393</v>
      </c>
      <c r="H8" s="183">
        <f t="shared" si="4"/>
        <v>0.87614000557864724</v>
      </c>
      <c r="I8" s="183">
        <f t="shared" si="5"/>
        <v>0.86587233190678392</v>
      </c>
      <c r="J8" s="183">
        <f t="shared" si="6"/>
        <v>0.85556176164169329</v>
      </c>
      <c r="K8" s="186">
        <f xml:space="preserve"> (6.057 * (10^(-6)))
+ (4.055 * (10^(-8)) * (Sheet3!DF8 + 273))
+ (1.25 * (10^(-10)) * (Sheet3!DF8 + 273)^2)
- (3.367 * (10^(-14)) * (DD8 + 273)^3)</f>
        <v>4.710953697964416E-5</v>
      </c>
      <c r="L8" s="183">
        <f xml:space="preserve"> (6.057 * (10^(-6)))
+ (4.055 * (10^(-8)) * (Sheet3!BZ8 + 273))
+ (1.25 * (10^(-10)) * (Sheet3!BZ8 + 273)^2)
- (3.367 * (10^(-14)) * (BX8 + 273)^3)</f>
        <v>4.6935510274451549E-5</v>
      </c>
      <c r="M8" s="183">
        <f xml:space="preserve"> (6.057 * (10^(-6)))
+ (4.055 * (10^(-8)) * (Sheet3!CA8 + 273))
+ (1.25 * (10^(-10)) * (Sheet3!CA8 + 273)^2)
- (3.367 * (10^(-14)) * (BY8 + 273)^3)</f>
        <v>4.5504439855066605E-5</v>
      </c>
      <c r="N8" s="183">
        <f xml:space="preserve"> (6.057 * (10^(-6)))
+ (4.055 * (10^(-8)) * (Sheet3!CB8 + 273))
+ (1.25 * (10^(-10)) * (Sheet3!CB8 + 273)^2)
- (3.367 * (10^(-14)) * (BZ8 + 273)^3)</f>
        <v>4.4626187398135356E-5</v>
      </c>
      <c r="O8" s="183">
        <f xml:space="preserve"> (6.057 * (10^(-6)))
+ (4.055 * (10^(-8)) * (Sheet3!CC8 + 273))
+ (1.25 * (10^(-10)) * (Sheet3!CC8 + 273)^2)
- (3.367 * (10^(-14)) * (CA8 + 273)^3)</f>
        <v>4.340224711071436E-5</v>
      </c>
      <c r="P8" s="183">
        <f xml:space="preserve"> (6.057 * (10^(-6)))
+ (4.055 * (10^(-8)) * (Sheet3!CD8 + 273))
+ (1.25 * (10^(-10)) * (Sheet3!CD8 + 273)^2)
- (3.367 * (10^(-14)) * (CB8 + 273)^3)</f>
        <v>4.2774719600188147E-5</v>
      </c>
      <c r="Q8" s="183">
        <f xml:space="preserve"> (6.057 * (10^(-6)))
+ (4.055 * (10^(-8)) * (Sheet3!CE8 + 273))
+ (1.25 * (10^(-10)) * (Sheet3!CE8 + 273)^2)
- (3.367 * (10^(-14)) * (CC8 + 273)^3)</f>
        <v>4.1772060231566932E-5</v>
      </c>
      <c r="R8" s="183">
        <f xml:space="preserve"> (6.057 * (10^(-6)))
+ (4.055 * (10^(-8)) * (Sheet3!CF8 + 273))
+ (1.25 * (10^(-10)) * (Sheet3!CF8 + 273)^2)
- (3.367 * (10^(-14)) * (CD8 + 273)^3)</f>
        <v>4.1055945560335447E-5</v>
      </c>
      <c r="S8" s="183">
        <f xml:space="preserve"> (6.057 * (10^(-6)))
+ (4.055 * (10^(-8)) * (Sheet3!CG8 + 273))
+ (1.25 * (10^(-10)) * (Sheet3!CG8 + 273)^2)
- (3.367 * (10^(-14)) * (CE8 + 273)^3)</f>
        <v>4.0244371609828205E-5</v>
      </c>
      <c r="T8" s="188">
        <f t="shared" si="104"/>
        <v>4.710953697964416E-5</v>
      </c>
      <c r="U8" s="165">
        <f t="shared" si="105"/>
        <v>4.6935510274451549E-5</v>
      </c>
      <c r="V8" s="165">
        <f t="shared" si="106"/>
        <v>4.5504439855066605E-5</v>
      </c>
      <c r="W8" s="165">
        <f t="shared" si="107"/>
        <v>4.4626187398135356E-5</v>
      </c>
      <c r="X8" s="165">
        <f t="shared" si="108"/>
        <v>4.340224711071436E-5</v>
      </c>
      <c r="Y8" s="165">
        <f t="shared" si="109"/>
        <v>4.2774719600188147E-5</v>
      </c>
      <c r="Z8" s="165">
        <f t="shared" si="110"/>
        <v>4.1772060231566932E-5</v>
      </c>
      <c r="AA8" s="165">
        <f t="shared" si="111"/>
        <v>4.1055945560335447E-5</v>
      </c>
      <c r="AB8" s="165">
        <f t="shared" si="112"/>
        <v>4.0244371609828205E-5</v>
      </c>
      <c r="AC8" s="186">
        <f t="shared" si="8"/>
        <v>4.4291443800653541E-5</v>
      </c>
      <c r="AD8" s="183">
        <f t="shared" si="9"/>
        <v>4.4040475580079216E-5</v>
      </c>
      <c r="AE8" s="183">
        <f t="shared" si="10"/>
        <v>4.1973661267793309E-5</v>
      </c>
      <c r="AF8" s="183">
        <f t="shared" si="11"/>
        <v>4.0672202579845768E-5</v>
      </c>
      <c r="AG8" s="183">
        <f t="shared" si="12"/>
        <v>3.8929915764801365E-5</v>
      </c>
      <c r="AH8" s="183">
        <f t="shared" si="13"/>
        <v>3.8005660542948023E-5</v>
      </c>
      <c r="AI8" s="183">
        <f t="shared" si="14"/>
        <v>3.6598173084316639E-5</v>
      </c>
      <c r="AJ8" s="183">
        <f t="shared" si="15"/>
        <v>3.5549207320965626E-5</v>
      </c>
      <c r="AK8" s="183">
        <f t="shared" si="16"/>
        <v>3.4431545470667566E-5</v>
      </c>
      <c r="AL8" s="186">
        <f t="shared" si="113"/>
        <v>3.8380227264360106E-2</v>
      </c>
      <c r="AM8" s="183">
        <f t="shared" si="114"/>
        <v>3.8251561878710108E-2</v>
      </c>
      <c r="AN8" s="183">
        <f t="shared" si="115"/>
        <v>3.7144086963965345E-2</v>
      </c>
      <c r="AO8" s="183">
        <f t="shared" si="116"/>
        <v>3.6458218797918031E-2</v>
      </c>
      <c r="AP8" s="183">
        <f t="shared" si="117"/>
        <v>3.5484568465325536E-2</v>
      </c>
      <c r="AQ8" s="183">
        <f t="shared" si="118"/>
        <v>3.4981729574257055E-2</v>
      </c>
      <c r="AR8" s="183">
        <f t="shared" si="119"/>
        <v>3.4166231382510688E-2</v>
      </c>
      <c r="AS8" s="183">
        <f t="shared" si="120"/>
        <v>3.3579217636334181E-2</v>
      </c>
      <c r="AT8" s="183">
        <f t="shared" si="121"/>
        <v>3.2909886005231259E-2</v>
      </c>
      <c r="AU8" s="186">
        <f>_xlfn.FORECAST.LINEAR(Sheet3!DF8,Sheet2!$AH$2:$AH$40,Sheet2!$AG$2:$AG$40)</f>
        <v>4.5985309371535825E-2</v>
      </c>
      <c r="AV8" s="183">
        <f>_xlfn.FORECAST.LINEAR(Sheet3!BZ8,Sheet2!$AH$2:$AH$40,Sheet2!$AG$2:$AG$40)</f>
        <v>4.5699233356095804E-2</v>
      </c>
      <c r="AW8" s="183">
        <f>_xlfn.FORECAST.LINEAR(Sheet3!CA8,Sheet2!$AH$2:$AH$40,Sheet2!$AG$2:$AG$40)</f>
        <v>4.3251123217616372E-2</v>
      </c>
      <c r="AX8" s="183">
        <f>_xlfn.FORECAST.LINEAR(Sheet3!CB8,Sheet2!$AH$2:$AH$40,Sheet2!$AG$2:$AG$40)</f>
        <v>4.1728649279454293E-2</v>
      </c>
      <c r="AY8" s="183">
        <f>_xlfn.FORECAST.LINEAR(Sheet3!CC8,Sheet2!$AH$2:$AH$40,Sheet2!$AG$2:$AG$40)</f>
        <v>3.9580534629163888E-2</v>
      </c>
      <c r="AZ8" s="183">
        <f>_xlfn.FORECAST.LINEAR(Sheet3!CD8,Sheet2!$AH$2:$AH$40,Sheet2!$AG$2:$AG$40)</f>
        <v>3.8466783434856516E-2</v>
      </c>
      <c r="BA8" s="183">
        <f>_xlfn.FORECAST.LINEAR(Sheet3!CE8,Sheet2!$AH$2:$AH$40,Sheet2!$AG$2:$AG$40)</f>
        <v>3.6669342604345269E-2</v>
      </c>
      <c r="BB8" s="183">
        <f>_xlfn.FORECAST.LINEAR(Sheet3!CF8,Sheet2!$AH$2:$AH$40,Sheet2!$AG$2:$AG$40)</f>
        <v>3.5371607696937882E-2</v>
      </c>
      <c r="BC8" s="183">
        <f>_xlfn.FORECAST.LINEAR(Sheet3!CG8,Sheet2!$AH$2:$AH$40,Sheet2!$AG$2:$AG$40)</f>
        <v>3.3896747804128338E-2</v>
      </c>
      <c r="BD8" s="186">
        <f>_xlfn.FORECAST.LINEAR(Sheet3!DF8,Sheet2!$AB$12:$AB$37,Sheet2!$AA$12:$AA$37)/1000</f>
        <v>3.5052025511612205E-2</v>
      </c>
      <c r="BE8" s="183">
        <f>_xlfn.FORECAST.LINEAR(Sheet3!BZ8,Sheet2!$AB$12:$AB$37,Sheet2!$AA$12:$AA$37)/1000</f>
        <v>3.4988065536226763E-2</v>
      </c>
      <c r="BF8" s="183">
        <f>_xlfn.FORECAST.LINEAR(Sheet3!CA8,Sheet2!$AB$12:$AB$37,Sheet2!$AA$12:$AA$37)/1000</f>
        <v>3.4440724774516443E-2</v>
      </c>
      <c r="BG8" s="183">
        <f>_xlfn.FORECAST.LINEAR(Sheet3!CB8,Sheet2!$AB$12:$AB$37,Sheet2!$AA$12:$AA$37)/1000</f>
        <v>3.4100334841931416E-2</v>
      </c>
      <c r="BH8" s="183">
        <f>_xlfn.FORECAST.LINEAR(Sheet3!CC8,Sheet2!$AB$12:$AB$37,Sheet2!$AA$12:$AA$37)/1000</f>
        <v>3.3620066127525716E-2</v>
      </c>
      <c r="BI8" s="183">
        <f>_xlfn.FORECAST.LINEAR(Sheet3!CD8,Sheet2!$AB$12:$AB$37,Sheet2!$AA$12:$AA$37)/1000</f>
        <v>3.3371057139953531E-2</v>
      </c>
      <c r="BJ8" s="183">
        <f>_xlfn.FORECAST.LINEAR(Sheet3!CE8,Sheet2!$AB$12:$AB$37,Sheet2!$AA$12:$AA$37)/1000</f>
        <v>3.2969190974768525E-2</v>
      </c>
      <c r="BK8" s="183">
        <f>_xlfn.FORECAST.LINEAR(Sheet3!CF8,Sheet2!$AB$12:$AB$37,Sheet2!$AA$12:$AA$37)/1000</f>
        <v>3.2679047487531622E-2</v>
      </c>
      <c r="BL8" s="183">
        <f>_xlfn.FORECAST.LINEAR(Sheet3!CG8,Sheet2!$AB$12:$AB$37,Sheet2!$AA$12:$AA$37)/1000</f>
        <v>3.2349302953387504E-2</v>
      </c>
      <c r="BM8" s="186">
        <f t="shared" si="122"/>
        <v>0.71850194130505796</v>
      </c>
      <c r="BN8" s="183">
        <f t="shared" si="123"/>
        <v>0.72035460555135367</v>
      </c>
      <c r="BO8" s="183">
        <f t="shared" si="124"/>
        <v>0.73678375365152127</v>
      </c>
      <c r="BP8" s="183">
        <f t="shared" si="125"/>
        <v>0.74726329051348017</v>
      </c>
      <c r="BQ8" s="183">
        <f t="shared" si="126"/>
        <v>0.76278484075844921</v>
      </c>
      <c r="BR8" s="183">
        <f t="shared" si="127"/>
        <v>0.77097182824558941</v>
      </c>
      <c r="BS8" s="183">
        <f t="shared" si="128"/>
        <v>0.78479312220317698</v>
      </c>
      <c r="BT8" s="183">
        <f t="shared" si="129"/>
        <v>0.7949093729667287</v>
      </c>
      <c r="BU8" s="183">
        <f t="shared" si="130"/>
        <v>0.80695267817227534</v>
      </c>
      <c r="BV8" s="186">
        <f t="shared" si="131"/>
        <v>1.2060345753883388</v>
      </c>
      <c r="BW8" s="183">
        <f t="shared" si="19"/>
        <v>1.2057321342801732</v>
      </c>
      <c r="BX8" s="183">
        <f t="shared" si="20"/>
        <v>1.2010823723865178</v>
      </c>
      <c r="BY8" s="183">
        <f t="shared" si="21"/>
        <v>1.1995658872592816</v>
      </c>
      <c r="BZ8" s="183">
        <f t="shared" si="22"/>
        <v>1.1949617680471221</v>
      </c>
      <c r="CA8" s="183">
        <f t="shared" si="23"/>
        <v>1.1938629761805948</v>
      </c>
      <c r="CB8" s="183">
        <f t="shared" si="24"/>
        <v>1.1895494011256937</v>
      </c>
      <c r="CC8" s="183">
        <f t="shared" si="25"/>
        <v>1.1882916192329365</v>
      </c>
      <c r="CD8" s="183">
        <f t="shared" si="26"/>
        <v>1.1844638051374816</v>
      </c>
      <c r="CE8" s="187">
        <f xml:space="preserve"> -0.0000000019505*Sheet3!DF8^3 + 0.0000015497*Sheet3!DF8^2  + 0.00016911*Sheet3!DF8 + 1.8585</f>
        <v>1.9198318426875001</v>
      </c>
      <c r="CF8" s="185">
        <f xml:space="preserve"> -0.0000000019505*Sheet3!BZ8^3 + 0.0000015497*Sheet3!BZ8^2  + 0.00016911*Sheet3!BZ8 + 1.8585</f>
        <v>1.9192458971305701</v>
      </c>
      <c r="CG8" s="185">
        <f xml:space="preserve"> -0.0000000019505*Sheet3!CA8^3 + 0.0000015497*Sheet3!CA8^2  + 0.00016911*Sheet3!CA8 + 1.8585</f>
        <v>1.9142945826019886</v>
      </c>
      <c r="CH8" s="185">
        <f xml:space="preserve"> -0.0000000019505*Sheet3!CB8^3 + 0.0000015497*Sheet3!CB8^2  + 0.00016911*Sheet3!CB8 + 1.8585</f>
        <v>1.9112752757532159</v>
      </c>
      <c r="CI8" s="185">
        <f xml:space="preserve"> -0.0000000019505*Sheet3!CC8^3 + 0.0000015497*Sheet3!CC8^2  + 0.00016911*Sheet3!CC8 + 1.8585</f>
        <v>1.9070990918086617</v>
      </c>
      <c r="CJ8" s="185">
        <f xml:space="preserve"> -0.0000000019505*Sheet3!CD8^3 + 0.0000015497*Sheet3!CD8^2  + 0.00016911*Sheet3!CD8 + 1.8585</f>
        <v>1.9049745371935636</v>
      </c>
      <c r="CK8" s="185">
        <f xml:space="preserve"> -0.0000000019505*Sheet3!CE8^3 + 0.0000015497*Sheet3!CE8^2  + 0.00016911*Sheet3!CE8 + 1.8585</f>
        <v>1.9016075772687766</v>
      </c>
      <c r="CL8" s="185">
        <f xml:space="preserve"> -0.0000000019505*Sheet3!CF8^3 + 0.0000015497*Sheet3!CF8^2  + 0.00016911*Sheet3!CF8 + 1.8585</f>
        <v>1.8992260957341653</v>
      </c>
      <c r="CM8" s="185">
        <f xml:space="preserve"> -0.0000000019505*Sheet3!CG8^3 + 0.0000015497*Sheet3!CG8^2  + 0.00016911*Sheet3!CG8 + 1.8585</f>
        <v>1.896572114400664</v>
      </c>
      <c r="CN8" s="186">
        <f>_xlfn.FORECAST.LINEAR(Sheet3!DF8,New!$LU$2:$LU$14,New!$LT$2:$LT$14)</f>
        <v>1.0275852585635485</v>
      </c>
      <c r="CO8" s="183">
        <f>_xlfn.FORECAST.LINEAR(Sheet3!BZ8,New!$LU$2:$LU$14,New!$LT$2:$LT$14)</f>
        <v>1.0273747028630738</v>
      </c>
      <c r="CP8" s="183">
        <f>_xlfn.FORECAST.LINEAR(Sheet3!CA8,New!$LU$2:$LU$14,New!$LT$2:$LT$14)</f>
        <v>1.0255728616837132</v>
      </c>
      <c r="CQ8" s="183">
        <f>_xlfn.FORECAST.LINEAR(Sheet3!CB8,New!$LU$2:$LU$14,New!$LT$2:$LT$14)</f>
        <v>1.0244523008914659</v>
      </c>
      <c r="CR8" s="183">
        <f>_xlfn.FORECAST.LINEAR(Sheet3!CC8,New!$LU$2:$LU$14,New!$LT$2:$LT$14)</f>
        <v>1.022871260327137</v>
      </c>
      <c r="CS8" s="183">
        <f>_xlfn.FORECAST.LINEAR(Sheet3!CD8,New!$LU$2:$LU$14,New!$LT$2:$LT$14)</f>
        <v>1.0220515248365143</v>
      </c>
      <c r="CT8" s="183">
        <f>_xlfn.FORECAST.LINEAR(Sheet3!CE8,New!$LU$2:$LU$14,New!$LT$2:$LT$14)</f>
        <v>1.0207285848041305</v>
      </c>
      <c r="CU8" s="183">
        <f>_xlfn.FORECAST.LINEAR(Sheet3!CF8,New!$LU$2:$LU$14,New!$LT$2:$LT$14)</f>
        <v>1.0197734348869327</v>
      </c>
      <c r="CV8" s="183">
        <f>_xlfn.FORECAST.LINEAR(Sheet3!CG8,New!$LU$2:$LU$14,New!$LT$2:$LT$14)</f>
        <v>1.0186879186567266</v>
      </c>
      <c r="CW8" s="186">
        <f>EXP((17.625*Sheet3!BA8)/(243.04+Sheet3!BA8)) / EXP((17.625*Sheet3!DF8)/(243.04+Sheet3!DF8))</f>
        <v>3.2469180716831469E-2</v>
      </c>
      <c r="CX8" s="183">
        <f>EXP((17.625*(Sheet3!BC8+273))/(243.04+(Sheet3!BC8+273)))/EXP((17.625*(Sheet3!BZ8+273))/(243.04+(Sheet3!BZ8+273)))</f>
        <v>0.34042071556760345</v>
      </c>
      <c r="CY8" s="183">
        <f>EXP((17.625*(Sheet3!BE8+273))/(243.04+(Sheet3!BE8+273))) / EXP((17.625*(Sheet3!CA8+273))/(243.04+(Sheet3!CA8+273)))</f>
        <v>0.37244912831756194</v>
      </c>
      <c r="CZ8" s="183">
        <f>EXP((17.625*(Sheet3!BG8+273))/(243.04+(Sheet3!BG8+273))) / EXP((17.625*(Sheet3!CB8+273))/(243.04+(Sheet3!CB8+273)))</f>
        <v>0.39377784571366609</v>
      </c>
      <c r="DA8" s="183">
        <f>EXP((17.625*(Sheet3!BI8+273))/(243.04+(Sheet3!BI8+273))) / EXP((17.625*(Sheet3!CC8+273))/(243.04+(Sheet3!CC8+273)))</f>
        <v>0.42665091975530439</v>
      </c>
      <c r="DB8" s="183">
        <f>EXP((17.625*(Sheet3!BK8+273))/(243.04+(Sheet3!BK8+273)))/EXP((17.625*(Sheet3!CD8+273))/(243.04+(Sheet3!CD8+273)))</f>
        <v>0.44579761014804498</v>
      </c>
      <c r="DC8" s="183">
        <f>EXP((17.625*(Sheet3!BM8+273))/(243.04+(Sheet3!BM8+273))) / EXP((17.625*(Sheet3!CE8+273))/(243.04+(Sheet3!CE8+273)))</f>
        <v>0.47769177464518137</v>
      </c>
      <c r="DD8" s="183">
        <f>EXP((17.625*(Sheet3!BO8+273))/(243.04+(Sheet3!BO8+273))) / EXP((17.625*(Sheet3!CF8+273))/(243.04+(Sheet3!CF8+273)))</f>
        <v>0.50372884243503413</v>
      </c>
      <c r="DE8" s="183">
        <f>EXP((17.625*(Sheet3!BQ8+273))/(243.04+(Sheet3!BQ8+273))) / EXP((17.625*(Sheet3!CG8+273))/(243.04+(Sheet3!CG8+273)))</f>
        <v>0.53404446984162268</v>
      </c>
      <c r="DF8" s="186">
        <f>((Sheet3!DA8-Sheet3!DB8)/New!$LQ$3)/(((Sheet3!DA8-Sheet3!DB8)/New!$LQ$3)+(Sheet3!DB8/New!$LP$3))</f>
        <v>0.71332409423876453</v>
      </c>
      <c r="DG8" s="183">
        <f>((Sheet3!DA8-Sheet3!DB8)/New!$LQ$3)/(((Sheet3!DA8-Sheet3!DB8)/New!$LQ$3)+((Sheet3!DB8-(Sheet3!B8*0.004))/New!$LP$3))</f>
        <v>0.71339681021271473</v>
      </c>
      <c r="DH8" s="183" cm="1">
        <f t="array" ref="DH8">((Sheet3!DA8-Sheet3!DB8)/New!$LQ$3)/(((Sheet3!DA8-Sheet3!DB8)/New!$LQ$3)+((Sheet3!DB8-(SUM(Sheet3!B8:C8*0.004)))/New!$LP$3))</f>
        <v>0.72314591070721757</v>
      </c>
      <c r="DI8" s="183" cm="1">
        <f t="array" ref="DI8">((Sheet3!DA8-Sheet3!DB8)/New!$LQ$3)/(((Sheet3!DA8-Sheet3!DB8)/New!$LQ$3)+((Sheet3!DB8-(SUM(Sheet3!B8:D8*0.004)))/New!$LP$3))</f>
        <v>0.72323932853200146</v>
      </c>
      <c r="DJ8" s="183" cm="1">
        <f t="array" ref="DJ8">((Sheet3!DA8-Sheet3!DB8)/New!$LQ$3)/(((Sheet3!DA8-Sheet3!DB8)/New!$LQ$3)+((Sheet3!DB8-(SUM(Sheet3!B8:E8*0.004)))/New!$LP$3))</f>
        <v>0.73462745328460832</v>
      </c>
      <c r="DK8" s="183" cm="1">
        <f t="array" ref="DK8">((Sheet3!DA8-Sheet3!DB8)/New!$LQ$3)/(((Sheet3!DA8-Sheet3!DB8)/New!$LQ$3)+((Sheet3!DB8-(SUM(Sheet3!B8:F8*0.004)))/New!$LP$3))</f>
        <v>0.73474314592294787</v>
      </c>
      <c r="DL8" s="183" cm="1">
        <f t="array" ref="DL8">((Sheet3!DA8-Sheet3!DB8)/New!$LQ$3)/(((Sheet3!DA8-Sheet3!DB8)/New!$LQ$3)+((Sheet3!DB8-(SUM(Sheet3!B8:G8*0.004)))/New!$LP$3))</f>
        <v>0.74689773135463</v>
      </c>
      <c r="DM8" s="183" cm="1">
        <f t="array" ref="DM8">((Sheet3!DA8-Sheet3!DB8)/New!$LQ$3)/(((Sheet3!DA8-Sheet3!DB8)/New!$LQ$3)+((Sheet3!DB8-(SUM(Sheet3!B8:H8*0.004)))/New!$LP$3))</f>
        <v>0.74703725673636068</v>
      </c>
      <c r="DN8" s="183" cm="1">
        <f t="array" ref="DN8">((Sheet3!DA8-Sheet3!DB8)/New!$LQ$3)/(((Sheet3!DA8-Sheet3!DB8)/New!$LQ$3)+((Sheet3!DB8-(SUM(Sheet3!B8:I8*0.004)))/New!$LP$3))</f>
        <v>0.75886415678671271</v>
      </c>
      <c r="DO8" s="186">
        <f>(Sheet3!DB8/$LP$3) / ((Sheet3!DB8/$LP$3) + ((Sheet3!DA8-Sheet3!DB8)/$LQ$3))</f>
        <v>0.28667590576123536</v>
      </c>
      <c r="DP8" s="183">
        <f>((Sheet3!$DB8-(Sheet3!B8/4000)) / $LP$3) / (((Sheet3!$DA8-Sheet3!DB8) / $LQ$3) + (Sheet3!$DB8-((Sheet3!B8/4000)))/$LP$3)</f>
        <v>0.28667136144715627</v>
      </c>
      <c r="DQ8" s="183">
        <f>((Sheet3!$DB8-(SUM(Sheet3!B8:C8)/4000))/$LP$3)/(((Sheet3!$DA8-Sheet3!$DB8)/$LQ$3)+(Sheet3!$DB8-(SUM(Sheet3!B8:C8)/4000))/$LP$3)</f>
        <v>0.2860698653126228</v>
      </c>
      <c r="DR8" s="183">
        <f>((Sheet3!$DB8-(SUM(Sheet3!B8:D8)/4000))/$LP$3)/(((Sheet3!$DA8-Sheet3!$DB8)/$LQ$3)+(Sheet3!$DB8-(SUM(Sheet3!B8:D8)/4000))/$LP$3)</f>
        <v>0.28606417525469502</v>
      </c>
      <c r="DS8" s="183">
        <f>((Sheet3!$DB8-(SUM(Sheet3!B8:E8)/4000))/$LP$3)/(((Sheet3!$DA8-Sheet3!$DB8)/$LQ$3)+(Sheet3!$DB8-(SUM(Sheet3!B8:E8)/4000))/$LP$3)</f>
        <v>0.28538070919041442</v>
      </c>
      <c r="DT8" s="183">
        <f>((Sheet3!$DB8-(SUM(Sheet3!B8:F8)/4000))/$LP$3)/(((Sheet3!$DA8-Sheet3!$DB8)/$LQ$3)+(Sheet3!$DB8-(SUM(Sheet3!B8:F8)/4000))/$LP$3)</f>
        <v>0.28537386792131159</v>
      </c>
      <c r="DU8" s="183">
        <f>((Sheet3!$DB8-(SUM(Sheet3!B8:G8)/4000))/$LP$3)/(((Sheet3!$DA8-Sheet3!$DB8)/$LQ$3)+(Sheet3!$DB8-(SUM(Sheet3!B8:G8)/4000))/$LP$3)</f>
        <v>0.2846662299881258</v>
      </c>
      <c r="DV8" s="183">
        <f>((Sheet3!$DB8-(SUM(Sheet3!B8:H8)/4000))/$LP$3)/(((Sheet3!$DA8-Sheet3!$DB8)/$LQ$3)+(Sheet3!$DB8-(SUM(Sheet3!B8:H8)/4000))/$LP$3)</f>
        <v>0.28465823252684586</v>
      </c>
      <c r="DW8" s="183">
        <f>((Sheet3!$DB8-(SUM(Sheet3!B8:I8)/4000))/$LP$3)/(((Sheet3!$DA8-Sheet3!$DB8)/$LQ$3)+(Sheet3!$DB8-(SUM(Sheet3!B8:I8)/4000))/$LP$3)</f>
        <v>0.28399038537334581</v>
      </c>
      <c r="DX8" s="186">
        <f>($LR$2*($LP$3/1000))/($LP$2*(Sheet3!DF8+273))*DO8</f>
        <v>0.14370038826101156</v>
      </c>
      <c r="DY8" s="183">
        <f>(($LR$2*($LP$3/1000))/($LP$2*(Sheet3!BZ8+273)))*(DP8)</f>
        <v>0.14406835983806759</v>
      </c>
      <c r="DZ8" s="183">
        <f>(($LR$2*($LP$3/1000))/($LP$2*(Sheet3!CA8+273)))*(DQ8)</f>
        <v>0.1470074721102359</v>
      </c>
      <c r="EA8" s="183">
        <f>(($LR$2*($LP$3/1000))/($LP$2*(Sheet3!CB8+273)))*(DR8)</f>
        <v>0.14909508644292943</v>
      </c>
      <c r="EB8" s="183">
        <f>(($LR$2*($LP$3/1000))/($LP$2*(Sheet3!CC8+273)))*(DS8)</f>
        <v>0.15178439202874047</v>
      </c>
      <c r="EC8" s="183">
        <f>(($LR$2*($LP$3/1000))/($LP$2*(Sheet3!CD8+273)))*(DT8)</f>
        <v>0.15340937515318706</v>
      </c>
      <c r="ED8" s="183">
        <f>(($LR$2*($LP$3/1000))/($LP$2*(Sheet3!CE8+273)))*(DU8)</f>
        <v>0.15572565219942802</v>
      </c>
      <c r="EE8" s="183">
        <f>(($LR$2*($LP$3/1000))/($LP$2*(Sheet3!CF8+273)))*(DV8)</f>
        <v>0.15772804333247659</v>
      </c>
      <c r="EF8" s="183">
        <f>(($LR$2*($LP$3/1000))/($LP$2*(Sheet3!CG8+273)))*(DW8)</f>
        <v>0.15969688297034337</v>
      </c>
      <c r="EG8" s="186">
        <f>(($LR$2*($LQ$3/1000))/($LQ$2*(Sheet3!DF8+273)))*(1-DO8)</f>
        <v>0.57480155304404634</v>
      </c>
      <c r="EH8" s="183">
        <f>(($LR$2*($LQ$3/1000))/($LQ$2*(Sheet3!BZ8+273)))*(1-DP8)</f>
        <v>0.57628624571328602</v>
      </c>
      <c r="EI8" s="183">
        <f>(($LR$2*($LQ$3/1000))/($LQ$2*(Sheet3!CA8+273)))*(1-DQ8)</f>
        <v>0.58977628154128536</v>
      </c>
      <c r="EJ8" s="183">
        <f>(($LR$2*($LQ$3/1000))/($LQ$2*(Sheet3!CB8+273)))*(1-DR8)</f>
        <v>0.59816820407055071</v>
      </c>
      <c r="EK8" s="183">
        <f>(($LR$2*($LQ$3/1000))/($LQ$2*(Sheet3!CC8+273)))*(1-DS8)</f>
        <v>0.61100044872970871</v>
      </c>
      <c r="EL8" s="183">
        <f>(($LR$2*($LQ$3/1000))/($LQ$2*(Sheet3!CD8+273)))*(1-DT8)</f>
        <v>0.61756245309240232</v>
      </c>
      <c r="EM8" s="183">
        <f>(($LR$2*($LQ$3/1000))/($LQ$2*(Sheet3!CE8+273)))*(1-DU8)</f>
        <v>0.62906747000374896</v>
      </c>
      <c r="EN8" s="183">
        <f>(($LR$2*($LQ$3/1000))/($LQ$2*(Sheet3!CF8+273)))*(1-DV8)</f>
        <v>0.63718132963425211</v>
      </c>
      <c r="EO8" s="183">
        <f>(($LR$2*($LQ$3/1000))/($LQ$2*(Sheet3!CG8+273)))*(1-DW8)</f>
        <v>0.64725579520193199</v>
      </c>
      <c r="EP8" s="186">
        <f t="shared" si="132"/>
        <v>4761.3173509351491</v>
      </c>
      <c r="EQ8" s="183">
        <f xml:space="preserve"> (($FV8-(Sheet3!B8/4000))*0.018)/(0.011*JO8*3600)</f>
        <v>4771.3883538891778</v>
      </c>
      <c r="ER8" s="183">
        <f>((($FV8-(SUM(Sheet3!B8:C8)/4000))*0.018)/(0.011*JP8*3600))</f>
        <v>4855.4768203801887</v>
      </c>
      <c r="ES8" s="183">
        <f>((($FV8-(SUM(Sheet3!B8:D8)/4000))*0.018)/(0.011*JQ8*3600))</f>
        <v>4911.964931614426</v>
      </c>
      <c r="ET8" s="183">
        <f>((($FV8-(SUM(Sheet3!B8:E8)/4000))*0.018)/(0.011*JR8))/3600</f>
        <v>4989.1360691388754</v>
      </c>
      <c r="EU8" s="183">
        <f>((($FV8-(SUM(Sheet3!B8:F8)/4000))*0.018)/(0.011*JS8))/3600</f>
        <v>5032.698904800216</v>
      </c>
      <c r="EV8" s="183">
        <f>((($FV8-(SUM(Sheet3!B8:G8)/4000))*0.018)/(0.011*JT8))/3600</f>
        <v>5099.5295394296663</v>
      </c>
      <c r="EW8" s="183">
        <f>((($FV8-(SUM(Sheet3!B8:H8)/4000))*0.018)/(0.011*JU8))/3600</f>
        <v>5152.7425355405694</v>
      </c>
      <c r="EX8" s="183">
        <f>((($FV8-(SUM(Sheet3!B8:I8)/4000))*0.018)/(0.011*JV8))/3600</f>
        <v>5209.6272757959223</v>
      </c>
      <c r="EY8" s="186">
        <f t="shared" si="133"/>
        <v>48.626658656758423</v>
      </c>
      <c r="EZ8" s="183">
        <f t="shared" si="134"/>
        <v>48.708784950659776</v>
      </c>
      <c r="FA8" s="183">
        <f t="shared" si="135"/>
        <v>49.380241959189725</v>
      </c>
      <c r="FB8" s="183">
        <f t="shared" si="136"/>
        <v>49.845396457414388</v>
      </c>
      <c r="FC8" s="183">
        <f t="shared" si="137"/>
        <v>50.463753177473301</v>
      </c>
      <c r="FD8" s="183">
        <f t="shared" si="138"/>
        <v>50.825944304076899</v>
      </c>
      <c r="FE8" s="183">
        <f t="shared" si="139"/>
        <v>51.362534108370888</v>
      </c>
      <c r="FF8" s="183">
        <f t="shared" si="140"/>
        <v>51.809167489382943</v>
      </c>
      <c r="FG8" s="183">
        <f t="shared" si="141"/>
        <v>52.267991286587311</v>
      </c>
      <c r="FH8" s="186">
        <f t="shared" si="28"/>
        <v>103.68345613071401</v>
      </c>
      <c r="FI8" s="183">
        <f t="shared" si="29"/>
        <v>103.51039453205257</v>
      </c>
      <c r="FJ8" s="183">
        <f t="shared" si="30"/>
        <v>101.89911120187743</v>
      </c>
      <c r="FK8" s="183">
        <f t="shared" si="31"/>
        <v>100.95968722852123</v>
      </c>
      <c r="FL8" s="183">
        <f t="shared" si="32"/>
        <v>99.482472480185578</v>
      </c>
      <c r="FM8" s="183">
        <f t="shared" si="33"/>
        <v>98.776635500081596</v>
      </c>
      <c r="FN8" s="183">
        <f t="shared" si="34"/>
        <v>97.492456929927613</v>
      </c>
      <c r="FO8" s="183">
        <f t="shared" si="35"/>
        <v>96.650628371293308</v>
      </c>
      <c r="FP8" s="183">
        <f t="shared" si="36"/>
        <v>95.562979720222728</v>
      </c>
      <c r="FQ8" s="314">
        <f>Sheet3!CV8</f>
        <v>2</v>
      </c>
      <c r="FR8" s="183">
        <v>5000</v>
      </c>
      <c r="FS8" s="183">
        <v>20</v>
      </c>
      <c r="FT8" s="183">
        <v>0.157</v>
      </c>
      <c r="FU8" s="183">
        <v>22.43</v>
      </c>
      <c r="FV8" s="183">
        <v>225</v>
      </c>
      <c r="FW8" s="183">
        <v>45</v>
      </c>
      <c r="FX8" s="183">
        <v>408</v>
      </c>
      <c r="FY8" s="183">
        <v>11.11</v>
      </c>
      <c r="FZ8" s="183">
        <v>20.66</v>
      </c>
      <c r="GA8" s="183">
        <v>165</v>
      </c>
      <c r="GB8" s="186">
        <f>EXP($LP$6-($LQ$6/('Trial and Error method'!T8+$LP$8))) / ($LR$2/1000)</f>
        <v>0.4374489577730582</v>
      </c>
      <c r="GC8" s="183">
        <f>EXP($LP$6-($LQ$6/('Trial and Error method'!U8+$LP$8))) / ($LR$2/1000)</f>
        <v>0.13950963888555037</v>
      </c>
      <c r="GD8" s="183">
        <f>EXP($LP$6-($LQ$6/('Trial and Error method'!V8+$LP$8))) / ($LR$2/1000)</f>
        <v>0.13087263286602702</v>
      </c>
      <c r="GE8" s="183">
        <f>EXP($LP$6-($LQ$6/('Trial and Error method'!W8+$LP$8))) / ($LR$2/1000)</f>
        <v>0.12467623736389642</v>
      </c>
      <c r="GF8" s="183">
        <f>EXP($LP$6-($LQ$6/('Trial and Error method'!X8+$LP$8))) / ($LR$2/1000)</f>
        <v>0.11779653088864026</v>
      </c>
      <c r="GG8" s="183">
        <f>EXP($LP$6-($LQ$6/('Trial and Error method'!Y8+$LP$8))) / ($LR$2/1000)</f>
        <v>0.11357007492723088</v>
      </c>
      <c r="GH8" s="183">
        <f>EXP($LP$6-($LQ$6/('Trial and Error method'!Z8+$LP$8))) / ($LR$2/1000)</f>
        <v>0.10908629102073465</v>
      </c>
      <c r="GI8" s="183">
        <f>EXP($LP$6-($LQ$6/('Trial and Error method'!AA8+$LP$8))) / ($LR$2/1000)</f>
        <v>0.10685960484957151</v>
      </c>
      <c r="GJ8" s="183">
        <f>EXP($LP$6-($LQ$6/('Trial and Error method'!AB8+$LP$8))) / ($LR$2/1000)</f>
        <v>0.36049073746564159</v>
      </c>
      <c r="GK8" s="188">
        <f t="shared" si="142"/>
        <v>0.63495689619356144</v>
      </c>
      <c r="GL8" s="165">
        <f t="shared" si="143"/>
        <v>0.78461070742358652</v>
      </c>
      <c r="GM8" s="165">
        <f t="shared" si="144"/>
        <v>0.78898638949999167</v>
      </c>
      <c r="GN8" s="165">
        <f t="shared" si="145"/>
        <v>0.79189077389924489</v>
      </c>
      <c r="GO8" s="165">
        <f t="shared" si="146"/>
        <v>0.79547143527785213</v>
      </c>
      <c r="GP8" s="165">
        <f t="shared" si="147"/>
        <v>0.79744592463295616</v>
      </c>
      <c r="GQ8" s="165">
        <f t="shared" si="148"/>
        <v>0.79991469016184968</v>
      </c>
      <c r="GR8" s="165">
        <f t="shared" si="149"/>
        <v>0.80095475127013094</v>
      </c>
      <c r="GS8" s="165">
        <f t="shared" si="150"/>
        <v>0.6770392613716596</v>
      </c>
      <c r="GT8" s="188">
        <f t="shared" si="38"/>
        <v>8.7760785839159403E-2</v>
      </c>
      <c r="GU8" s="165">
        <f t="shared" si="39"/>
        <v>7.1014598472934731E-2</v>
      </c>
      <c r="GV8" s="165">
        <f t="shared" si="40"/>
        <v>7.0590850303057714E-2</v>
      </c>
      <c r="GW8" s="165">
        <f t="shared" si="41"/>
        <v>7.0332444225812737E-2</v>
      </c>
      <c r="GX8" s="165">
        <f t="shared" si="42"/>
        <v>6.9998625763993141E-2</v>
      </c>
      <c r="GY8" s="165">
        <f t="shared" si="43"/>
        <v>6.9832909269489027E-2</v>
      </c>
      <c r="GZ8" s="165">
        <f t="shared" si="44"/>
        <v>6.9608919880761552E-2</v>
      </c>
      <c r="HA8" s="165">
        <f t="shared" si="45"/>
        <v>6.9535534900560095E-2</v>
      </c>
      <c r="HB8" s="165">
        <f t="shared" si="46"/>
        <v>8.2253710761198764E-2</v>
      </c>
      <c r="HC8" s="188">
        <f>BV8*Sheet3!DF8</f>
        <v>198.99570493907589</v>
      </c>
      <c r="HD8" s="165">
        <f>BW8*Sheet3!BZ8</f>
        <v>197.58858046925732</v>
      </c>
      <c r="HE8" s="165">
        <f>BX8*Sheet3!CA8</f>
        <v>185.25689960330669</v>
      </c>
      <c r="HF8" s="165">
        <f>BY8*Sheet3!CB8</f>
        <v>177.83690730162743</v>
      </c>
      <c r="HG8" s="165">
        <f>BZ8*Sheet3!CC8</f>
        <v>167.05414175446023</v>
      </c>
      <c r="HH8" s="165">
        <f>CA8*Sheet3!CD8</f>
        <v>161.66861109013317</v>
      </c>
      <c r="HI8" s="165">
        <f>CB8*Sheet3!CE8</f>
        <v>152.67139122502383</v>
      </c>
      <c r="HJ8" s="165">
        <f>CC8*Sheet3!CF8</f>
        <v>146.44221472255009</v>
      </c>
      <c r="HK8" s="165">
        <f>CD8*Sheet3!CG8</f>
        <v>139.09677627357158</v>
      </c>
      <c r="HL8" s="188">
        <f>(CE8*Sheet3!DF8)+2501</f>
        <v>2817.7722540434374</v>
      </c>
      <c r="HM8" s="165">
        <f>(CF8*Sheet3!BZ8)+2501</f>
        <v>2815.5151908984099</v>
      </c>
      <c r="HN8" s="165">
        <f>(CG8*Sheet3!CA8)+2501</f>
        <v>2796.2639114964263</v>
      </c>
      <c r="HO8" s="165">
        <f>(CH8*Sheet3!CB8)+2501</f>
        <v>2784.348574390187</v>
      </c>
      <c r="HP8" s="165">
        <f>(CI8*Sheet3!CC8)+2501</f>
        <v>2767.6100376947315</v>
      </c>
      <c r="HQ8" s="165">
        <f>(CJ8*Sheet3!CD8)+2501</f>
        <v>2758.9647696048205</v>
      </c>
      <c r="HR8" s="165">
        <f>(CK8*Sheet3!CE8)+2501</f>
        <v>2745.0597037087614</v>
      </c>
      <c r="HS8" s="165">
        <f>(CL8*Sheet3!CF8)+2501</f>
        <v>2735.0560778318954</v>
      </c>
      <c r="HT8" s="165">
        <f>(CM8*Sheet3!CG8)+2501</f>
        <v>2723.7227762800767</v>
      </c>
      <c r="HU8" s="188">
        <f>-0.0021*(Sheet3!DF8^2) - 2.2115*(Sheet3!DF8) + 2499</f>
        <v>2076.9299999999998</v>
      </c>
      <c r="HV8" s="165">
        <f>-0.0021*(Sheet3!BZ8^2) - 2.2115*(Sheet3!BZ8) + 2499</f>
        <v>2080.1967638310775</v>
      </c>
      <c r="HW8" s="165">
        <f>-0.0021*(Sheet3!CA8^2) - 2.2115*(Sheet3!CA8) + 2499</f>
        <v>2107.934634165696</v>
      </c>
      <c r="HX8" s="165">
        <f>-0.0021*(Sheet3!CB8^2) - 2.2115*(Sheet3!CB8) + 2499</f>
        <v>2124.9882061448434</v>
      </c>
      <c r="HY8" s="165">
        <f>-0.0021*(Sheet3!CC8^2) - 2.2115*(Sheet3!CC8) + 2499</f>
        <v>2148.793360498229</v>
      </c>
      <c r="HZ8" s="165">
        <f>-0.0021*(Sheet3!CD8^2) - 2.2115*(Sheet3!CD8) + 2499</f>
        <v>2161.0177039680952</v>
      </c>
      <c r="IA8" s="165">
        <f>-0.0021*(Sheet3!CE8^2) - 2.2115*(Sheet3!CE8) + 2499</f>
        <v>2180.5759781350871</v>
      </c>
      <c r="IB8" s="165">
        <f>-0.0021*(Sheet3!CF8^2) - 2.2115*(Sheet3!CF8) + 2499</f>
        <v>2194.566267735283</v>
      </c>
      <c r="IC8" s="165">
        <f>-0.0021*(Sheet3!CG8^2) - 2.2115*(Sheet3!CG8) + 2499</f>
        <v>2210.3331096431639</v>
      </c>
      <c r="ID8" s="188">
        <f t="shared" si="47"/>
        <v>0.67497070629660949</v>
      </c>
      <c r="IE8" s="165">
        <f t="shared" si="48"/>
        <v>0.67563914489456889</v>
      </c>
      <c r="IF8" s="165">
        <f t="shared" si="49"/>
        <v>0.68069691563776213</v>
      </c>
      <c r="IG8" s="165">
        <f t="shared" si="50"/>
        <v>0.68465778471978778</v>
      </c>
      <c r="IH8" s="165">
        <f t="shared" si="51"/>
        <v>0.68944477151782957</v>
      </c>
      <c r="II8" s="165">
        <f t="shared" si="52"/>
        <v>0.6926593600459886</v>
      </c>
      <c r="IJ8" s="165">
        <f t="shared" si="53"/>
        <v>0.69688814712388436</v>
      </c>
      <c r="IK8" s="165">
        <f t="shared" si="54"/>
        <v>0.70100064629621217</v>
      </c>
      <c r="IL8" s="165">
        <f t="shared" si="55"/>
        <v>0.70471044321558307</v>
      </c>
      <c r="IM8" s="188">
        <f t="shared" si="56"/>
        <v>-27.481857856195401</v>
      </c>
      <c r="IN8" s="165">
        <f t="shared" si="151"/>
        <v>21.739368033781123</v>
      </c>
      <c r="IO8" s="165">
        <f t="shared" si="152"/>
        <v>23.093487587607726</v>
      </c>
      <c r="IP8" s="165">
        <f t="shared" si="153"/>
        <v>24.120333428612863</v>
      </c>
      <c r="IQ8" s="165">
        <f t="shared" si="154"/>
        <v>25.206769008591788</v>
      </c>
      <c r="IR8" s="165">
        <f t="shared" si="155"/>
        <v>25.926936729833532</v>
      </c>
      <c r="IS8" s="165">
        <f t="shared" si="156"/>
        <v>26.650846755658709</v>
      </c>
      <c r="IT8" s="165">
        <f t="shared" si="157"/>
        <v>27.132130910928456</v>
      </c>
      <c r="IU8" s="165">
        <f t="shared" si="158"/>
        <v>-13.908383685147893</v>
      </c>
      <c r="IV8" s="188">
        <f>_xlfn.FORECAST.LINEAR(Sheet3!DF8,Sheet2!$AK$2:$AK$69,Sheet2!$AJ$2:$AJ$69)</f>
        <v>1.4562419670230879E-5</v>
      </c>
      <c r="IW8" s="165">
        <f>_xlfn.FORECAST.LINEAR(Sheet3!BZ8,Sheet2!$AK$2:$AK$69,Sheet2!$AJ$2:$AJ$69)</f>
        <v>1.4523008372010011E-5</v>
      </c>
      <c r="IX8" s="165">
        <f>_xlfn.FORECAST.LINEAR(Sheet3!CA8,Sheet2!$AK$2:$AK$69,Sheet2!$AJ$2:$AJ$69)</f>
        <v>1.4185744171106143E-5</v>
      </c>
      <c r="IY8" s="165">
        <f>_xlfn.FORECAST.LINEAR(Sheet3!CB8,Sheet2!$AK$2:$AK$69,Sheet2!$AJ$2:$AJ$69)</f>
        <v>1.3976000357672106E-5</v>
      </c>
      <c r="IZ8" s="165">
        <f>_xlfn.FORECAST.LINEAR(Sheet3!CC8,Sheet2!$AK$2:$AK$69,Sheet2!$AJ$2:$AJ$69)</f>
        <v>1.3680065072901758E-5</v>
      </c>
      <c r="JA8" s="165">
        <f>_xlfn.FORECAST.LINEAR(Sheet3!CD8,Sheet2!$AK$2:$AK$69,Sheet2!$AJ$2:$AJ$69)</f>
        <v>1.3526628999642768E-5</v>
      </c>
      <c r="JB8" s="165">
        <f>_xlfn.FORECAST.LINEAR(Sheet3!CE8,Sheet2!$AK$2:$AK$69,Sheet2!$AJ$2:$AJ$69)</f>
        <v>1.3279004337726661E-5</v>
      </c>
      <c r="JC8" s="165">
        <f>_xlfn.FORECAST.LINEAR(Sheet3!CF8,Sheet2!$AK$2:$AK$69,Sheet2!$AJ$2:$AJ$69)</f>
        <v>1.3100221725109542E-5</v>
      </c>
      <c r="JD8" s="165">
        <f>_xlfn.FORECAST.LINEAR(Sheet3!CG8,Sheet2!$AK$2:$AK$69,Sheet2!$AJ$2:$AJ$69)</f>
        <v>1.2897037466617587E-5</v>
      </c>
      <c r="JE8" s="188">
        <f>_xlfn.FORECAST.LINEAR(Sheet3!DF8,New!$MC$2:$MC$18,New!$MB$2:$MB$18)</f>
        <v>2.4201140055889738E-5</v>
      </c>
      <c r="JF8" s="165">
        <f>_xlfn.FORECAST.LINEAR(Sheet3!BZ8,New!$MC$2:$MC$18,New!$MB$2:$MB$18)</f>
        <v>2.4154811123571497E-5</v>
      </c>
      <c r="JG8" s="165">
        <f>_xlfn.FORECAST.LINEAR(Sheet3!CA8,New!$MC$2:$MC$18,New!$MB$2:$MB$18)</f>
        <v>2.3758348914956191E-5</v>
      </c>
      <c r="JH8" s="165">
        <f>_xlfn.FORECAST.LINEAR(Sheet3!CB8,New!$MC$2:$MC$18,New!$MB$2:$MB$18)</f>
        <v>2.3511789999736024E-5</v>
      </c>
      <c r="JI8" s="165">
        <f>_xlfn.FORECAST.LINEAR(Sheet3!CC8,New!$MC$2:$MC$18,New!$MB$2:$MB$18)</f>
        <v>2.3163910929580297E-5</v>
      </c>
      <c r="JJ8" s="165">
        <f>_xlfn.FORECAST.LINEAR(Sheet3!CD8,New!$MC$2:$MC$18,New!$MB$2:$MB$18)</f>
        <v>2.2983543122020258E-5</v>
      </c>
      <c r="JK8" s="165">
        <f>_xlfn.FORECAST.LINEAR(Sheet3!CE8,New!$MC$2:$MC$18,New!$MB$2:$MB$18)</f>
        <v>2.2692454355089846E-5</v>
      </c>
      <c r="JL8" s="165">
        <f>_xlfn.FORECAST.LINEAR(Sheet3!CF8,New!$MC$2:$MC$18,New!$MB$2:$MB$18)</f>
        <v>2.2482291078731911E-5</v>
      </c>
      <c r="JM8" s="165">
        <f>_xlfn.FORECAST.LINEAR(Sheet3!CG8,New!$MC$2:$MC$18,New!$MB$2:$MB$18)</f>
        <v>2.2243443078672327E-5</v>
      </c>
      <c r="JN8" s="188">
        <f t="shared" si="159"/>
        <v>2.147992241110338E-5</v>
      </c>
      <c r="JO8" s="165">
        <f t="shared" si="160"/>
        <v>2.1434489322989227E-5</v>
      </c>
      <c r="JP8" s="165">
        <f t="shared" si="161"/>
        <v>2.1050900431011796E-5</v>
      </c>
      <c r="JQ8" s="165">
        <f t="shared" si="162"/>
        <v>2.0808697197986065E-5</v>
      </c>
      <c r="JR8" s="165">
        <f t="shared" si="163"/>
        <v>2.0473165629362966E-5</v>
      </c>
      <c r="JS8" s="165">
        <f t="shared" si="164"/>
        <v>2.0295815268285368E-5</v>
      </c>
      <c r="JT8" s="165">
        <f t="shared" si="165"/>
        <v>2.0016017543980838E-5</v>
      </c>
      <c r="JU8" s="165">
        <f t="shared" si="166"/>
        <v>1.9809155332077749E-5</v>
      </c>
      <c r="JV8" s="165">
        <f t="shared" si="167"/>
        <v>1.9580117393480783E-5</v>
      </c>
      <c r="JW8" s="188">
        <f t="shared" si="66"/>
        <v>1.0072675686479116</v>
      </c>
      <c r="JX8" s="165">
        <f t="shared" si="67"/>
        <v>1.0076945281284684</v>
      </c>
      <c r="JY8" s="165">
        <f t="shared" si="68"/>
        <v>1.0114418904167453</v>
      </c>
      <c r="JZ8" s="165">
        <f t="shared" si="69"/>
        <v>1.0138603672659603</v>
      </c>
      <c r="KA8" s="165">
        <f t="shared" si="70"/>
        <v>1.0173943177862159</v>
      </c>
      <c r="KB8" s="165">
        <f t="shared" si="71"/>
        <v>1.0192852808947379</v>
      </c>
      <c r="KC8" s="165">
        <f t="shared" si="72"/>
        <v>1.0224258582576184</v>
      </c>
      <c r="KD8" s="165">
        <f t="shared" si="73"/>
        <v>1.0247644283841999</v>
      </c>
      <c r="KE8" s="165">
        <f t="shared" si="74"/>
        <v>1.0274979904023571</v>
      </c>
      <c r="KF8" s="188">
        <f t="shared" si="75"/>
        <v>0.97433176104174368</v>
      </c>
      <c r="KG8" s="165">
        <f t="shared" si="76"/>
        <v>0.97397124049641381</v>
      </c>
      <c r="KH8" s="165">
        <f t="shared" si="77"/>
        <v>0.97082532097983898</v>
      </c>
      <c r="KI8" s="165">
        <f t="shared" si="78"/>
        <v>0.96881230562958565</v>
      </c>
      <c r="KJ8" s="165">
        <f t="shared" si="79"/>
        <v>0.96589490614469375</v>
      </c>
      <c r="KK8" s="165">
        <f t="shared" si="80"/>
        <v>0.96434546506937835</v>
      </c>
      <c r="KL8" s="165">
        <f t="shared" si="81"/>
        <v>0.96178978016571126</v>
      </c>
      <c r="KM8" s="165">
        <f t="shared" si="82"/>
        <v>0.95990093075643401</v>
      </c>
      <c r="KN8" s="165">
        <f t="shared" si="83"/>
        <v>0.95770823290327856</v>
      </c>
      <c r="KO8" s="188">
        <f t="shared" si="84"/>
        <v>0.63459394894798893</v>
      </c>
      <c r="KP8" s="165">
        <f t="shared" si="85"/>
        <v>0.63396496783953549</v>
      </c>
      <c r="KQ8" s="165">
        <f t="shared" si="86"/>
        <v>0.62788030913053605</v>
      </c>
      <c r="KR8" s="165">
        <f t="shared" si="87"/>
        <v>0.6239954999865206</v>
      </c>
      <c r="KS8" s="165">
        <f t="shared" si="88"/>
        <v>0.61840178023976189</v>
      </c>
      <c r="KT8" s="165">
        <f t="shared" si="89"/>
        <v>0.61543305849485141</v>
      </c>
      <c r="KU8" s="165">
        <f t="shared" si="90"/>
        <v>0.61057158510881326</v>
      </c>
      <c r="KV8" s="165">
        <f t="shared" si="91"/>
        <v>0.60697706427666398</v>
      </c>
      <c r="KW8" s="165">
        <f t="shared" si="92"/>
        <v>0.60292330824482276</v>
      </c>
      <c r="KX8" s="188">
        <f>AVERAGE(Sheet3!J8:P8)*KO8^(1/3)/ID8^(1/3)</f>
        <v>103.93615318127526</v>
      </c>
      <c r="KY8" s="165">
        <f>Sheet3!J8*KP8^(1/3)/IE8^(1/3)</f>
        <v>86.427920606509645</v>
      </c>
      <c r="KZ8" s="165">
        <f>Sheet3!K8*KQ8^(1/3)/IF8^(1/3)</f>
        <v>91.719427064715077</v>
      </c>
      <c r="LA8" s="165">
        <f>Sheet3!L8*KR8^(1/3)/IG8^(1/3)</f>
        <v>98.261918696817148</v>
      </c>
      <c r="LB8" s="165">
        <f>Sheet3!M8*KS8^(1/3)/IH8^(1/3)</f>
        <v>103.42039684731283</v>
      </c>
      <c r="LC8" s="165">
        <f>Sheet3!N8*KT8^(1/3)/II8^(1/3)</f>
        <v>108.80912009434914</v>
      </c>
      <c r="LD8" s="165">
        <f>Sheet3!O8*KU8^(1/3)/IJ8^(1/3)</f>
        <v>112.93239444891624</v>
      </c>
      <c r="LE8" s="165">
        <f>Sheet3!P8*KV8^(1/3)/IK8^(1/3)</f>
        <v>114.73138288315417</v>
      </c>
      <c r="LF8" s="165">
        <f>Sheet3!Q8*KW8^(1/3)/IL8^(1/3)</f>
        <v>116.18144832723377</v>
      </c>
      <c r="LG8" s="186">
        <f t="shared" si="93"/>
        <v>25.822332211443278</v>
      </c>
      <c r="LH8" s="183">
        <f t="shared" si="94"/>
        <v>25.824356200230739</v>
      </c>
      <c r="LI8" s="183">
        <f t="shared" si="95"/>
        <v>26.09585419768792</v>
      </c>
      <c r="LJ8" s="183">
        <f t="shared" si="96"/>
        <v>26.098457071500093</v>
      </c>
      <c r="LK8" s="183">
        <f t="shared" si="97"/>
        <v>26.415944523187573</v>
      </c>
      <c r="LL8" s="183">
        <f t="shared" si="98"/>
        <v>26.419171736531002</v>
      </c>
      <c r="LM8" s="183">
        <f t="shared" si="99"/>
        <v>26.758420433266174</v>
      </c>
      <c r="LN8" s="183">
        <f t="shared" si="100"/>
        <v>26.762317014056134</v>
      </c>
      <c r="LO8" s="183">
        <f t="shared" si="101"/>
        <v>27.092792773044025</v>
      </c>
      <c r="LP8" s="223">
        <v>226.35</v>
      </c>
      <c r="LQ8" s="219" t="s">
        <v>550</v>
      </c>
      <c r="LR8" s="219">
        <v>1000</v>
      </c>
      <c r="LS8" s="219"/>
      <c r="LT8" s="219">
        <v>107</v>
      </c>
      <c r="LU8" s="219">
        <v>1.012</v>
      </c>
      <c r="LV8" s="220"/>
      <c r="LW8" s="220"/>
      <c r="LX8" s="220"/>
      <c r="LY8" s="220"/>
      <c r="LZ8" s="222">
        <v>43.79</v>
      </c>
      <c r="MA8" s="220">
        <v>1.0000000000000001E-5</v>
      </c>
      <c r="MB8" s="220">
        <v>40</v>
      </c>
      <c r="MC8" s="220">
        <v>1.9069999999999999E-5</v>
      </c>
      <c r="MD8" s="188">
        <f>Sheet3!DP8</f>
        <v>188.12761463173709</v>
      </c>
      <c r="ME8" s="264">
        <v>70</v>
      </c>
      <c r="MF8" s="264">
        <v>0.31169999999999998</v>
      </c>
      <c r="MG8" s="264">
        <v>1.944</v>
      </c>
      <c r="MH8" s="264">
        <v>0.19819999999999999</v>
      </c>
      <c r="MI8" s="264">
        <v>10.9</v>
      </c>
      <c r="MJ8" s="264">
        <v>54.99</v>
      </c>
      <c r="MK8" s="273">
        <v>60</v>
      </c>
      <c r="ML8" s="267">
        <v>0.19919999999999999</v>
      </c>
      <c r="MM8" s="267">
        <v>0.13020000000000001</v>
      </c>
      <c r="MN8" s="267">
        <v>1.9239999999999999</v>
      </c>
      <c r="MO8" s="267">
        <v>10.5</v>
      </c>
      <c r="MP8" s="274">
        <v>80.64</v>
      </c>
      <c r="MQ8"/>
      <c r="MR8"/>
      <c r="MS8"/>
    </row>
    <row r="9" spans="1:357" ht="15" thickBot="1" x14ac:dyDescent="0.35">
      <c r="A9" s="184" t="str">
        <f>Sheet3!A9</f>
        <v>30.11.2022</v>
      </c>
      <c r="B9" s="186">
        <f t="shared" si="102"/>
        <v>0.94017540563895763</v>
      </c>
      <c r="C9" s="183">
        <f t="shared" si="103"/>
        <v>0.952120986090634</v>
      </c>
      <c r="D9" s="183">
        <f t="shared" si="0"/>
        <v>0.9390294174796503</v>
      </c>
      <c r="E9" s="183">
        <f t="shared" si="1"/>
        <v>0.92590199531692485</v>
      </c>
      <c r="F9" s="183">
        <f t="shared" si="2"/>
        <v>0.91064184930578951</v>
      </c>
      <c r="G9" s="183">
        <f t="shared" si="3"/>
        <v>0.90176929364872449</v>
      </c>
      <c r="H9" s="183">
        <f t="shared" si="4"/>
        <v>0.88838120771087281</v>
      </c>
      <c r="I9" s="183">
        <f t="shared" si="5"/>
        <v>0.87782624029758316</v>
      </c>
      <c r="J9" s="183">
        <f t="shared" si="6"/>
        <v>0.86527042204552818</v>
      </c>
      <c r="K9" s="186">
        <f xml:space="preserve"> (6.057 * (10^(-6)))
+ (4.055 * (10^(-8)) * (Sheet3!DF9 + 273))
+ (1.25 * (10^(-10)) * (Sheet3!DF9 + 273)^2)
- (3.367 * (10^(-14)) * (DD9 + 273)^3)</f>
        <v>4.710976647017521E-5</v>
      </c>
      <c r="L9" s="183">
        <f xml:space="preserve"> (6.057 * (10^(-6)))
+ (4.055 * (10^(-8)) * (Sheet3!BZ9 + 273))
+ (1.25 * (10^(-10)) * (Sheet3!BZ9 + 273)^2)
- (3.367 * (10^(-14)) * (BX9 + 273)^3)</f>
        <v>4.8134764406657327E-5</v>
      </c>
      <c r="M9" s="183">
        <f xml:space="preserve"> (6.057 * (10^(-6)))
+ (4.055 * (10^(-8)) * (Sheet3!CA9 + 273))
+ (1.25 * (10^(-10)) * (Sheet3!CA9 + 273)^2)
- (3.367 * (10^(-14)) * (BY9 + 273)^3)</f>
        <v>4.688783051973322E-5</v>
      </c>
      <c r="N9" s="183">
        <f xml:space="preserve"> (6.057 * (10^(-6)))
+ (4.055 * (10^(-8)) * (Sheet3!CB9 + 273))
+ (1.25 * (10^(-10)) * (Sheet3!CB9 + 273)^2)
- (3.367 * (10^(-14)) * (BZ9 + 273)^3)</f>
        <v>4.5793057999395908E-5</v>
      </c>
      <c r="O9" s="183">
        <f xml:space="preserve"> (6.057 * (10^(-6)))
+ (4.055 * (10^(-8)) * (Sheet3!CC9 + 273))
+ (1.25 * (10^(-10)) * (Sheet3!CC9 + 273)^2)
- (3.367 * (10^(-14)) * (CA9 + 273)^3)</f>
        <v>4.4457859232917487E-5</v>
      </c>
      <c r="P9" s="183">
        <f xml:space="preserve"> (6.057 * (10^(-6)))
+ (4.055 * (10^(-8)) * (Sheet3!CD9 + 273))
+ (1.25 * (10^(-10)) * (Sheet3!CD9 + 273)^2)
- (3.367 * (10^(-14)) * (CB9 + 273)^3)</f>
        <v>4.3773846676055718E-5</v>
      </c>
      <c r="Q9" s="183">
        <f xml:space="preserve"> (6.057 * (10^(-6)))
+ (4.055 * (10^(-8)) * (Sheet3!CE9 + 273))
+ (1.25 * (10^(-10)) * (Sheet3!CE9 + 273)^2)
- (3.367 * (10^(-14)) * (CC9 + 273)^3)</f>
        <v>4.2661731873469865E-5</v>
      </c>
      <c r="R9" s="183">
        <f xml:space="preserve"> (6.057 * (10^(-6)))
+ (4.055 * (10^(-8)) * (Sheet3!CF9 + 273))
+ (1.25 * (10^(-10)) * (Sheet3!CF9 + 273)^2)
- (3.367 * (10^(-14)) * (CD9 + 273)^3)</f>
        <v>4.1901136705278957E-5</v>
      </c>
      <c r="S9" s="183">
        <f xml:space="preserve"> (6.057 * (10^(-6)))
+ (4.055 * (10^(-8)) * (Sheet3!CG9 + 273))
+ (1.25 * (10^(-10)) * (Sheet3!CG9 + 273)^2)
- (3.367 * (10^(-14)) * (CE9 + 273)^3)</f>
        <v>4.0912296218693248E-5</v>
      </c>
      <c r="T9" s="188">
        <f t="shared" si="104"/>
        <v>4.710976647017521E-5</v>
      </c>
      <c r="U9" s="165">
        <f t="shared" si="105"/>
        <v>4.8134764406657327E-5</v>
      </c>
      <c r="V9" s="165">
        <f t="shared" si="106"/>
        <v>4.688783051973322E-5</v>
      </c>
      <c r="W9" s="165">
        <f t="shared" si="107"/>
        <v>4.5793057999395908E-5</v>
      </c>
      <c r="X9" s="165">
        <f t="shared" si="108"/>
        <v>4.4457859232917487E-5</v>
      </c>
      <c r="Y9" s="165">
        <f t="shared" si="109"/>
        <v>4.3773846676055718E-5</v>
      </c>
      <c r="Z9" s="165">
        <f t="shared" si="110"/>
        <v>4.2661731873469865E-5</v>
      </c>
      <c r="AA9" s="165">
        <f t="shared" si="111"/>
        <v>4.1901136705278957E-5</v>
      </c>
      <c r="AB9" s="165">
        <f t="shared" si="112"/>
        <v>4.0912296218693248E-5</v>
      </c>
      <c r="AC9" s="186">
        <f t="shared" si="8"/>
        <v>4.4291443800653541E-5</v>
      </c>
      <c r="AD9" s="183">
        <f t="shared" si="9"/>
        <v>4.5830119352106926E-5</v>
      </c>
      <c r="AE9" s="183">
        <f t="shared" si="10"/>
        <v>4.4029052179829652E-5</v>
      </c>
      <c r="AF9" s="183">
        <f t="shared" si="11"/>
        <v>4.2399883773304341E-5</v>
      </c>
      <c r="AG9" s="183">
        <f t="shared" si="12"/>
        <v>4.0485187148040449E-5</v>
      </c>
      <c r="AH9" s="183">
        <f t="shared" si="13"/>
        <v>3.9473910797354332E-5</v>
      </c>
      <c r="AI9" s="183">
        <f t="shared" si="14"/>
        <v>3.7899880884790598E-5</v>
      </c>
      <c r="AJ9" s="183">
        <f t="shared" si="15"/>
        <v>3.6781917298190089E-5</v>
      </c>
      <c r="AK9" s="183">
        <f t="shared" si="16"/>
        <v>3.5400199816000375E-5</v>
      </c>
      <c r="AL9" s="186">
        <f t="shared" si="113"/>
        <v>3.8380227264360106E-2</v>
      </c>
      <c r="AM9" s="183">
        <f t="shared" si="114"/>
        <v>3.9159779722805196E-2</v>
      </c>
      <c r="AN9" s="183">
        <f t="shared" si="115"/>
        <v>3.8208833274317414E-2</v>
      </c>
      <c r="AO9" s="183">
        <f t="shared" si="116"/>
        <v>3.7367945939142957E-2</v>
      </c>
      <c r="AP9" s="183">
        <f t="shared" si="117"/>
        <v>3.6320977593265295E-2</v>
      </c>
      <c r="AQ9" s="183">
        <f t="shared" si="118"/>
        <v>3.5780543188749854E-2</v>
      </c>
      <c r="AR9" s="183">
        <f t="shared" si="119"/>
        <v>3.4887380852918169E-2</v>
      </c>
      <c r="AS9" s="183">
        <f t="shared" si="120"/>
        <v>3.4271620180416441E-2</v>
      </c>
      <c r="AT9" s="183">
        <f t="shared" si="121"/>
        <v>3.3463742394159855E-2</v>
      </c>
      <c r="AU9" s="186">
        <f>_xlfn.FORECAST.LINEAR(Sheet3!DF9,Sheet2!$AH$2:$AH$40,Sheet2!$AG$2:$AG$40)</f>
        <v>4.5985309371535825E-2</v>
      </c>
      <c r="AV9" s="183">
        <f>_xlfn.FORECAST.LINEAR(Sheet3!BZ9,Sheet2!$AH$2:$AH$40,Sheet2!$AG$2:$AG$40)</f>
        <v>4.7720878287227098E-2</v>
      </c>
      <c r="AW9" s="183">
        <f>_xlfn.FORECAST.LINEAR(Sheet3!CA9,Sheet2!$AH$2:$AH$40,Sheet2!$AG$2:$AG$40)</f>
        <v>4.5618310689472315E-2</v>
      </c>
      <c r="AX9" s="183">
        <f>_xlfn.FORECAST.LINEAR(Sheet3!CB9,Sheet2!$AH$2:$AH$40,Sheet2!$AG$2:$AG$40)</f>
        <v>4.3748029890075639E-2</v>
      </c>
      <c r="AY9" s="183">
        <f>_xlfn.FORECAST.LINEAR(Sheet3!CC9,Sheet2!$AH$2:$AH$40,Sheet2!$AG$2:$AG$40)</f>
        <v>4.1435081705417126E-2</v>
      </c>
      <c r="AZ9" s="183">
        <f>_xlfn.FORECAST.LINEAR(Sheet3!CD9,Sheet2!$AH$2:$AH$40,Sheet2!$AG$2:$AG$40)</f>
        <v>4.0236006976568407E-2</v>
      </c>
      <c r="BA9" s="183">
        <f>_xlfn.FORECAST.LINEAR(Sheet3!CE9,Sheet2!$AH$2:$AH$40,Sheet2!$AG$2:$AG$40)</f>
        <v>3.8265356671644907E-2</v>
      </c>
      <c r="BB9" s="183">
        <f>_xlfn.FORECAST.LINEAR(Sheet3!CF9,Sheet2!$AH$2:$AH$40,Sheet2!$AG$2:$AG$40)</f>
        <v>3.6901963051902298E-2</v>
      </c>
      <c r="BC9" s="183">
        <f>_xlfn.FORECAST.LINEAR(Sheet3!CG9,Sheet2!$AH$2:$AH$40,Sheet2!$AG$2:$AG$40)</f>
        <v>3.5120078165855051E-2</v>
      </c>
      <c r="BD9" s="186">
        <f>_xlfn.FORECAST.LINEAR(Sheet3!DF9,Sheet2!$AB$12:$AB$37,Sheet2!$AA$12:$AA$37)/1000</f>
        <v>3.5052025511612205E-2</v>
      </c>
      <c r="BE9" s="183">
        <f>_xlfn.FORECAST.LINEAR(Sheet3!BZ9,Sheet2!$AB$12:$AB$37,Sheet2!$AA$12:$AA$37)/1000</f>
        <v>3.5440058548763573E-2</v>
      </c>
      <c r="BF9" s="183">
        <f>_xlfn.FORECAST.LINEAR(Sheet3!CA9,Sheet2!$AB$12:$AB$37,Sheet2!$AA$12:$AA$37)/1000</f>
        <v>3.496997310104865E-2</v>
      </c>
      <c r="BG9" s="183">
        <f>_xlfn.FORECAST.LINEAR(Sheet3!CB9,Sheet2!$AB$12:$AB$37,Sheet2!$AA$12:$AA$37)/1000</f>
        <v>3.4551821604813356E-2</v>
      </c>
      <c r="BH9" s="183">
        <f>_xlfn.FORECAST.LINEAR(Sheet3!CC9,Sheet2!$AB$12:$AB$37,Sheet2!$AA$12:$AA$37)/1000</f>
        <v>3.4034699927447225E-2</v>
      </c>
      <c r="BI9" s="183">
        <f>_xlfn.FORECAST.LINEAR(Sheet3!CD9,Sheet2!$AB$12:$AB$37,Sheet2!$AA$12:$AA$37)/1000</f>
        <v>3.3766614572495308E-2</v>
      </c>
      <c r="BJ9" s="183">
        <f>_xlfn.FORECAST.LINEAR(Sheet3!CE9,Sheet2!$AB$12:$AB$37,Sheet2!$AA$12:$AA$37)/1000</f>
        <v>3.3326022778029943E-2</v>
      </c>
      <c r="BK9" s="183">
        <f>_xlfn.FORECAST.LINEAR(Sheet3!CF9,Sheet2!$AB$12:$AB$37,Sheet2!$AA$12:$AA$37)/1000</f>
        <v>3.3021199522486215E-2</v>
      </c>
      <c r="BL9" s="183">
        <f>_xlfn.FORECAST.LINEAR(Sheet3!CG9,Sheet2!$AB$12:$AB$37,Sheet2!$AA$12:$AA$37)/1000</f>
        <v>3.2622811306417226E-2</v>
      </c>
      <c r="BM9" s="186">
        <f t="shared" si="122"/>
        <v>0.71850194130505796</v>
      </c>
      <c r="BN9" s="183">
        <f t="shared" si="123"/>
        <v>0.70747280464885987</v>
      </c>
      <c r="BO9" s="183">
        <f t="shared" si="124"/>
        <v>0.72105545399118554</v>
      </c>
      <c r="BP9" s="183">
        <f t="shared" si="125"/>
        <v>0.73341990229075904</v>
      </c>
      <c r="BQ9" s="183">
        <f t="shared" si="126"/>
        <v>0.74951800729823725</v>
      </c>
      <c r="BR9" s="183">
        <f t="shared" si="127"/>
        <v>0.75803324648059034</v>
      </c>
      <c r="BS9" s="183">
        <f t="shared" si="128"/>
        <v>0.77267963525105043</v>
      </c>
      <c r="BT9" s="183">
        <f t="shared" si="129"/>
        <v>0.78298693692009425</v>
      </c>
      <c r="BU9" s="183">
        <f t="shared" si="130"/>
        <v>0.79709587496649448</v>
      </c>
      <c r="BV9" s="186">
        <f t="shared" si="131"/>
        <v>1.2060345753883388</v>
      </c>
      <c r="BW9" s="183">
        <f t="shared" si="19"/>
        <v>1.207756828936648</v>
      </c>
      <c r="BX9" s="183">
        <f t="shared" si="20"/>
        <v>1.2035268231700913</v>
      </c>
      <c r="BY9" s="183">
        <f t="shared" si="21"/>
        <v>1.2016607305307656</v>
      </c>
      <c r="BZ9" s="183">
        <f t="shared" si="22"/>
        <v>1.1969590885682466</v>
      </c>
      <c r="CA9" s="183">
        <f t="shared" si="23"/>
        <v>1.1957723866830265</v>
      </c>
      <c r="CB9" s="183">
        <f t="shared" si="24"/>
        <v>1.1913271933445579</v>
      </c>
      <c r="CC9" s="183">
        <f t="shared" si="25"/>
        <v>1.1899966970829905</v>
      </c>
      <c r="CD9" s="183">
        <f t="shared" si="26"/>
        <v>1.1859277552376337</v>
      </c>
      <c r="CE9" s="187">
        <f xml:space="preserve"> -0.0000000019505*Sheet3!DF9^3 + 0.0000015497*Sheet3!DF9^2  + 0.00016911*Sheet3!DF9 + 1.8585</f>
        <v>1.9198318426875001</v>
      </c>
      <c r="CF9" s="185">
        <f xml:space="preserve"> -0.0000000019505*Sheet3!BZ9^3 + 0.0000015497*Sheet3!BZ9^2  + 0.00016911*Sheet3!BZ9 + 1.8585</f>
        <v>1.923417794541729</v>
      </c>
      <c r="CG9" s="185">
        <f xml:space="preserve"> -0.0000000019505*Sheet3!CA9^3 + 0.0000015497*Sheet3!CA9^2  + 0.00016911*Sheet3!CA9 + 1.8585</f>
        <v>1.9190804209286372</v>
      </c>
      <c r="CH9" s="185">
        <f xml:space="preserve"> -0.0000000019505*Sheet3!CB9^3 + 0.0000015497*Sheet3!CB9^2  + 0.00016911*Sheet3!CB9 + 1.8585</f>
        <v>1.9152902034710106</v>
      </c>
      <c r="CI9" s="185">
        <f xml:space="preserve"> -0.0000000019505*Sheet3!CC9^3 + 0.0000015497*Sheet3!CC9^2  + 0.00016911*Sheet3!CC9 + 1.8585</f>
        <v>1.9106986379645328</v>
      </c>
      <c r="CJ9" s="185">
        <f xml:space="preserve"> -0.0000000019505*Sheet3!CD9^3 + 0.0000015497*Sheet3!CD9^2  + 0.00016911*Sheet3!CD9 + 1.8585</f>
        <v>1.9083626488879226</v>
      </c>
      <c r="CK9" s="185">
        <f xml:space="preserve"> -0.0000000019505*Sheet3!CE9^3 + 0.0000015497*Sheet3!CE9^2  + 0.00016911*Sheet3!CE9 + 1.8585</f>
        <v>1.9045933795857461</v>
      </c>
      <c r="CL9" s="185">
        <f xml:space="preserve"> -0.0000000019505*Sheet3!CF9^3 + 0.0000015497*Sheet3!CF9^2  + 0.00016911*Sheet3!CF9 + 1.8585</f>
        <v>1.9020389076639448</v>
      </c>
      <c r="CM9" s="185">
        <f xml:space="preserve"> -0.0000000019505*Sheet3!CG9^3 + 0.0000015497*Sheet3!CG9^2  + 0.00016911*Sheet3!CG9 + 1.8585</f>
        <v>1.8987694628615537</v>
      </c>
      <c r="CN9" s="186">
        <f>_xlfn.FORECAST.LINEAR(Sheet3!DF9,New!$LU$2:$LU$14,New!$LT$2:$LT$14)</f>
        <v>1.0275852585635485</v>
      </c>
      <c r="CO9" s="183">
        <f>_xlfn.FORECAST.LINEAR(Sheet3!BZ9,New!$LU$2:$LU$14,New!$LT$2:$LT$14)</f>
        <v>1.02886266005491</v>
      </c>
      <c r="CP9" s="183">
        <f>_xlfn.FORECAST.LINEAR(Sheet3!CA9,New!$LU$2:$LU$14,New!$LT$2:$LT$14)</f>
        <v>1.0273151427187919</v>
      </c>
      <c r="CQ9" s="183">
        <f>_xlfn.FORECAST.LINEAR(Sheet3!CB9,New!$LU$2:$LU$14,New!$LT$2:$LT$14)</f>
        <v>1.0259385915137005</v>
      </c>
      <c r="CR9" s="183">
        <f>_xlfn.FORECAST.LINEAR(Sheet3!CC9,New!$LU$2:$LU$14,New!$LT$2:$LT$14)</f>
        <v>1.0242362313055797</v>
      </c>
      <c r="CS9" s="183">
        <f>_xlfn.FORECAST.LINEAR(Sheet3!CD9,New!$LU$2:$LU$14,New!$LT$2:$LT$14)</f>
        <v>1.0233536965741512</v>
      </c>
      <c r="CT9" s="183">
        <f>_xlfn.FORECAST.LINEAR(Sheet3!CE9,New!$LU$2:$LU$14,New!$LT$2:$LT$14)</f>
        <v>1.0219032720962167</v>
      </c>
      <c r="CU9" s="183">
        <f>_xlfn.FORECAST.LINEAR(Sheet3!CF9,New!$LU$2:$LU$14,New!$LT$2:$LT$14)</f>
        <v>1.020899796505345</v>
      </c>
      <c r="CV9" s="183">
        <f>_xlfn.FORECAST.LINEAR(Sheet3!CG9,New!$LU$2:$LU$14,New!$LT$2:$LT$14)</f>
        <v>1.0195883058521698</v>
      </c>
      <c r="CW9" s="186">
        <f>EXP((17.625*Sheet3!BA9)/(243.04+Sheet3!BA9)) / EXP((17.625*Sheet3!DF9)/(243.04+Sheet3!DF9))</f>
        <v>3.2469180716831469E-2</v>
      </c>
      <c r="CX9" s="183">
        <f>EXP((17.625*(Sheet3!BC9+273))/(243.04+(Sheet3!BC9+273)))/EXP((17.625*(Sheet3!BZ9+273))/(243.04+(Sheet3!BZ9+273)))</f>
        <v>0.31650068905306183</v>
      </c>
      <c r="CY9" s="183">
        <f>EXP((17.625*(Sheet3!BE9+273))/(243.04+(Sheet3!BE9+273))) / EXP((17.625*(Sheet3!CA9+273))/(243.04+(Sheet3!CA9+273)))</f>
        <v>0.34122319769653109</v>
      </c>
      <c r="CZ9" s="183">
        <f>EXP((17.625*(Sheet3!BG9+273))/(243.04+(Sheet3!BG9+273))) / EXP((17.625*(Sheet3!CB9+273))/(243.04+(Sheet3!CB9+273)))</f>
        <v>0.3649215558482729</v>
      </c>
      <c r="DA9" s="183">
        <f>EXP((17.625*(Sheet3!BI9+273))/(243.04+(Sheet3!BI9+273))) / EXP((17.625*(Sheet3!CC9+273))/(243.04+(Sheet3!CC9+273)))</f>
        <v>0.39715338829314845</v>
      </c>
      <c r="DB9" s="183">
        <f>EXP((17.625*(Sheet3!BK9+273))/(243.04+(Sheet3!BK9+273)))/EXP((17.625*(Sheet3!CD9+273))/(243.04+(Sheet3!CD9+273)))</f>
        <v>0.41595830368121234</v>
      </c>
      <c r="DC9" s="183">
        <f>EXP((17.625*(Sheet3!BM9+273))/(243.04+(Sheet3!BM9+273))) / EXP((17.625*(Sheet3!CE9+273))/(243.04+(Sheet3!CE9+273)))</f>
        <v>0.44814278396318891</v>
      </c>
      <c r="DD9" s="183">
        <f>EXP((17.625*(Sheet3!BO9+273))/(243.04+(Sheet3!BO9+273))) / EXP((17.625*(Sheet3!CF9+273))/(243.04+(Sheet3!CF9+273)))</f>
        <v>0.47335343372760658</v>
      </c>
      <c r="DE9" s="183">
        <f>EXP((17.625*(Sheet3!BQ9+273))/(243.04+(Sheet3!BQ9+273))) / EXP((17.625*(Sheet3!CG9+273))/(243.04+(Sheet3!CG9+273)))</f>
        <v>0.50768794676625073</v>
      </c>
      <c r="DF9" s="186">
        <f>((Sheet3!DA9-Sheet3!DB9)/New!$LQ$3)/(((Sheet3!DA9-Sheet3!DB9)/New!$LQ$3)+(Sheet3!DB9/New!$LP$3))</f>
        <v>0.71332409423876453</v>
      </c>
      <c r="DG9" s="183">
        <f>((Sheet3!DA9-Sheet3!DB9)/New!$LQ$3)/(((Sheet3!DA9-Sheet3!DB9)/New!$LQ$3)+((Sheet3!DB9-(Sheet3!B9*0.004))/New!$LP$3))</f>
        <v>0.71339681021271473</v>
      </c>
      <c r="DH9" s="183" cm="1">
        <f t="array" ref="DH9">((Sheet3!DA9-Sheet3!DB9)/New!$LQ$3)/(((Sheet3!DA9-Sheet3!DB9)/New!$LQ$3)+((Sheet3!DB9-(SUM(Sheet3!B9:C9*0.004)))/New!$LP$3))</f>
        <v>0.7226978408684922</v>
      </c>
      <c r="DI9" s="183" cm="1">
        <f t="array" ref="DI9">((Sheet3!DA9-Sheet3!DB9)/New!$LQ$3)/(((Sheet3!DA9-Sheet3!DB9)/New!$LQ$3)+((Sheet3!DB9-(SUM(Sheet3!B9:D9*0.004)))/New!$LP$3))</f>
        <v>0.72275381923026305</v>
      </c>
      <c r="DJ9" s="183" cm="1">
        <f t="array" ref="DJ9">((Sheet3!DA9-Sheet3!DB9)/New!$LQ$3)/(((Sheet3!DA9-Sheet3!DB9)/New!$LQ$3)+((Sheet3!DB9-(SUM(Sheet3!B9:E9*0.004)))/New!$LP$3))</f>
        <v>0.73372245324386642</v>
      </c>
      <c r="DK9" s="183" cm="1">
        <f t="array" ref="DK9">((Sheet3!DA9-Sheet3!DB9)/New!$LQ$3)/(((Sheet3!DA9-Sheet3!DB9)/New!$LQ$3)+((Sheet3!DB9-(SUM(Sheet3!B9:F9*0.004)))/New!$LP$3))</f>
        <v>0.73381862384280372</v>
      </c>
      <c r="DL9" s="183" cm="1">
        <f t="array" ref="DL9">((Sheet3!DA9-Sheet3!DB9)/New!$LQ$3)/(((Sheet3!DA9-Sheet3!DB9)/New!$LQ$3)+((Sheet3!DB9-(SUM(Sheet3!B9:G9*0.004)))/New!$LP$3))</f>
        <v>0.74568406973600088</v>
      </c>
      <c r="DM9" s="183" cm="1">
        <f t="array" ref="DM9">((Sheet3!DA9-Sheet3!DB9)/New!$LQ$3)/(((Sheet3!DA9-Sheet3!DB9)/New!$LQ$3)+((Sheet3!DB9-(SUM(Sheet3!B9:H9*0.004)))/New!$LP$3))</f>
        <v>0.74582314200406385</v>
      </c>
      <c r="DN9" s="183" cm="1">
        <f t="array" ref="DN9">((Sheet3!DA9-Sheet3!DB9)/New!$LQ$3)/(((Sheet3!DA9-Sheet3!DB9)/New!$LQ$3)+((Sheet3!DB9-(SUM(Sheet3!B9:I9*0.004)))/New!$LP$3))</f>
        <v>0.75730388736904453</v>
      </c>
      <c r="DO9" s="186">
        <f>(Sheet3!DB9/$LP$3) / ((Sheet3!DB9/$LP$3) + ((Sheet3!DA9-Sheet3!DB9)/$LQ$3))</f>
        <v>0.28667590576123536</v>
      </c>
      <c r="DP9" s="183">
        <f>((Sheet3!$DB9-(Sheet3!B9/4000)) / $LP$3) / (((Sheet3!$DA9-Sheet3!DB9) / $LQ$3) + (Sheet3!$DB9-((Sheet3!B9/4000)))/$LP$3)</f>
        <v>0.28667136144715627</v>
      </c>
      <c r="DQ9" s="183">
        <f>((Sheet3!$DB9-(SUM(Sheet3!B9:C9)/4000))/$LP$3)/(((Sheet3!$DA9-Sheet3!$DB9)/$LQ$3)+(Sheet3!$DB9-(SUM(Sheet3!B9:C9)/4000))/$LP$3)</f>
        <v>0.28609717632818976</v>
      </c>
      <c r="DR9" s="183">
        <f>((Sheet3!$DB9-(SUM(Sheet3!B9:D9)/4000))/$LP$3)/(((Sheet3!$DA9-Sheet3!$DB9)/$LQ$3)+(Sheet3!$DB9-(SUM(Sheet3!B9:D9)/4000))/$LP$3)</f>
        <v>0.28609376256551589</v>
      </c>
      <c r="DS9" s="183">
        <f>((Sheet3!$DB9-(SUM(Sheet3!B9:E9)/4000))/$LP$3)/(((Sheet3!$DA9-Sheet3!$DB9)/$LQ$3)+(Sheet3!$DB9-(SUM(Sheet3!B9:E9)/4000))/$LP$3)</f>
        <v>0.2854342946003125</v>
      </c>
      <c r="DT9" s="183">
        <f>((Sheet3!$DB9-(SUM(Sheet3!B9:F9)/4000))/$LP$3)/(((Sheet3!$DA9-Sheet3!$DB9)/$LQ$3)+(Sheet3!$DB9-(SUM(Sheet3!B9:F9)/4000))/$LP$3)</f>
        <v>0.28542859440677565</v>
      </c>
      <c r="DU9" s="183">
        <f>((Sheet3!$DB9-(SUM(Sheet3!B9:G9)/4000))/$LP$3)/(((Sheet3!$DA9-Sheet3!$DB9)/$LQ$3)+(Sheet3!$DB9-(SUM(Sheet3!B9:G9)/4000))/$LP$3)</f>
        <v>0.28473591458253517</v>
      </c>
      <c r="DV9" s="183">
        <f>((Sheet3!$DB9-(SUM(Sheet3!B9:H9)/4000))/$LP$3)/(((Sheet3!$DA9-Sheet3!$DB9)/$LQ$3)+(Sheet3!$DB9-(SUM(Sheet3!B9:H9)/4000))/$LP$3)</f>
        <v>0.28472791867934127</v>
      </c>
      <c r="DW9" s="183">
        <f>((Sheet3!$DB9-(SUM(Sheet3!B9:I9)/4000))/$LP$3)/(((Sheet3!$DA9-Sheet3!$DB9)/$LQ$3)+(Sheet3!$DB9-(SUM(Sheet3!B9:I9)/4000))/$LP$3)</f>
        <v>0.28407736756234936</v>
      </c>
      <c r="DX9" s="186">
        <f>($LR$2*($LP$3/1000))/($LP$2*(Sheet3!DF9+273))*DO9</f>
        <v>0.14370038826101156</v>
      </c>
      <c r="DY9" s="183">
        <f>(($LR$2*($LP$3/1000))/($LP$2*(Sheet3!BZ9+273)))*(DP9)</f>
        <v>0.14149204545973115</v>
      </c>
      <c r="DZ9" s="183">
        <f>(($LR$2*($LP$3/1000))/($LP$2*(Sheet3!CA9+273)))*(DQ9)</f>
        <v>0.14388466865408536</v>
      </c>
      <c r="EA9" s="183">
        <f>(($LR$2*($LP$3/1000))/($LP$2*(Sheet3!CB9+273)))*(DR9)</f>
        <v>0.14635000291539602</v>
      </c>
      <c r="EB9" s="183">
        <f>(($LR$2*($LP$3/1000))/($LP$2*(Sheet3!CC9+273)))*(DS9)</f>
        <v>0.1491758533597064</v>
      </c>
      <c r="EC9" s="183">
        <f>(($LR$2*($LP$3/1000))/($LP$2*(Sheet3!CD9+273)))*(DT9)</f>
        <v>0.1508672560455438</v>
      </c>
      <c r="ED9" s="183">
        <f>(($LR$2*($LP$3/1000))/($LP$2*(Sheet3!CE9+273)))*(DU9)</f>
        <v>0.15336404432649395</v>
      </c>
      <c r="EE9" s="183">
        <f>(($LR$2*($LP$3/1000))/($LP$2*(Sheet3!CF9+273)))*(DV9)</f>
        <v>0.15540498166904182</v>
      </c>
      <c r="EF9" s="183">
        <f>(($LR$2*($LP$3/1000))/($LP$2*(Sheet3!CG9+273)))*(DW9)</f>
        <v>0.15780033662454188</v>
      </c>
      <c r="EG9" s="186">
        <f>(($LR$2*($LQ$3/1000))/($LQ$2*(Sheet3!DF9+273)))*(1-DO9)</f>
        <v>0.57480155304404634</v>
      </c>
      <c r="EH9" s="183">
        <f>(($LR$2*($LQ$3/1000))/($LQ$2*(Sheet3!BZ9+273)))*(1-DP9)</f>
        <v>0.56598075918912871</v>
      </c>
      <c r="EI9" s="183">
        <f>(($LR$2*($LQ$3/1000))/($LQ$2*(Sheet3!CA9+273)))*(1-DQ9)</f>
        <v>0.5771707853371002</v>
      </c>
      <c r="EJ9" s="183">
        <f>(($LR$2*($LQ$3/1000))/($LQ$2*(Sheet3!CB9+273)))*(1-DR9)</f>
        <v>0.58706989937536302</v>
      </c>
      <c r="EK9" s="183">
        <f>(($LR$2*($LQ$3/1000))/($LQ$2*(Sheet3!CC9+273)))*(1-DS9)</f>
        <v>0.60034215393853085</v>
      </c>
      <c r="EL9" s="183">
        <f>(($LR$2*($LQ$3/1000))/($LQ$2*(Sheet3!CD9+273)))*(1-DT9)</f>
        <v>0.60716599043504649</v>
      </c>
      <c r="EM9" s="183">
        <f>(($LR$2*($LQ$3/1000))/($LQ$2*(Sheet3!CE9+273)))*(1-DU9)</f>
        <v>0.61931559092455646</v>
      </c>
      <c r="EN9" s="183">
        <f>(($LR$2*($LQ$3/1000))/($LQ$2*(Sheet3!CF9+273)))*(1-DV9)</f>
        <v>0.62758195525105243</v>
      </c>
      <c r="EO9" s="183">
        <f>(($LR$2*($LQ$3/1000))/($LQ$2*(Sheet3!CG9+273)))*(1-DW9)</f>
        <v>0.63929553834195263</v>
      </c>
      <c r="EP9" s="186">
        <f t="shared" si="132"/>
        <v>4761.3173509351491</v>
      </c>
      <c r="EQ9" s="183">
        <f xml:space="preserve"> (($FV9-(Sheet3!B9/4000))*0.018)/(0.011*JO9*3600)</f>
        <v>4700.9216627908881</v>
      </c>
      <c r="ER9" s="183">
        <f>((($FV9-(SUM(Sheet3!B9:C9)/4000))*0.018)/(0.011*JP9*3600))</f>
        <v>4770.354157285482</v>
      </c>
      <c r="ES9" s="183">
        <f>((($FV9-(SUM(Sheet3!B9:D9)/4000))*0.018)/(0.011*JQ9*3600))</f>
        <v>4837.4777936333858</v>
      </c>
      <c r="ET9" s="183">
        <f>((($FV9-(SUM(Sheet3!B9:E9)/4000))*0.018)/(0.011*JR9))/3600</f>
        <v>4918.5777792177159</v>
      </c>
      <c r="EU9" s="183">
        <f>((($FV9-(SUM(Sheet3!B9:F9)/4000))*0.018)/(0.011*JS9))/3600</f>
        <v>4964.1686052948216</v>
      </c>
      <c r="EV9" s="183">
        <f>((($FV9-(SUM(Sheet3!B9:G9)/4000))*0.018)/(0.011*JT9))/3600</f>
        <v>5036.0391826633495</v>
      </c>
      <c r="EW9" s="183">
        <f>((($FV9-(SUM(Sheet3!B9:H9)/4000))*0.018)/(0.011*JU9))/3600</f>
        <v>5090.5523563639708</v>
      </c>
      <c r="EX9" s="183">
        <f>((($FV9-(SUM(Sheet3!B9:I9)/4000))*0.018)/(0.011*JV9))/3600</f>
        <v>5158.8568720112371</v>
      </c>
      <c r="EY9" s="186">
        <f t="shared" si="133"/>
        <v>48.626658656758423</v>
      </c>
      <c r="EZ9" s="183">
        <f t="shared" si="134"/>
        <v>48.134466058341118</v>
      </c>
      <c r="FA9" s="183">
        <f t="shared" si="135"/>
        <v>48.683595513564896</v>
      </c>
      <c r="FB9" s="183">
        <f t="shared" si="136"/>
        <v>49.233103594177145</v>
      </c>
      <c r="FC9" s="183">
        <f t="shared" si="137"/>
        <v>49.881118257737093</v>
      </c>
      <c r="FD9" s="183">
        <f t="shared" si="138"/>
        <v>50.258084128148845</v>
      </c>
      <c r="FE9" s="183">
        <f t="shared" si="139"/>
        <v>50.834178435996037</v>
      </c>
      <c r="FF9" s="183">
        <f t="shared" si="140"/>
        <v>51.289267197820173</v>
      </c>
      <c r="FG9" s="183">
        <f t="shared" si="141"/>
        <v>51.842326264545015</v>
      </c>
      <c r="FH9" s="186">
        <f t="shared" si="28"/>
        <v>103.68345613071401</v>
      </c>
      <c r="FI9" s="183">
        <f t="shared" si="29"/>
        <v>104.71861599552676</v>
      </c>
      <c r="FJ9" s="183">
        <f t="shared" si="30"/>
        <v>103.3412991206727</v>
      </c>
      <c r="FK9" s="183">
        <f t="shared" si="31"/>
        <v>102.20777519574648</v>
      </c>
      <c r="FL9" s="183">
        <f t="shared" si="32"/>
        <v>100.65172103146031</v>
      </c>
      <c r="FM9" s="183">
        <f t="shared" si="33"/>
        <v>99.903419429502961</v>
      </c>
      <c r="FN9" s="183">
        <f t="shared" si="34"/>
        <v>98.52618574676633</v>
      </c>
      <c r="FO9" s="183">
        <f t="shared" si="35"/>
        <v>97.65368248531027</v>
      </c>
      <c r="FP9" s="183">
        <f t="shared" si="36"/>
        <v>96.379902846151225</v>
      </c>
      <c r="FQ9" s="314">
        <f>Sheet3!CV9</f>
        <v>2</v>
      </c>
      <c r="FR9" s="183">
        <v>5000</v>
      </c>
      <c r="FS9" s="183">
        <v>20</v>
      </c>
      <c r="FT9" s="183">
        <v>0.15193333333333334</v>
      </c>
      <c r="FU9" s="183">
        <v>22.43</v>
      </c>
      <c r="FV9" s="183">
        <v>225</v>
      </c>
      <c r="FW9" s="183">
        <v>45</v>
      </c>
      <c r="FX9" s="183">
        <v>408</v>
      </c>
      <c r="FY9" s="183">
        <v>11.11</v>
      </c>
      <c r="FZ9" s="183">
        <v>20.66</v>
      </c>
      <c r="GA9" s="183">
        <v>165</v>
      </c>
      <c r="GB9" s="186">
        <f>EXP($LP$6-($LQ$6/('Trial and Error method'!T9+$LP$8))) / ($LR$2/1000)</f>
        <v>0.43198293770086915</v>
      </c>
      <c r="GC9" s="183">
        <f>EXP($LP$6-($LQ$6/('Trial and Error method'!U9+$LP$8))) / ($LR$2/1000)</f>
        <v>0.14177084220013489</v>
      </c>
      <c r="GD9" s="183">
        <f>EXP($LP$6-($LQ$6/('Trial and Error method'!V9+$LP$8))) / ($LR$2/1000)</f>
        <v>0.13282389124480812</v>
      </c>
      <c r="GE9" s="183">
        <f>EXP($LP$6-($LQ$6/('Trial and Error method'!W9+$LP$8))) / ($LR$2/1000)</f>
        <v>0.12600599223164197</v>
      </c>
      <c r="GF9" s="183">
        <f>EXP($LP$6-($LQ$6/('Trial and Error method'!X9+$LP$8))) / ($LR$2/1000)</f>
        <v>0.11895117451723361</v>
      </c>
      <c r="GG9" s="183">
        <f>EXP($LP$6-($LQ$6/('Trial and Error method'!Y9+$LP$8))) / ($LR$2/1000)</f>
        <v>0.11493062117731188</v>
      </c>
      <c r="GH9" s="183">
        <f>EXP($LP$6-($LQ$6/('Trial and Error method'!Z9+$LP$8))) / ($LR$2/1000)</f>
        <v>0.11018052424887111</v>
      </c>
      <c r="GI9" s="183">
        <f>EXP($LP$6-($LQ$6/('Trial and Error method'!AA9+$LP$8))) / ($LR$2/1000)</f>
        <v>0.10808980770782389</v>
      </c>
      <c r="GJ9" s="183">
        <f>EXP($LP$6-($LQ$6/('Trial and Error method'!AB9+$LP$8))) / ($LR$2/1000)</f>
        <v>0.36343611975090073</v>
      </c>
      <c r="GK9" s="188">
        <f t="shared" si="142"/>
        <v>0.63791473749170646</v>
      </c>
      <c r="GL9" s="165">
        <f t="shared" si="143"/>
        <v>0.78354714533053638</v>
      </c>
      <c r="GM9" s="165">
        <f t="shared" si="144"/>
        <v>0.78805678750071206</v>
      </c>
      <c r="GN9" s="165">
        <f t="shared" si="145"/>
        <v>0.79125285726706041</v>
      </c>
      <c r="GO9" s="165">
        <f t="shared" si="146"/>
        <v>0.7949037285549545</v>
      </c>
      <c r="GP9" s="165">
        <f t="shared" si="147"/>
        <v>0.79678240272554357</v>
      </c>
      <c r="GQ9" s="165">
        <f t="shared" si="148"/>
        <v>0.79936787724134162</v>
      </c>
      <c r="GR9" s="165">
        <f t="shared" si="149"/>
        <v>0.80034506592293209</v>
      </c>
      <c r="GS9" s="165">
        <f t="shared" si="150"/>
        <v>0.67546646436369573</v>
      </c>
      <c r="GT9" s="188">
        <f t="shared" si="38"/>
        <v>8.7354146063603727E-2</v>
      </c>
      <c r="GU9" s="165">
        <f t="shared" si="39"/>
        <v>7.1124661050369811E-2</v>
      </c>
      <c r="GV9" s="165">
        <f t="shared" si="40"/>
        <v>7.0682223997792948E-2</v>
      </c>
      <c r="GW9" s="165">
        <f t="shared" si="41"/>
        <v>7.0390243937369201E-2</v>
      </c>
      <c r="GX9" s="165">
        <f t="shared" si="42"/>
        <v>7.0042988901729039E-2</v>
      </c>
      <c r="GY9" s="165">
        <f t="shared" si="43"/>
        <v>6.9881815509273734E-2</v>
      </c>
      <c r="GZ9" s="165">
        <f t="shared" si="44"/>
        <v>6.964288010024608E-2</v>
      </c>
      <c r="HA9" s="165">
        <f t="shared" si="45"/>
        <v>6.957111016411309E-2</v>
      </c>
      <c r="HB9" s="165">
        <f t="shared" si="46"/>
        <v>8.2424994900705359E-2</v>
      </c>
      <c r="HC9" s="188">
        <f>BV9*Sheet3!DF9</f>
        <v>198.99570493907589</v>
      </c>
      <c r="HD9" s="165">
        <f>BW9*Sheet3!BZ9</f>
        <v>207.52771002149547</v>
      </c>
      <c r="HE9" s="165">
        <f>BX9*Sheet3!CA9</f>
        <v>196.84396979005936</v>
      </c>
      <c r="HF9" s="165">
        <f>BY9*Sheet3!CB9</f>
        <v>187.69560517893262</v>
      </c>
      <c r="HG9" s="165">
        <f>BZ9*Sheet3!CC9</f>
        <v>176.06781689713827</v>
      </c>
      <c r="HH9" s="165">
        <f>CA9*Sheet3!CD9</f>
        <v>170.25151515235842</v>
      </c>
      <c r="HI9" s="165">
        <f>CB9*Sheet3!CE9</f>
        <v>160.38101858282707</v>
      </c>
      <c r="HJ9" s="165">
        <f>CC9*Sheet3!CF9</f>
        <v>153.81801025477171</v>
      </c>
      <c r="HK9" s="165">
        <f>CD9*Sheet3!CG9</f>
        <v>144.97717449468524</v>
      </c>
      <c r="HL9" s="188">
        <f>(CE9*Sheet3!DF9)+2501</f>
        <v>2817.7722540434374</v>
      </c>
      <c r="HM9" s="165">
        <f>(CF9*Sheet3!BZ9)+2501</f>
        <v>2831.4990547371008</v>
      </c>
      <c r="HN9" s="165">
        <f>(CG9*Sheet3!CA9)+2501</f>
        <v>2814.8770163900062</v>
      </c>
      <c r="HO9" s="165">
        <f>(CH9*Sheet3!CB9)+2501</f>
        <v>2800.162271596399</v>
      </c>
      <c r="HP9" s="165">
        <f>(CI9*Sheet3!CC9)+2501</f>
        <v>2782.0560036242791</v>
      </c>
      <c r="HQ9" s="165">
        <f>(CJ9*Sheet3!CD9)+2501</f>
        <v>2772.7085927486478</v>
      </c>
      <c r="HR9" s="165">
        <f>(CK9*Sheet3!CE9)+2501</f>
        <v>2757.4036378171759</v>
      </c>
      <c r="HS9" s="165">
        <f>(CL9*Sheet3!CF9)+2501</f>
        <v>2746.8560102907777</v>
      </c>
      <c r="HT9" s="165">
        <f>(CM9*Sheet3!CG9)+2501</f>
        <v>2733.1205743998289</v>
      </c>
      <c r="HU9" s="188">
        <f>-0.0021*(Sheet3!DF9^2) - 2.2115*(Sheet3!DF9) + 2499</f>
        <v>2076.9299999999998</v>
      </c>
      <c r="HV9" s="165">
        <f>-0.0021*(Sheet3!BZ9^2) - 2.2115*(Sheet3!BZ9) + 2499</f>
        <v>2056.9970852542938</v>
      </c>
      <c r="HW9" s="165">
        <f>-0.0021*(Sheet3!CA9^2) - 2.2115*(Sheet3!CA9) + 2499</f>
        <v>2081.1198716596523</v>
      </c>
      <c r="HX9" s="165">
        <f>-0.0021*(Sheet3!CB9^2) - 2.2115*(Sheet3!CB9) + 2499</f>
        <v>2102.3360461919519</v>
      </c>
      <c r="HY9" s="165">
        <f>-0.0021*(Sheet3!CC9^2) - 2.2115*(Sheet3!CC9) + 2499</f>
        <v>2128.2591887152576</v>
      </c>
      <c r="HZ9" s="165">
        <f>-0.0021*(Sheet3!CD9^2) - 2.2115*(Sheet3!CD9) + 2499</f>
        <v>2141.5613031026987</v>
      </c>
      <c r="IA9" s="165">
        <f>-0.0021*(Sheet3!CE9^2) - 2.2115*(Sheet3!CE9) + 2499</f>
        <v>2163.219916753555</v>
      </c>
      <c r="IB9" s="165">
        <f>-0.0021*(Sheet3!CF9^2) - 2.2115*(Sheet3!CF9) + 2499</f>
        <v>2178.0566285798068</v>
      </c>
      <c r="IC9" s="165">
        <f>-0.0021*(Sheet3!CG9^2) - 2.2115*(Sheet3!CG9) + 2499</f>
        <v>2197.2652233387289</v>
      </c>
      <c r="ID9" s="188">
        <f t="shared" si="47"/>
        <v>0.67497070629660949</v>
      </c>
      <c r="IE9" s="165">
        <f t="shared" si="48"/>
        <v>0.67098707501938626</v>
      </c>
      <c r="IF9" s="165">
        <f t="shared" si="49"/>
        <v>0.674925014805974</v>
      </c>
      <c r="IG9" s="165">
        <f t="shared" si="50"/>
        <v>0.67947950267235369</v>
      </c>
      <c r="IH9" s="165">
        <f t="shared" si="51"/>
        <v>0.68440833604043227</v>
      </c>
      <c r="II9" s="165">
        <f t="shared" si="52"/>
        <v>0.68767891421036742</v>
      </c>
      <c r="IJ9" s="165">
        <f t="shared" si="53"/>
        <v>0.69216696119587517</v>
      </c>
      <c r="IK9" s="165">
        <f t="shared" si="54"/>
        <v>0.69627388145457025</v>
      </c>
      <c r="IL9" s="165">
        <f t="shared" si="55"/>
        <v>0.70079171444247246</v>
      </c>
      <c r="IM9" s="188">
        <f t="shared" si="56"/>
        <v>-26.362829082522065</v>
      </c>
      <c r="IN9" s="165">
        <f t="shared" si="151"/>
        <v>21.199412613659408</v>
      </c>
      <c r="IO9" s="165">
        <f t="shared" si="152"/>
        <v>22.546221421682649</v>
      </c>
      <c r="IP9" s="165">
        <f t="shared" si="153"/>
        <v>23.690420141211685</v>
      </c>
      <c r="IQ9" s="165">
        <f t="shared" si="154"/>
        <v>24.817577900358618</v>
      </c>
      <c r="IR9" s="165">
        <f t="shared" si="155"/>
        <v>25.516077397670184</v>
      </c>
      <c r="IS9" s="165">
        <f t="shared" si="156"/>
        <v>26.297269706092685</v>
      </c>
      <c r="IT9" s="165">
        <f t="shared" si="157"/>
        <v>26.765940745660917</v>
      </c>
      <c r="IU9" s="165">
        <f t="shared" si="158"/>
        <v>-14.372629867843745</v>
      </c>
      <c r="IV9" s="188">
        <f>_xlfn.FORECAST.LINEAR(Sheet3!DF9,Sheet2!$AK$2:$AK$69,Sheet2!$AJ$2:$AJ$69)</f>
        <v>1.4562419670230879E-5</v>
      </c>
      <c r="IW9" s="165">
        <f>_xlfn.FORECAST.LINEAR(Sheet3!BZ9,Sheet2!$AK$2:$AK$69,Sheet2!$AJ$2:$AJ$69)</f>
        <v>1.4801520540025807E-5</v>
      </c>
      <c r="IX9" s="165">
        <f>_xlfn.FORECAST.LINEAR(Sheet3!CA9,Sheet2!$AK$2:$AK$69,Sheet2!$AJ$2:$AJ$69)</f>
        <v>1.451186005067234E-5</v>
      </c>
      <c r="IY9" s="165">
        <f>_xlfn.FORECAST.LINEAR(Sheet3!CB9,Sheet2!$AK$2:$AK$69,Sheet2!$AJ$2:$AJ$69)</f>
        <v>1.4254200581288271E-5</v>
      </c>
      <c r="IZ9" s="165">
        <f>_xlfn.FORECAST.LINEAR(Sheet3!CC9,Sheet2!$AK$2:$AK$69,Sheet2!$AJ$2:$AJ$69)</f>
        <v>1.3935556983939573E-5</v>
      </c>
      <c r="JA9" s="165">
        <f>_xlfn.FORECAST.LINEAR(Sheet3!CD9,Sheet2!$AK$2:$AK$69,Sheet2!$AJ$2:$AJ$69)</f>
        <v>1.3770366303221108E-5</v>
      </c>
      <c r="JB9" s="165">
        <f>_xlfn.FORECAST.LINEAR(Sheet3!CE9,Sheet2!$AK$2:$AK$69,Sheet2!$AJ$2:$AJ$69)</f>
        <v>1.3498879416293789E-5</v>
      </c>
      <c r="JC9" s="165">
        <f>_xlfn.FORECAST.LINEAR(Sheet3!CF9,Sheet2!$AK$2:$AK$69,Sheet2!$AJ$2:$AJ$69)</f>
        <v>1.3311051322919881E-5</v>
      </c>
      <c r="JD9" s="165">
        <f>_xlfn.FORECAST.LINEAR(Sheet3!CG9,Sheet2!$AK$2:$AK$69,Sheet2!$AJ$2:$AJ$69)</f>
        <v>1.3065569727647913E-5</v>
      </c>
      <c r="JE9" s="188">
        <f>_xlfn.FORECAST.LINEAR(Sheet3!DF9,New!$MC$2:$MC$18,New!$MB$2:$MB$18)</f>
        <v>2.4201140055889738E-5</v>
      </c>
      <c r="JF9" s="165">
        <f>_xlfn.FORECAST.LINEAR(Sheet3!BZ9,New!$MC$2:$MC$18,New!$MB$2:$MB$18)</f>
        <v>2.4482208899445289E-5</v>
      </c>
      <c r="JG9" s="165">
        <f>_xlfn.FORECAST.LINEAR(Sheet3!CA9,New!$MC$2:$MC$18,New!$MB$2:$MB$18)</f>
        <v>2.4141706002755113E-5</v>
      </c>
      <c r="JH9" s="165">
        <f>_xlfn.FORECAST.LINEAR(Sheet3!CB9,New!$MC$2:$MC$18,New!$MB$2:$MB$18)</f>
        <v>2.3838821077438734E-5</v>
      </c>
      <c r="JI9" s="165">
        <f>_xlfn.FORECAST.LINEAR(Sheet3!CC9,New!$MC$2:$MC$18,New!$MB$2:$MB$18)</f>
        <v>2.3464247837742893E-5</v>
      </c>
      <c r="JJ9" s="165">
        <f>_xlfn.FORECAST.LINEAR(Sheet3!CD9,New!$MC$2:$MC$18,New!$MB$2:$MB$18)</f>
        <v>2.3270062205396534E-5</v>
      </c>
      <c r="JK9" s="165">
        <f>_xlfn.FORECAST.LINEAR(Sheet3!CE9,New!$MC$2:$MC$18,New!$MB$2:$MB$18)</f>
        <v>2.295092281700951E-5</v>
      </c>
      <c r="JL9" s="165">
        <f>_xlfn.FORECAST.LINEAR(Sheet3!CF9,New!$MC$2:$MC$18,New!$MB$2:$MB$18)</f>
        <v>2.2730126359693702E-5</v>
      </c>
      <c r="JM9" s="165">
        <f>_xlfn.FORECAST.LINEAR(Sheet3!CG9,New!$MC$2:$MC$18,New!$MB$2:$MB$18)</f>
        <v>2.2441556819330083E-5</v>
      </c>
      <c r="JN9" s="188">
        <f t="shared" si="159"/>
        <v>2.147992241110338E-5</v>
      </c>
      <c r="JO9" s="165">
        <f t="shared" si="160"/>
        <v>2.1755791749687389E-5</v>
      </c>
      <c r="JP9" s="165">
        <f t="shared" si="161"/>
        <v>2.142710645655723E-5</v>
      </c>
      <c r="JQ9" s="165">
        <f t="shared" si="162"/>
        <v>2.1129718794589656E-5</v>
      </c>
      <c r="JR9" s="165">
        <f t="shared" si="163"/>
        <v>2.0767944431336494E-5</v>
      </c>
      <c r="JS9" s="165">
        <f t="shared" si="164"/>
        <v>2.0577097584725419E-5</v>
      </c>
      <c r="JT9" s="165">
        <f t="shared" si="165"/>
        <v>2.0269739937064818E-5</v>
      </c>
      <c r="JU9" s="165">
        <f t="shared" si="166"/>
        <v>2.0052521208881278E-5</v>
      </c>
      <c r="JV9" s="165">
        <f t="shared" si="167"/>
        <v>1.9774487358519952E-5</v>
      </c>
      <c r="JW9" s="188">
        <f t="shared" si="66"/>
        <v>1.0072675686479116</v>
      </c>
      <c r="JX9" s="165">
        <f t="shared" si="67"/>
        <v>1.0047243873055041</v>
      </c>
      <c r="JY9" s="165">
        <f t="shared" si="68"/>
        <v>1.0078157090596807</v>
      </c>
      <c r="JZ9" s="165">
        <f t="shared" si="69"/>
        <v>1.0106674199577717</v>
      </c>
      <c r="KA9" s="165">
        <f t="shared" si="70"/>
        <v>1.0143347825597844</v>
      </c>
      <c r="KB9" s="165">
        <f t="shared" si="71"/>
        <v>1.0163004399110822</v>
      </c>
      <c r="KC9" s="165">
        <f t="shared" si="72"/>
        <v>1.0196316956895319</v>
      </c>
      <c r="KD9" s="165">
        <f t="shared" si="73"/>
        <v>1.0220130675010317</v>
      </c>
      <c r="KE9" s="165">
        <f t="shared" si="74"/>
        <v>1.0252248284479424</v>
      </c>
      <c r="KF9" s="188">
        <f t="shared" si="75"/>
        <v>0.97433176104174368</v>
      </c>
      <c r="KG9" s="165">
        <f t="shared" si="76"/>
        <v>0.97648812845464605</v>
      </c>
      <c r="KH9" s="165">
        <f t="shared" si="77"/>
        <v>0.97386899464418397</v>
      </c>
      <c r="KI9" s="165">
        <f t="shared" si="78"/>
        <v>0.9714728074354444</v>
      </c>
      <c r="KJ9" s="165">
        <f t="shared" si="79"/>
        <v>0.96841900447473672</v>
      </c>
      <c r="KK9" s="165">
        <f t="shared" si="80"/>
        <v>0.96679490585056738</v>
      </c>
      <c r="KL9" s="165">
        <f t="shared" si="81"/>
        <v>0.96406248593209698</v>
      </c>
      <c r="KM9" s="165">
        <f t="shared" si="82"/>
        <v>0.96212444204048753</v>
      </c>
      <c r="KN9" s="165">
        <f t="shared" si="83"/>
        <v>0.95953048397487795</v>
      </c>
      <c r="KO9" s="188">
        <f t="shared" si="84"/>
        <v>0.63459085758682843</v>
      </c>
      <c r="KP9" s="165">
        <f t="shared" si="85"/>
        <v>0.63886087552152826</v>
      </c>
      <c r="KQ9" s="165">
        <f t="shared" si="86"/>
        <v>0.63377444349569811</v>
      </c>
      <c r="KR9" s="165">
        <f t="shared" si="87"/>
        <v>0.62913142730128413</v>
      </c>
      <c r="KS9" s="165">
        <f t="shared" si="88"/>
        <v>0.62325087281215741</v>
      </c>
      <c r="KT9" s="165">
        <f t="shared" si="89"/>
        <v>0.62012772872460475</v>
      </c>
      <c r="KU9" s="165">
        <f t="shared" si="90"/>
        <v>0.61490812092475644</v>
      </c>
      <c r="KV9" s="165">
        <f t="shared" si="91"/>
        <v>0.61120748357467058</v>
      </c>
      <c r="KW9" s="165">
        <f t="shared" si="92"/>
        <v>0.60637434252164746</v>
      </c>
      <c r="KX9" s="188">
        <f>AVERAGE(Sheet3!J9:P9)*KO9^(1/3)/ID9^(1/3)</f>
        <v>94.779533238649961</v>
      </c>
      <c r="KY9" s="165">
        <f>Sheet3!J9*KP9^(1/3)/IE9^(1/3)</f>
        <v>83.762053207505176</v>
      </c>
      <c r="KZ9" s="165">
        <f>Sheet3!K9*KQ9^(1/3)/IF9^(1/3)</f>
        <v>86.442897271383998</v>
      </c>
      <c r="LA9" s="165">
        <f>Sheet3!L9*KR9^(1/3)/IG9^(1/3)</f>
        <v>90.996265989879575</v>
      </c>
      <c r="LB9" s="165">
        <f>Sheet3!M9*KS9^(1/3)/IH9^(1/3)</f>
        <v>94.187971710429778</v>
      </c>
      <c r="LC9" s="165">
        <f>Sheet3!N9*KT9^(1/3)/II9^(1/3)</f>
        <v>97.999720562104244</v>
      </c>
      <c r="LD9" s="165">
        <f>Sheet3!O9*KU9^(1/3)/IJ9^(1/3)</f>
        <v>100.80143965347206</v>
      </c>
      <c r="LE9" s="165">
        <f>Sheet3!P9*KV9^(1/3)/IK9^(1/3)</f>
        <v>102.44613377920884</v>
      </c>
      <c r="LF9" s="165">
        <f>Sheet3!Q9*KW9^(1/3)/IL9^(1/3)</f>
        <v>101.99808642063358</v>
      </c>
      <c r="LG9" s="186">
        <f t="shared" si="93"/>
        <v>25.822332211443278</v>
      </c>
      <c r="LH9" s="183">
        <f t="shared" si="94"/>
        <v>25.824356200230739</v>
      </c>
      <c r="LI9" s="183">
        <f t="shared" si="95"/>
        <v>26.083370103103874</v>
      </c>
      <c r="LJ9" s="183">
        <f t="shared" si="96"/>
        <v>26.084929737526188</v>
      </c>
      <c r="LK9" s="183">
        <f t="shared" si="97"/>
        <v>26.390701063167</v>
      </c>
      <c r="LL9" s="183">
        <f t="shared" si="98"/>
        <v>26.39338347472566</v>
      </c>
      <c r="LM9" s="183">
        <f t="shared" si="99"/>
        <v>26.724528160758958</v>
      </c>
      <c r="LN9" s="183">
        <f t="shared" si="100"/>
        <v>26.728411647446023</v>
      </c>
      <c r="LO9" s="183">
        <f t="shared" si="101"/>
        <v>27.049174354843252</v>
      </c>
      <c r="LP9" s="219"/>
      <c r="LQ9" s="219"/>
      <c r="LR9" s="219"/>
      <c r="LS9" s="219"/>
      <c r="LT9" s="219">
        <v>127</v>
      </c>
      <c r="LU9" s="219">
        <v>1.014</v>
      </c>
      <c r="LV9" s="220"/>
      <c r="LW9" s="220"/>
      <c r="LX9" s="220"/>
      <c r="LY9" s="220"/>
      <c r="LZ9" s="222">
        <v>45.83</v>
      </c>
      <c r="MA9" s="220">
        <v>1.0000000000000001E-5</v>
      </c>
      <c r="MB9" s="220">
        <v>50</v>
      </c>
      <c r="MC9" s="220">
        <v>1.9530000000000001E-5</v>
      </c>
      <c r="MD9" s="188">
        <f>Sheet3!DP9</f>
        <v>173.7475988997904</v>
      </c>
      <c r="ME9" s="263">
        <v>80</v>
      </c>
      <c r="MF9" s="263">
        <v>0.47360000000000002</v>
      </c>
      <c r="MG9" s="263">
        <v>1.9690000000000001</v>
      </c>
      <c r="MH9" s="263">
        <v>0.29339999999999999</v>
      </c>
      <c r="MI9" s="263">
        <v>11.3</v>
      </c>
      <c r="MJ9" s="263">
        <v>38.51</v>
      </c>
      <c r="MK9" s="273">
        <v>70</v>
      </c>
      <c r="ML9" s="267">
        <v>0.31169999999999998</v>
      </c>
      <c r="MM9" s="267">
        <v>0.19819999999999999</v>
      </c>
      <c r="MN9" s="267">
        <v>1.944</v>
      </c>
      <c r="MO9" s="267">
        <v>10.9</v>
      </c>
      <c r="MP9" s="274">
        <v>54.99</v>
      </c>
      <c r="MQ9"/>
      <c r="MR9"/>
      <c r="MS9"/>
    </row>
    <row r="10" spans="1:357" ht="15" thickBot="1" x14ac:dyDescent="0.35">
      <c r="A10" s="184" t="str">
        <f>Sheet3!A10</f>
        <v>01.12.2022</v>
      </c>
      <c r="B10" s="186">
        <f t="shared" si="102"/>
        <v>0.97079950872188492</v>
      </c>
      <c r="C10" s="183">
        <f t="shared" si="103"/>
        <v>0.97286412626111896</v>
      </c>
      <c r="D10" s="183">
        <f t="shared" si="0"/>
        <v>0.9573262944419898</v>
      </c>
      <c r="E10" s="183">
        <f t="shared" si="1"/>
        <v>0.94431288815135339</v>
      </c>
      <c r="F10" s="183">
        <f t="shared" si="2"/>
        <v>0.92920573572005083</v>
      </c>
      <c r="G10" s="183">
        <f t="shared" si="3"/>
        <v>0.92033901858366907</v>
      </c>
      <c r="H10" s="183">
        <f t="shared" si="4"/>
        <v>0.90881789541467117</v>
      </c>
      <c r="I10" s="183">
        <f t="shared" si="5"/>
        <v>0.89598960987647924</v>
      </c>
      <c r="J10" s="183">
        <f t="shared" si="6"/>
        <v>0.88511066560335738</v>
      </c>
      <c r="K10" s="186">
        <f xml:space="preserve"> (6.057 * (10^(-6)))
+ (4.055 * (10^(-8)) * (Sheet3!DF10 + 273))
+ (1.25 * (10^(-10)) * (Sheet3!DF10 + 273)^2)
- (3.367 * (10^(-14)) * (DD10 + 273)^3)</f>
        <v>5.0161134144302975E-5</v>
      </c>
      <c r="L10" s="183">
        <f xml:space="preserve"> (6.057 * (10^(-6)))
+ (4.055 * (10^(-8)) * (Sheet3!BZ10 + 273))
+ (1.25 * (10^(-10)) * (Sheet3!BZ10 + 273)^2)
- (3.367 * (10^(-14)) * (BX10 + 273)^3)</f>
        <v>5.0347439196256123E-5</v>
      </c>
      <c r="M10" s="183">
        <f xml:space="preserve"> (6.057 * (10^(-6)))
+ (4.055 * (10^(-8)) * (Sheet3!CA10 + 273))
+ (1.25 * (10^(-10)) * (Sheet3!CA10 + 273)^2)
- (3.367 * (10^(-14)) * (BY10 + 273)^3)</f>
        <v>4.8716844431237729E-5</v>
      </c>
      <c r="N10" s="183">
        <f xml:space="preserve"> (6.057 * (10^(-6)))
+ (4.055 * (10^(-8)) * (Sheet3!CB10 + 273))
+ (1.25 * (10^(-10)) * (Sheet3!CB10 + 273)^2)
- (3.367 * (10^(-14)) * (BZ10 + 273)^3)</f>
        <v>4.7512720597564646E-5</v>
      </c>
      <c r="O10" s="183">
        <f xml:space="preserve"> (6.057 * (10^(-6)))
+ (4.055 * (10^(-8)) * (Sheet3!CC10 + 273))
+ (1.25 * (10^(-10)) * (Sheet3!CC10 + 273)^2)
- (3.367 * (10^(-14)) * (CA10 + 273)^3)</f>
        <v>4.6062795906221721E-5</v>
      </c>
      <c r="P10" s="183">
        <f xml:space="preserve"> (6.057 * (10^(-6)))
+ (4.055 * (10^(-8)) * (Sheet3!CD10 + 273))
+ (1.25 * (10^(-10)) * (Sheet3!CD10 + 273)^2)
- (3.367 * (10^(-14)) * (CB10 + 273)^3)</f>
        <v>4.5312136797021196E-5</v>
      </c>
      <c r="Q10" s="183">
        <f xml:space="preserve"> (6.057 * (10^(-6)))
+ (4.055 * (10^(-8)) * (Sheet3!CE10 + 273))
+ (1.25 * (10^(-10)) * (Sheet3!CE10 + 273)^2)
- (3.367 * (10^(-14)) * (CC10 + 273)^3)</f>
        <v>4.4231816540822008E-5</v>
      </c>
      <c r="R10" s="183">
        <f xml:space="preserve"> (6.057 * (10^(-6)))
+ (4.055 * (10^(-8)) * (Sheet3!CF10 + 273))
+ (1.25 * (10^(-10)) * (Sheet3!CF10 + 273)^2)
- (3.367 * (10^(-14)) * (CD10 + 273)^3)</f>
        <v>4.322066904340869E-5</v>
      </c>
      <c r="S10" s="183">
        <f xml:space="preserve"> (6.057 * (10^(-6)))
+ (4.055 * (10^(-8)) * (Sheet3!CG10 + 273))
+ (1.25 * (10^(-10)) * (Sheet3!CG10 + 273)^2)
- (3.367 * (10^(-14)) * (CE10 + 273)^3)</f>
        <v>4.2256546233186819E-5</v>
      </c>
      <c r="T10" s="188">
        <f t="shared" si="104"/>
        <v>5.0161134144302975E-5</v>
      </c>
      <c r="U10" s="165">
        <f t="shared" si="105"/>
        <v>5.0347439196256123E-5</v>
      </c>
      <c r="V10" s="165">
        <f t="shared" si="106"/>
        <v>4.8716844431237729E-5</v>
      </c>
      <c r="W10" s="165">
        <f t="shared" si="107"/>
        <v>4.7512720597564646E-5</v>
      </c>
      <c r="X10" s="165">
        <f t="shared" si="108"/>
        <v>4.6062795906221721E-5</v>
      </c>
      <c r="Y10" s="165">
        <f t="shared" si="109"/>
        <v>4.5312136797021196E-5</v>
      </c>
      <c r="Z10" s="165">
        <f t="shared" si="110"/>
        <v>4.4231816540822008E-5</v>
      </c>
      <c r="AA10" s="165">
        <f t="shared" si="111"/>
        <v>4.322066904340869E-5</v>
      </c>
      <c r="AB10" s="165">
        <f t="shared" si="112"/>
        <v>4.2256546233186819E-5</v>
      </c>
      <c r="AC10" s="186">
        <f t="shared" si="8"/>
        <v>4.8696404384221898E-5</v>
      </c>
      <c r="AD10" s="183">
        <f t="shared" si="9"/>
        <v>4.8981217443150526E-5</v>
      </c>
      <c r="AE10" s="183">
        <f t="shared" si="10"/>
        <v>4.6637916156263701E-5</v>
      </c>
      <c r="AF10" s="183">
        <f t="shared" si="11"/>
        <v>4.4866874411414566E-5</v>
      </c>
      <c r="AG10" s="183">
        <f t="shared" si="12"/>
        <v>4.2801814159363298E-5</v>
      </c>
      <c r="AH10" s="183">
        <f t="shared" si="13"/>
        <v>4.1702527509699443E-5</v>
      </c>
      <c r="AI10" s="183">
        <f t="shared" si="14"/>
        <v>4.0198666418997701E-5</v>
      </c>
      <c r="AJ10" s="183">
        <f t="shared" si="15"/>
        <v>3.8725270394804176E-5</v>
      </c>
      <c r="AK10" s="183">
        <f t="shared" si="16"/>
        <v>3.7401719762555028E-5</v>
      </c>
      <c r="AL10" s="186">
        <f t="shared" si="113"/>
        <v>4.0430562468940834E-2</v>
      </c>
      <c r="AM10" s="183">
        <f t="shared" si="114"/>
        <v>4.0567663956161057E-2</v>
      </c>
      <c r="AN10" s="183">
        <f t="shared" si="115"/>
        <v>3.9384957099843299E-2</v>
      </c>
      <c r="AO10" s="183">
        <f t="shared" si="116"/>
        <v>3.8503782145061886E-2</v>
      </c>
      <c r="AP10" s="183">
        <f t="shared" si="117"/>
        <v>3.7419023020746844E-2</v>
      </c>
      <c r="AQ10" s="183">
        <f t="shared" si="118"/>
        <v>3.6853541997111536E-2</v>
      </c>
      <c r="AR10" s="183">
        <f t="shared" si="119"/>
        <v>3.6023951749490697E-2</v>
      </c>
      <c r="AS10" s="183">
        <f t="shared" si="120"/>
        <v>3.5243193259097534E-2</v>
      </c>
      <c r="AT10" s="183">
        <f t="shared" si="121"/>
        <v>3.4489393172845564E-2</v>
      </c>
      <c r="AU10" s="186">
        <f>_xlfn.FORECAST.LINEAR(Sheet3!DF10,Sheet2!$AH$2:$AH$40,Sheet2!$AG$2:$AG$40)</f>
        <v>5.1068208473046689E-2</v>
      </c>
      <c r="AV10" s="183">
        <f>_xlfn.FORECAST.LINEAR(Sheet3!BZ10,Sheet2!$AH$2:$AH$40,Sheet2!$AG$2:$AG$40)</f>
        <v>5.1382844304821748E-2</v>
      </c>
      <c r="AW10" s="183">
        <f>_xlfn.FORECAST.LINEAR(Sheet3!CA10,Sheet2!$AH$2:$AH$40,Sheet2!$AG$2:$AG$40)</f>
        <v>4.8692493914153805E-2</v>
      </c>
      <c r="AX10" s="183">
        <f>_xlfn.FORECAST.LINEAR(Sheet3!CB10,Sheet2!$AH$2:$AH$40,Sheet2!$AG$2:$AG$40)</f>
        <v>4.6675427859710149E-2</v>
      </c>
      <c r="AY10" s="183">
        <f>_xlfn.FORECAST.LINEAR(Sheet3!CC10,Sheet2!$AH$2:$AH$40,Sheet2!$AG$2:$AG$40)</f>
        <v>4.4210863244611508E-2</v>
      </c>
      <c r="AZ10" s="183">
        <f>_xlfn.FORECAST.LINEAR(Sheet3!CD10,Sheet2!$AH$2:$AH$40,Sheet2!$AG$2:$AG$40)</f>
        <v>4.291888540877252E-2</v>
      </c>
      <c r="BA10" s="183">
        <f>_xlfn.FORECAST.LINEAR(Sheet3!CE10,Sheet2!$AH$2:$AH$40,Sheet2!$AG$2:$AG$40)</f>
        <v>4.1039736043930859E-2</v>
      </c>
      <c r="BB10" s="183">
        <f>_xlfn.FORECAST.LINEAR(Sheet3!CF10,Sheet2!$AH$2:$AH$40,Sheet2!$AG$2:$AG$40)</f>
        <v>3.9258932737848445E-2</v>
      </c>
      <c r="BC10" s="183">
        <f>_xlfn.FORECAST.LINEAR(Sheet3!CG10,Sheet2!$AH$2:$AH$40,Sheet2!$AG$2:$AG$40)</f>
        <v>3.7550791477750423E-2</v>
      </c>
      <c r="BD10" s="186">
        <f>_xlfn.FORECAST.LINEAR(Sheet3!DF10,Sheet2!$AB$12:$AB$37,Sheet2!$AA$12:$AA$37)/1000</f>
        <v>3.6188444099235752E-2</v>
      </c>
      <c r="BE10" s="183">
        <f>_xlfn.FORECAST.LINEAR(Sheet3!BZ10,Sheet2!$AB$12:$AB$37,Sheet2!$AA$12:$AA$37)/1000</f>
        <v>3.6258789388493078E-2</v>
      </c>
      <c r="BF10" s="183">
        <f>_xlfn.FORECAST.LINEAR(Sheet3!CA10,Sheet2!$AB$12:$AB$37,Sheet2!$AA$12:$AA$37)/1000</f>
        <v>3.565728931341456E-2</v>
      </c>
      <c r="BG10" s="183">
        <f>_xlfn.FORECAST.LINEAR(Sheet3!CB10,Sheet2!$AB$12:$AB$37,Sheet2!$AA$12:$AA$37)/1000</f>
        <v>3.5206320031720001E-2</v>
      </c>
      <c r="BH10" s="183">
        <f>_xlfn.FORECAST.LINEAR(Sheet3!CC10,Sheet2!$AB$12:$AB$37,Sheet2!$AA$12:$AA$37)/1000</f>
        <v>3.4655300429901656E-2</v>
      </c>
      <c r="BI10" s="183">
        <f>_xlfn.FORECAST.LINEAR(Sheet3!CD10,Sheet2!$AB$12:$AB$37,Sheet2!$AA$12:$AA$37)/1000</f>
        <v>3.4366444090611216E-2</v>
      </c>
      <c r="BJ10" s="183">
        <f>_xlfn.FORECAST.LINEAR(Sheet3!CE10,Sheet2!$AB$12:$AB$37,Sheet2!$AA$12:$AA$37)/1000</f>
        <v>3.3946309788418935E-2</v>
      </c>
      <c r="BK10" s="183">
        <f>_xlfn.FORECAST.LINEAR(Sheet3!CF10,Sheet2!$AB$12:$AB$37,Sheet2!$AA$12:$AA$37)/1000</f>
        <v>3.3548163388595273E-2</v>
      </c>
      <c r="BL10" s="183">
        <f>_xlfn.FORECAST.LINEAR(Sheet3!CG10,Sheet2!$AB$12:$AB$37,Sheet2!$AA$12:$AA$37)/1000</f>
        <v>3.3166262540379514E-2</v>
      </c>
      <c r="BM10" s="186">
        <f t="shared" si="122"/>
        <v>0.69149383370020112</v>
      </c>
      <c r="BN10" s="183">
        <f t="shared" si="123"/>
        <v>0.68963072584759677</v>
      </c>
      <c r="BO10" s="183">
        <f t="shared" si="124"/>
        <v>0.70609769866350058</v>
      </c>
      <c r="BP10" s="183">
        <f t="shared" si="125"/>
        <v>0.71882532711442404</v>
      </c>
      <c r="BQ10" s="183">
        <f t="shared" si="126"/>
        <v>0.73520580697588933</v>
      </c>
      <c r="BR10" s="183">
        <f t="shared" si="127"/>
        <v>0.74398325133523791</v>
      </c>
      <c r="BS10" s="183">
        <f t="shared" si="128"/>
        <v>0.75738346461058437</v>
      </c>
      <c r="BT10" s="183">
        <f t="shared" si="129"/>
        <v>0.77028186393915554</v>
      </c>
      <c r="BU10" s="183">
        <f t="shared" si="130"/>
        <v>0.78332535985177498</v>
      </c>
      <c r="BV10" s="186">
        <f t="shared" si="131"/>
        <v>1.2006725348425242</v>
      </c>
      <c r="BW10" s="183">
        <f t="shared" si="19"/>
        <v>1.2009745983171376</v>
      </c>
      <c r="BX10" s="183">
        <f t="shared" si="20"/>
        <v>1.19598695690575</v>
      </c>
      <c r="BY10" s="183">
        <f t="shared" si="21"/>
        <v>1.193862207995426</v>
      </c>
      <c r="BZ10" s="183">
        <f t="shared" si="22"/>
        <v>1.1891081030885775</v>
      </c>
      <c r="CA10" s="183">
        <f t="shared" si="23"/>
        <v>1.1878283817254578</v>
      </c>
      <c r="CB10" s="183">
        <f t="shared" si="24"/>
        <v>1.1832156009483263</v>
      </c>
      <c r="CC10" s="183">
        <f t="shared" si="25"/>
        <v>1.1814929101635827</v>
      </c>
      <c r="CD10" s="183">
        <f t="shared" si="26"/>
        <v>1.1772041770441173</v>
      </c>
      <c r="CE10" s="187">
        <f xml:space="preserve"> -0.0000000019505*Sheet3!DF10^3 + 0.0000015497*Sheet3!DF10^2  + 0.00016911*Sheet3!DF10 + 1.8585</f>
        <v>1.9304739979375001</v>
      </c>
      <c r="CF10" s="185">
        <f xml:space="preserve"> -0.0000000019505*Sheet3!BZ10^3 + 0.0000015497*Sheet3!BZ10^2  + 0.00016911*Sheet3!BZ10 + 1.8585</f>
        <v>1.9311460020935598</v>
      </c>
      <c r="CG10" s="185">
        <f xml:space="preserve"> -0.0000000019505*Sheet3!CA10^3 + 0.0000015497*Sheet3!CA10^2  + 0.00016911*Sheet3!CA10 + 1.8585</f>
        <v>1.9254477040460847</v>
      </c>
      <c r="CH10" s="185">
        <f xml:space="preserve"> -0.0000000019505*Sheet3!CB10^3 + 0.0000015497*Sheet3!CB10^2  + 0.00016911*Sheet3!CB10 + 1.8585</f>
        <v>1.9212514156886673</v>
      </c>
      <c r="CI10" s="185">
        <f xml:space="preserve"> -0.0000000019505*Sheet3!CC10^3 + 0.0000015497*Sheet3!CC10^2  + 0.00016911*Sheet3!CC10 + 1.8585</f>
        <v>1.9162219275292975</v>
      </c>
      <c r="CJ10" s="185">
        <f xml:space="preserve"> -0.0000000019505*Sheet3!CD10^3 + 0.0000015497*Sheet3!CD10^2  + 0.00016911*Sheet3!CD10 + 1.8585</f>
        <v>1.9136316531608686</v>
      </c>
      <c r="CK10" s="185">
        <f xml:space="preserve"> -0.0000000019505*Sheet3!CE10^3 + 0.0000015497*Sheet3!CE10^2  + 0.00016911*Sheet3!CE10 + 1.8585</f>
        <v>1.9099249918760606</v>
      </c>
      <c r="CL10" s="185">
        <f xml:space="preserve"> -0.0000000019505*Sheet3!CF10^3 + 0.0000015497*Sheet3!CF10^2  + 0.00016911*Sheet3!CF10 + 1.8585</f>
        <v>1.9064826854537238</v>
      </c>
      <c r="CM10" s="185">
        <f xml:space="preserve"> -0.0000000019505*Sheet3!CG10^3 + 0.0000015497*Sheet3!CG10^2  + 0.00016911*Sheet3!CG10 + 1.8585</f>
        <v>1.9032489771860808</v>
      </c>
      <c r="CN10" s="186">
        <f>_xlfn.FORECAST.LINEAR(Sheet3!DF10,New!$LU$2:$LU$14,New!$LT$2:$LT$14)</f>
        <v>1.0313263389862313</v>
      </c>
      <c r="CO10" s="183">
        <f>_xlfn.FORECAST.LINEAR(Sheet3!BZ10,New!$LU$2:$LU$14,New!$LT$2:$LT$14)</f>
        <v>1.0315579150862129</v>
      </c>
      <c r="CP10" s="183">
        <f>_xlfn.FORECAST.LINEAR(Sheet3!CA10,New!$LU$2:$LU$14,New!$LT$2:$LT$14)</f>
        <v>1.0295777819032244</v>
      </c>
      <c r="CQ10" s="183">
        <f>_xlfn.FORECAST.LINEAR(Sheet3!CB10,New!$LU$2:$LU$14,New!$LT$2:$LT$14)</f>
        <v>1.0280931948247019</v>
      </c>
      <c r="CR10" s="183">
        <f>_xlfn.FORECAST.LINEAR(Sheet3!CC10,New!$LU$2:$LU$14,New!$LT$2:$LT$14)</f>
        <v>1.0262792429346788</v>
      </c>
      <c r="CS10" s="183">
        <f>_xlfn.FORECAST.LINEAR(Sheet3!CD10,New!$LU$2:$LU$14,New!$LT$2:$LT$14)</f>
        <v>1.0253283302976837</v>
      </c>
      <c r="CT10" s="183">
        <f>_xlfn.FORECAST.LINEAR(Sheet3!CE10,New!$LU$2:$LU$14,New!$LT$2:$LT$14)</f>
        <v>1.0239452517120757</v>
      </c>
      <c r="CU10" s="183">
        <f>_xlfn.FORECAST.LINEAR(Sheet3!CF10,New!$LU$2:$LU$14,New!$LT$2:$LT$14)</f>
        <v>1.0226345571159441</v>
      </c>
      <c r="CV10" s="183">
        <f>_xlfn.FORECAST.LINEAR(Sheet3!CG10,New!$LU$2:$LU$14,New!$LT$2:$LT$14)</f>
        <v>1.0213773427389303</v>
      </c>
      <c r="CW10" s="186">
        <f>EXP((17.625*Sheet3!BA10)/(243.04+Sheet3!BA10)) / EXP((17.625*Sheet3!DF10)/(243.04+Sheet3!DF10))</f>
        <v>1.8983820405631614E-2</v>
      </c>
      <c r="CX10" s="183">
        <f>EXP((17.625*(Sheet3!BC10+273))/(243.04+(Sheet3!BC10+273)))/EXP((17.625*(Sheet3!BZ10+273))/(243.04+(Sheet3!BZ10+273)))</f>
        <v>0.27495597046062448</v>
      </c>
      <c r="CY10" s="183">
        <f>EXP((17.625*(Sheet3!BE10+273))/(243.04+(Sheet3!BE10+273))) / EXP((17.625*(Sheet3!CA10+273))/(243.04+(Sheet3!CA10+273)))</f>
        <v>0.30164366149749156</v>
      </c>
      <c r="CZ10" s="183">
        <f>EXP((17.625*(Sheet3!BG10+273))/(243.04+(Sheet3!BG10+273))) / EXP((17.625*(Sheet3!CB10+273))/(243.04+(Sheet3!CB10+273)))</f>
        <v>0.32336123810521178</v>
      </c>
      <c r="DA10" s="183">
        <f>EXP((17.625*(Sheet3!BI10+273))/(243.04+(Sheet3!BI10+273))) / EXP((17.625*(Sheet3!CC10+273))/(243.04+(Sheet3!CC10+273)))</f>
        <v>0.35279931197440151</v>
      </c>
      <c r="DB10" s="183">
        <f>EXP((17.625*(Sheet3!BK10+273))/(243.04+(Sheet3!BK10+273)))/EXP((17.625*(Sheet3!CD10+273))/(243.04+(Sheet3!CD10+273)))</f>
        <v>0.37024053683752656</v>
      </c>
      <c r="DC10" s="183">
        <f>EXP((17.625*(Sheet3!BM10+273))/(243.04+(Sheet3!BM10+273))) / EXP((17.625*(Sheet3!CE10+273))/(243.04+(Sheet3!CE10+273)))</f>
        <v>0.39625158429107055</v>
      </c>
      <c r="DD10" s="183">
        <f>EXP((17.625*(Sheet3!BO10+273))/(243.04+(Sheet3!BO10+273))) / EXP((17.625*(Sheet3!CF10+273))/(243.04+(Sheet3!CF10+273)))</f>
        <v>0.42467394860840152</v>
      </c>
      <c r="DE10" s="183">
        <f>EXP((17.625*(Sheet3!BQ10+273))/(243.04+(Sheet3!BQ10+273))) / EXP((17.625*(Sheet3!CG10+273))/(243.04+(Sheet3!CG10+273)))</f>
        <v>0.45288193391017778</v>
      </c>
      <c r="DF10" s="186">
        <f>((Sheet3!DA10-Sheet3!DB10)/New!$LQ$3)/(((Sheet3!DA10-Sheet3!DB10)/New!$LQ$3)+(Sheet3!DB10/New!$LP$3))</f>
        <v>0.72832019405700421</v>
      </c>
      <c r="DG10" s="183">
        <f>((Sheet3!DA10-Sheet3!DB10)/New!$LQ$3)/(((Sheet3!DA10-Sheet3!DB10)/New!$LQ$3)+((Sheet3!DB10-(Sheet3!B10*0.004))/New!$LP$3))</f>
        <v>0.72837673269968806</v>
      </c>
      <c r="DH10" s="183" cm="1">
        <f t="array" ref="DH10">((Sheet3!DA10-Sheet3!DB10)/New!$LQ$3)/(((Sheet3!DA10-Sheet3!DB10)/New!$LQ$3)+((Sheet3!DB10-(SUM(Sheet3!B10:C10*0.004)))/New!$LP$3))</f>
        <v>0.73902841249394913</v>
      </c>
      <c r="DI10" s="183" cm="1">
        <f t="array" ref="DI10">((Sheet3!DA10-Sheet3!DB10)/New!$LQ$3)/(((Sheet3!DA10-Sheet3!DB10)/New!$LQ$3)+((Sheet3!DB10-(SUM(Sheet3!B10:D10*0.004)))/New!$LP$3))</f>
        <v>0.73966926539735611</v>
      </c>
      <c r="DJ10" s="183" cm="1">
        <f t="array" ref="DJ10">((Sheet3!DA10-Sheet3!DB10)/New!$LQ$3)/(((Sheet3!DA10-Sheet3!DB10)/New!$LQ$3)+((Sheet3!DB10-(SUM(Sheet3!B10:E10*0.004)))/New!$LP$3))</f>
        <v>0.75087654364212009</v>
      </c>
      <c r="DK10" s="183" cm="1">
        <f t="array" ref="DK10">((Sheet3!DA10-Sheet3!DB10)/New!$LQ$3)/(((Sheet3!DA10-Sheet3!DB10)/New!$LQ$3)+((Sheet3!DB10-(SUM(Sheet3!B10:F10*0.004)))/New!$LP$3))</f>
        <v>0.75101678042045272</v>
      </c>
      <c r="DL10" s="183" cm="1">
        <f t="array" ref="DL10">((Sheet3!DA10-Sheet3!DB10)/New!$LQ$3)/(((Sheet3!DA10-Sheet3!DB10)/New!$LQ$3)+((Sheet3!DB10-(SUM(Sheet3!B10:G10*0.004)))/New!$LP$3))</f>
        <v>0.76491488490822712</v>
      </c>
      <c r="DM10" s="183" cm="1">
        <f t="array" ref="DM10">((Sheet3!DA10-Sheet3!DB10)/New!$LQ$3)/(((Sheet3!DA10-Sheet3!DB10)/New!$LQ$3)+((Sheet3!DB10-(SUM(Sheet3!B10:H10*0.004)))/New!$LP$3))</f>
        <v>0.76506041492901899</v>
      </c>
      <c r="DN10" s="183" cm="1">
        <f t="array" ref="DN10">((Sheet3!DA10-Sheet3!DB10)/New!$LQ$3)/(((Sheet3!DA10-Sheet3!DB10)/New!$LQ$3)+((Sheet3!DB10-(SUM(Sheet3!B10:I10*0.004)))/New!$LP$3))</f>
        <v>0.7788411155477698</v>
      </c>
      <c r="DO10" s="186">
        <f>(Sheet3!DB10/$LP$3) / ((Sheet3!DB10/$LP$3) + ((Sheet3!DA10-Sheet3!DB10)/$LQ$3))</f>
        <v>0.27167980594299573</v>
      </c>
      <c r="DP10" s="183">
        <f>((Sheet3!$DB10-(Sheet3!B10/4000)) / $LP$3) / (((Sheet3!$DA10-Sheet3!DB10) / $LQ$3) + (Sheet3!$DB10-((Sheet3!B10/4000)))/$LP$3)</f>
        <v>0.27167627253497895</v>
      </c>
      <c r="DQ10" s="183">
        <f>((Sheet3!$DB10-(SUM(Sheet3!B10:C10)/4000))/$LP$3)/(((Sheet3!$DA10-Sheet3!$DB10)/$LQ$3)+(Sheet3!$DB10-(SUM(Sheet3!B10:C10)/4000))/$LP$3)</f>
        <v>0.2710196418021576</v>
      </c>
      <c r="DR10" s="183">
        <f>((Sheet3!$DB10-(SUM(Sheet3!B10:D10)/4000))/$LP$3)/(((Sheet3!$DA10-Sheet3!$DB10)/$LQ$3)+(Sheet3!$DB10-(SUM(Sheet3!B10:D10)/4000))/$LP$3)</f>
        <v>0.27098070193045443</v>
      </c>
      <c r="DS10" s="183">
        <f>((Sheet3!$DB10-(SUM(Sheet3!B10:E10)/4000))/$LP$3)/(((Sheet3!$DA10-Sheet3!$DB10)/$LQ$3)+(Sheet3!$DB10-(SUM(Sheet3!B10:E10)/4000))/$LP$3)</f>
        <v>0.27030981150784006</v>
      </c>
      <c r="DT10" s="183">
        <f>((Sheet3!$DB10-(SUM(Sheet3!B10:F10)/4000))/$LP$3)/(((Sheet3!$DA10-Sheet3!$DB10)/$LQ$3)+(Sheet3!$DB10-(SUM(Sheet3!B10:F10)/4000))/$LP$3)</f>
        <v>0.27030153578945149</v>
      </c>
      <c r="DU10" s="183">
        <f>((Sheet3!$DB10-(SUM(Sheet3!B10:G10)/4000))/$LP$3)/(((Sheet3!$DA10-Sheet3!$DB10)/$LQ$3)+(Sheet3!$DB10-(SUM(Sheet3!B10:G10)/4000))/$LP$3)</f>
        <v>0.26949552816912831</v>
      </c>
      <c r="DV10" s="183">
        <f>((Sheet3!$DB10-(SUM(Sheet3!B10:H10)/4000))/$LP$3)/(((Sheet3!$DA10-Sheet3!$DB10)/$LQ$3)+(Sheet3!$DB10-(SUM(Sheet3!B10:H10)/4000))/$LP$3)</f>
        <v>0.2694872339700804</v>
      </c>
      <c r="DW10" s="183">
        <f>((Sheet3!$DB10-(SUM(Sheet3!B10:I10)/4000))/$LP$3)/(((Sheet3!$DA10-Sheet3!$DB10)/$LQ$3)+(Sheet3!$DB10-(SUM(Sheet3!B10:I10)/4000))/$LP$3)</f>
        <v>0.26871504932875223</v>
      </c>
      <c r="DX10" s="186">
        <f>($LR$2*($LP$3/1000))/($LP$2*(Sheet3!DF10+273))*DO10</f>
        <v>0.13023650679555354</v>
      </c>
      <c r="DY10" s="183">
        <f>(($LR$2*($LP$3/1000))/($LP$2*(Sheet3!BZ10+273)))*(DP10)</f>
        <v>0.12988372500156245</v>
      </c>
      <c r="DZ10" s="183">
        <f>(($LR$2*($LP$3/1000))/($LP$2*(Sheet3!CA10+273)))*(DQ10)</f>
        <v>0.13262698405301146</v>
      </c>
      <c r="EA10" s="183">
        <f>(($LR$2*($LP$3/1000))/($LP$2*(Sheet3!CB10+273)))*(DR10)</f>
        <v>0.13499601364611719</v>
      </c>
      <c r="EB10" s="183">
        <f>(($LR$2*($LP$3/1000))/($LP$2*(Sheet3!CC10+273)))*(DS10)</f>
        <v>0.13769154878721118</v>
      </c>
      <c r="EC10" s="183">
        <f>(($LR$2*($LP$3/1000))/($LP$2*(Sheet3!CD10+273)))*(DT10)</f>
        <v>0.13933066367930247</v>
      </c>
      <c r="ED10" s="183">
        <f>(($LR$2*($LP$3/1000))/($LP$2*(Sheet3!CE10+273)))*(DU10)</f>
        <v>0.14136929580319876</v>
      </c>
      <c r="EE10" s="183">
        <f>(($LR$2*($LP$3/1000))/($LP$2*(Sheet3!CF10+273)))*(DV10)</f>
        <v>0.14377191780465526</v>
      </c>
      <c r="EF10" s="183">
        <f>(($LR$2*($LP$3/1000))/($LP$2*(Sheet3!CG10+273)))*(DW10)</f>
        <v>0.14574017308506057</v>
      </c>
      <c r="EG10" s="186">
        <f>(($LR$2*($LQ$3/1000))/($LQ$2*(Sheet3!DF10+273)))*(1-DO10)</f>
        <v>0.56125732690464758</v>
      </c>
      <c r="EH10" s="183">
        <f>(($LR$2*($LQ$3/1000))/($LQ$2*(Sheet3!BZ10+273)))*(1-DP10)</f>
        <v>0.55974700084603435</v>
      </c>
      <c r="EI10" s="183">
        <f>(($LR$2*($LQ$3/1000))/($LQ$2*(Sheet3!CA10+273)))*(1-DQ10)</f>
        <v>0.57347071461048915</v>
      </c>
      <c r="EJ10" s="183">
        <f>(($LR$2*($LQ$3/1000))/($LQ$2*(Sheet3!CB10+273)))*(1-DR10)</f>
        <v>0.58382931346830691</v>
      </c>
      <c r="EK10" s="183">
        <f>(($LR$2*($LQ$3/1000))/($LQ$2*(Sheet3!CC10+273)))*(1-DS10)</f>
        <v>0.5975142581886782</v>
      </c>
      <c r="EL10" s="183">
        <f>(($LR$2*($LQ$3/1000))/($LQ$2*(Sheet3!CD10+273)))*(1-DT10)</f>
        <v>0.60465258765593544</v>
      </c>
      <c r="EM10" s="183">
        <f>(($LR$2*($LQ$3/1000))/($LQ$2*(Sheet3!CE10+273)))*(1-DU10)</f>
        <v>0.61601416880738558</v>
      </c>
      <c r="EN10" s="183">
        <f>(($LR$2*($LQ$3/1000))/($LQ$2*(Sheet3!CF10+273)))*(1-DV10)</f>
        <v>0.62650994613450028</v>
      </c>
      <c r="EO10" s="183">
        <f>(($LR$2*($LQ$3/1000))/($LQ$2*(Sheet3!CG10+273)))*(1-DW10)</f>
        <v>0.63758518676671438</v>
      </c>
      <c r="EP10" s="186">
        <f t="shared" si="132"/>
        <v>4518.7464407378529</v>
      </c>
      <c r="EQ10" s="183">
        <f xml:space="preserve"> (($FV10-(Sheet3!B10/4000))*0.018)/(0.011*JO10*3600)</f>
        <v>4508.6693759246455</v>
      </c>
      <c r="ER10" s="183">
        <f>((($FV10-(SUM(Sheet3!B10:C10)/4000))*0.018)/(0.011*JP10*3600))</f>
        <v>4591.9621298263201</v>
      </c>
      <c r="ES10" s="183">
        <f>((($FV10-(SUM(Sheet3!B10:D10)/4000))*0.018)/(0.011*JQ10*3600))</f>
        <v>4659.5125322321674</v>
      </c>
      <c r="ET10" s="183">
        <f>((($FV10-(SUM(Sheet3!B10:E10)/4000))*0.018)/(0.011*JR10))/3600</f>
        <v>4740.7262100593216</v>
      </c>
      <c r="EU10" s="183">
        <f>((($FV10-(SUM(Sheet3!B10:F10)/4000))*0.018)/(0.011*JS10))/3600</f>
        <v>4786.8122454214399</v>
      </c>
      <c r="EV10" s="183">
        <f>((($FV10-(SUM(Sheet3!B10:G10)/4000))*0.018)/(0.011*JT10))/3600</f>
        <v>4850.0914064255685</v>
      </c>
      <c r="EW10" s="183">
        <f>((($FV10-(SUM(Sheet3!B10:H10)/4000))*0.018)/(0.011*JU10))/3600</f>
        <v>4916.9905228135685</v>
      </c>
      <c r="EX10" s="183">
        <f>((($FV10-(SUM(Sheet3!B10:I10)/4000))*0.018)/(0.011*JV10))/3600</f>
        <v>4977.5812610161083</v>
      </c>
      <c r="EY10" s="186">
        <f t="shared" si="133"/>
        <v>46.82885378868248</v>
      </c>
      <c r="EZ10" s="183">
        <f t="shared" si="134"/>
        <v>46.747809422228897</v>
      </c>
      <c r="FA10" s="183">
        <f t="shared" si="135"/>
        <v>47.400758240763054</v>
      </c>
      <c r="FB10" s="183">
        <f t="shared" si="136"/>
        <v>47.945913788827063</v>
      </c>
      <c r="FC10" s="183">
        <f t="shared" si="137"/>
        <v>48.587241163172294</v>
      </c>
      <c r="FD10" s="183">
        <f t="shared" si="138"/>
        <v>48.962978254266623</v>
      </c>
      <c r="FE10" s="183">
        <f t="shared" si="139"/>
        <v>49.458338249776993</v>
      </c>
      <c r="FF10" s="183">
        <f t="shared" si="140"/>
        <v>50.00836340259886</v>
      </c>
      <c r="FG10" s="183">
        <f t="shared" si="141"/>
        <v>50.486599313820079</v>
      </c>
      <c r="FH10" s="186">
        <f t="shared" si="28"/>
        <v>105.18427213623465</v>
      </c>
      <c r="FI10" s="183">
        <f t="shared" si="29"/>
        <v>105.35830129598008</v>
      </c>
      <c r="FJ10" s="183">
        <f t="shared" si="30"/>
        <v>103.7153794340276</v>
      </c>
      <c r="FK10" s="183">
        <f t="shared" si="31"/>
        <v>102.561056626162</v>
      </c>
      <c r="FL10" s="183">
        <f t="shared" si="32"/>
        <v>101.00483864440682</v>
      </c>
      <c r="FM10" s="183">
        <f t="shared" si="33"/>
        <v>100.24773196651522</v>
      </c>
      <c r="FN10" s="183">
        <f t="shared" si="34"/>
        <v>98.982488373330938</v>
      </c>
      <c r="FO10" s="183">
        <f t="shared" si="35"/>
        <v>97.91413422049844</v>
      </c>
      <c r="FP10" s="183">
        <f t="shared" si="36"/>
        <v>96.736231871903115</v>
      </c>
      <c r="FQ10" s="314">
        <f>Sheet3!CV10</f>
        <v>2</v>
      </c>
      <c r="FR10" s="183">
        <v>5000</v>
      </c>
      <c r="FS10" s="183">
        <v>20</v>
      </c>
      <c r="FT10" s="183">
        <v>0.16713333333333333</v>
      </c>
      <c r="FU10" s="183">
        <v>23.88</v>
      </c>
      <c r="FV10" s="183">
        <v>223</v>
      </c>
      <c r="FW10" s="183">
        <v>42</v>
      </c>
      <c r="FX10" s="183">
        <v>408</v>
      </c>
      <c r="FY10" s="183">
        <v>11.05</v>
      </c>
      <c r="FZ10" s="183">
        <v>22.1</v>
      </c>
      <c r="GA10" s="183">
        <v>185</v>
      </c>
      <c r="GB10" s="186">
        <f>EXP($LP$6-($LQ$6/('Trial and Error method'!T10+$LP$8))) / ($LR$2/1000)</f>
        <v>0.41312717785490272</v>
      </c>
      <c r="GC10" s="183">
        <f>EXP($LP$6-($LQ$6/('Trial and Error method'!U10+$LP$8))) / ($LR$2/1000)</f>
        <v>0.14343762739898211</v>
      </c>
      <c r="GD10" s="183">
        <f>EXP($LP$6-($LQ$6/('Trial and Error method'!V10+$LP$8))) / ($LR$2/1000)</f>
        <v>0.13529785228475194</v>
      </c>
      <c r="GE10" s="183">
        <f>EXP($LP$6-($LQ$6/('Trial and Error method'!W10+$LP$8))) / ($LR$2/1000)</f>
        <v>0.12802249640726276</v>
      </c>
      <c r="GF10" s="183">
        <f>EXP($LP$6-($LQ$6/('Trial and Error method'!X10+$LP$8))) / ($LR$2/1000)</f>
        <v>0.11963066849815301</v>
      </c>
      <c r="GG10" s="183">
        <f>EXP($LP$6-($LQ$6/('Trial and Error method'!Y10+$LP$8))) / ($LR$2/1000)</f>
        <v>0.11381695696009204</v>
      </c>
      <c r="GH10" s="183">
        <f>EXP($LP$6-($LQ$6/('Trial and Error method'!Z10+$LP$8))) / ($LR$2/1000)</f>
        <v>0.10763818118768118</v>
      </c>
      <c r="GI10" s="183">
        <f>EXP($LP$6-($LQ$6/('Trial and Error method'!AA10+$LP$8))) / ($LR$2/1000)</f>
        <v>0.10326130336780966</v>
      </c>
      <c r="GJ10" s="183">
        <f>EXP($LP$6-($LQ$6/('Trial and Error method'!AB10+$LP$8))) / ($LR$2/1000)</f>
        <v>8.9013991357555083E-2</v>
      </c>
      <c r="GK10" s="188">
        <f t="shared" si="142"/>
        <v>0.65505322516960551</v>
      </c>
      <c r="GL10" s="165">
        <f t="shared" si="143"/>
        <v>0.79071064793954038</v>
      </c>
      <c r="GM10" s="165">
        <f t="shared" si="144"/>
        <v>0.7949111146589094</v>
      </c>
      <c r="GN10" s="165">
        <f t="shared" si="145"/>
        <v>0.79836632449274836</v>
      </c>
      <c r="GO10" s="165">
        <f t="shared" si="146"/>
        <v>0.802674000725908</v>
      </c>
      <c r="GP10" s="165">
        <f t="shared" si="147"/>
        <v>0.80540870263820585</v>
      </c>
      <c r="GQ10" s="165">
        <f t="shared" si="148"/>
        <v>0.8087354844961353</v>
      </c>
      <c r="GR10" s="165">
        <f t="shared" si="149"/>
        <v>0.81078777921349587</v>
      </c>
      <c r="GS10" s="165">
        <f t="shared" si="150"/>
        <v>0.81784773277016498</v>
      </c>
      <c r="GT10" s="188">
        <f t="shared" si="38"/>
        <v>8.4852697015902867E-2</v>
      </c>
      <c r="GU10" s="165">
        <f t="shared" si="39"/>
        <v>7.0294001594010017E-2</v>
      </c>
      <c r="GV10" s="165">
        <f t="shared" si="40"/>
        <v>6.9865139656507064E-2</v>
      </c>
      <c r="GW10" s="165">
        <f t="shared" si="41"/>
        <v>6.9542639349962701E-2</v>
      </c>
      <c r="GX10" s="165">
        <f t="shared" si="42"/>
        <v>6.9131518890008944E-2</v>
      </c>
      <c r="GY10" s="165">
        <f t="shared" si="43"/>
        <v>6.8892988700495816E-2</v>
      </c>
      <c r="GZ10" s="165">
        <f t="shared" si="44"/>
        <v>6.8581310073896201E-2</v>
      </c>
      <c r="HA10" s="165">
        <f t="shared" si="45"/>
        <v>6.8413341133749764E-2</v>
      </c>
      <c r="HB10" s="165">
        <f t="shared" si="46"/>
        <v>6.7800918540294519E-2</v>
      </c>
      <c r="HC10" s="188">
        <f>BV10*Sheet3!DF10</f>
        <v>222.12441894586698</v>
      </c>
      <c r="HD10" s="165">
        <f>BW10*Sheet3!BZ10</f>
        <v>223.66712792696802</v>
      </c>
      <c r="HE10" s="165">
        <f>BX10*Sheet3!CA10</f>
        <v>210.07765380826208</v>
      </c>
      <c r="HF10" s="165">
        <f>BY10*Sheet3!CB10</f>
        <v>200.22914012915606</v>
      </c>
      <c r="HG10" s="165">
        <f>BZ10*Sheet3!CC10</f>
        <v>187.90045592401532</v>
      </c>
      <c r="HH10" s="165">
        <f>CA10*Sheet3!CD10</f>
        <v>181.65976200562534</v>
      </c>
      <c r="HI10" s="165">
        <f>CB10*Sheet3!CE10</f>
        <v>172.20560592479384</v>
      </c>
      <c r="HJ10" s="165">
        <f>CC10*Sheet3!CF10</f>
        <v>163.67611943670963</v>
      </c>
      <c r="HK10" s="165">
        <f>CD10*Sheet3!CG10</f>
        <v>155.16984484758939</v>
      </c>
      <c r="HL10" s="188">
        <f>(CE10*Sheet3!DF10)+2501</f>
        <v>2858.1376896184374</v>
      </c>
      <c r="HM10" s="165">
        <f>(CF10*Sheet3!BZ10)+2501</f>
        <v>2860.6528023999504</v>
      </c>
      <c r="HN10" s="165">
        <f>(CG10*Sheet3!CA10)+2501</f>
        <v>2839.2089861941386</v>
      </c>
      <c r="HO10" s="165">
        <f>(CH10*Sheet3!CB10)+2501</f>
        <v>2823.2235500537258</v>
      </c>
      <c r="HP10" s="165">
        <f>(CI10*Sheet3!CC10)+2501</f>
        <v>2803.7975109236386</v>
      </c>
      <c r="HQ10" s="165">
        <f>(CJ10*Sheet3!CD10)+2501</f>
        <v>2793.6600138773097</v>
      </c>
      <c r="HR10" s="165">
        <f>(CK10*Sheet3!CE10)+2501</f>
        <v>2778.971140875185</v>
      </c>
      <c r="HS10" s="165">
        <f>(CL10*Sheet3!CF10)+2501</f>
        <v>2765.1113501774112</v>
      </c>
      <c r="HT10" s="165">
        <f>(CM10*Sheet3!CG10)+2501</f>
        <v>2751.8713902441664</v>
      </c>
      <c r="HU10" s="188">
        <f>-0.0021*(Sheet3!DF10^2) - 2.2115*(Sheet3!DF10) + 2499</f>
        <v>2018</v>
      </c>
      <c r="HV10" s="165">
        <f>-0.0021*(Sheet3!BZ10^2) - 2.2115*(Sheet3!BZ10) + 2499</f>
        <v>2014.2969668841313</v>
      </c>
      <c r="HW10" s="165">
        <f>-0.0021*(Sheet3!CA10^2) - 2.2115*(Sheet3!CA10) + 2499</f>
        <v>2045.7526123523267</v>
      </c>
      <c r="HX10" s="165">
        <f>-0.0021*(Sheet3!CB10^2) - 2.2115*(Sheet3!CB10) + 2499</f>
        <v>2069.0274842318727</v>
      </c>
      <c r="HY10" s="165">
        <f>-0.0021*(Sheet3!CC10^2) - 2.2115*(Sheet3!CC10) + 2499</f>
        <v>2097.1069159706908</v>
      </c>
      <c r="HZ10" s="165">
        <f>-0.0021*(Sheet3!CD10^2) - 2.2115*(Sheet3!CD10) + 2499</f>
        <v>2111.6689613290582</v>
      </c>
      <c r="IA10" s="165">
        <f>-0.0021*(Sheet3!CE10^2) - 2.2115*(Sheet3!CE10) + 2499</f>
        <v>2132.6553458045223</v>
      </c>
      <c r="IB10" s="165">
        <f>-0.0021*(Sheet3!CF10^2) - 2.2115*(Sheet3!CF10) + 2499</f>
        <v>2152.3314909890428</v>
      </c>
      <c r="IC10" s="165">
        <f>-0.0021*(Sheet3!CG10^2) - 2.2115*(Sheet3!CG10) + 2499</f>
        <v>2171.0110267323407</v>
      </c>
      <c r="ID10" s="188">
        <f t="shared" si="47"/>
        <v>0.66616069192236194</v>
      </c>
      <c r="IE10" s="165">
        <f t="shared" si="48"/>
        <v>0.66555837693714437</v>
      </c>
      <c r="IF10" s="165">
        <f t="shared" si="49"/>
        <v>0.66989573723659501</v>
      </c>
      <c r="IG10" s="165">
        <f t="shared" si="50"/>
        <v>0.67406797946441377</v>
      </c>
      <c r="IH10" s="165">
        <f t="shared" si="51"/>
        <v>0.67857924091342947</v>
      </c>
      <c r="II10" s="165">
        <f t="shared" si="52"/>
        <v>0.68161824595770248</v>
      </c>
      <c r="IJ10" s="165">
        <f t="shared" si="53"/>
        <v>0.68502058671606625</v>
      </c>
      <c r="IK10" s="165">
        <f t="shared" si="54"/>
        <v>0.68965850116908423</v>
      </c>
      <c r="IL10" s="165">
        <f t="shared" si="55"/>
        <v>0.69311890575578561</v>
      </c>
      <c r="IM10" s="188">
        <f t="shared" si="56"/>
        <v>-24.220421422939204</v>
      </c>
      <c r="IN10" s="165">
        <f t="shared" si="151"/>
        <v>18.15769373708051</v>
      </c>
      <c r="IO10" s="165">
        <f t="shared" si="152"/>
        <v>19.398279975425538</v>
      </c>
      <c r="IP10" s="165">
        <f t="shared" si="153"/>
        <v>20.569631771461406</v>
      </c>
      <c r="IQ10" s="165">
        <f t="shared" si="154"/>
        <v>21.844887519917638</v>
      </c>
      <c r="IR10" s="165">
        <f t="shared" si="155"/>
        <v>22.765249132752494</v>
      </c>
      <c r="IS10" s="165">
        <f t="shared" si="156"/>
        <v>23.673303730382166</v>
      </c>
      <c r="IT10" s="165">
        <f t="shared" si="157"/>
        <v>24.47646716722392</v>
      </c>
      <c r="IU10" s="165">
        <f t="shared" si="158"/>
        <v>26.451374286410356</v>
      </c>
      <c r="IV10" s="188">
        <f>_xlfn.FORECAST.LINEAR(Sheet3!DF10,Sheet2!$AK$2:$AK$69,Sheet2!$AJ$2:$AJ$69)</f>
        <v>1.5262665903764649E-5</v>
      </c>
      <c r="IW10" s="165">
        <f>_xlfn.FORECAST.LINEAR(Sheet3!BZ10,Sheet2!$AK$2:$AK$69,Sheet2!$AJ$2:$AJ$69)</f>
        <v>1.5306011748672285E-5</v>
      </c>
      <c r="IX10" s="165">
        <f>_xlfn.FORECAST.LINEAR(Sheet3!CA10,Sheet2!$AK$2:$AK$69,Sheet2!$AJ$2:$AJ$69)</f>
        <v>1.493537528898113E-5</v>
      </c>
      <c r="IY10" s="165">
        <f>_xlfn.FORECAST.LINEAR(Sheet3!CB10,Sheet2!$AK$2:$AK$69,Sheet2!$AJ$2:$AJ$69)</f>
        <v>1.4657493930487679E-5</v>
      </c>
      <c r="IZ10" s="165">
        <f>_xlfn.FORECAST.LINEAR(Sheet3!CC10,Sheet2!$AK$2:$AK$69,Sheet2!$AJ$2:$AJ$69)</f>
        <v>1.4317962876544378E-5</v>
      </c>
      <c r="JA10" s="165">
        <f>_xlfn.FORECAST.LINEAR(Sheet3!CD10,Sheet2!$AK$2:$AK$69,Sheet2!$AJ$2:$AJ$69)</f>
        <v>1.4139973387615424E-5</v>
      </c>
      <c r="JB10" s="165">
        <f>_xlfn.FORECAST.LINEAR(Sheet3!CE10,Sheet2!$AK$2:$AK$69,Sheet2!$AJ$2:$AJ$69)</f>
        <v>1.3881092139198233E-5</v>
      </c>
      <c r="JC10" s="165">
        <f>_xlfn.FORECAST.LINEAR(Sheet3!CF10,Sheet2!$AK$2:$AK$69,Sheet2!$AJ$2:$AJ$69)</f>
        <v>1.3635759547926054E-5</v>
      </c>
      <c r="JD10" s="165">
        <f>_xlfn.FORECAST.LINEAR(Sheet3!CG10,Sheet2!$AK$2:$AK$69,Sheet2!$AJ$2:$AJ$69)</f>
        <v>1.3400437252551012E-5</v>
      </c>
      <c r="JE10" s="188">
        <f>_xlfn.FORECAST.LINEAR(Sheet3!DF10,New!$MC$2:$MC$18,New!$MB$2:$MB$18)</f>
        <v>2.5024296405058497E-5</v>
      </c>
      <c r="JF10" s="165">
        <f>_xlfn.FORECAST.LINEAR(Sheet3!BZ10,New!$MC$2:$MC$18,New!$MB$2:$MB$18)</f>
        <v>2.50752504919741E-5</v>
      </c>
      <c r="JG10" s="165">
        <f>_xlfn.FORECAST.LINEAR(Sheet3!CA10,New!$MC$2:$MC$18,New!$MB$2:$MB$18)</f>
        <v>2.4639558387657353E-5</v>
      </c>
      <c r="JH10" s="165">
        <f>_xlfn.FORECAST.LINEAR(Sheet3!CB10,New!$MC$2:$MC$18,New!$MB$2:$MB$18)</f>
        <v>2.4312902143602748E-5</v>
      </c>
      <c r="JI10" s="165">
        <f>_xlfn.FORECAST.LINEAR(Sheet3!CC10,New!$MC$2:$MC$18,New!$MB$2:$MB$18)</f>
        <v>2.3913775194525188E-5</v>
      </c>
      <c r="JJ10" s="165">
        <f>_xlfn.FORECAST.LINEAR(Sheet3!CD10,New!$MC$2:$MC$18,New!$MB$2:$MB$18)</f>
        <v>2.3704544254206097E-5</v>
      </c>
      <c r="JK10" s="165">
        <f>_xlfn.FORECAST.LINEAR(Sheet3!CE10,New!$MC$2:$MC$18,New!$MB$2:$MB$18)</f>
        <v>2.3400223098146544E-5</v>
      </c>
      <c r="JL10" s="165">
        <f>_xlfn.FORECAST.LINEAR(Sheet3!CF10,New!$MC$2:$MC$18,New!$MB$2:$MB$18)</f>
        <v>2.3111828715581146E-5</v>
      </c>
      <c r="JM10" s="165">
        <f>_xlfn.FORECAST.LINEAR(Sheet3!CG10,New!$MC$2:$MC$18,New!$MB$2:$MB$18)</f>
        <v>2.2835201677458578E-5</v>
      </c>
      <c r="JN10" s="188">
        <f t="shared" si="159"/>
        <v>2.2431804415891275E-5</v>
      </c>
      <c r="JO10" s="165">
        <f t="shared" si="160"/>
        <v>2.2481864825973781E-5</v>
      </c>
      <c r="JP10" s="165">
        <f t="shared" si="161"/>
        <v>2.2060286460557426E-5</v>
      </c>
      <c r="JQ10" s="165">
        <f t="shared" si="162"/>
        <v>2.1739666821214328E-5</v>
      </c>
      <c r="JR10" s="165">
        <f t="shared" si="163"/>
        <v>2.1353628127828078E-5</v>
      </c>
      <c r="JS10" s="165">
        <f t="shared" si="164"/>
        <v>2.1147875433747361E-5</v>
      </c>
      <c r="JT10" s="165">
        <f t="shared" si="165"/>
        <v>2.0856003372072747E-5</v>
      </c>
      <c r="JU10" s="165">
        <f t="shared" si="166"/>
        <v>2.0572080992103746E-5</v>
      </c>
      <c r="JV10" s="165">
        <f t="shared" si="167"/>
        <v>2.0306800572325783E-5</v>
      </c>
      <c r="JW10" s="188">
        <f t="shared" si="66"/>
        <v>1.0000370937975078</v>
      </c>
      <c r="JX10" s="165">
        <f t="shared" si="67"/>
        <v>0.99961055058350212</v>
      </c>
      <c r="JY10" s="165">
        <f t="shared" si="68"/>
        <v>1.003335013307092</v>
      </c>
      <c r="JZ10" s="165">
        <f t="shared" si="69"/>
        <v>1.0062467182551067</v>
      </c>
      <c r="KA10" s="165">
        <f t="shared" si="70"/>
        <v>1.0099524877225246</v>
      </c>
      <c r="KB10" s="165">
        <f t="shared" si="71"/>
        <v>1.0119637483160495</v>
      </c>
      <c r="KC10" s="165">
        <f t="shared" si="72"/>
        <v>1.0149778892839769</v>
      </c>
      <c r="KD10" s="165">
        <f t="shared" si="73"/>
        <v>1.0179361291612299</v>
      </c>
      <c r="KE10" s="165">
        <f t="shared" si="74"/>
        <v>1.020871764884099</v>
      </c>
      <c r="KF10" s="188">
        <f t="shared" si="75"/>
        <v>0.98050299058051471</v>
      </c>
      <c r="KG10" s="165">
        <f t="shared" si="76"/>
        <v>0.98087097748489827</v>
      </c>
      <c r="KH10" s="165">
        <f t="shared" si="77"/>
        <v>0.97767267938849201</v>
      </c>
      <c r="KI10" s="165">
        <f t="shared" si="78"/>
        <v>0.9751955008575417</v>
      </c>
      <c r="KJ10" s="165">
        <f t="shared" si="79"/>
        <v>0.97207175475757079</v>
      </c>
      <c r="KK10" s="165">
        <f t="shared" si="80"/>
        <v>0.97038981185204243</v>
      </c>
      <c r="KL10" s="165">
        <f t="shared" si="81"/>
        <v>0.96788667634888581</v>
      </c>
      <c r="KM10" s="165">
        <f t="shared" si="82"/>
        <v>0.96545012695719623</v>
      </c>
      <c r="KN10" s="165">
        <f t="shared" si="83"/>
        <v>0.9630516980185384</v>
      </c>
      <c r="KO10" s="188">
        <f t="shared" si="84"/>
        <v>0.64670847244806007</v>
      </c>
      <c r="KP10" s="165">
        <f t="shared" si="85"/>
        <v>0.64749786885472349</v>
      </c>
      <c r="KQ10" s="165">
        <f t="shared" si="86"/>
        <v>0.64130880379119437</v>
      </c>
      <c r="KR10" s="165">
        <f t="shared" si="87"/>
        <v>0.6365310804983878</v>
      </c>
      <c r="KS10" s="165">
        <f t="shared" si="88"/>
        <v>0.63053972279731696</v>
      </c>
      <c r="KT10" s="165">
        <f t="shared" si="89"/>
        <v>0.62731986753343383</v>
      </c>
      <c r="KU10" s="165">
        <f t="shared" si="90"/>
        <v>0.62255896793501853</v>
      </c>
      <c r="KV10" s="165">
        <f t="shared" si="91"/>
        <v>0.6179268514104852</v>
      </c>
      <c r="KW10" s="165">
        <f t="shared" si="92"/>
        <v>0.6134869360157742</v>
      </c>
      <c r="KX10" s="188">
        <f>AVERAGE(Sheet3!J10:P10)*KO10^(1/3)/ID10^(1/3)</f>
        <v>94.336155593551069</v>
      </c>
      <c r="KY10" s="165">
        <f>Sheet3!J10*KP10^(1/3)/IE10^(1/3)</f>
        <v>56.970985981900299</v>
      </c>
      <c r="KZ10" s="165">
        <f>Sheet3!K10*KQ10^(1/3)/IF10^(1/3)</f>
        <v>71.039805390482329</v>
      </c>
      <c r="LA10" s="165">
        <f>Sheet3!L10*KR10^(1/3)/IG10^(1/3)</f>
        <v>85.156425080679924</v>
      </c>
      <c r="LB10" s="165">
        <f>Sheet3!M10*KS10^(1/3)/IH10^(1/3)</f>
        <v>96.70135388658241</v>
      </c>
      <c r="LC10" s="165">
        <f>Sheet3!N10*KT10^(1/3)/II10^(1/3)</f>
        <v>106.63160066415321</v>
      </c>
      <c r="LD10" s="165">
        <f>Sheet3!O10*KU10^(1/3)/IJ10^(1/3)</f>
        <v>114.82766812270013</v>
      </c>
      <c r="LE10" s="165">
        <f>Sheet3!P10*KV10^(1/3)/IK10^(1/3)</f>
        <v>118.83631630475948</v>
      </c>
      <c r="LF10" s="165">
        <f>Sheet3!Q10*KW10^(1/3)/IL10^(1/3)</f>
        <v>117.18609421287366</v>
      </c>
      <c r="LG10" s="186">
        <f t="shared" si="93"/>
        <v>25.986464523953909</v>
      </c>
      <c r="LH10" s="183">
        <f t="shared" si="94"/>
        <v>25.988038228700614</v>
      </c>
      <c r="LI10" s="183">
        <f t="shared" si="95"/>
        <v>26.284681672890635</v>
      </c>
      <c r="LJ10" s="183">
        <f t="shared" si="96"/>
        <v>26.302539271184571</v>
      </c>
      <c r="LK10" s="183">
        <f t="shared" si="97"/>
        <v>26.615015958189538</v>
      </c>
      <c r="LL10" s="183">
        <f t="shared" si="98"/>
        <v>26.618928128223278</v>
      </c>
      <c r="LM10" s="183">
        <f t="shared" si="99"/>
        <v>27.006897006909107</v>
      </c>
      <c r="LN10" s="183">
        <f t="shared" si="100"/>
        <v>27.010962136315388</v>
      </c>
      <c r="LO10" s="183">
        <f t="shared" si="101"/>
        <v>27.396140319920885</v>
      </c>
      <c r="LP10" s="219"/>
      <c r="LQ10" s="219"/>
      <c r="LR10" s="219"/>
      <c r="LS10" s="219"/>
      <c r="LT10" s="219">
        <v>227</v>
      </c>
      <c r="LU10" s="219">
        <v>1.03</v>
      </c>
      <c r="LV10" s="220"/>
      <c r="LW10" s="220"/>
      <c r="LX10" s="220"/>
      <c r="LY10" s="220"/>
      <c r="LZ10" s="222">
        <v>60.09</v>
      </c>
      <c r="MA10" s="220">
        <v>1.1E-5</v>
      </c>
      <c r="MB10" s="220">
        <v>60</v>
      </c>
      <c r="MC10" s="220">
        <v>1.999E-5</v>
      </c>
      <c r="MD10" s="188">
        <f>Sheet3!DP10</f>
        <v>178.42343364266253</v>
      </c>
      <c r="ME10" s="264">
        <v>90</v>
      </c>
      <c r="MF10" s="264">
        <v>0.70109999999999995</v>
      </c>
      <c r="MG10" s="264">
        <v>1.9990000000000001</v>
      </c>
      <c r="MH10" s="264">
        <v>0.42349999999999999</v>
      </c>
      <c r="MI10" s="264">
        <v>11.7</v>
      </c>
      <c r="MJ10" s="264">
        <v>27.63</v>
      </c>
      <c r="MK10" s="273">
        <v>80</v>
      </c>
      <c r="ML10" s="267">
        <v>0.47360000000000002</v>
      </c>
      <c r="MM10" s="267">
        <v>0.29339999999999999</v>
      </c>
      <c r="MN10" s="267">
        <v>1.9690000000000001</v>
      </c>
      <c r="MO10" s="267">
        <v>11.3</v>
      </c>
      <c r="MP10" s="274">
        <v>38.51</v>
      </c>
      <c r="MQ10"/>
      <c r="MR10"/>
      <c r="MS10"/>
    </row>
    <row r="11" spans="1:357" ht="15" thickBot="1" x14ac:dyDescent="0.35">
      <c r="A11" s="184" t="str">
        <f>Sheet3!A11</f>
        <v>02.12.2022</v>
      </c>
      <c r="B11" s="186">
        <f t="shared" si="102"/>
        <v>0.97256084254962782</v>
      </c>
      <c r="C11" s="183">
        <f t="shared" si="103"/>
        <v>0.97466651825720585</v>
      </c>
      <c r="D11" s="183">
        <f t="shared" si="0"/>
        <v>0.95877295741588076</v>
      </c>
      <c r="E11" s="183">
        <f t="shared" si="1"/>
        <v>0.94541513016320466</v>
      </c>
      <c r="F11" s="183">
        <f t="shared" si="2"/>
        <v>0.93015752023488718</v>
      </c>
      <c r="G11" s="183">
        <f t="shared" si="3"/>
        <v>0.92110348778760598</v>
      </c>
      <c r="H11" s="183">
        <f t="shared" si="4"/>
        <v>0.9092730963483201</v>
      </c>
      <c r="I11" s="183">
        <f t="shared" si="5"/>
        <v>0.89618743040721649</v>
      </c>
      <c r="J11" s="183">
        <f t="shared" si="6"/>
        <v>0.88501373905664349</v>
      </c>
      <c r="K11" s="186">
        <f xml:space="preserve"> (6.057 * (10^(-6)))
+ (4.055 * (10^(-8)) * (Sheet3!DF11 + 273))
+ (1.25 * (10^(-10)) * (Sheet3!DF11 + 273)^2)
- (3.367 * (10^(-14)) * (DD11 + 273)^3)</f>
        <v>5.0161109679631211E-5</v>
      </c>
      <c r="L11" s="183">
        <f xml:space="preserve"> (6.057 * (10^(-6)))
+ (4.055 * (10^(-8)) * (Sheet3!BZ11 + 273))
+ (1.25 * (10^(-10)) * (Sheet3!BZ11 + 273)^2)
- (3.367 * (10^(-14)) * (BX11 + 273)^3)</f>
        <v>5.034739582578532E-5</v>
      </c>
      <c r="M11" s="183">
        <f xml:space="preserve"> (6.057 * (10^(-6)))
+ (4.055 * (10^(-8)) * (Sheet3!CA11 + 273))
+ (1.25 * (10^(-10)) * (Sheet3!CA11 + 273)^2)
- (3.367 * (10^(-14)) * (BY11 + 273)^3)</f>
        <v>4.8716800250863499E-5</v>
      </c>
      <c r="N11" s="183">
        <f xml:space="preserve"> (6.057 * (10^(-6)))
+ (4.055 * (10^(-8)) * (Sheet3!CB11 + 273))
+ (1.25 * (10^(-10)) * (Sheet3!CB11 + 273)^2)
- (3.367 * (10^(-14)) * (BZ11 + 273)^3)</f>
        <v>4.7512678896193787E-5</v>
      </c>
      <c r="O11" s="183">
        <f xml:space="preserve"> (6.057 * (10^(-6)))
+ (4.055 * (10^(-8)) * (Sheet3!CC11 + 273))
+ (1.25 * (10^(-10)) * (Sheet3!CC11 + 273)^2)
- (3.367 * (10^(-14)) * (CA11 + 273)^3)</f>
        <v>4.6062754219972596E-5</v>
      </c>
      <c r="P11" s="183">
        <f xml:space="preserve"> (6.057 * (10^(-6)))
+ (4.055 * (10^(-8)) * (Sheet3!CD11 + 273))
+ (1.25 * (10^(-10)) * (Sheet3!CD11 + 273)^2)
- (3.367 * (10^(-14)) * (CB11 + 273)^3)</f>
        <v>4.5312094669021628E-5</v>
      </c>
      <c r="Q11" s="183">
        <f xml:space="preserve"> (6.057 * (10^(-6)))
+ (4.055 * (10^(-8)) * (Sheet3!CE11 + 273))
+ (1.25 * (10^(-10)) * (Sheet3!CE11 + 273)^2)
- (3.367 * (10^(-14)) * (CC11 + 273)^3)</f>
        <v>4.4231774578232301E-5</v>
      </c>
      <c r="R11" s="183">
        <f xml:space="preserve"> (6.057 * (10^(-6)))
+ (4.055 * (10^(-8)) * (Sheet3!CF11 + 273))
+ (1.25 * (10^(-10)) * (Sheet3!CF11 + 273)^2)
- (3.367 * (10^(-14)) * (CD11 + 273)^3)</f>
        <v>4.3220626689132896E-5</v>
      </c>
      <c r="S11" s="183">
        <f xml:space="preserve"> (6.057 * (10^(-6)))
+ (4.055 * (10^(-8)) * (Sheet3!CG11 + 273))
+ (1.25 * (10^(-10)) * (Sheet3!CG11 + 273)^2)
- (3.367 * (10^(-14)) * (CE11 + 273)^3)</f>
        <v>4.2256546233186819E-5</v>
      </c>
      <c r="T11" s="188">
        <f t="shared" si="104"/>
        <v>5.0161109679631211E-5</v>
      </c>
      <c r="U11" s="165">
        <f t="shared" si="105"/>
        <v>5.034739582578532E-5</v>
      </c>
      <c r="V11" s="165">
        <f t="shared" si="106"/>
        <v>4.8716800250863499E-5</v>
      </c>
      <c r="W11" s="165">
        <f t="shared" si="107"/>
        <v>4.7512678896193787E-5</v>
      </c>
      <c r="X11" s="165">
        <f t="shared" si="108"/>
        <v>4.6062754219972596E-5</v>
      </c>
      <c r="Y11" s="165">
        <f t="shared" si="109"/>
        <v>4.5312094669021628E-5</v>
      </c>
      <c r="Z11" s="165">
        <f t="shared" si="110"/>
        <v>4.4231774578232301E-5</v>
      </c>
      <c r="AA11" s="165">
        <f t="shared" si="111"/>
        <v>4.3220626689132896E-5</v>
      </c>
      <c r="AB11" s="165">
        <f t="shared" si="112"/>
        <v>4.2256546233186819E-5</v>
      </c>
      <c r="AC11" s="186">
        <f t="shared" si="8"/>
        <v>4.878473109324642E-5</v>
      </c>
      <c r="AD11" s="183">
        <f t="shared" si="9"/>
        <v>4.9071920992835556E-5</v>
      </c>
      <c r="AE11" s="183">
        <f t="shared" si="10"/>
        <v>4.6708350652359119E-5</v>
      </c>
      <c r="AF11" s="183">
        <f t="shared" si="11"/>
        <v>4.4919205503047598E-5</v>
      </c>
      <c r="AG11" s="183">
        <f t="shared" si="12"/>
        <v>4.2845617240438794E-5</v>
      </c>
      <c r="AH11" s="183">
        <f t="shared" si="13"/>
        <v>4.1737128438598011E-5</v>
      </c>
      <c r="AI11" s="183">
        <f t="shared" si="14"/>
        <v>4.0218762627730193E-5</v>
      </c>
      <c r="AJ11" s="183">
        <f t="shared" si="15"/>
        <v>3.8733782373123572E-5</v>
      </c>
      <c r="AK11" s="183">
        <f t="shared" si="16"/>
        <v>3.7397623981452589E-5</v>
      </c>
      <c r="AL11" s="186">
        <f t="shared" si="113"/>
        <v>4.0556103385901585E-2</v>
      </c>
      <c r="AM11" s="183">
        <f t="shared" si="114"/>
        <v>4.0695216536197683E-2</v>
      </c>
      <c r="AN11" s="183">
        <f t="shared" si="115"/>
        <v>3.9495666365909315E-2</v>
      </c>
      <c r="AO11" s="183">
        <f t="shared" si="116"/>
        <v>3.8601940720058681E-2</v>
      </c>
      <c r="AP11" s="183">
        <f t="shared" si="117"/>
        <v>3.7500596793149321E-2</v>
      </c>
      <c r="AQ11" s="183">
        <f t="shared" si="118"/>
        <v>3.6926820649638675E-2</v>
      </c>
      <c r="AR11" s="183">
        <f t="shared" si="119"/>
        <v>3.6085456428692278E-2</v>
      </c>
      <c r="AS11" s="183">
        <f t="shared" si="120"/>
        <v>3.5293106673087889E-2</v>
      </c>
      <c r="AT11" s="183">
        <f t="shared" si="121"/>
        <v>3.4528387318834577E-2</v>
      </c>
      <c r="AU11" s="186">
        <f>_xlfn.FORECAST.LINEAR(Sheet3!DF11,Sheet2!$AH$2:$AH$40,Sheet2!$AG$2:$AG$40)</f>
        <v>5.1068208473046689E-2</v>
      </c>
      <c r="AV11" s="183">
        <f>_xlfn.FORECAST.LINEAR(Sheet3!BZ11,Sheet2!$AH$2:$AH$40,Sheet2!$AG$2:$AG$40)</f>
        <v>5.1382844304821748E-2</v>
      </c>
      <c r="AW11" s="183">
        <f>_xlfn.FORECAST.LINEAR(Sheet3!CA11,Sheet2!$AH$2:$AH$40,Sheet2!$AG$2:$AG$40)</f>
        <v>4.8692493914153805E-2</v>
      </c>
      <c r="AX11" s="183">
        <f>_xlfn.FORECAST.LINEAR(Sheet3!CB11,Sheet2!$AH$2:$AH$40,Sheet2!$AG$2:$AG$40)</f>
        <v>4.6675427859710149E-2</v>
      </c>
      <c r="AY11" s="183">
        <f>_xlfn.FORECAST.LINEAR(Sheet3!CC11,Sheet2!$AH$2:$AH$40,Sheet2!$AG$2:$AG$40)</f>
        <v>4.4210863244611508E-2</v>
      </c>
      <c r="AZ11" s="183">
        <f>_xlfn.FORECAST.LINEAR(Sheet3!CD11,Sheet2!$AH$2:$AH$40,Sheet2!$AG$2:$AG$40)</f>
        <v>4.291888540877252E-2</v>
      </c>
      <c r="BA11" s="183">
        <f>_xlfn.FORECAST.LINEAR(Sheet3!CE11,Sheet2!$AH$2:$AH$40,Sheet2!$AG$2:$AG$40)</f>
        <v>4.1039736043930859E-2</v>
      </c>
      <c r="BB11" s="183">
        <f>_xlfn.FORECAST.LINEAR(Sheet3!CF11,Sheet2!$AH$2:$AH$40,Sheet2!$AG$2:$AG$40)</f>
        <v>3.9258932737848445E-2</v>
      </c>
      <c r="BC11" s="183">
        <f>_xlfn.FORECAST.LINEAR(Sheet3!CG11,Sheet2!$AH$2:$AH$40,Sheet2!$AG$2:$AG$40)</f>
        <v>3.7550791477750423E-2</v>
      </c>
      <c r="BD11" s="186">
        <f>_xlfn.FORECAST.LINEAR(Sheet3!DF11,Sheet2!$AB$12:$AB$37,Sheet2!$AA$12:$AA$37)/1000</f>
        <v>3.6188444099235752E-2</v>
      </c>
      <c r="BE11" s="183">
        <f>_xlfn.FORECAST.LINEAR(Sheet3!BZ11,Sheet2!$AB$12:$AB$37,Sheet2!$AA$12:$AA$37)/1000</f>
        <v>3.6258789388493078E-2</v>
      </c>
      <c r="BF11" s="183">
        <f>_xlfn.FORECAST.LINEAR(Sheet3!CA11,Sheet2!$AB$12:$AB$37,Sheet2!$AA$12:$AA$37)/1000</f>
        <v>3.565728931341456E-2</v>
      </c>
      <c r="BG11" s="183">
        <f>_xlfn.FORECAST.LINEAR(Sheet3!CB11,Sheet2!$AB$12:$AB$37,Sheet2!$AA$12:$AA$37)/1000</f>
        <v>3.5206320031720001E-2</v>
      </c>
      <c r="BH11" s="183">
        <f>_xlfn.FORECAST.LINEAR(Sheet3!CC11,Sheet2!$AB$12:$AB$37,Sheet2!$AA$12:$AA$37)/1000</f>
        <v>3.4655300429901656E-2</v>
      </c>
      <c r="BI11" s="183">
        <f>_xlfn.FORECAST.LINEAR(Sheet3!CD11,Sheet2!$AB$12:$AB$37,Sheet2!$AA$12:$AA$37)/1000</f>
        <v>3.4366444090611216E-2</v>
      </c>
      <c r="BJ11" s="183">
        <f>_xlfn.FORECAST.LINEAR(Sheet3!CE11,Sheet2!$AB$12:$AB$37,Sheet2!$AA$12:$AA$37)/1000</f>
        <v>3.3946309788418935E-2</v>
      </c>
      <c r="BK11" s="183">
        <f>_xlfn.FORECAST.LINEAR(Sheet3!CF11,Sheet2!$AB$12:$AB$37,Sheet2!$AA$12:$AA$37)/1000</f>
        <v>3.3548163388595273E-2</v>
      </c>
      <c r="BL11" s="183">
        <f>_xlfn.FORECAST.LINEAR(Sheet3!CG11,Sheet2!$AB$12:$AB$37,Sheet2!$AA$12:$AA$37)/1000</f>
        <v>3.3166262540379514E-2</v>
      </c>
      <c r="BM11" s="186">
        <f t="shared" si="122"/>
        <v>0.68910847110851581</v>
      </c>
      <c r="BN11" s="183">
        <f t="shared" si="123"/>
        <v>0.68725176526815046</v>
      </c>
      <c r="BO11" s="183">
        <f t="shared" si="124"/>
        <v>0.70365480174295814</v>
      </c>
      <c r="BP11" s="183">
        <f t="shared" si="125"/>
        <v>0.71632769282539532</v>
      </c>
      <c r="BQ11" s="183">
        <f t="shared" si="126"/>
        <v>0.73267179686566131</v>
      </c>
      <c r="BR11" s="183">
        <f t="shared" si="127"/>
        <v>0.74141820547331028</v>
      </c>
      <c r="BS11" s="183">
        <f t="shared" si="128"/>
        <v>0.75475864263091941</v>
      </c>
      <c r="BT11" s="183">
        <f t="shared" si="129"/>
        <v>0.76761302206193416</v>
      </c>
      <c r="BU11" s="183">
        <f t="shared" si="130"/>
        <v>0.78059828580171964</v>
      </c>
      <c r="BV11" s="186">
        <f t="shared" si="131"/>
        <v>1.2063816354192214</v>
      </c>
      <c r="BW11" s="183">
        <f t="shared" si="19"/>
        <v>1.206686461648711</v>
      </c>
      <c r="BX11" s="183">
        <f t="shared" si="20"/>
        <v>1.2016977776924769</v>
      </c>
      <c r="BY11" s="183">
        <f t="shared" si="21"/>
        <v>1.1996797609733549</v>
      </c>
      <c r="BZ11" s="183">
        <f t="shared" si="22"/>
        <v>1.1945994245151845</v>
      </c>
      <c r="CA11" s="183">
        <f t="shared" si="23"/>
        <v>1.1933177631704694</v>
      </c>
      <c r="CB11" s="183">
        <f t="shared" si="24"/>
        <v>1.1887633390145405</v>
      </c>
      <c r="CC11" s="183">
        <f t="shared" si="25"/>
        <v>1.1870189356666392</v>
      </c>
      <c r="CD11" s="183">
        <f t="shared" si="26"/>
        <v>1.1827819568662101</v>
      </c>
      <c r="CE11" s="187">
        <f xml:space="preserve"> -0.0000000019505*Sheet3!DF11^3 + 0.0000015497*Sheet3!DF11^2  + 0.00016911*Sheet3!DF11 + 1.8585</f>
        <v>1.9304739979375001</v>
      </c>
      <c r="CF11" s="185">
        <f xml:space="preserve"> -0.0000000019505*Sheet3!BZ11^3 + 0.0000015497*Sheet3!BZ11^2  + 0.00016911*Sheet3!BZ11 + 1.8585</f>
        <v>1.9311460020935598</v>
      </c>
      <c r="CG11" s="185">
        <f xml:space="preserve"> -0.0000000019505*Sheet3!CA11^3 + 0.0000015497*Sheet3!CA11^2  + 0.00016911*Sheet3!CA11 + 1.8585</f>
        <v>1.9254477040460847</v>
      </c>
      <c r="CH11" s="185">
        <f xml:space="preserve"> -0.0000000019505*Sheet3!CB11^3 + 0.0000015497*Sheet3!CB11^2  + 0.00016911*Sheet3!CB11 + 1.8585</f>
        <v>1.9212514156886673</v>
      </c>
      <c r="CI11" s="185">
        <f xml:space="preserve"> -0.0000000019505*Sheet3!CC11^3 + 0.0000015497*Sheet3!CC11^2  + 0.00016911*Sheet3!CC11 + 1.8585</f>
        <v>1.9162219275292975</v>
      </c>
      <c r="CJ11" s="185">
        <f xml:space="preserve"> -0.0000000019505*Sheet3!CD11^3 + 0.0000015497*Sheet3!CD11^2  + 0.00016911*Sheet3!CD11 + 1.8585</f>
        <v>1.9136316531608686</v>
      </c>
      <c r="CK11" s="185">
        <f xml:space="preserve"> -0.0000000019505*Sheet3!CE11^3 + 0.0000015497*Sheet3!CE11^2  + 0.00016911*Sheet3!CE11 + 1.8585</f>
        <v>1.9099249918760606</v>
      </c>
      <c r="CL11" s="185">
        <f xml:space="preserve"> -0.0000000019505*Sheet3!CF11^3 + 0.0000015497*Sheet3!CF11^2  + 0.00016911*Sheet3!CF11 + 1.8585</f>
        <v>1.9064826854537238</v>
      </c>
      <c r="CM11" s="185">
        <f xml:space="preserve"> -0.0000000019505*Sheet3!CG11^3 + 0.0000015497*Sheet3!CG11^2  + 0.00016911*Sheet3!CG11 + 1.8585</f>
        <v>1.9032489771860808</v>
      </c>
      <c r="CN11" s="186">
        <f>_xlfn.FORECAST.LINEAR(Sheet3!DF11,New!$LU$2:$LU$14,New!$LT$2:$LT$14)</f>
        <v>1.0313263389862313</v>
      </c>
      <c r="CO11" s="183">
        <f>_xlfn.FORECAST.LINEAR(Sheet3!BZ11,New!$LU$2:$LU$14,New!$LT$2:$LT$14)</f>
        <v>1.0315579150862129</v>
      </c>
      <c r="CP11" s="183">
        <f>_xlfn.FORECAST.LINEAR(Sheet3!CA11,New!$LU$2:$LU$14,New!$LT$2:$LT$14)</f>
        <v>1.0295777819032244</v>
      </c>
      <c r="CQ11" s="183">
        <f>_xlfn.FORECAST.LINEAR(Sheet3!CB11,New!$LU$2:$LU$14,New!$LT$2:$LT$14)</f>
        <v>1.0280931948247019</v>
      </c>
      <c r="CR11" s="183">
        <f>_xlfn.FORECAST.LINEAR(Sheet3!CC11,New!$LU$2:$LU$14,New!$LT$2:$LT$14)</f>
        <v>1.0262792429346788</v>
      </c>
      <c r="CS11" s="183">
        <f>_xlfn.FORECAST.LINEAR(Sheet3!CD11,New!$LU$2:$LU$14,New!$LT$2:$LT$14)</f>
        <v>1.0253283302976837</v>
      </c>
      <c r="CT11" s="183">
        <f>_xlfn.FORECAST.LINEAR(Sheet3!CE11,New!$LU$2:$LU$14,New!$LT$2:$LT$14)</f>
        <v>1.0239452517120757</v>
      </c>
      <c r="CU11" s="183">
        <f>_xlfn.FORECAST.LINEAR(Sheet3!CF11,New!$LU$2:$LU$14,New!$LT$2:$LT$14)</f>
        <v>1.0226345571159441</v>
      </c>
      <c r="CV11" s="183">
        <f>_xlfn.FORECAST.LINEAR(Sheet3!CG11,New!$LU$2:$LU$14,New!$LT$2:$LT$14)</f>
        <v>1.0213773427389303</v>
      </c>
      <c r="CW11" s="186">
        <f>EXP((17.625*Sheet3!BA11)/(243.04+Sheet3!BA11)) / EXP((17.625*Sheet3!DF11)/(243.04+Sheet3!DF11))</f>
        <v>1.9475376137748874E-2</v>
      </c>
      <c r="CX11" s="183">
        <f>EXP((17.625*(Sheet3!BC11+273))/(243.04+(Sheet3!BC11+273)))/EXP((17.625*(Sheet3!BZ11+273))/(243.04+(Sheet3!BZ11+273)))</f>
        <v>0.27693508921625931</v>
      </c>
      <c r="CY11" s="183">
        <f>EXP((17.625*(Sheet3!BE11+273))/(243.04+(Sheet3!BE11+273))) / EXP((17.625*(Sheet3!CA11+273))/(243.04+(Sheet3!CA11+273)))</f>
        <v>0.30382690001139379</v>
      </c>
      <c r="CZ11" s="183">
        <f>EXP((17.625*(Sheet3!BG11+273))/(243.04+(Sheet3!BG11+273))) / EXP((17.625*(Sheet3!CB11+273))/(243.04+(Sheet3!CB11+273)))</f>
        <v>0.32579859121160804</v>
      </c>
      <c r="DA11" s="183">
        <f>EXP((17.625*(Sheet3!BI11+273))/(243.04+(Sheet3!BI11+273))) / EXP((17.625*(Sheet3!CC11+273))/(243.04+(Sheet3!CC11+273)))</f>
        <v>0.35538370237009143</v>
      </c>
      <c r="DB11" s="183">
        <f>EXP((17.625*(Sheet3!BK11+273))/(243.04+(Sheet3!BK11+273)))/EXP((17.625*(Sheet3!CD11+273))/(243.04+(Sheet3!CD11+273)))</f>
        <v>0.37295747331794449</v>
      </c>
      <c r="DC11" s="183">
        <f>EXP((17.625*(Sheet3!BM11+273))/(243.04+(Sheet3!BM11+273))) / EXP((17.625*(Sheet3!CE11+273))/(243.04+(Sheet3!CE11+273)))</f>
        <v>0.39927435597634714</v>
      </c>
      <c r="DD11" s="183">
        <f>EXP((17.625*(Sheet3!BO11+273))/(243.04+(Sheet3!BO11+273))) / EXP((17.625*(Sheet3!CF11+273))/(243.04+(Sheet3!CF11+273)))</f>
        <v>0.42791357158689308</v>
      </c>
      <c r="DE11" s="183">
        <f>EXP((17.625*(Sheet3!BQ11+273))/(243.04+(Sheet3!BQ11+273))) / EXP((17.625*(Sheet3!CG11+273))/(243.04+(Sheet3!CG11+273)))</f>
        <v>0.45646833034367146</v>
      </c>
      <c r="DF11" s="186">
        <f>((Sheet3!DA11-Sheet3!DB11)/New!$LQ$3)/(((Sheet3!DA11-Sheet3!DB11)/New!$LQ$3)+(Sheet3!DB11/New!$LP$3))</f>
        <v>0.72012993716189644</v>
      </c>
      <c r="DG11" s="183">
        <f>((Sheet3!DA11-Sheet3!DB11)/New!$LQ$3)/(((Sheet3!DA11-Sheet3!DB11)/New!$LQ$3)+((Sheet3!DB11-(Sheet3!B11*0.004))/New!$LP$3))</f>
        <v>0.72018490757880727</v>
      </c>
      <c r="DH11" s="183" cm="1">
        <f t="array" ref="DH11">((Sheet3!DA11-Sheet3!DB11)/New!$LQ$3)/(((Sheet3!DA11-Sheet3!DB11)/New!$LQ$3)+((Sheet3!DB11-(SUM(Sheet3!B11:C11*0.004)))/New!$LP$3))</f>
        <v>0.73040663533125316</v>
      </c>
      <c r="DI11" s="183" cm="1">
        <f t="array" ref="DI11">((Sheet3!DA11-Sheet3!DB11)/New!$LQ$3)/(((Sheet3!DA11-Sheet3!DB11)/New!$LQ$3)+((Sheet3!DB11-(SUM(Sheet3!B11:D11*0.004)))/New!$LP$3))</f>
        <v>0.73046318592799686</v>
      </c>
      <c r="DJ11" s="183" cm="1">
        <f t="array" ref="DJ11">((Sheet3!DA11-Sheet3!DB11)/New!$LQ$3)/(((Sheet3!DA11-Sheet3!DB11)/New!$LQ$3)+((Sheet3!DB11-(SUM(Sheet3!B11:E11*0.004)))/New!$LP$3))</f>
        <v>0.74273087267693672</v>
      </c>
      <c r="DK11" s="183" cm="1">
        <f t="array" ref="DK11">((Sheet3!DA11-Sheet3!DB11)/New!$LQ$3)/(((Sheet3!DA11-Sheet3!DB11)/New!$LQ$3)+((Sheet3!DB11-(SUM(Sheet3!B11:F11*0.004)))/New!$LP$3))</f>
        <v>0.74282833636412926</v>
      </c>
      <c r="DL11" s="183" cm="1">
        <f t="array" ref="DL11">((Sheet3!DA11-Sheet3!DB11)/New!$LQ$3)/(((Sheet3!DA11-Sheet3!DB11)/New!$LQ$3)+((Sheet3!DB11-(SUM(Sheet3!B11:G11*0.004)))/New!$LP$3))</f>
        <v>0.75594222283188295</v>
      </c>
      <c r="DM11" s="183" cm="1">
        <f t="array" ref="DM11">((Sheet3!DA11-Sheet3!DB11)/New!$LQ$3)/(((Sheet3!DA11-Sheet3!DB11)/New!$LQ$3)+((Sheet3!DB11-(SUM(Sheet3!B11:H11*0.004)))/New!$LP$3))</f>
        <v>0.75612397391823027</v>
      </c>
      <c r="DN11" s="183" cm="1">
        <f t="array" ref="DN11">((Sheet3!DA11-Sheet3!DB11)/New!$LQ$3)/(((Sheet3!DA11-Sheet3!DB11)/New!$LQ$3)+((Sheet3!DB11-(SUM(Sheet3!B11:I11*0.004)))/New!$LP$3))</f>
        <v>0.76913014449690142</v>
      </c>
      <c r="DO11" s="186">
        <f>(Sheet3!DB11/$LP$3) / ((Sheet3!DB11/$LP$3) + ((Sheet3!DA11-Sheet3!DB11)/$LQ$3))</f>
        <v>0.27987006283810345</v>
      </c>
      <c r="DP11" s="183">
        <f>((Sheet3!$DB11-(Sheet3!B11/4000)) / $LP$3) / (((Sheet3!$DA11-Sheet3!DB11) / $LQ$3) + (Sheet3!$DB11-((Sheet3!B11/4000)))/$LP$3)</f>
        <v>0.27986662743289498</v>
      </c>
      <c r="DQ11" s="183">
        <f>((Sheet3!$DB11-(SUM(Sheet3!B11:C11)/4000))/$LP$3)/(((Sheet3!$DA11-Sheet3!$DB11)/$LQ$3)+(Sheet3!$DB11-(SUM(Sheet3!B11:C11)/4000))/$LP$3)</f>
        <v>0.27923624881211473</v>
      </c>
      <c r="DR11" s="183">
        <f>((Sheet3!$DB11-(SUM(Sheet3!B11:D11)/4000))/$LP$3)/(((Sheet3!$DA11-Sheet3!$DB11)/$LQ$3)+(Sheet3!$DB11-(SUM(Sheet3!B11:D11)/4000))/$LP$3)</f>
        <v>0.27923280735696626</v>
      </c>
      <c r="DS11" s="183">
        <f>((Sheet3!$DB11-(SUM(Sheet3!B11:E11)/4000))/$LP$3)/(((Sheet3!$DA11-Sheet3!$DB11)/$LQ$3)+(Sheet3!$DB11-(SUM(Sheet3!B11:E11)/4000))/$LP$3)</f>
        <v>0.27849787814696558</v>
      </c>
      <c r="DT11" s="183">
        <f>((Sheet3!$DB11-(SUM(Sheet3!B11:F11)/4000))/$LP$3)/(((Sheet3!$DA11-Sheet3!$DB11)/$LQ$3)+(Sheet3!$DB11-(SUM(Sheet3!B11:F11)/4000))/$LP$3)</f>
        <v>0.2784921306122784</v>
      </c>
      <c r="DU11" s="183">
        <f>((Sheet3!$DB11-(SUM(Sheet3!B11:G11)/4000))/$LP$3)/(((Sheet3!$DA11-Sheet3!$DB11)/$LQ$3)+(Sheet3!$DB11-(SUM(Sheet3!B11:G11)/4000))/$LP$3)</f>
        <v>0.27773149944238662</v>
      </c>
      <c r="DV11" s="183">
        <f>((Sheet3!$DB11-(SUM(Sheet3!B11:H11)/4000))/$LP$3)/(((Sheet3!$DA11-Sheet3!$DB11)/$LQ$3)+(Sheet3!$DB11-(SUM(Sheet3!B11:H11)/4000))/$LP$3)</f>
        <v>0.27772113182395947</v>
      </c>
      <c r="DW11" s="183">
        <f>((Sheet3!$DB11-(SUM(Sheet3!B11:I11)/4000))/$LP$3)/(((Sheet3!$DA11-Sheet3!$DB11)/$LQ$3)+(Sheet3!$DB11-(SUM(Sheet3!B11:I11)/4000))/$LP$3)</f>
        <v>0.27699119526359406</v>
      </c>
      <c r="DX11" s="186">
        <f>($LR$2*($LP$3/1000))/($LP$2*(Sheet3!DF11+273))*DO11</f>
        <v>0.13416271118926854</v>
      </c>
      <c r="DY11" s="183">
        <f>(($LR$2*($LP$3/1000))/($LP$2*(Sheet3!BZ11+273)))*(DP11)</f>
        <v>0.13379939195804708</v>
      </c>
      <c r="DZ11" s="183">
        <f>(($LR$2*($LP$3/1000))/($LP$2*(Sheet3!CA11+273)))*(DQ11)</f>
        <v>0.13664788748138715</v>
      </c>
      <c r="EA11" s="183">
        <f>(($LR$2*($LP$3/1000))/($LP$2*(Sheet3!CB11+273)))*(DR11)</f>
        <v>0.13910701243249016</v>
      </c>
      <c r="EB11" s="183">
        <f>(($LR$2*($LP$3/1000))/($LP$2*(Sheet3!CC11+273)))*(DS11)</f>
        <v>0.14186242061322846</v>
      </c>
      <c r="EC11" s="183">
        <f>(($LR$2*($LP$3/1000))/($LP$2*(Sheet3!CD11+273)))*(DT11)</f>
        <v>0.14355261901988056</v>
      </c>
      <c r="ED11" s="183">
        <f>(($LR$2*($LP$3/1000))/($LP$2*(Sheet3!CE11+273)))*(DU11)</f>
        <v>0.14568964006666726</v>
      </c>
      <c r="EE11" s="183">
        <f>(($LR$2*($LP$3/1000))/($LP$2*(Sheet3!CF11+273)))*(DV11)</f>
        <v>0.14816471692920027</v>
      </c>
      <c r="EF11" s="183">
        <f>(($LR$2*($LP$3/1000))/($LP$2*(Sheet3!CG11+273)))*(DW11)</f>
        <v>0.15022881986548489</v>
      </c>
      <c r="EG11" s="186">
        <f>(($LR$2*($LQ$3/1000))/($LQ$2*(Sheet3!DF11+273)))*(1-DO11)</f>
        <v>0.55494575991924722</v>
      </c>
      <c r="EH11" s="183">
        <f>(($LR$2*($LQ$3/1000))/($LQ$2*(Sheet3!BZ11+273)))*(1-DP11)</f>
        <v>0.55345237331010344</v>
      </c>
      <c r="EI11" s="183">
        <f>(($LR$2*($LQ$3/1000))/($LQ$2*(Sheet3!CA11+273)))*(1-DQ11)</f>
        <v>0.56700691426157102</v>
      </c>
      <c r="EJ11" s="183">
        <f>(($LR$2*($LQ$3/1000))/($LQ$2*(Sheet3!CB11+273)))*(1-DR11)</f>
        <v>0.57722068039290519</v>
      </c>
      <c r="EK11" s="183">
        <f>(($LR$2*($LQ$3/1000))/($LQ$2*(Sheet3!CC11+273)))*(1-DS11)</f>
        <v>0.59080937625243291</v>
      </c>
      <c r="EL11" s="183">
        <f>(($LR$2*($LQ$3/1000))/($LQ$2*(Sheet3!CD11+273)))*(1-DT11)</f>
        <v>0.59786558645342969</v>
      </c>
      <c r="EM11" s="183">
        <f>(($LR$2*($LQ$3/1000))/($LQ$2*(Sheet3!CE11+273)))*(1-DU11)</f>
        <v>0.60906900256425212</v>
      </c>
      <c r="EN11" s="183">
        <f>(($LR$2*($LQ$3/1000))/($LQ$2*(Sheet3!CF11+273)))*(1-DV11)</f>
        <v>0.61944830513273386</v>
      </c>
      <c r="EO11" s="183">
        <f>(($LR$2*($LQ$3/1000))/($LQ$2*(Sheet3!CG11+273)))*(1-DW11)</f>
        <v>0.63036946593623477</v>
      </c>
      <c r="EP11" s="186">
        <f t="shared" si="132"/>
        <v>4595.6920459469948</v>
      </c>
      <c r="EQ11" s="183">
        <f xml:space="preserve"> (($FV11-(Sheet3!B11/4000))*0.018)/(0.011*JO11*3600)</f>
        <v>4585.416116644953</v>
      </c>
      <c r="ER11" s="183">
        <f>((($FV11-(SUM(Sheet3!B11:C11)/4000))*0.018)/(0.011*JP11*3600))</f>
        <v>4670.4950878814652</v>
      </c>
      <c r="ES11" s="183">
        <f>((($FV11-(SUM(Sheet3!B11:D11)/4000))*0.018)/(0.011*JQ11*3600))</f>
        <v>4739.6288540402893</v>
      </c>
      <c r="ET11" s="183">
        <f>((($FV11-(SUM(Sheet3!B11:E11)/4000))*0.018)/(0.011*JR11))/3600</f>
        <v>4822.0032552756911</v>
      </c>
      <c r="EU11" s="183">
        <f>((($FV11-(SUM(Sheet3!B11:F11)/4000))*0.018)/(0.011*JS11))/3600</f>
        <v>4869.0326610314241</v>
      </c>
      <c r="EV11" s="183">
        <f>((($FV11-(SUM(Sheet3!B11:G11)/4000))*0.018)/(0.011*JT11))/3600</f>
        <v>4933.8598090793885</v>
      </c>
      <c r="EW11" s="183">
        <f>((($FV11-(SUM(Sheet3!B11:H11)/4000))*0.018)/(0.011*JU11))/3600</f>
        <v>5002.1049974215848</v>
      </c>
      <c r="EX11" s="183">
        <f>((($FV11-(SUM(Sheet3!B11:I11)/4000))*0.018)/(0.011*JV11))/3600</f>
        <v>5064.1937173510814</v>
      </c>
      <c r="EY11" s="186">
        <f t="shared" si="133"/>
        <v>47.297658784557036</v>
      </c>
      <c r="EZ11" s="183">
        <f t="shared" si="134"/>
        <v>47.21508427440947</v>
      </c>
      <c r="FA11" s="183">
        <f t="shared" si="135"/>
        <v>47.88190799418161</v>
      </c>
      <c r="FB11" s="183">
        <f t="shared" si="136"/>
        <v>48.440614925447278</v>
      </c>
      <c r="FC11" s="183">
        <f t="shared" si="137"/>
        <v>49.08868087128873</v>
      </c>
      <c r="FD11" s="183">
        <f t="shared" si="138"/>
        <v>49.472222443069697</v>
      </c>
      <c r="FE11" s="183">
        <f t="shared" si="139"/>
        <v>49.980829930164788</v>
      </c>
      <c r="FF11" s="183">
        <f t="shared" si="140"/>
        <v>50.542225833965212</v>
      </c>
      <c r="FG11" s="183">
        <f t="shared" si="141"/>
        <v>51.033690796797202</v>
      </c>
      <c r="FH11" s="186">
        <f t="shared" si="28"/>
        <v>106.5671521987551</v>
      </c>
      <c r="FI11" s="183">
        <f t="shared" si="29"/>
        <v>106.74600435121754</v>
      </c>
      <c r="FJ11" s="183">
        <f t="shared" si="30"/>
        <v>105.06265906118685</v>
      </c>
      <c r="FK11" s="183">
        <f t="shared" si="31"/>
        <v>103.88343032196143</v>
      </c>
      <c r="FL11" s="183">
        <f t="shared" si="32"/>
        <v>102.26971269232115</v>
      </c>
      <c r="FM11" s="183">
        <f t="shared" si="33"/>
        <v>101.49177140523689</v>
      </c>
      <c r="FN11" s="183">
        <f t="shared" si="34"/>
        <v>100.19894781749115</v>
      </c>
      <c r="FO11" s="183">
        <f t="shared" si="35"/>
        <v>99.099564880746271</v>
      </c>
      <c r="FP11" s="183">
        <f t="shared" si="36"/>
        <v>97.895057896747645</v>
      </c>
      <c r="FQ11" s="314">
        <f>Sheet3!CV11</f>
        <v>2</v>
      </c>
      <c r="FR11" s="183">
        <v>5000</v>
      </c>
      <c r="FS11" s="183">
        <v>20</v>
      </c>
      <c r="FT11" s="183">
        <v>0.16693333333333332</v>
      </c>
      <c r="FU11" s="183">
        <v>22.76</v>
      </c>
      <c r="FV11" s="183">
        <v>226</v>
      </c>
      <c r="FW11" s="183">
        <v>44</v>
      </c>
      <c r="FX11" s="183">
        <v>432</v>
      </c>
      <c r="FY11" s="183">
        <v>10.85</v>
      </c>
      <c r="FZ11" s="183">
        <v>21.6</v>
      </c>
      <c r="GA11" s="183">
        <v>185</v>
      </c>
      <c r="GB11" s="186">
        <f>EXP($LP$6-($LQ$6/('Trial and Error method'!T11+$LP$8))) / ($LR$2/1000)</f>
        <v>0.47590416221780057</v>
      </c>
      <c r="GC11" s="183">
        <f>EXP($LP$6-($LQ$6/('Trial and Error method'!U11+$LP$8))) / ($LR$2/1000)</f>
        <v>0.14231663476320008</v>
      </c>
      <c r="GD11" s="183">
        <f>EXP($LP$6-($LQ$6/('Trial and Error method'!V11+$LP$8))) / ($LR$2/1000)</f>
        <v>0.13416668290289627</v>
      </c>
      <c r="GE11" s="183">
        <f>EXP($LP$6-($LQ$6/('Trial and Error method'!W11+$LP$8))) / ($LR$2/1000)</f>
        <v>0.12677336094294869</v>
      </c>
      <c r="GF11" s="183">
        <f>EXP($LP$6-($LQ$6/('Trial and Error method'!X11+$LP$8))) / ($LR$2/1000)</f>
        <v>0.11824848364133286</v>
      </c>
      <c r="GG11" s="183">
        <f>EXP($LP$6-($LQ$6/('Trial and Error method'!Y11+$LP$8))) / ($LR$2/1000)</f>
        <v>0.11218997234036236</v>
      </c>
      <c r="GH11" s="183">
        <f>EXP($LP$6-($LQ$6/('Trial and Error method'!Z11+$LP$8))) / ($LR$2/1000)</f>
        <v>0.10584380798587092</v>
      </c>
      <c r="GI11" s="183">
        <f>EXP($LP$6-($LQ$6/('Trial and Error method'!AA11+$LP$8))) / ($LR$2/1000)</f>
        <v>0.10119442071772707</v>
      </c>
      <c r="GJ11" s="183">
        <f>EXP($LP$6-($LQ$6/('Trial and Error method'!AB11+$LP$8))) / ($LR$2/1000)</f>
        <v>9.7509880712375957E-2</v>
      </c>
      <c r="GK11" s="188">
        <f t="shared" si="142"/>
        <v>0.6169306663924965</v>
      </c>
      <c r="GL11" s="165">
        <f t="shared" si="143"/>
        <v>0.78690576012064217</v>
      </c>
      <c r="GM11" s="165">
        <f t="shared" si="144"/>
        <v>0.79108285883682372</v>
      </c>
      <c r="GN11" s="165">
        <f t="shared" si="145"/>
        <v>0.79456059734356099</v>
      </c>
      <c r="GO11" s="165">
        <f t="shared" si="146"/>
        <v>0.79895011188241005</v>
      </c>
      <c r="GP11" s="165">
        <f t="shared" si="147"/>
        <v>0.80178655082364569</v>
      </c>
      <c r="GQ11" s="165">
        <f t="shared" si="148"/>
        <v>0.80515673412299527</v>
      </c>
      <c r="GR11" s="165">
        <f t="shared" si="149"/>
        <v>0.80732824007595949</v>
      </c>
      <c r="GS11" s="165">
        <f t="shared" si="150"/>
        <v>0.80943571566543238</v>
      </c>
      <c r="GT11" s="188">
        <f t="shared" si="38"/>
        <v>9.0738892275069719E-2</v>
      </c>
      <c r="GU11" s="165">
        <f t="shared" si="39"/>
        <v>7.1137643363333503E-2</v>
      </c>
      <c r="GV11" s="165">
        <f t="shared" si="40"/>
        <v>7.0706012791179287E-2</v>
      </c>
      <c r="GW11" s="165">
        <f t="shared" si="41"/>
        <v>7.0378704578897167E-2</v>
      </c>
      <c r="GX11" s="165">
        <f t="shared" si="42"/>
        <v>6.9952479672294746E-2</v>
      </c>
      <c r="GY11" s="165">
        <f t="shared" si="43"/>
        <v>6.9702130235470575E-2</v>
      </c>
      <c r="GZ11" s="165">
        <f t="shared" si="44"/>
        <v>6.9384129347387025E-2</v>
      </c>
      <c r="HA11" s="165">
        <f t="shared" si="45"/>
        <v>6.9204409359693561E-2</v>
      </c>
      <c r="HB11" s="165">
        <f t="shared" si="46"/>
        <v>6.9004288218543125E-2</v>
      </c>
      <c r="HC11" s="188">
        <f>BV11*Sheet3!DF11</f>
        <v>223.18060255255597</v>
      </c>
      <c r="HD11" s="165">
        <f>BW11*Sheet3!BZ11</f>
        <v>224.7308940284947</v>
      </c>
      <c r="HE11" s="165">
        <f>BX11*Sheet3!CA11</f>
        <v>211.08077163096723</v>
      </c>
      <c r="HF11" s="165">
        <f>BY11*Sheet3!CB11</f>
        <v>201.20483365779398</v>
      </c>
      <c r="HG11" s="165">
        <f>BZ11*Sheet3!CC11</f>
        <v>188.7681834224696</v>
      </c>
      <c r="HH11" s="165">
        <f>CA11*Sheet3!CD11</f>
        <v>182.49927699129216</v>
      </c>
      <c r="HI11" s="165">
        <f>CB11*Sheet3!CE11</f>
        <v>173.01302563295079</v>
      </c>
      <c r="HJ11" s="165">
        <f>CC11*Sheet3!CF11</f>
        <v>164.44165802138326</v>
      </c>
      <c r="HK11" s="165">
        <f>CD11*Sheet3!CG11</f>
        <v>155.90506414638713</v>
      </c>
      <c r="HL11" s="188">
        <f>(CE11*Sheet3!DF11)+2501</f>
        <v>2858.1376896184374</v>
      </c>
      <c r="HM11" s="165">
        <f>(CF11*Sheet3!BZ11)+2501</f>
        <v>2860.6528023999504</v>
      </c>
      <c r="HN11" s="165">
        <f>(CG11*Sheet3!CA11)+2501</f>
        <v>2839.2089861941386</v>
      </c>
      <c r="HO11" s="165">
        <f>(CH11*Sheet3!CB11)+2501</f>
        <v>2823.2235500537258</v>
      </c>
      <c r="HP11" s="165">
        <f>(CI11*Sheet3!CC11)+2501</f>
        <v>2803.7975109236386</v>
      </c>
      <c r="HQ11" s="165">
        <f>(CJ11*Sheet3!CD11)+2501</f>
        <v>2793.6600138773097</v>
      </c>
      <c r="HR11" s="165">
        <f>(CK11*Sheet3!CE11)+2501</f>
        <v>2778.971140875185</v>
      </c>
      <c r="HS11" s="165">
        <f>(CL11*Sheet3!CF11)+2501</f>
        <v>2765.1113501774112</v>
      </c>
      <c r="HT11" s="165">
        <f>(CM11*Sheet3!CG11)+2501</f>
        <v>2751.8713902441664</v>
      </c>
      <c r="HU11" s="188">
        <f>-0.0021*(Sheet3!DF11^2) - 2.2115*(Sheet3!DF11) + 2499</f>
        <v>2018</v>
      </c>
      <c r="HV11" s="165">
        <f>-0.0021*(Sheet3!BZ11^2) - 2.2115*(Sheet3!BZ11) + 2499</f>
        <v>2014.2969668841313</v>
      </c>
      <c r="HW11" s="165">
        <f>-0.0021*(Sheet3!CA11^2) - 2.2115*(Sheet3!CA11) + 2499</f>
        <v>2045.7526123523267</v>
      </c>
      <c r="HX11" s="165">
        <f>-0.0021*(Sheet3!CB11^2) - 2.2115*(Sheet3!CB11) + 2499</f>
        <v>2069.0274842318727</v>
      </c>
      <c r="HY11" s="165">
        <f>-0.0021*(Sheet3!CC11^2) - 2.2115*(Sheet3!CC11) + 2499</f>
        <v>2097.1069159706908</v>
      </c>
      <c r="HZ11" s="165">
        <f>-0.0021*(Sheet3!CD11^2) - 2.2115*(Sheet3!CD11) + 2499</f>
        <v>2111.6689613290582</v>
      </c>
      <c r="IA11" s="165">
        <f>-0.0021*(Sheet3!CE11^2) - 2.2115*(Sheet3!CE11) + 2499</f>
        <v>2132.6553458045223</v>
      </c>
      <c r="IB11" s="165">
        <f>-0.0021*(Sheet3!CF11^2) - 2.2115*(Sheet3!CF11) + 2499</f>
        <v>2152.3314909890428</v>
      </c>
      <c r="IC11" s="165">
        <f>-0.0021*(Sheet3!CG11^2) - 2.2115*(Sheet3!CG11) + 2499</f>
        <v>2171.0110267323407</v>
      </c>
      <c r="ID11" s="188">
        <f t="shared" si="47"/>
        <v>0.66491072011196095</v>
      </c>
      <c r="IE11" s="165">
        <f t="shared" si="48"/>
        <v>0.66428835688479126</v>
      </c>
      <c r="IF11" s="165">
        <f t="shared" si="49"/>
        <v>0.66881021979398003</v>
      </c>
      <c r="IG11" s="165">
        <f t="shared" si="50"/>
        <v>0.67317878961792288</v>
      </c>
      <c r="IH11" s="165">
        <f t="shared" si="51"/>
        <v>0.67774672112773948</v>
      </c>
      <c r="II11" s="165">
        <f t="shared" si="52"/>
        <v>0.68089461226115156</v>
      </c>
      <c r="IJ11" s="165">
        <f t="shared" si="53"/>
        <v>0.68448935659820132</v>
      </c>
      <c r="IK11" s="165">
        <f t="shared" si="54"/>
        <v>0.68928833107406096</v>
      </c>
      <c r="IL11" s="165">
        <f t="shared" si="55"/>
        <v>0.69294572200324334</v>
      </c>
      <c r="IM11" s="188">
        <f t="shared" si="56"/>
        <v>-35.896016558174679</v>
      </c>
      <c r="IN11" s="165">
        <f t="shared" si="151"/>
        <v>19.709860214567897</v>
      </c>
      <c r="IO11" s="165">
        <f t="shared" si="152"/>
        <v>20.983879005395526</v>
      </c>
      <c r="IP11" s="165">
        <f t="shared" si="153"/>
        <v>22.200454567303591</v>
      </c>
      <c r="IQ11" s="165">
        <f t="shared" si="154"/>
        <v>23.508238258129374</v>
      </c>
      <c r="IR11" s="165">
        <f t="shared" si="155"/>
        <v>24.477652961657991</v>
      </c>
      <c r="IS11" s="165">
        <f t="shared" si="156"/>
        <v>25.434640142492398</v>
      </c>
      <c r="IT11" s="165">
        <f t="shared" si="157"/>
        <v>26.293800062331499</v>
      </c>
      <c r="IU11" s="165">
        <f t="shared" si="158"/>
        <v>26.887928925546099</v>
      </c>
      <c r="IV11" s="188">
        <f>_xlfn.FORECAST.LINEAR(Sheet3!DF11,Sheet2!$AK$2:$AK$69,Sheet2!$AJ$2:$AJ$69)</f>
        <v>1.5262665903764649E-5</v>
      </c>
      <c r="IW11" s="165">
        <f>_xlfn.FORECAST.LINEAR(Sheet3!BZ11,Sheet2!$AK$2:$AK$69,Sheet2!$AJ$2:$AJ$69)</f>
        <v>1.5306011748672285E-5</v>
      </c>
      <c r="IX11" s="165">
        <f>_xlfn.FORECAST.LINEAR(Sheet3!CA11,Sheet2!$AK$2:$AK$69,Sheet2!$AJ$2:$AJ$69)</f>
        <v>1.493537528898113E-5</v>
      </c>
      <c r="IY11" s="165">
        <f>_xlfn.FORECAST.LINEAR(Sheet3!CB11,Sheet2!$AK$2:$AK$69,Sheet2!$AJ$2:$AJ$69)</f>
        <v>1.4657493930487679E-5</v>
      </c>
      <c r="IZ11" s="165">
        <f>_xlfn.FORECAST.LINEAR(Sheet3!CC11,Sheet2!$AK$2:$AK$69,Sheet2!$AJ$2:$AJ$69)</f>
        <v>1.4317962876544378E-5</v>
      </c>
      <c r="JA11" s="165">
        <f>_xlfn.FORECAST.LINEAR(Sheet3!CD11,Sheet2!$AK$2:$AK$69,Sheet2!$AJ$2:$AJ$69)</f>
        <v>1.4139973387615424E-5</v>
      </c>
      <c r="JB11" s="165">
        <f>_xlfn.FORECAST.LINEAR(Sheet3!CE11,Sheet2!$AK$2:$AK$69,Sheet2!$AJ$2:$AJ$69)</f>
        <v>1.3881092139198233E-5</v>
      </c>
      <c r="JC11" s="165">
        <f>_xlfn.FORECAST.LINEAR(Sheet3!CF11,Sheet2!$AK$2:$AK$69,Sheet2!$AJ$2:$AJ$69)</f>
        <v>1.3635759547926054E-5</v>
      </c>
      <c r="JD11" s="165">
        <f>_xlfn.FORECAST.LINEAR(Sheet3!CG11,Sheet2!$AK$2:$AK$69,Sheet2!$AJ$2:$AJ$69)</f>
        <v>1.3400437252551012E-5</v>
      </c>
      <c r="JE11" s="188">
        <f>_xlfn.FORECAST.LINEAR(Sheet3!DF11,New!$MC$2:$MC$18,New!$MB$2:$MB$18)</f>
        <v>2.5024296405058497E-5</v>
      </c>
      <c r="JF11" s="165">
        <f>_xlfn.FORECAST.LINEAR(Sheet3!BZ11,New!$MC$2:$MC$18,New!$MB$2:$MB$18)</f>
        <v>2.50752504919741E-5</v>
      </c>
      <c r="JG11" s="165">
        <f>_xlfn.FORECAST.LINEAR(Sheet3!CA11,New!$MC$2:$MC$18,New!$MB$2:$MB$18)</f>
        <v>2.4639558387657353E-5</v>
      </c>
      <c r="JH11" s="165">
        <f>_xlfn.FORECAST.LINEAR(Sheet3!CB11,New!$MC$2:$MC$18,New!$MB$2:$MB$18)</f>
        <v>2.4312902143602748E-5</v>
      </c>
      <c r="JI11" s="165">
        <f>_xlfn.FORECAST.LINEAR(Sheet3!CC11,New!$MC$2:$MC$18,New!$MB$2:$MB$18)</f>
        <v>2.3913775194525188E-5</v>
      </c>
      <c r="JJ11" s="165">
        <f>_xlfn.FORECAST.LINEAR(Sheet3!CD11,New!$MC$2:$MC$18,New!$MB$2:$MB$18)</f>
        <v>2.3704544254206097E-5</v>
      </c>
      <c r="JK11" s="165">
        <f>_xlfn.FORECAST.LINEAR(Sheet3!CE11,New!$MC$2:$MC$18,New!$MB$2:$MB$18)</f>
        <v>2.3400223098146544E-5</v>
      </c>
      <c r="JL11" s="165">
        <f>_xlfn.FORECAST.LINEAR(Sheet3!CF11,New!$MC$2:$MC$18,New!$MB$2:$MB$18)</f>
        <v>2.3111828715581146E-5</v>
      </c>
      <c r="JM11" s="165">
        <f>_xlfn.FORECAST.LINEAR(Sheet3!CG11,New!$MC$2:$MC$18,New!$MB$2:$MB$18)</f>
        <v>2.2835201677458578E-5</v>
      </c>
      <c r="JN11" s="188">
        <f t="shared" si="159"/>
        <v>2.2352949610248439E-5</v>
      </c>
      <c r="JO11" s="165">
        <f t="shared" si="160"/>
        <v>2.2402968281392271E-5</v>
      </c>
      <c r="JP11" s="165">
        <f t="shared" si="161"/>
        <v>2.1981488019239168E-5</v>
      </c>
      <c r="JQ11" s="165">
        <f t="shared" si="162"/>
        <v>2.1660786966805442E-5</v>
      </c>
      <c r="JR11" s="165">
        <f t="shared" si="163"/>
        <v>2.1275672828324982E-5</v>
      </c>
      <c r="JS11" s="165">
        <f t="shared" si="164"/>
        <v>2.1070056949014853E-5</v>
      </c>
      <c r="JT11" s="165">
        <f t="shared" si="165"/>
        <v>2.0777988387414331E-5</v>
      </c>
      <c r="JU11" s="165">
        <f t="shared" si="166"/>
        <v>2.0494303726881367E-5</v>
      </c>
      <c r="JV11" s="165">
        <f t="shared" si="167"/>
        <v>2.0228832661305022E-5</v>
      </c>
      <c r="JW11" s="188">
        <f t="shared" si="66"/>
        <v>1.0000370937975078</v>
      </c>
      <c r="JX11" s="165">
        <f t="shared" si="67"/>
        <v>0.99961055058350212</v>
      </c>
      <c r="JY11" s="165">
        <f t="shared" si="68"/>
        <v>1.003335013307092</v>
      </c>
      <c r="JZ11" s="165">
        <f t="shared" si="69"/>
        <v>1.0062467182551067</v>
      </c>
      <c r="KA11" s="165">
        <f t="shared" si="70"/>
        <v>1.0099524877225246</v>
      </c>
      <c r="KB11" s="165">
        <f t="shared" si="71"/>
        <v>1.0119637483160495</v>
      </c>
      <c r="KC11" s="165">
        <f t="shared" si="72"/>
        <v>1.0149778892839769</v>
      </c>
      <c r="KD11" s="165">
        <f t="shared" si="73"/>
        <v>1.0179361291612299</v>
      </c>
      <c r="KE11" s="165">
        <f t="shared" si="74"/>
        <v>1.020871764884099</v>
      </c>
      <c r="KF11" s="188">
        <f t="shared" si="75"/>
        <v>0.98050299058051471</v>
      </c>
      <c r="KG11" s="165">
        <f t="shared" si="76"/>
        <v>0.98087097748489827</v>
      </c>
      <c r="KH11" s="165">
        <f t="shared" si="77"/>
        <v>0.97767267938849201</v>
      </c>
      <c r="KI11" s="165">
        <f t="shared" si="78"/>
        <v>0.9751955008575417</v>
      </c>
      <c r="KJ11" s="165">
        <f t="shared" si="79"/>
        <v>0.97207175475757079</v>
      </c>
      <c r="KK11" s="165">
        <f t="shared" si="80"/>
        <v>0.97038981185204243</v>
      </c>
      <c r="KL11" s="165">
        <f t="shared" si="81"/>
        <v>0.96788667634888581</v>
      </c>
      <c r="KM11" s="165">
        <f t="shared" si="82"/>
        <v>0.96545012695719623</v>
      </c>
      <c r="KN11" s="165">
        <f t="shared" si="83"/>
        <v>0.9630516980185384</v>
      </c>
      <c r="KO11" s="188">
        <f t="shared" si="84"/>
        <v>0.6466661301723684</v>
      </c>
      <c r="KP11" s="165">
        <f t="shared" si="85"/>
        <v>0.64745961992369971</v>
      </c>
      <c r="KQ11" s="165">
        <f t="shared" si="86"/>
        <v>0.64123715238183954</v>
      </c>
      <c r="KR11" s="165">
        <f t="shared" si="87"/>
        <v>0.6364334130097371</v>
      </c>
      <c r="KS11" s="165">
        <f t="shared" si="88"/>
        <v>0.63041120947150364</v>
      </c>
      <c r="KT11" s="165">
        <f t="shared" si="89"/>
        <v>0.62717440216953635</v>
      </c>
      <c r="KU11" s="165">
        <f t="shared" si="90"/>
        <v>0.62238775669151603</v>
      </c>
      <c r="KV11" s="165">
        <f t="shared" si="91"/>
        <v>0.61773153823494154</v>
      </c>
      <c r="KW11" s="165">
        <f t="shared" si="92"/>
        <v>0.61326648439339582</v>
      </c>
      <c r="KX11" s="188">
        <f>AVERAGE(Sheet3!J11:P11)*KO11^(1/3)/ID11^(1/3)</f>
        <v>99.056508282700676</v>
      </c>
      <c r="KY11" s="165">
        <f>Sheet3!J11*KP11^(1/3)/IE11^(1/3)</f>
        <v>73.394413218647713</v>
      </c>
      <c r="KZ11" s="165">
        <f>Sheet3!K11*KQ11^(1/3)/IF11^(1/3)</f>
        <v>81.548145957060029</v>
      </c>
      <c r="LA11" s="165">
        <f>Sheet3!L11*KR11^(1/3)/IG11^(1/3)</f>
        <v>90.781004158655506</v>
      </c>
      <c r="LB11" s="165">
        <f>Sheet3!M11*KS11^(1/3)/IH11^(1/3)</f>
        <v>98.66256412918824</v>
      </c>
      <c r="LC11" s="165">
        <f>Sheet3!N11*KT11^(1/3)/II11^(1/3)</f>
        <v>106.90935034881686</v>
      </c>
      <c r="LD11" s="165">
        <f>Sheet3!O11*KU11^(1/3)/IJ11^(1/3)</f>
        <v>113.74881972606327</v>
      </c>
      <c r="LE11" s="165">
        <f>Sheet3!P11*KV11^(1/3)/IK11^(1/3)</f>
        <v>117.88456817910327</v>
      </c>
      <c r="LF11" s="165">
        <f>Sheet3!Q11*KW11^(1/3)/IL11^(1/3)</f>
        <v>118.83458773274936</v>
      </c>
      <c r="LG11" s="186">
        <f t="shared" si="93"/>
        <v>25.896822162236958</v>
      </c>
      <c r="LH11" s="183">
        <f t="shared" si="94"/>
        <v>25.898352216685865</v>
      </c>
      <c r="LI11" s="183">
        <f t="shared" si="95"/>
        <v>26.183017181543338</v>
      </c>
      <c r="LJ11" s="183">
        <f t="shared" si="96"/>
        <v>26.184592889010538</v>
      </c>
      <c r="LK11" s="183">
        <f t="shared" si="97"/>
        <v>26.526625347541671</v>
      </c>
      <c r="LL11" s="183">
        <f t="shared" si="98"/>
        <v>26.529344354085381</v>
      </c>
      <c r="LM11" s="183">
        <f t="shared" si="99"/>
        <v>26.895419735665929</v>
      </c>
      <c r="LN11" s="183">
        <f t="shared" si="100"/>
        <v>26.900496474480576</v>
      </c>
      <c r="LO11" s="183">
        <f t="shared" si="101"/>
        <v>27.264005367303916</v>
      </c>
      <c r="LP11" s="219"/>
      <c r="LQ11" s="219"/>
      <c r="LR11" s="219"/>
      <c r="LS11" s="219"/>
      <c r="LT11" s="219">
        <v>327</v>
      </c>
      <c r="LU11" s="219">
        <v>1.0509999999999999</v>
      </c>
      <c r="LV11" s="220"/>
      <c r="LW11" s="220"/>
      <c r="LX11" s="220"/>
      <c r="LY11" s="220"/>
      <c r="LZ11" s="222">
        <v>69.13</v>
      </c>
      <c r="MA11" s="220">
        <v>1.1E-5</v>
      </c>
      <c r="MB11" s="220">
        <v>80</v>
      </c>
      <c r="MC11" s="220">
        <v>2.088E-5</v>
      </c>
      <c r="MD11" s="188">
        <f>Sheet3!DP11</f>
        <v>179.42877199093496</v>
      </c>
      <c r="ME11" s="263">
        <v>100</v>
      </c>
      <c r="MF11" s="263">
        <v>1.0129999999999999</v>
      </c>
      <c r="MG11" s="263">
        <v>2.1349999999999998</v>
      </c>
      <c r="MH11" s="263">
        <v>0.59799999999999998</v>
      </c>
      <c r="MI11" s="263">
        <v>11.97</v>
      </c>
      <c r="MJ11" s="263">
        <v>20.02</v>
      </c>
      <c r="MK11" s="273">
        <v>90</v>
      </c>
      <c r="ML11" s="267">
        <v>0.70109999999999995</v>
      </c>
      <c r="MM11" s="267">
        <v>0.42349999999999999</v>
      </c>
      <c r="MN11" s="267">
        <v>1.9990000000000001</v>
      </c>
      <c r="MO11" s="267">
        <v>11.7</v>
      </c>
      <c r="MP11" s="274">
        <v>27.63</v>
      </c>
      <c r="MQ11"/>
      <c r="MR11"/>
      <c r="MS11"/>
    </row>
    <row r="12" spans="1:357" ht="15" thickBot="1" x14ac:dyDescent="0.35">
      <c r="A12" s="184" t="str">
        <f>Sheet3!A12</f>
        <v>05.12.2022</v>
      </c>
      <c r="B12" s="186">
        <f t="shared" si="102"/>
        <v>0.98838340006736181</v>
      </c>
      <c r="C12" s="183">
        <f t="shared" si="103"/>
        <v>0.98922036319669826</v>
      </c>
      <c r="D12" s="183">
        <f t="shared" si="0"/>
        <v>0.97301361517324947</v>
      </c>
      <c r="E12" s="183">
        <f t="shared" si="1"/>
        <v>0.95947432124416743</v>
      </c>
      <c r="F12" s="183">
        <f t="shared" si="2"/>
        <v>0.94396617265518157</v>
      </c>
      <c r="G12" s="183">
        <f t="shared" si="3"/>
        <v>0.9335357942584589</v>
      </c>
      <c r="H12" s="183">
        <f t="shared" si="4"/>
        <v>0.92288038985843535</v>
      </c>
      <c r="I12" s="183">
        <f t="shared" si="5"/>
        <v>0.90892178242050303</v>
      </c>
      <c r="J12" s="183">
        <f t="shared" si="6"/>
        <v>0.89486348652665482</v>
      </c>
      <c r="K12" s="186">
        <f xml:space="preserve"> (6.057 * (10^(-6)))
+ (4.055 * (10^(-8)) * (Sheet3!DF12 + 273))
+ (1.25 * (10^(-10)) * (Sheet3!DF12 + 273)^2)
- (3.367 * (10^(-14)) * (DD12 + 273)^3)</f>
        <v>5.1724318264082753E-5</v>
      </c>
      <c r="L12" s="183">
        <f xml:space="preserve"> (6.057 * (10^(-6)))
+ (4.055 * (10^(-8)) * (Sheet3!BZ12 + 273))
+ (1.25 * (10^(-10)) * (Sheet3!BZ12 + 273)^2)
- (3.367 * (10^(-14)) * (BX12 + 273)^3)</f>
        <v>5.1790745444422211E-5</v>
      </c>
      <c r="M12" s="183">
        <f xml:space="preserve"> (6.057 * (10^(-6)))
+ (4.055 * (10^(-8)) * (Sheet3!CA12 + 273))
+ (1.25 * (10^(-10)) * (Sheet3!CA12 + 273)^2)
- (3.367 * (10^(-14)) * (BY12 + 273)^3)</f>
        <v>5.0050294748961631E-5</v>
      </c>
      <c r="N12" s="183">
        <f xml:space="preserve"> (6.057 * (10^(-6)))
+ (4.055 * (10^(-8)) * (Sheet3!CB12 + 273))
+ (1.25 * (10^(-10)) * (Sheet3!CB12 + 273)^2)
- (3.367 * (10^(-14)) * (BZ12 + 273)^3)</f>
        <v>4.8775439916253097E-5</v>
      </c>
      <c r="O12" s="183">
        <f xml:space="preserve"> (6.057 * (10^(-6)))
+ (4.055 * (10^(-8)) * (Sheet3!CC12 + 273))
+ (1.25 * (10^(-10)) * (Sheet3!CC12 + 273)^2)
- (3.367 * (10^(-14)) * (CA12 + 273)^3)</f>
        <v>4.7236801562136286E-5</v>
      </c>
      <c r="P12" s="183">
        <f xml:space="preserve"> (6.057 * (10^(-6)))
+ (4.055 * (10^(-8)) * (Sheet3!CD12 + 273))
+ (1.25 * (10^(-10)) * (Sheet3!CD12 + 273)^2)
- (3.367 * (10^(-14)) * (CB12 + 273)^3)</f>
        <v>4.6338481236094833E-5</v>
      </c>
      <c r="Q12" s="183">
        <f xml:space="preserve"> (6.057 * (10^(-6)))
+ (4.055 * (10^(-8)) * (Sheet3!CE12 + 273))
+ (1.25 * (10^(-10)) * (Sheet3!CE12 + 273)^2)
- (3.367 * (10^(-14)) * (CC12 + 273)^3)</f>
        <v>4.5309738076133783E-5</v>
      </c>
      <c r="R12" s="183">
        <f xml:space="preserve"> (6.057 * (10^(-6)))
+ (4.055 * (10^(-8)) * (Sheet3!CF12 + 273))
+ (1.25 * (10^(-10)) * (Sheet3!CF12 + 273)^2)
- (3.367 * (10^(-14)) * (CD12 + 273)^3)</f>
        <v>4.419147859190713E-5</v>
      </c>
      <c r="S12" s="183">
        <f xml:space="preserve"> (6.057 * (10^(-6)))
+ (4.055 * (10^(-8)) * (Sheet3!CG12 + 273))
+ (1.25 * (10^(-10)) * (Sheet3!CG12 + 273)^2)
- (3.367 * (10^(-14)) * (CE12 + 273)^3)</f>
        <v>4.2971401727928923E-5</v>
      </c>
      <c r="T12" s="188">
        <f t="shared" si="104"/>
        <v>5.1724318264082753E-5</v>
      </c>
      <c r="U12" s="165">
        <f t="shared" si="105"/>
        <v>5.1790745444422211E-5</v>
      </c>
      <c r="V12" s="165">
        <f t="shared" si="106"/>
        <v>5.0050294748961631E-5</v>
      </c>
      <c r="W12" s="165">
        <f t="shared" si="107"/>
        <v>4.8775439916253097E-5</v>
      </c>
      <c r="X12" s="165">
        <f t="shared" si="108"/>
        <v>4.7236801562136286E-5</v>
      </c>
      <c r="Y12" s="165">
        <f t="shared" si="109"/>
        <v>4.6338481236094833E-5</v>
      </c>
      <c r="Z12" s="165">
        <f t="shared" si="110"/>
        <v>4.5309738076133783E-5</v>
      </c>
      <c r="AA12" s="165">
        <f t="shared" si="111"/>
        <v>4.419147859190713E-5</v>
      </c>
      <c r="AB12" s="165">
        <f t="shared" si="112"/>
        <v>4.2971401727928923E-5</v>
      </c>
      <c r="AC12" s="186">
        <f t="shared" si="8"/>
        <v>5.1123457552020454E-5</v>
      </c>
      <c r="AD12" s="183">
        <f t="shared" si="9"/>
        <v>5.1232460018759088E-5</v>
      </c>
      <c r="AE12" s="183">
        <f t="shared" si="10"/>
        <v>4.8699618234173859E-5</v>
      </c>
      <c r="AF12" s="183">
        <f t="shared" si="11"/>
        <v>4.6798782107032609E-5</v>
      </c>
      <c r="AG12" s="183">
        <f t="shared" si="12"/>
        <v>4.4589942779082094E-5</v>
      </c>
      <c r="AH12" s="183">
        <f t="shared" si="13"/>
        <v>4.3258630885468485E-5</v>
      </c>
      <c r="AI12" s="183">
        <f t="shared" si="14"/>
        <v>4.1815468740085936E-5</v>
      </c>
      <c r="AJ12" s="183">
        <f t="shared" si="15"/>
        <v>4.0166597489553731E-5</v>
      </c>
      <c r="AK12" s="183">
        <f t="shared" si="16"/>
        <v>3.8453538371191993E-5</v>
      </c>
      <c r="AL12" s="186">
        <f t="shared" si="113"/>
        <v>4.1681830369475634E-2</v>
      </c>
      <c r="AM12" s="183">
        <f t="shared" si="114"/>
        <v>4.1733410283318485E-2</v>
      </c>
      <c r="AN12" s="183">
        <f t="shared" si="115"/>
        <v>4.0472376730440018E-2</v>
      </c>
      <c r="AO12" s="183">
        <f t="shared" si="116"/>
        <v>3.9540598524570938E-2</v>
      </c>
      <c r="AP12" s="183">
        <f t="shared" si="117"/>
        <v>3.8388138816333815E-2</v>
      </c>
      <c r="AQ12" s="183">
        <f t="shared" si="118"/>
        <v>3.77110030742508E-2</v>
      </c>
      <c r="AR12" s="183">
        <f t="shared" si="119"/>
        <v>3.6918965215625335E-2</v>
      </c>
      <c r="AS12" s="183">
        <f t="shared" si="120"/>
        <v>3.6054647684042207E-2</v>
      </c>
      <c r="AT12" s="183">
        <f t="shared" si="121"/>
        <v>3.5096843466380839E-2</v>
      </c>
      <c r="AU12" s="186">
        <f>_xlfn.FORECAST.LINEAR(Sheet3!DF12,Sheet2!$AH$2:$AH$40,Sheet2!$AG$2:$AG$40)</f>
        <v>5.3609658023802124E-2</v>
      </c>
      <c r="AV12" s="183">
        <f>_xlfn.FORECAST.LINEAR(Sheet3!BZ12,Sheet2!$AH$2:$AH$40,Sheet2!$AG$2:$AG$40)</f>
        <v>5.3726586446759463E-2</v>
      </c>
      <c r="AW12" s="183">
        <f>_xlfn.FORECAST.LINEAR(Sheet3!CA12,Sheet2!$AH$2:$AH$40,Sheet2!$AG$2:$AG$40)</f>
        <v>5.0896082873816285E-2</v>
      </c>
      <c r="AX12" s="183">
        <f>_xlfn.FORECAST.LINEAR(Sheet3!CB12,Sheet2!$AH$2:$AH$40,Sheet2!$AG$2:$AG$40)</f>
        <v>4.8790011591628719E-2</v>
      </c>
      <c r="AY12" s="183">
        <f>_xlfn.FORECAST.LINEAR(Sheet3!CC12,Sheet2!$AH$2:$AH$40,Sheet2!$AG$2:$AG$40)</f>
        <v>4.6209566293971868E-2</v>
      </c>
      <c r="AZ12" s="183">
        <f>_xlfn.FORECAST.LINEAR(Sheet3!CD12,Sheet2!$AH$2:$AH$40,Sheet2!$AG$2:$AG$40)</f>
        <v>4.4682592938742605E-2</v>
      </c>
      <c r="BA12" s="183">
        <f>_xlfn.FORECAST.LINEAR(Sheet3!CE12,Sheet2!$AH$2:$AH$40,Sheet2!$AG$2:$AG$40)</f>
        <v>4.2914809099591437E-2</v>
      </c>
      <c r="BB12" s="183">
        <f>_xlfn.FORECAST.LINEAR(Sheet3!CF12,Sheet2!$AH$2:$AH$40,Sheet2!$AG$2:$AG$40)</f>
        <v>4.0969138331799271E-2</v>
      </c>
      <c r="BC12" s="183">
        <f>_xlfn.FORECAST.LINEAR(Sheet3!CG12,Sheet2!$AH$2:$AH$40,Sheet2!$AG$2:$AG$40)</f>
        <v>3.882686022280276E-2</v>
      </c>
      <c r="BD12" s="186">
        <f>_xlfn.FORECAST.LINEAR(Sheet3!DF12,Sheet2!$AB$12:$AB$37,Sheet2!$AA$12:$AA$37)/1000</f>
        <v>3.6756653393047518E-2</v>
      </c>
      <c r="BE12" s="183">
        <f>_xlfn.FORECAST.LINEAR(Sheet3!BZ12,Sheet2!$AB$12:$AB$37,Sheet2!$AA$12:$AA$37)/1000</f>
        <v>3.6782795881933589E-2</v>
      </c>
      <c r="BF12" s="183">
        <f>_xlfn.FORECAST.LINEAR(Sheet3!CA12,Sheet2!$AB$12:$AB$37,Sheet2!$AA$12:$AA$37)/1000</f>
        <v>3.6149960799358102E-2</v>
      </c>
      <c r="BG12" s="183">
        <f>_xlfn.FORECAST.LINEAR(Sheet3!CB12,Sheet2!$AB$12:$AB$37,Sheet2!$AA$12:$AA$37)/1000</f>
        <v>3.5679092008902145E-2</v>
      </c>
      <c r="BH12" s="183">
        <f>_xlfn.FORECAST.LINEAR(Sheet3!CC12,Sheet2!$AB$12:$AB$37,Sheet2!$AA$12:$AA$37)/1000</f>
        <v>3.5102164168699428E-2</v>
      </c>
      <c r="BI12" s="183">
        <f>_xlfn.FORECAST.LINEAR(Sheet3!CD12,Sheet2!$AB$12:$AB$37,Sheet2!$AA$12:$AA$37)/1000</f>
        <v>3.4760768270604057E-2</v>
      </c>
      <c r="BJ12" s="183">
        <f>_xlfn.FORECAST.LINEAR(Sheet3!CE12,Sheet2!$AB$12:$AB$37,Sheet2!$AA$12:$AA$37)/1000</f>
        <v>3.4365532722230738E-2</v>
      </c>
      <c r="BK12" s="183">
        <f>_xlfn.FORECAST.LINEAR(Sheet3!CF12,Sheet2!$AB$12:$AB$37,Sheet2!$AA$12:$AA$37)/1000</f>
        <v>3.3930525774078346E-2</v>
      </c>
      <c r="BL12" s="183">
        <f>_xlfn.FORECAST.LINEAR(Sheet3!CG12,Sheet2!$AB$12:$AB$37,Sheet2!$AA$12:$AA$37)/1000</f>
        <v>3.3451561975210299E-2</v>
      </c>
      <c r="BM12" s="186">
        <f t="shared" si="122"/>
        <v>0.67434182548058463</v>
      </c>
      <c r="BN12" s="183">
        <f t="shared" si="123"/>
        <v>0.67368049544563935</v>
      </c>
      <c r="BO12" s="183">
        <f t="shared" si="124"/>
        <v>0.69027458833909916</v>
      </c>
      <c r="BP12" s="183">
        <f t="shared" si="125"/>
        <v>0.70301483709128076</v>
      </c>
      <c r="BQ12" s="183">
        <f t="shared" si="126"/>
        <v>0.71950901342533258</v>
      </c>
      <c r="BR12" s="183">
        <f t="shared" si="127"/>
        <v>0.72949750519443302</v>
      </c>
      <c r="BS12" s="183">
        <f t="shared" si="128"/>
        <v>0.74165794268781915</v>
      </c>
      <c r="BT12" s="183">
        <f t="shared" si="129"/>
        <v>0.75523518293118796</v>
      </c>
      <c r="BU12" s="183">
        <f t="shared" si="130"/>
        <v>0.77101505696947736</v>
      </c>
      <c r="BV12" s="186">
        <f t="shared" si="131"/>
        <v>1.209056138862818</v>
      </c>
      <c r="BW12" s="183">
        <f t="shared" si="19"/>
        <v>1.2091625599362792</v>
      </c>
      <c r="BX12" s="183">
        <f t="shared" si="20"/>
        <v>1.2039578053510827</v>
      </c>
      <c r="BY12" s="183">
        <f t="shared" si="21"/>
        <v>1.2018331997898515</v>
      </c>
      <c r="BZ12" s="183">
        <f t="shared" si="22"/>
        <v>1.1965308563836063</v>
      </c>
      <c r="CA12" s="183">
        <f t="shared" si="23"/>
        <v>1.1950099001577488</v>
      </c>
      <c r="CB12" s="183">
        <f t="shared" si="24"/>
        <v>1.1904438022416042</v>
      </c>
      <c r="CC12" s="183">
        <f t="shared" si="25"/>
        <v>1.1885405363096031</v>
      </c>
      <c r="CD12" s="183">
        <f t="shared" si="26"/>
        <v>1.1837742560756412</v>
      </c>
      <c r="CE12" s="187">
        <f xml:space="preserve"> -0.0000000019505*Sheet3!DF12^3 + 0.0000015497*Sheet3!DF12^2  + 0.00016911*Sheet3!DF12 + 1.8585</f>
        <v>1.9359410788125</v>
      </c>
      <c r="CF12" s="185">
        <f xml:space="preserve"> -0.0000000019505*Sheet3!BZ12^3 + 0.0000015497*Sheet3!BZ12^2  + 0.00016911*Sheet3!BZ12 + 1.8585</f>
        <v>1.9361946675348551</v>
      </c>
      <c r="CG12" s="185">
        <f xml:space="preserve"> -0.0000000019505*Sheet3!CA12^3 + 0.0000015497*Sheet3!CA12^2  + 0.00016911*Sheet3!CA12 + 1.8585</f>
        <v>1.930106973962409</v>
      </c>
      <c r="CH12" s="185">
        <f xml:space="preserve"> -0.0000000019505*Sheet3!CB12^3 + 0.0000015497*Sheet3!CB12^2  + 0.00016911*Sheet3!CB12 + 1.8585</f>
        <v>1.9256522922191108</v>
      </c>
      <c r="CI12" s="185">
        <f xml:space="preserve"> -0.0000000019505*Sheet3!CC12^3 + 0.0000015497*Sheet3!CC12^2  + 0.00016911*Sheet3!CC12 + 1.8585</f>
        <v>1.9202922053532419</v>
      </c>
      <c r="CJ12" s="185">
        <f xml:space="preserve"> -0.0000000019505*Sheet3!CD12^3 + 0.0000015497*Sheet3!CD12^2  + 0.00016911*Sheet3!CD12 + 1.8585</f>
        <v>1.9171758266068883</v>
      </c>
      <c r="CK12" s="185">
        <f xml:space="preserve"> -0.0000000019505*Sheet3!CE12^3 + 0.0000015497*Sheet3!CE12^2  + 0.00016911*Sheet3!CE12 + 1.8585</f>
        <v>1.9136235333577565</v>
      </c>
      <c r="CL12" s="185">
        <f xml:space="preserve"> -0.0000000019505*Sheet3!CF12^3 + 0.0000015497*Sheet3!CF12^2  + 0.00016911*Sheet3!CF12 + 1.8585</f>
        <v>1.9097871945029414</v>
      </c>
      <c r="CM12" s="185">
        <f xml:space="preserve"> -0.0000000019505*Sheet3!CG12^3 + 0.0000015497*Sheet3!CG12^2  + 0.00016911*Sheet3!CG12 + 1.8585</f>
        <v>1.9056582732581648</v>
      </c>
      <c r="CN12" s="186">
        <f>_xlfn.FORECAST.LINEAR(Sheet3!DF12,New!$LU$2:$LU$14,New!$LT$2:$LT$14)</f>
        <v>1.0331968791975725</v>
      </c>
      <c r="CO12" s="183">
        <f>_xlfn.FORECAST.LINEAR(Sheet3!BZ12,New!$LU$2:$LU$14,New!$LT$2:$LT$14)</f>
        <v>1.0332829400508856</v>
      </c>
      <c r="CP12" s="183">
        <f>_xlfn.FORECAST.LINEAR(Sheet3!CA12,New!$LU$2:$LU$14,New!$LT$2:$LT$14)</f>
        <v>1.0311996522870339</v>
      </c>
      <c r="CQ12" s="183">
        <f>_xlfn.FORECAST.LINEAR(Sheet3!CB12,New!$LU$2:$LU$14,New!$LT$2:$LT$14)</f>
        <v>1.0296495561932075</v>
      </c>
      <c r="CR12" s="183">
        <f>_xlfn.FORECAST.LINEAR(Sheet3!CC12,New!$LU$2:$LU$14,New!$LT$2:$LT$14)</f>
        <v>1.0277503146005507</v>
      </c>
      <c r="CS12" s="183">
        <f>_xlfn.FORECAST.LINEAR(Sheet3!CD12,New!$LU$2:$LU$14,New!$LT$2:$LT$14)</f>
        <v>1.0266264421783127</v>
      </c>
      <c r="CT12" s="183">
        <f>_xlfn.FORECAST.LINEAR(Sheet3!CE12,New!$LU$2:$LU$14,New!$LT$2:$LT$14)</f>
        <v>1.0253253300806482</v>
      </c>
      <c r="CU12" s="183">
        <f>_xlfn.FORECAST.LINEAR(Sheet3!CF12,New!$LU$2:$LU$14,New!$LT$2:$LT$14)</f>
        <v>1.0238932908697558</v>
      </c>
      <c r="CV12" s="183">
        <f>_xlfn.FORECAST.LINEAR(Sheet3!CG12,New!$LU$2:$LU$14,New!$LT$2:$LT$14)</f>
        <v>1.0223165460763906</v>
      </c>
      <c r="CW12" s="186">
        <f>EXP((17.625*Sheet3!BA12)/(243.04+Sheet3!BA12)) / EXP((17.625*Sheet3!DF12)/(243.04+Sheet3!DF12))</f>
        <v>1.5504738330626903E-2</v>
      </c>
      <c r="CX12" s="183">
        <f>EXP((17.625*(Sheet3!BC12+273))/(243.04+(Sheet3!BC12+273)))/EXP((17.625*(Sheet3!BZ12+273))/(243.04+(Sheet3!BZ12+273)))</f>
        <v>0.25591655479019559</v>
      </c>
      <c r="CY12" s="183">
        <f>EXP((17.625*(Sheet3!BE12+273))/(243.04+(Sheet3!BE12+273))) / EXP((17.625*(Sheet3!CA12+273))/(243.04+(Sheet3!CA12+273)))</f>
        <v>0.28143559675965263</v>
      </c>
      <c r="CZ12" s="183">
        <f>EXP((17.625*(Sheet3!BG12+273))/(243.04+(Sheet3!BG12+273))) / EXP((17.625*(Sheet3!CB12+273))/(243.04+(Sheet3!CB12+273)))</f>
        <v>0.3021808175466878</v>
      </c>
      <c r="DA12" s="183">
        <f>EXP((17.625*(Sheet3!BI12+273))/(243.04+(Sheet3!BI12+273))) / EXP((17.625*(Sheet3!CC12+273))/(243.04+(Sheet3!CC12+273)))</f>
        <v>0.33025674470842936</v>
      </c>
      <c r="DB12" s="183">
        <f>EXP((17.625*(Sheet3!BK12+273))/(243.04+(Sheet3!BK12+273)))/EXP((17.625*(Sheet3!CD12+273))/(243.04+(Sheet3!CD12+273)))</f>
        <v>0.34921776129709675</v>
      </c>
      <c r="DC12" s="183">
        <f>EXP((17.625*(Sheet3!BM12+273))/(243.04+(Sheet3!BM12+273))) / EXP((17.625*(Sheet3!CE12+273))/(243.04+(Sheet3!CE12+273)))</f>
        <v>0.37169930225299752</v>
      </c>
      <c r="DD12" s="183">
        <f>EXP((17.625*(Sheet3!BO12+273))/(243.04+(Sheet3!BO12+273))) / EXP((17.625*(Sheet3!CF12+273))/(243.04+(Sheet3!CF12+273)))</f>
        <v>0.40029026018190245</v>
      </c>
      <c r="DE12" s="183">
        <f>EXP((17.625*(Sheet3!BQ12+273))/(243.04+(Sheet3!BQ12+273))) / EXP((17.625*(Sheet3!CG12+273))/(243.04+(Sheet3!CG12+273)))</f>
        <v>0.43372066282108895</v>
      </c>
      <c r="DF12" s="186">
        <f>((Sheet3!DA12-Sheet3!DB12)/New!$LQ$3)/(((Sheet3!DA12-Sheet3!DB12)/New!$LQ$3)+(Sheet3!DB12/New!$LP$3))</f>
        <v>0.71998220881437225</v>
      </c>
      <c r="DG12" s="183">
        <f>((Sheet3!DA12-Sheet3!DB12)/New!$LQ$3)/(((Sheet3!DA12-Sheet3!DB12)/New!$LQ$3)+((Sheet3!DB12-(Sheet3!B12*0.004))/New!$LP$3))</f>
        <v>0.72003597491657767</v>
      </c>
      <c r="DH12" s="183" cm="1">
        <f t="array" ref="DH12">((Sheet3!DA12-Sheet3!DB12)/New!$LQ$3)/(((Sheet3!DA12-Sheet3!DB12)/New!$LQ$3)+((Sheet3!DB12-(SUM(Sheet3!B12:C12*0.004)))/New!$LP$3))</f>
        <v>0.73047311865724951</v>
      </c>
      <c r="DI12" s="183" cm="1">
        <f t="array" ref="DI12">((Sheet3!DA12-Sheet3!DB12)/New!$LQ$3)/(((Sheet3!DA12-Sheet3!DB12)/New!$LQ$3)+((Sheet3!DB12-(SUM(Sheet3!B12:D12*0.004)))/New!$LP$3))</f>
        <v>0.73054691310348319</v>
      </c>
      <c r="DJ12" s="183" cm="1">
        <f t="array" ref="DJ12">((Sheet3!DA12-Sheet3!DB12)/New!$LQ$3)/(((Sheet3!DA12-Sheet3!DB12)/New!$LQ$3)+((Sheet3!DB12-(SUM(Sheet3!B12:E12*0.004)))/New!$LP$3))</f>
        <v>0.74319788259390229</v>
      </c>
      <c r="DK12" s="183" cm="1">
        <f t="array" ref="DK12">((Sheet3!DA12-Sheet3!DB12)/New!$LQ$3)/(((Sheet3!DA12-Sheet3!DB12)/New!$LQ$3)+((Sheet3!DB12-(SUM(Sheet3!B12:F12*0.004)))/New!$LP$3))</f>
        <v>0.74329336999323603</v>
      </c>
      <c r="DL12" s="183" cm="1">
        <f t="array" ref="DL12">((Sheet3!DA12-Sheet3!DB12)/New!$LQ$3)/(((Sheet3!DA12-Sheet3!DB12)/New!$LQ$3)+((Sheet3!DB12-(SUM(Sheet3!B12:G12*0.004)))/New!$LP$3))</f>
        <v>0.75690821992853041</v>
      </c>
      <c r="DM12" s="183" cm="1">
        <f t="array" ref="DM12">((Sheet3!DA12-Sheet3!DB12)/New!$LQ$3)/(((Sheet3!DA12-Sheet3!DB12)/New!$LQ$3)+((Sheet3!DB12-(SUM(Sheet3!B12:H12*0.004)))/New!$LP$3))</f>
        <v>0.75702707486449872</v>
      </c>
      <c r="DN12" s="183" cm="1">
        <f t="array" ref="DN12">((Sheet3!DA12-Sheet3!DB12)/New!$LQ$3)/(((Sheet3!DA12-Sheet3!DB12)/New!$LQ$3)+((Sheet3!DB12-(SUM(Sheet3!B12:I12*0.004)))/New!$LP$3))</f>
        <v>0.77055873300449307</v>
      </c>
      <c r="DO12" s="186">
        <f>(Sheet3!DB12/$LP$3) / ((Sheet3!DB12/$LP$3) + ((Sheet3!DA12-Sheet3!DB12)/$LQ$3))</f>
        <v>0.28001779118562781</v>
      </c>
      <c r="DP12" s="183">
        <f>((Sheet3!$DB12-(Sheet3!B12/4000)) / $LP$3) / (((Sheet3!$DA12-Sheet3!DB12) / $LQ$3) + (Sheet3!$DB12-((Sheet3!B12/4000)))/$LP$3)</f>
        <v>0.2800144310394827</v>
      </c>
      <c r="DQ12" s="183">
        <f>((Sheet3!$DB12-(SUM(Sheet3!B12:C12)/4000))/$LP$3)/(((Sheet3!$DA12-Sheet3!$DB12)/$LQ$3)+(Sheet3!$DB12-(SUM(Sheet3!B12:C12)/4000))/$LP$3)</f>
        <v>0.27937094547631353</v>
      </c>
      <c r="DR12" s="183">
        <f>((Sheet3!$DB12-(SUM(Sheet3!B12:D12)/4000))/$LP$3)/(((Sheet3!$DA12-Sheet3!$DB12)/$LQ$3)+(Sheet3!$DB12-(SUM(Sheet3!B12:D12)/4000))/$LP$3)</f>
        <v>0.27936645722064535</v>
      </c>
      <c r="DS12" s="183">
        <f>((Sheet3!$DB12-(SUM(Sheet3!B12:E12)/4000))/$LP$3)/(((Sheet3!$DA12-Sheet3!$DB12)/$LQ$3)+(Sheet3!$DB12-(SUM(Sheet3!B12:E12)/4000))/$LP$3)</f>
        <v>0.27860938691561277</v>
      </c>
      <c r="DT12" s="183">
        <f>((Sheet3!$DB12-(SUM(Sheet3!B12:F12)/4000))/$LP$3)/(((Sheet3!$DA12-Sheet3!$DB12)/$LQ$3)+(Sheet3!$DB12-(SUM(Sheet3!B12:F12)/4000))/$LP$3)</f>
        <v>0.27860376472302462</v>
      </c>
      <c r="DU12" s="183">
        <f>((Sheet3!$DB12-(SUM(Sheet3!B12:G12)/4000))/$LP$3)/(((Sheet3!$DA12-Sheet3!$DB12)/$LQ$3)+(Sheet3!$DB12-(SUM(Sheet3!B12:G12)/4000))/$LP$3)</f>
        <v>0.27781579187170063</v>
      </c>
      <c r="DV12" s="183">
        <f>((Sheet3!$DB12-(SUM(Sheet3!B12:H12)/4000))/$LP$3)/(((Sheet3!$DA12-Sheet3!$DB12)/$LQ$3)+(Sheet3!$DB12-(SUM(Sheet3!B12:H12)/4000))/$LP$3)</f>
        <v>0.27780903037801019</v>
      </c>
      <c r="DW12" s="183">
        <f>((Sheet3!$DB12-(SUM(Sheet3!B12:I12)/4000))/$LP$3)/(((Sheet3!$DA12-Sheet3!$DB12)/$LQ$3)+(Sheet3!$DB12-(SUM(Sheet3!B12:I12)/4000))/$LP$3)</f>
        <v>0.27705207034842005</v>
      </c>
      <c r="DX12" s="186">
        <f>($LR$2*($LP$3/1000))/($LP$2*(Sheet3!DF12+273))*DO12</f>
        <v>0.13136529067803598</v>
      </c>
      <c r="DY12" s="183">
        <f>(($LR$2*($LP$3/1000))/($LP$2*(Sheet3!BZ12+273)))*(DP12)</f>
        <v>0.13123469896409701</v>
      </c>
      <c r="DZ12" s="183">
        <f>(($LR$2*($LP$3/1000))/($LP$2*(Sheet3!CA12+273)))*(DQ12)</f>
        <v>0.13412178109443473</v>
      </c>
      <c r="EA12" s="183">
        <f>(($LR$2*($LP$3/1000))/($LP$2*(Sheet3!CB12+273)))*(DR12)</f>
        <v>0.13659478422696578</v>
      </c>
      <c r="EB12" s="183">
        <f>(($LR$2*($LP$3/1000))/($LP$2*(Sheet3!CC12+273)))*(DS12)</f>
        <v>0.13937614249300842</v>
      </c>
      <c r="EC12" s="183">
        <f>(($LR$2*($LP$3/1000))/($LP$2*(Sheet3!CD12+273)))*(DT12)</f>
        <v>0.14130782677509696</v>
      </c>
      <c r="ED12" s="183">
        <f>(($LR$2*($LP$3/1000))/($LP$2*(Sheet3!CE12+273)))*(DU12)</f>
        <v>0.1432093836668033</v>
      </c>
      <c r="EE12" s="183">
        <f>(($LR$2*($LP$3/1000))/($LP$2*(Sheet3!CF12+273)))*(DV12)</f>
        <v>0.14582709591834045</v>
      </c>
      <c r="EF12" s="183">
        <f>(($LR$2*($LP$3/1000))/($LP$2*(Sheet3!CG12+273)))*(DW12)</f>
        <v>0.14842091938712257</v>
      </c>
      <c r="EG12" s="186">
        <f>(($LR$2*($LQ$3/1000))/($LQ$2*(Sheet3!DF12+273)))*(1-DO12)</f>
        <v>0.5429765348025487</v>
      </c>
      <c r="EH12" s="183">
        <f>(($LR$2*($LQ$3/1000))/($LQ$2*(Sheet3!BZ12+273)))*(1-DP12)</f>
        <v>0.54244579648154234</v>
      </c>
      <c r="EI12" s="183">
        <f>(($LR$2*($LQ$3/1000))/($LQ$2*(Sheet3!CA12+273)))*(1-DQ12)</f>
        <v>0.55615280724466443</v>
      </c>
      <c r="EJ12" s="183">
        <f>(($LR$2*($LQ$3/1000))/($LQ$2*(Sheet3!CB12+273)))*(1-DR12)</f>
        <v>0.56642005286431496</v>
      </c>
      <c r="EK12" s="183">
        <f>(($LR$2*($LQ$3/1000))/($LQ$2*(Sheet3!CC12+273)))*(1-DS12)</f>
        <v>0.58013287093232413</v>
      </c>
      <c r="EL12" s="183">
        <f>(($LR$2*($LQ$3/1000))/($LQ$2*(Sheet3!CD12+273)))*(1-DT12)</f>
        <v>0.58818967841933611</v>
      </c>
      <c r="EM12" s="183">
        <f>(($LR$2*($LQ$3/1000))/($LQ$2*(Sheet3!CE12+273)))*(1-DU12)</f>
        <v>0.5984485590210159</v>
      </c>
      <c r="EN12" s="183">
        <f>(($LR$2*($LQ$3/1000))/($LQ$2*(Sheet3!CF12+273)))*(1-DV12)</f>
        <v>0.60940808701284754</v>
      </c>
      <c r="EO12" s="183">
        <f>(($LR$2*($LQ$3/1000))/($LQ$2*(Sheet3!CG12+273)))*(1-DW12)</f>
        <v>0.62259413758235482</v>
      </c>
      <c r="EP12" s="186">
        <f t="shared" si="132"/>
        <v>4614.3345807568448</v>
      </c>
      <c r="EQ12" s="183">
        <f xml:space="preserve"> (($FV12-(Sheet3!B12/4000))*0.018)/(0.011*JO12*3600)</f>
        <v>4610.5512501572784</v>
      </c>
      <c r="ER12" s="183">
        <f>((($FV12-(SUM(Sheet3!B12:C12)/4000))*0.018)/(0.011*JP12*3600))</f>
        <v>4699.1721497251438</v>
      </c>
      <c r="ES12" s="183">
        <f>((($FV12-(SUM(Sheet3!B12:D12)/4000))*0.018)/(0.011*JQ12*3600))</f>
        <v>4770.6497628907464</v>
      </c>
      <c r="ET12" s="183">
        <f>((($FV12-(SUM(Sheet3!B12:E12)/4000))*0.018)/(0.011*JR12))/3600</f>
        <v>4856.162625182541</v>
      </c>
      <c r="EU12" s="183">
        <f>((($FV12-(SUM(Sheet3!B12:F12)/4000))*0.018)/(0.011*JS12))/3600</f>
        <v>4911.3859940516877</v>
      </c>
      <c r="EV12" s="183">
        <f>((($FV12-(SUM(Sheet3!B12:G12)/4000))*0.018)/(0.011*JT12))/3600</f>
        <v>4971.4412349368276</v>
      </c>
      <c r="EW12" s="183">
        <f>((($FV12-(SUM(Sheet3!B12:H12)/4000))*0.018)/(0.011*JU12))/3600</f>
        <v>5045.5820826415256</v>
      </c>
      <c r="EX12" s="183">
        <f>((($FV12-(SUM(Sheet3!B12:I12)/4000))*0.018)/(0.011*JV12))/3600</f>
        <v>5124.3958831094778</v>
      </c>
      <c r="EY12" s="186">
        <f t="shared" si="133"/>
        <v>47.293477648467508</v>
      </c>
      <c r="EZ12" s="183">
        <f t="shared" si="134"/>
        <v>47.263400904520253</v>
      </c>
      <c r="FA12" s="183">
        <f t="shared" si="135"/>
        <v>47.949373416564121</v>
      </c>
      <c r="FB12" s="183">
        <f t="shared" si="136"/>
        <v>48.519671461003703</v>
      </c>
      <c r="FC12" s="183">
        <f t="shared" si="137"/>
        <v>49.183592660759224</v>
      </c>
      <c r="FD12" s="183">
        <f t="shared" si="138"/>
        <v>49.628242563328349</v>
      </c>
      <c r="FE12" s="183">
        <f t="shared" si="139"/>
        <v>50.090517265900665</v>
      </c>
      <c r="FF12" s="183">
        <f t="shared" si="140"/>
        <v>50.692525790595816</v>
      </c>
      <c r="FG12" s="183">
        <f t="shared" si="141"/>
        <v>51.31317649960048</v>
      </c>
      <c r="FH12" s="186">
        <f t="shared" si="28"/>
        <v>109.51548405144501</v>
      </c>
      <c r="FI12" s="183">
        <f t="shared" si="29"/>
        <v>109.581272296295</v>
      </c>
      <c r="FJ12" s="183">
        <f t="shared" si="30"/>
        <v>107.81250582798495</v>
      </c>
      <c r="FK12" s="183">
        <f t="shared" si="31"/>
        <v>106.58315832131277</v>
      </c>
      <c r="FL12" s="183">
        <f t="shared" si="32"/>
        <v>104.89258791929123</v>
      </c>
      <c r="FM12" s="183">
        <f t="shared" si="33"/>
        <v>103.97393377085223</v>
      </c>
      <c r="FN12" s="183">
        <f t="shared" si="34"/>
        <v>102.73833692069262</v>
      </c>
      <c r="FO12" s="183">
        <f t="shared" si="35"/>
        <v>101.5389531996753</v>
      </c>
      <c r="FP12" s="183">
        <f t="shared" si="36"/>
        <v>100.05169574273611</v>
      </c>
      <c r="FQ12" s="314">
        <f>Sheet3!CV12</f>
        <v>2</v>
      </c>
      <c r="FR12" s="183">
        <v>5000</v>
      </c>
      <c r="FS12" s="183">
        <v>20</v>
      </c>
      <c r="FT12" s="183">
        <v>0.17580000000000001</v>
      </c>
      <c r="FU12" s="183">
        <v>23.44</v>
      </c>
      <c r="FV12" s="183">
        <v>231</v>
      </c>
      <c r="FW12" s="183">
        <v>45</v>
      </c>
      <c r="FX12" s="183">
        <v>453</v>
      </c>
      <c r="FY12" s="183">
        <v>10.44</v>
      </c>
      <c r="FZ12" s="183">
        <v>21.56</v>
      </c>
      <c r="GA12" s="183">
        <v>195</v>
      </c>
      <c r="GB12" s="186">
        <f>EXP($LP$6-($LQ$6/('Trial and Error method'!T12+$LP$8))) / ($LR$2/1000)</f>
        <v>0.10427534976587555</v>
      </c>
      <c r="GC12" s="183">
        <f>EXP($LP$6-($LQ$6/('Trial and Error method'!U12+$LP$8))) / ($LR$2/1000)</f>
        <v>0.13792883256865407</v>
      </c>
      <c r="GD12" s="183">
        <f>EXP($LP$6-($LQ$6/('Trial and Error method'!V12+$LP$8))) / ($LR$2/1000)</f>
        <v>0.12907516668884358</v>
      </c>
      <c r="GE12" s="183">
        <f>EXP($LP$6-($LQ$6/('Trial and Error method'!W12+$LP$8))) / ($LR$2/1000)</f>
        <v>0.12170282690686847</v>
      </c>
      <c r="GF12" s="183">
        <f>EXP($LP$6-($LQ$6/('Trial and Error method'!X12+$LP$8))) / ($LR$2/1000)</f>
        <v>0.11340939658899189</v>
      </c>
      <c r="GG12" s="183">
        <f>EXP($LP$6-($LQ$6/('Trial and Error method'!Y12+$LP$8))) / ($LR$2/1000)</f>
        <v>0.10753047902318096</v>
      </c>
      <c r="GH12" s="183">
        <f>EXP($LP$6-($LQ$6/('Trial and Error method'!Z12+$LP$8))) / ($LR$2/1000)</f>
        <v>0.10181621331446544</v>
      </c>
      <c r="GI12" s="183">
        <f>EXP($LP$6-($LQ$6/('Trial and Error method'!AA12+$LP$8))) / ($LR$2/1000)</f>
        <v>9.7594099678537008E-2</v>
      </c>
      <c r="GJ12" s="183">
        <f>EXP($LP$6-($LQ$6/('Trial and Error method'!AB12+$LP$8))) / ($LR$2/1000)</f>
        <v>9.3616115567335914E-2</v>
      </c>
      <c r="GK12" s="188">
        <f t="shared" si="142"/>
        <v>0.80465736119034881</v>
      </c>
      <c r="GL12" s="165">
        <f t="shared" si="143"/>
        <v>0.78889697337273335</v>
      </c>
      <c r="GM12" s="165">
        <f t="shared" si="144"/>
        <v>0.79340580306238984</v>
      </c>
      <c r="GN12" s="165">
        <f t="shared" si="145"/>
        <v>0.79686751736192796</v>
      </c>
      <c r="GO12" s="165">
        <f t="shared" si="146"/>
        <v>0.80115389605079979</v>
      </c>
      <c r="GP12" s="165">
        <f t="shared" si="147"/>
        <v>0.80390141145055771</v>
      </c>
      <c r="GQ12" s="165">
        <f t="shared" si="148"/>
        <v>0.80698781913264372</v>
      </c>
      <c r="GR12" s="165">
        <f t="shared" si="149"/>
        <v>0.80895558669591727</v>
      </c>
      <c r="GS12" s="165">
        <f t="shared" si="150"/>
        <v>0.81121221681802658</v>
      </c>
      <c r="GT12" s="188">
        <f t="shared" si="38"/>
        <v>7.0572713943429288E-2</v>
      </c>
      <c r="GU12" s="165">
        <f t="shared" si="39"/>
        <v>7.1978871654205939E-2</v>
      </c>
      <c r="GV12" s="165">
        <f t="shared" si="40"/>
        <v>7.1502122157268741E-2</v>
      </c>
      <c r="GW12" s="165">
        <f t="shared" si="41"/>
        <v>7.1165865562792294E-2</v>
      </c>
      <c r="GX12" s="165">
        <f t="shared" si="42"/>
        <v>7.07353277199263E-2</v>
      </c>
      <c r="GY12" s="165">
        <f t="shared" si="43"/>
        <v>7.0485303414458592E-2</v>
      </c>
      <c r="GZ12" s="165">
        <f t="shared" si="44"/>
        <v>7.0182486468078009E-2</v>
      </c>
      <c r="HA12" s="165">
        <f t="shared" si="45"/>
        <v>7.0013003048414346E-2</v>
      </c>
      <c r="HB12" s="165">
        <f t="shared" si="46"/>
        <v>6.9794135247021036E-2</v>
      </c>
      <c r="HC12" s="188">
        <f>BV12*Sheet3!DF12</f>
        <v>235.76594707824952</v>
      </c>
      <c r="HD12" s="165">
        <f>BW12*Sheet3!BZ12</f>
        <v>236.34301741624193</v>
      </c>
      <c r="HE12" s="165">
        <f>BX12*Sheet3!CA12</f>
        <v>221.91678548171299</v>
      </c>
      <c r="HF12" s="165">
        <f>BY12*Sheet3!CB12</f>
        <v>211.56571288820638</v>
      </c>
      <c r="HG12" s="165">
        <f>BZ12*Sheet3!CC12</f>
        <v>198.48340737240645</v>
      </c>
      <c r="HH12" s="165">
        <f>CA12*Sheet3!CD12</f>
        <v>191.05115669402394</v>
      </c>
      <c r="HI12" s="165">
        <f>CB12*Sheet3!CE12</f>
        <v>182.04065574875636</v>
      </c>
      <c r="HJ12" s="165">
        <f>CC12*Sheet3!CF12</f>
        <v>172.6504398567981</v>
      </c>
      <c r="HK12" s="165">
        <f>CD12*Sheet3!CG12</f>
        <v>161.97962406338121</v>
      </c>
      <c r="HL12" s="188">
        <f>(CE12*Sheet3!DF12)+2501</f>
        <v>2878.5085103684373</v>
      </c>
      <c r="HM12" s="165">
        <f>(CF12*Sheet3!BZ12)+2501</f>
        <v>2879.4487753694093</v>
      </c>
      <c r="HN12" s="165">
        <f>(CG12*Sheet3!CA12)+2501</f>
        <v>2856.7625802115817</v>
      </c>
      <c r="HO12" s="165">
        <f>(CH12*Sheet3!CB12)+2501</f>
        <v>2839.9838124370185</v>
      </c>
      <c r="HP12" s="165">
        <f>(CI12*Sheet3!CC12)+2501</f>
        <v>2819.5426752981198</v>
      </c>
      <c r="HQ12" s="165">
        <f>(CJ12*Sheet3!CD12)+2501</f>
        <v>2807.5067989902982</v>
      </c>
      <c r="HR12" s="165">
        <f>(CK12*Sheet3!CE12)+2501</f>
        <v>2793.6280788834733</v>
      </c>
      <c r="HS12" s="165">
        <f>(CL12*Sheet3!CF12)+2501</f>
        <v>2778.4205751430281</v>
      </c>
      <c r="HT12" s="165">
        <f>(CM12*Sheet3!CG12)+2501</f>
        <v>2761.7573269239147</v>
      </c>
      <c r="HU12" s="188">
        <f>-0.0021*(Sheet3!DF12^2) - 2.2115*(Sheet3!DF12) + 2499</f>
        <v>1987.905</v>
      </c>
      <c r="HV12" s="165">
        <f>-0.0021*(Sheet3!BZ12^2) - 2.2115*(Sheet3!BZ12) + 2499</f>
        <v>1986.5102661972705</v>
      </c>
      <c r="HW12" s="165">
        <f>-0.0021*(Sheet3!CA12^2) - 2.2115*(Sheet3!CA12) + 2499</f>
        <v>2020.0230680691066</v>
      </c>
      <c r="HX12" s="165">
        <f>-0.0021*(Sheet3!CB12^2) - 2.2115*(Sheet3!CB12) + 2499</f>
        <v>2044.6206539784653</v>
      </c>
      <c r="HY12" s="165">
        <f>-0.0021*(Sheet3!CC12^2) - 2.2115*(Sheet3!CC12) + 2499</f>
        <v>2074.3654407822751</v>
      </c>
      <c r="HZ12" s="165">
        <f>-0.0021*(Sheet3!CD12^2) - 2.2115*(Sheet3!CD12) + 2499</f>
        <v>2091.7629404613936</v>
      </c>
      <c r="IA12" s="165">
        <f>-0.0021*(Sheet3!CE12^2) - 2.2115*(Sheet3!CE12) + 2499</f>
        <v>2111.7147341549512</v>
      </c>
      <c r="IB12" s="165">
        <f>-0.0021*(Sheet3!CF12^2) - 2.2115*(Sheet3!CF12) + 2499</f>
        <v>2133.4393073889692</v>
      </c>
      <c r="IC12" s="165">
        <f>-0.0021*(Sheet3!CG12^2) - 2.2115*(Sheet3!CG12) + 2499</f>
        <v>2157.0743858384481</v>
      </c>
      <c r="ID12" s="188">
        <f t="shared" si="47"/>
        <v>0.66005466091170684</v>
      </c>
      <c r="IE12" s="165">
        <f t="shared" si="48"/>
        <v>0.6598357645123224</v>
      </c>
      <c r="IF12" s="165">
        <f t="shared" si="49"/>
        <v>0.66427700313453819</v>
      </c>
      <c r="IG12" s="165">
        <f t="shared" si="50"/>
        <v>0.66855872058408727</v>
      </c>
      <c r="IH12" s="165">
        <f t="shared" si="51"/>
        <v>0.67302725600748103</v>
      </c>
      <c r="II12" s="165">
        <f t="shared" si="52"/>
        <v>0.67654396861252786</v>
      </c>
      <c r="IJ12" s="165">
        <f t="shared" si="53"/>
        <v>0.67958558478075626</v>
      </c>
      <c r="IK12" s="165">
        <f t="shared" si="54"/>
        <v>0.68455087556350414</v>
      </c>
      <c r="IL12" s="165">
        <f t="shared" si="55"/>
        <v>0.68913808928168518</v>
      </c>
      <c r="IM12" s="188">
        <f t="shared" si="56"/>
        <v>24.655232390520304</v>
      </c>
      <c r="IN12" s="165">
        <f t="shared" si="151"/>
        <v>20.316360432279268</v>
      </c>
      <c r="IO12" s="165">
        <f t="shared" si="152"/>
        <v>21.708111512105216</v>
      </c>
      <c r="IP12" s="165">
        <f t="shared" si="153"/>
        <v>22.941193166162279</v>
      </c>
      <c r="IQ12" s="165">
        <f t="shared" si="154"/>
        <v>24.239946443132006</v>
      </c>
      <c r="IR12" s="165">
        <f t="shared" si="155"/>
        <v>25.222796422544643</v>
      </c>
      <c r="IS12" s="165">
        <f t="shared" si="156"/>
        <v>26.084086312662023</v>
      </c>
      <c r="IT12" s="165">
        <f t="shared" si="157"/>
        <v>26.918432566351669</v>
      </c>
      <c r="IU12" s="165">
        <f t="shared" si="158"/>
        <v>27.61649237032718</v>
      </c>
      <c r="IV12" s="188">
        <f>_xlfn.FORECAST.LINEAR(Sheet3!DF12,Sheet2!$AK$2:$AK$69,Sheet2!$AJ$2:$AJ$69)</f>
        <v>1.5612789020531534E-5</v>
      </c>
      <c r="IW12" s="165">
        <f>_xlfn.FORECAST.LINEAR(Sheet3!BZ12,Sheet2!$AK$2:$AK$69,Sheet2!$AJ$2:$AJ$69)</f>
        <v>1.5628897679415712E-5</v>
      </c>
      <c r="IX12" s="165">
        <f>_xlfn.FORECAST.LINEAR(Sheet3!CA12,Sheet2!$AK$2:$AK$69,Sheet2!$AJ$2:$AJ$69)</f>
        <v>1.5238952998954084E-5</v>
      </c>
      <c r="IY12" s="165">
        <f>_xlfn.FORECAST.LINEAR(Sheet3!CB12,Sheet2!$AK$2:$AK$69,Sheet2!$AJ$2:$AJ$69)</f>
        <v>1.4948809824074397E-5</v>
      </c>
      <c r="IZ12" s="165">
        <f>_xlfn.FORECAST.LINEAR(Sheet3!CC12,Sheet2!$AK$2:$AK$69,Sheet2!$AJ$2:$AJ$69)</f>
        <v>1.4593314453334686E-5</v>
      </c>
      <c r="JA12" s="165">
        <f>_xlfn.FORECAST.LINEAR(Sheet3!CD12,Sheet2!$AK$2:$AK$69,Sheet2!$AJ$2:$AJ$69)</f>
        <v>1.4382950777142908E-5</v>
      </c>
      <c r="JB12" s="165">
        <f>_xlfn.FORECAST.LINEAR(Sheet3!CE12,Sheet2!$AK$2:$AK$69,Sheet2!$AJ$2:$AJ$69)</f>
        <v>1.4139411814368786E-5</v>
      </c>
      <c r="JC12" s="165">
        <f>_xlfn.FORECAST.LINEAR(Sheet3!CF12,Sheet2!$AK$2:$AK$69,Sheet2!$AJ$2:$AJ$69)</f>
        <v>1.3871366236513768E-5</v>
      </c>
      <c r="JD12" s="165">
        <f>_xlfn.FORECAST.LINEAR(Sheet3!CG12,Sheet2!$AK$2:$AK$69,Sheet2!$AJ$2:$AJ$69)</f>
        <v>1.3576235023588305E-5</v>
      </c>
      <c r="JE12" s="188">
        <f>_xlfn.FORECAST.LINEAR(Sheet3!DF12,New!$MC$2:$MC$18,New!$MB$2:$MB$18)</f>
        <v>2.5435874579642874E-5</v>
      </c>
      <c r="JF12" s="165">
        <f>_xlfn.FORECAST.LINEAR(Sheet3!BZ12,New!$MC$2:$MC$18,New!$MB$2:$MB$18)</f>
        <v>2.5454810696971472E-5</v>
      </c>
      <c r="JG12" s="165">
        <f>_xlfn.FORECAST.LINEAR(Sheet3!CA12,New!$MC$2:$MC$18,New!$MB$2:$MB$18)</f>
        <v>2.4996421313101847E-5</v>
      </c>
      <c r="JH12" s="165">
        <f>_xlfn.FORECAST.LINEAR(Sheet3!CB12,New!$MC$2:$MC$18,New!$MB$2:$MB$18)</f>
        <v>2.4655351007925149E-5</v>
      </c>
      <c r="JI12" s="165">
        <f>_xlfn.FORECAST.LINEAR(Sheet3!CC12,New!$MC$2:$MC$18,New!$MB$2:$MB$18)</f>
        <v>2.4237457619127107E-5</v>
      </c>
      <c r="JJ12" s="165">
        <f>_xlfn.FORECAST.LINEAR(Sheet3!CD12,New!$MC$2:$MC$18,New!$MB$2:$MB$18)</f>
        <v>2.3990170040273754E-5</v>
      </c>
      <c r="JK12" s="165">
        <f>_xlfn.FORECAST.LINEAR(Sheet3!CE12,New!$MC$2:$MC$18,New!$MB$2:$MB$18)</f>
        <v>2.3703884111300137E-5</v>
      </c>
      <c r="JL12" s="165">
        <f>_xlfn.FORECAST.LINEAR(Sheet3!CF12,New!$MC$2:$MC$18,New!$MB$2:$MB$18)</f>
        <v>2.3388790064789531E-5</v>
      </c>
      <c r="JM12" s="165">
        <f>_xlfn.FORECAST.LINEAR(Sheet3!CG12,New!$MC$2:$MC$18,New!$MB$2:$MB$18)</f>
        <v>2.3041856200495128E-5</v>
      </c>
      <c r="JN12" s="188">
        <f t="shared" si="159"/>
        <v>2.275517697348636E-5</v>
      </c>
      <c r="JO12" s="165">
        <f t="shared" si="160"/>
        <v>2.2773775497523704E-5</v>
      </c>
      <c r="JP12" s="165">
        <f t="shared" si="161"/>
        <v>2.2330408096311062E-5</v>
      </c>
      <c r="JQ12" s="165">
        <f t="shared" si="162"/>
        <v>2.1995741143894651E-5</v>
      </c>
      <c r="JR12" s="165">
        <f t="shared" si="163"/>
        <v>2.1592643092280057E-5</v>
      </c>
      <c r="JS12" s="165">
        <f t="shared" si="164"/>
        <v>2.134974084887914E-5</v>
      </c>
      <c r="JT12" s="165">
        <f t="shared" si="165"/>
        <v>2.1075834506691926E-5</v>
      </c>
      <c r="JU12" s="165">
        <f t="shared" si="166"/>
        <v>2.07660066158783E-5</v>
      </c>
      <c r="JV12" s="165">
        <f t="shared" si="167"/>
        <v>2.0431743233225549E-5</v>
      </c>
      <c r="JW12" s="188">
        <f t="shared" si="66"/>
        <v>0.99665721969874532</v>
      </c>
      <c r="JX12" s="165">
        <f t="shared" si="67"/>
        <v>0.9965052419790712</v>
      </c>
      <c r="JY12" s="165">
        <f t="shared" si="68"/>
        <v>1.0002714325592679</v>
      </c>
      <c r="JZ12" s="165">
        <f t="shared" si="69"/>
        <v>1.0031968945893948</v>
      </c>
      <c r="KA12" s="165">
        <f t="shared" si="70"/>
        <v>1.0069344298017195</v>
      </c>
      <c r="KB12" s="165">
        <f t="shared" si="71"/>
        <v>1.0092301123298741</v>
      </c>
      <c r="KC12" s="165">
        <f t="shared" si="72"/>
        <v>1.01197017137337</v>
      </c>
      <c r="KD12" s="165">
        <f t="shared" si="73"/>
        <v>1.0150932429519017</v>
      </c>
      <c r="KE12" s="165">
        <f t="shared" si="74"/>
        <v>1.0186694218682466</v>
      </c>
      <c r="KF12" s="188">
        <f t="shared" si="75"/>
        <v>0.9834310683389299</v>
      </c>
      <c r="KG12" s="165">
        <f t="shared" si="76"/>
        <v>0.9835633895621585</v>
      </c>
      <c r="KH12" s="165">
        <f t="shared" si="77"/>
        <v>0.98030101035337347</v>
      </c>
      <c r="KI12" s="165">
        <f t="shared" si="78"/>
        <v>0.97779068886582354</v>
      </c>
      <c r="KJ12" s="165">
        <f t="shared" si="79"/>
        <v>0.97461335873147936</v>
      </c>
      <c r="KK12" s="165">
        <f t="shared" si="80"/>
        <v>0.9726781476803481</v>
      </c>
      <c r="KL12" s="165">
        <f t="shared" si="81"/>
        <v>0.97038445550423647</v>
      </c>
      <c r="KM12" s="165">
        <f t="shared" si="82"/>
        <v>0.96779129287985932</v>
      </c>
      <c r="KN12" s="165">
        <f t="shared" si="83"/>
        <v>0.96484921214384867</v>
      </c>
      <c r="KO12" s="188">
        <f t="shared" si="84"/>
        <v>0.65238706998222229</v>
      </c>
      <c r="KP12" s="165">
        <f t="shared" si="85"/>
        <v>0.65272297462105078</v>
      </c>
      <c r="KQ12" s="165">
        <f t="shared" si="86"/>
        <v>0.64635056829638893</v>
      </c>
      <c r="KR12" s="165">
        <f t="shared" si="87"/>
        <v>0.64146492464428606</v>
      </c>
      <c r="KS12" s="165">
        <f t="shared" si="88"/>
        <v>0.63531496294600087</v>
      </c>
      <c r="KT12" s="165">
        <f t="shared" si="89"/>
        <v>0.6315780110894661</v>
      </c>
      <c r="KU12" s="165">
        <f t="shared" si="90"/>
        <v>0.62717620942463703</v>
      </c>
      <c r="KV12" s="165">
        <f t="shared" si="91"/>
        <v>0.62220320197469614</v>
      </c>
      <c r="KW12" s="165">
        <f t="shared" si="92"/>
        <v>0.61668451327292595</v>
      </c>
      <c r="KX12" s="188">
        <f>AVERAGE(Sheet3!J12:P12)*KO12^(1/3)/ID12^(1/3)</f>
        <v>92.822355530503259</v>
      </c>
      <c r="KY12" s="165">
        <f>Sheet3!J12*KP12^(1/3)/IE12^(1/3)</f>
        <v>63.659112078037651</v>
      </c>
      <c r="KZ12" s="165">
        <f>Sheet3!K12*KQ12^(1/3)/IF12^(1/3)</f>
        <v>73.584411351019909</v>
      </c>
      <c r="LA12" s="165">
        <f>Sheet3!L12*KR12^(1/3)/IG12^(1/3)</f>
        <v>84.21698128398026</v>
      </c>
      <c r="LB12" s="165">
        <f>Sheet3!M12*KS12^(1/3)/IH12^(1/3)</f>
        <v>93.462900788242152</v>
      </c>
      <c r="LC12" s="165">
        <f>Sheet3!N12*KT12^(1/3)/II12^(1/3)</f>
        <v>101.37438247388961</v>
      </c>
      <c r="LD12" s="165">
        <f>Sheet3!O12*KU12^(1/3)/IJ12^(1/3)</f>
        <v>108.71275227700472</v>
      </c>
      <c r="LE12" s="165">
        <f>Sheet3!P12*KV12^(1/3)/IK12^(1/3)</f>
        <v>114.39540601759765</v>
      </c>
      <c r="LF12" s="165">
        <f>Sheet3!Q12*KW12^(1/3)/IL12^(1/3)</f>
        <v>115.71022681424985</v>
      </c>
      <c r="LG12" s="186">
        <f t="shared" si="93"/>
        <v>25.895205275473305</v>
      </c>
      <c r="LH12" s="183">
        <f t="shared" si="94"/>
        <v>25.896701808760369</v>
      </c>
      <c r="LI12" s="183">
        <f t="shared" si="95"/>
        <v>26.187369099069734</v>
      </c>
      <c r="LJ12" s="183">
        <f t="shared" si="96"/>
        <v>26.189425330306801</v>
      </c>
      <c r="LK12" s="183">
        <f t="shared" si="97"/>
        <v>26.542158785204176</v>
      </c>
      <c r="LL12" s="183">
        <f t="shared" si="98"/>
        <v>26.544822816489408</v>
      </c>
      <c r="LM12" s="183">
        <f t="shared" si="99"/>
        <v>26.924913539698927</v>
      </c>
      <c r="LN12" s="183">
        <f t="shared" si="100"/>
        <v>26.928233770335737</v>
      </c>
      <c r="LO12" s="183">
        <f t="shared" si="101"/>
        <v>27.306473955136909</v>
      </c>
      <c r="LP12" s="219"/>
      <c r="LQ12" s="219"/>
      <c r="LR12" s="219"/>
      <c r="LS12" s="219"/>
      <c r="LT12" s="219">
        <v>427</v>
      </c>
      <c r="LU12" s="219">
        <v>1.075</v>
      </c>
      <c r="LV12" s="220"/>
      <c r="LW12" s="220"/>
      <c r="LX12" s="220"/>
      <c r="LY12" s="220"/>
      <c r="LZ12" s="222">
        <v>75.89</v>
      </c>
      <c r="MA12" s="220">
        <v>1.1E-5</v>
      </c>
      <c r="MB12" s="220">
        <v>100</v>
      </c>
      <c r="MC12" s="220">
        <v>2.1739999999999999E-5</v>
      </c>
      <c r="MD12" s="188">
        <f>Sheet3!DP12</f>
        <v>179.00840810818826</v>
      </c>
      <c r="ME12" s="264">
        <v>110</v>
      </c>
      <c r="MF12" s="264">
        <v>1.43</v>
      </c>
      <c r="MG12" s="264">
        <v>2.177</v>
      </c>
      <c r="MH12" s="264">
        <v>0.82599999999999996</v>
      </c>
      <c r="MI12" s="264">
        <v>12.46</v>
      </c>
      <c r="MJ12" s="264">
        <v>15.07</v>
      </c>
      <c r="MK12" s="273">
        <v>100</v>
      </c>
      <c r="ML12" s="267">
        <v>1.0129999999999999</v>
      </c>
      <c r="MM12" s="267">
        <v>0.59799999999999998</v>
      </c>
      <c r="MN12" s="267">
        <v>2.1349999999999998</v>
      </c>
      <c r="MO12" s="267">
        <v>11.97</v>
      </c>
      <c r="MP12" s="274">
        <v>20.02</v>
      </c>
      <c r="MQ12"/>
      <c r="MR12"/>
      <c r="MS12"/>
    </row>
    <row r="13" spans="1:357" ht="15" thickBot="1" x14ac:dyDescent="0.35">
      <c r="A13" s="184" t="str">
        <f>Sheet3!A13</f>
        <v>06.12.2022</v>
      </c>
      <c r="B13" s="186">
        <f t="shared" si="102"/>
        <v>0.99999032476405103</v>
      </c>
      <c r="C13" s="183">
        <f t="shared" si="103"/>
        <v>1.001739676401838</v>
      </c>
      <c r="D13" s="183">
        <f t="shared" si="0"/>
        <v>0.98588137166613032</v>
      </c>
      <c r="E13" s="183">
        <f t="shared" si="1"/>
        <v>0.97260090943188493</v>
      </c>
      <c r="F13" s="183">
        <f t="shared" si="2"/>
        <v>0.95675507649371028</v>
      </c>
      <c r="G13" s="183">
        <f t="shared" si="3"/>
        <v>0.94740364207949479</v>
      </c>
      <c r="H13" s="183">
        <f t="shared" si="4"/>
        <v>0.93539177239678239</v>
      </c>
      <c r="I13" s="183">
        <f t="shared" si="5"/>
        <v>0.92262085815487127</v>
      </c>
      <c r="J13" s="183">
        <f t="shared" si="6"/>
        <v>0.9088339589082719</v>
      </c>
      <c r="K13" s="186">
        <f xml:space="preserve"> (6.057 * (10^(-6)))
+ (4.055 * (10^(-8)) * (Sheet3!DF13 + 273))
+ (1.25 * (10^(-10)) * (Sheet3!DF13 + 273)^2)
- (3.367 * (10^(-14)) * (DD13 + 273)^3)</f>
        <v>5.3312582387828271E-5</v>
      </c>
      <c r="L13" s="183">
        <f xml:space="preserve"> (6.057 * (10^(-6)))
+ (4.055 * (10^(-8)) * (Sheet3!BZ13 + 273))
+ (1.25 * (10^(-10)) * (Sheet3!BZ13 + 273)^2)
- (3.367 * (10^(-14)) * (BX13 + 273)^3)</f>
        <v>5.348611845012755E-5</v>
      </c>
      <c r="M13" s="183">
        <f xml:space="preserve"> (6.057 * (10^(-6)))
+ (4.055 * (10^(-8)) * (Sheet3!CA13 + 273))
+ (1.25 * (10^(-10)) * (Sheet3!CA13 + 273)^2)
- (3.367 * (10^(-14)) * (BY13 + 273)^3)</f>
        <v>5.1645415779885467E-5</v>
      </c>
      <c r="N13" s="183">
        <f xml:space="preserve"> (6.057 * (10^(-6)))
+ (4.055 * (10^(-8)) * (Sheet3!CB13 + 273))
+ (1.25 * (10^(-10)) * (Sheet3!CB13 + 273)^2)
- (3.367 * (10^(-14)) * (BZ13 + 273)^3)</f>
        <v>5.0286912351061425E-5</v>
      </c>
      <c r="O13" s="183">
        <f xml:space="preserve"> (6.057 * (10^(-6)))
+ (4.055 * (10^(-8)) * (Sheet3!CC13 + 273))
+ (1.25 * (10^(-10)) * (Sheet3!CC13 + 273)^2)
- (3.367 * (10^(-14)) * (CA13 + 273)^3)</f>
        <v>4.8601361748334092E-5</v>
      </c>
      <c r="P13" s="183">
        <f xml:space="preserve"> (6.057 * (10^(-6)))
+ (4.055 * (10^(-8)) * (Sheet3!CD13 + 273))
+ (1.25 * (10^(-10)) * (Sheet3!CD13 + 273)^2)
- (3.367 * (10^(-14)) * (CB13 + 273)^3)</f>
        <v>4.7730282686128133E-5</v>
      </c>
      <c r="Q13" s="183">
        <f xml:space="preserve"> (6.057 * (10^(-6)))
+ (4.055 * (10^(-8)) * (Sheet3!CE13 + 273))
+ (1.25 * (10^(-10)) * (Sheet3!CE13 + 273)^2)
- (3.367 * (10^(-14)) * (CC13 + 273)^3)</f>
        <v>4.6510395260393209E-5</v>
      </c>
      <c r="R13" s="183">
        <f xml:space="preserve"> (6.057 * (10^(-6)))
+ (4.055 * (10^(-8)) * (Sheet3!CF13 + 273))
+ (1.25 * (10^(-10)) * (Sheet3!CF13 + 273)^2)
- (3.367 * (10^(-14)) * (CD13 + 273)^3)</f>
        <v>4.5408745847057851E-5</v>
      </c>
      <c r="S13" s="183">
        <f xml:space="preserve"> (6.057 * (10^(-6)))
+ (4.055 * (10^(-8)) * (Sheet3!CG13 + 273))
+ (1.25 * (10^(-10)) * (Sheet3!CG13 + 273)^2)
- (3.367 * (10^(-14)) * (CE13 + 273)^3)</f>
        <v>4.4126555758930803E-5</v>
      </c>
      <c r="T13" s="188">
        <f t="shared" si="104"/>
        <v>5.3312582387828271E-5</v>
      </c>
      <c r="U13" s="165">
        <f t="shared" si="105"/>
        <v>5.348611845012755E-5</v>
      </c>
      <c r="V13" s="165">
        <f t="shared" si="106"/>
        <v>5.1645415779885467E-5</v>
      </c>
      <c r="W13" s="165">
        <f t="shared" si="107"/>
        <v>5.0286912351061425E-5</v>
      </c>
      <c r="X13" s="165">
        <f t="shared" si="108"/>
        <v>4.8601361748334092E-5</v>
      </c>
      <c r="Y13" s="165">
        <f t="shared" si="109"/>
        <v>4.7730282686128133E-5</v>
      </c>
      <c r="Z13" s="165">
        <f t="shared" si="110"/>
        <v>4.6510395260393209E-5</v>
      </c>
      <c r="AA13" s="165">
        <f t="shared" si="111"/>
        <v>4.5408745847057851E-5</v>
      </c>
      <c r="AB13" s="165">
        <f t="shared" si="112"/>
        <v>4.4126555758930803E-5</v>
      </c>
      <c r="AC13" s="186">
        <f t="shared" si="8"/>
        <v>5.331206657601462E-5</v>
      </c>
      <c r="AD13" s="183">
        <f t="shared" si="9"/>
        <v>5.3579166988221146E-5</v>
      </c>
      <c r="AE13" s="183">
        <f t="shared" si="10"/>
        <v>5.0916253349341098E-5</v>
      </c>
      <c r="AF13" s="183">
        <f t="shared" si="11"/>
        <v>4.8909096685163831E-5</v>
      </c>
      <c r="AG13" s="183">
        <f t="shared" si="12"/>
        <v>4.6499599577225871E-5</v>
      </c>
      <c r="AH13" s="183">
        <f t="shared" si="13"/>
        <v>4.5219843654321643E-5</v>
      </c>
      <c r="AI13" s="183">
        <f t="shared" si="14"/>
        <v>4.3505441057494114E-5</v>
      </c>
      <c r="AJ13" s="183">
        <f t="shared" si="15"/>
        <v>4.189505606114896E-5</v>
      </c>
      <c r="AK13" s="183">
        <f t="shared" si="16"/>
        <v>4.0103712363375684E-5</v>
      </c>
      <c r="AL13" s="186">
        <f t="shared" si="113"/>
        <v>4.2563484508461161E-2</v>
      </c>
      <c r="AM13" s="183">
        <f t="shared" si="114"/>
        <v>4.2686461245712785E-2</v>
      </c>
      <c r="AN13" s="183">
        <f t="shared" si="115"/>
        <v>4.1405323582303588E-2</v>
      </c>
      <c r="AO13" s="183">
        <f t="shared" si="116"/>
        <v>4.0451527914400445E-2</v>
      </c>
      <c r="AP13" s="183">
        <f t="shared" si="117"/>
        <v>3.923732801304939E-2</v>
      </c>
      <c r="AQ13" s="183">
        <f t="shared" si="118"/>
        <v>3.8606022011396568E-2</v>
      </c>
      <c r="AR13" s="183">
        <f t="shared" si="119"/>
        <v>3.7702385210236597E-2</v>
      </c>
      <c r="AS13" s="183">
        <f t="shared" si="120"/>
        <v>3.6882676940971172E-2</v>
      </c>
      <c r="AT13" s="183">
        <f t="shared" si="121"/>
        <v>3.5912609273080473E-2</v>
      </c>
      <c r="AU13" s="186">
        <f>_xlfn.FORECAST.LINEAR(Sheet3!DF13,Sheet2!$AH$2:$AH$40,Sheet2!$AG$2:$AG$40)</f>
        <v>5.615110757455756E-2</v>
      </c>
      <c r="AV13" s="183">
        <f>_xlfn.FORECAST.LINEAR(Sheet3!BZ13,Sheet2!$AH$2:$AH$40,Sheet2!$AG$2:$AG$40)</f>
        <v>5.6436429732855606E-2</v>
      </c>
      <c r="AW13" s="183">
        <f>_xlfn.FORECAST.LINEAR(Sheet3!CA13,Sheet2!$AH$2:$AH$40,Sheet2!$AG$2:$AG$40)</f>
        <v>5.3492055174756262E-2</v>
      </c>
      <c r="AX13" s="183">
        <f>_xlfn.FORECAST.LINEAR(Sheet3!CB13,Sheet2!$AH$2:$AH$40,Sheet2!$AG$2:$AG$40)</f>
        <v>5.1283733868603562E-2</v>
      </c>
      <c r="AY13" s="183">
        <f>_xlfn.FORECAST.LINEAR(Sheet3!CC13,Sheet2!$AH$2:$AH$40,Sheet2!$AG$2:$AG$40)</f>
        <v>4.8500129581397357E-2</v>
      </c>
      <c r="AZ13" s="183">
        <f>_xlfn.FORECAST.LINEAR(Sheet3!CD13,Sheet2!$AH$2:$AH$40,Sheet2!$AG$2:$AG$40)</f>
        <v>4.7041764578152533E-2</v>
      </c>
      <c r="BA13" s="183">
        <f>_xlfn.FORECAST.LINEAR(Sheet3!CE13,Sheet2!$AH$2:$AH$40,Sheet2!$AG$2:$AG$40)</f>
        <v>4.4975893347664574E-2</v>
      </c>
      <c r="BB13" s="183">
        <f>_xlfn.FORECAST.LINEAR(Sheet3!CF13,Sheet2!$AH$2:$AH$40,Sheet2!$AG$2:$AG$40)</f>
        <v>4.3085711547458369E-2</v>
      </c>
      <c r="BC13" s="183">
        <f>_xlfn.FORECAST.LINEAR(Sheet3!CG13,Sheet2!$AH$2:$AH$40,Sheet2!$AG$2:$AG$40)</f>
        <v>4.0865505457423026E-2</v>
      </c>
      <c r="BD13" s="186">
        <f>_xlfn.FORECAST.LINEAR(Sheet3!DF13,Sheet2!$AB$12:$AB$37,Sheet2!$AA$12:$AA$37)/1000</f>
        <v>3.7324862686859299E-2</v>
      </c>
      <c r="BE13" s="183">
        <f>_xlfn.FORECAST.LINEAR(Sheet3!BZ13,Sheet2!$AB$12:$AB$37,Sheet2!$AA$12:$AA$37)/1000</f>
        <v>3.738865411723697E-2</v>
      </c>
      <c r="BF13" s="183">
        <f>_xlfn.FORECAST.LINEAR(Sheet3!CA13,Sheet2!$AB$12:$AB$37,Sheet2!$AA$12:$AA$37)/1000</f>
        <v>3.6730360118098687E-2</v>
      </c>
      <c r="BG13" s="183">
        <f>_xlfn.FORECAST.LINEAR(Sheet3!CB13,Sheet2!$AB$12:$AB$37,Sheet2!$AA$12:$AA$37)/1000</f>
        <v>3.6236630589017334E-2</v>
      </c>
      <c r="BH13" s="183">
        <f>_xlfn.FORECAST.LINEAR(Sheet3!CC13,Sheet2!$AB$12:$AB$37,Sheet2!$AA$12:$AA$37)/1000</f>
        <v>3.5614281101176926E-2</v>
      </c>
      <c r="BI13" s="183">
        <f>_xlfn.FORECAST.LINEAR(Sheet3!CD13,Sheet2!$AB$12:$AB$37,Sheet2!$AA$12:$AA$37)/1000</f>
        <v>3.5288224442540039E-2</v>
      </c>
      <c r="BJ13" s="183">
        <f>_xlfn.FORECAST.LINEAR(Sheet3!CE13,Sheet2!$AB$12:$AB$37,Sheet2!$AA$12:$AA$37)/1000</f>
        <v>3.4826343453152428E-2</v>
      </c>
      <c r="BK13" s="183">
        <f>_xlfn.FORECAST.LINEAR(Sheet3!CF13,Sheet2!$AB$12:$AB$37,Sheet2!$AA$12:$AA$37)/1000</f>
        <v>3.4403742553775221E-2</v>
      </c>
      <c r="BL13" s="183">
        <f>_xlfn.FORECAST.LINEAR(Sheet3!CG13,Sheet2!$AB$12:$AB$37,Sheet2!$AA$12:$AA$37)/1000</f>
        <v>3.3907355862109204E-2</v>
      </c>
      <c r="BM13" s="186">
        <f t="shared" si="122"/>
        <v>0.66370283401562569</v>
      </c>
      <c r="BN13" s="183">
        <f t="shared" si="123"/>
        <v>0.66214825922573162</v>
      </c>
      <c r="BO13" s="183">
        <f t="shared" si="124"/>
        <v>0.67872954913321526</v>
      </c>
      <c r="BP13" s="183">
        <f t="shared" si="125"/>
        <v>0.69158393976961285</v>
      </c>
      <c r="BQ13" s="183">
        <f t="shared" si="126"/>
        <v>0.70871343234960371</v>
      </c>
      <c r="BR13" s="183">
        <f t="shared" si="127"/>
        <v>0.71791211625772555</v>
      </c>
      <c r="BS13" s="183">
        <f t="shared" si="128"/>
        <v>0.73159256603457001</v>
      </c>
      <c r="BT13" s="183">
        <f t="shared" si="129"/>
        <v>0.74434891954366877</v>
      </c>
      <c r="BU13" s="183">
        <f t="shared" si="130"/>
        <v>0.76014879203555485</v>
      </c>
      <c r="BV13" s="186">
        <f t="shared" si="131"/>
        <v>1.2029234327012448</v>
      </c>
      <c r="BW13" s="183">
        <f t="shared" si="19"/>
        <v>1.2032031326015358</v>
      </c>
      <c r="BX13" s="183">
        <f t="shared" si="20"/>
        <v>1.1981273641954633</v>
      </c>
      <c r="BY13" s="183">
        <f t="shared" si="21"/>
        <v>1.1959152090060821</v>
      </c>
      <c r="BZ13" s="183">
        <f t="shared" si="22"/>
        <v>1.1906374755798061</v>
      </c>
      <c r="CA13" s="183">
        <f t="shared" si="23"/>
        <v>1.1891994905477485</v>
      </c>
      <c r="CB13" s="183">
        <f t="shared" si="24"/>
        <v>1.1845570086538508</v>
      </c>
      <c r="CC13" s="183">
        <f t="shared" si="25"/>
        <v>1.1827231467904724</v>
      </c>
      <c r="CD13" s="183">
        <f t="shared" si="26"/>
        <v>1.1780501367850367</v>
      </c>
      <c r="CE13" s="187">
        <f xml:space="preserve"> -0.0000000019505*Sheet3!DF13^3 + 0.0000015497*Sheet3!DF13^2  + 0.00016911*Sheet3!DF13 + 1.8585</f>
        <v>1.9414898911875</v>
      </c>
      <c r="CF13" s="185">
        <f xml:space="preserve"> -0.0000000019505*Sheet3!BZ13^3 + 0.0000015497*Sheet3!BZ13^2  + 0.00016911*Sheet3!BZ13 + 1.8585</f>
        <v>1.9421174309160603</v>
      </c>
      <c r="CG13" s="185">
        <f xml:space="preserve"> -0.0000000019505*Sheet3!CA13^3 + 0.0000015497*Sheet3!CA13^2  + 0.00016911*Sheet3!CA13 + 1.8585</f>
        <v>1.9356862019374919</v>
      </c>
      <c r="CH13" s="185">
        <f xml:space="preserve"> -0.0000000019505*Sheet3!CB13^3 + 0.0000015497*Sheet3!CB13^2  + 0.00016911*Sheet3!CB13 + 1.8585</f>
        <v>1.9309341673100586</v>
      </c>
      <c r="CI13" s="185">
        <f xml:space="preserve"> -0.0000000019505*Sheet3!CC13^3 + 0.0000015497*Sheet3!CC13^2  + 0.00016911*Sheet3!CC13 + 1.8585</f>
        <v>1.9250445825794344</v>
      </c>
      <c r="CJ13" s="185">
        <f xml:space="preserve"> -0.0000000019505*Sheet3!CD13^3 + 0.0000015497*Sheet3!CD13^2  + 0.00016911*Sheet3!CD13 + 1.8585</f>
        <v>1.9220083901273859</v>
      </c>
      <c r="CK13" s="185">
        <f xml:space="preserve"> -0.0000000019505*Sheet3!CE13^3 + 0.0000015497*Sheet3!CE13^2  + 0.00016911*Sheet3!CE13 + 1.8585</f>
        <v>1.917771056824588</v>
      </c>
      <c r="CL13" s="185">
        <f xml:space="preserve"> -0.0000000019505*Sheet3!CF13^3 + 0.0000015497*Sheet3!CF13^2  + 0.00016911*Sheet3!CF13 + 1.8585</f>
        <v>1.9139642509392625</v>
      </c>
      <c r="CM13" s="185">
        <f xml:space="preserve"> -0.0000000019505*Sheet3!CG13^3 + 0.0000015497*Sheet3!CG13^2  + 0.00016911*Sheet3!CG13 + 1.8585</f>
        <v>1.9095851125441328</v>
      </c>
      <c r="CN13" s="186">
        <f>_xlfn.FORECAST.LINEAR(Sheet3!DF13,New!$LU$2:$LU$14,New!$LT$2:$LT$14)</f>
        <v>1.0350674194089138</v>
      </c>
      <c r="CO13" s="183">
        <f>_xlfn.FORECAST.LINEAR(Sheet3!BZ13,New!$LU$2:$LU$14,New!$LT$2:$LT$14)</f>
        <v>1.0352774202606421</v>
      </c>
      <c r="CP13" s="183">
        <f>_xlfn.FORECAST.LINEAR(Sheet3!CA13,New!$LU$2:$LU$14,New!$LT$2:$LT$14)</f>
        <v>1.0331103219578102</v>
      </c>
      <c r="CQ13" s="183">
        <f>_xlfn.FORECAST.LINEAR(Sheet3!CB13,New!$LU$2:$LU$14,New!$LT$2:$LT$14)</f>
        <v>1.0314849685048988</v>
      </c>
      <c r="CR13" s="183">
        <f>_xlfn.FORECAST.LINEAR(Sheet3!CC13,New!$LU$2:$LU$14,New!$LT$2:$LT$14)</f>
        <v>1.0294361992306342</v>
      </c>
      <c r="CS13" s="183">
        <f>_xlfn.FORECAST.LINEAR(Sheet3!CD13,New!$LU$2:$LU$14,New!$LT$2:$LT$14)</f>
        <v>1.0283628234555489</v>
      </c>
      <c r="CT13" s="183">
        <f>_xlfn.FORECAST.LINEAR(Sheet3!CE13,New!$LU$2:$LU$14,New!$LT$2:$LT$14)</f>
        <v>1.0268423151271691</v>
      </c>
      <c r="CU13" s="183">
        <f>_xlfn.FORECAST.LINEAR(Sheet3!CF13,New!$LU$2:$LU$14,New!$LT$2:$LT$14)</f>
        <v>1.0254511165243951</v>
      </c>
      <c r="CV13" s="183">
        <f>_xlfn.FORECAST.LINEAR(Sheet3!CG13,New!$LU$2:$LU$14,New!$LT$2:$LT$14)</f>
        <v>1.0238170157146265</v>
      </c>
      <c r="CW13" s="186">
        <f>EXP((17.625*Sheet3!BA13)/(243.04+Sheet3!BA13)) / EXP((17.625*Sheet3!DF13)/(243.04+Sheet3!DF13))</f>
        <v>5.3328412332013783E-2</v>
      </c>
      <c r="CX13" s="183">
        <f>EXP((17.625*(Sheet3!BC13+273))/(243.04+(Sheet3!BC13+273)))/EXP((17.625*(Sheet3!BZ13+273))/(243.04+(Sheet3!BZ13+273)))</f>
        <v>0.23159707677672289</v>
      </c>
      <c r="CY13" s="183">
        <f>EXP((17.625*(Sheet3!BE13+273))/(243.04+(Sheet3!BE13+273))) / EXP((17.625*(Sheet3!CA13+273))/(243.04+(Sheet3!CA13+273)))</f>
        <v>0.25494114610432606</v>
      </c>
      <c r="CZ13" s="183">
        <f>EXP((17.625*(Sheet3!BG13+273))/(243.04+(Sheet3!BG13+273))) / EXP((17.625*(Sheet3!CB13+273))/(243.04+(Sheet3!CB13+273)))</f>
        <v>0.27412744112253723</v>
      </c>
      <c r="DA13" s="183">
        <f>EXP((17.625*(Sheet3!BI13+273))/(243.04+(Sheet3!BI13+273))) / EXP((17.625*(Sheet3!CC13+273))/(243.04+(Sheet3!CC13+273)))</f>
        <v>0.30097910681253781</v>
      </c>
      <c r="DB13" s="183">
        <f>EXP((17.625*(Sheet3!BK13+273))/(243.04+(Sheet3!BK13+273)))/EXP((17.625*(Sheet3!CD13+273))/(243.04+(Sheet3!CD13+273)))</f>
        <v>0.31701078134369298</v>
      </c>
      <c r="DC13" s="183">
        <f>EXP((17.625*(Sheet3!BM13+273))/(243.04+(Sheet3!BM13+273))) / EXP((17.625*(Sheet3!CE13+273))/(243.04+(Sheet3!CE13+273)))</f>
        <v>0.34051984347895509</v>
      </c>
      <c r="DD13" s="183">
        <f>EXP((17.625*(Sheet3!BO13+273))/(243.04+(Sheet3!BO13+273))) / EXP((17.625*(Sheet3!CF13+273))/(243.04+(Sheet3!CF13+273)))</f>
        <v>0.36530374308816804</v>
      </c>
      <c r="DE13" s="183">
        <f>EXP((17.625*(Sheet3!BQ13+273))/(243.04+(Sheet3!BQ13+273))) / EXP((17.625*(Sheet3!CG13+273))/(243.04+(Sheet3!CG13+273)))</f>
        <v>0.39614928374896496</v>
      </c>
      <c r="DF13" s="186">
        <f>((Sheet3!DA13-Sheet3!DB13)/New!$LQ$3)/(((Sheet3!DA13-Sheet3!DB13)/New!$LQ$3)+(Sheet3!DB13/New!$LP$3))</f>
        <v>0.73241180492672753</v>
      </c>
      <c r="DG13" s="183">
        <f>((Sheet3!DA13-Sheet3!DB13)/New!$LQ$3)/(((Sheet3!DA13-Sheet3!DB13)/New!$LQ$3)+((Sheet3!DB13-(Sheet3!B13*0.004))/New!$LP$3))</f>
        <v>0.73244664831812489</v>
      </c>
      <c r="DH13" s="183" cm="1">
        <f t="array" ref="DH13">((Sheet3!DA13-Sheet3!DB13)/New!$LQ$3)/(((Sheet3!DA13-Sheet3!DB13)/New!$LQ$3)+((Sheet3!DB13-(SUM(Sheet3!B13:C13*0.004)))/New!$LP$3))</f>
        <v>0.74229918983615506</v>
      </c>
      <c r="DI13" s="183" cm="1">
        <f t="array" ref="DI13">((Sheet3!DA13-Sheet3!DB13)/New!$LQ$3)/(((Sheet3!DA13-Sheet3!DB13)/New!$LQ$3)+((Sheet3!DB13-(SUM(Sheet3!B13:D13*0.004)))/New!$LP$3))</f>
        <v>0.74237077432632759</v>
      </c>
      <c r="DJ13" s="183" cm="1">
        <f t="array" ref="DJ13">((Sheet3!DA13-Sheet3!DB13)/New!$LQ$3)/(((Sheet3!DA13-Sheet3!DB13)/New!$LQ$3)+((Sheet3!DB13-(SUM(Sheet3!B13:E13*0.004)))/New!$LP$3))</f>
        <v>0.75454072338129285</v>
      </c>
      <c r="DK13" s="183" cm="1">
        <f t="array" ref="DK13">((Sheet3!DA13-Sheet3!DB13)/New!$LQ$3)/(((Sheet3!DA13-Sheet3!DB13)/New!$LQ$3)+((Sheet3!DB13-(SUM(Sheet3!B13:F13*0.004)))/New!$LP$3))</f>
        <v>0.75459619586897697</v>
      </c>
      <c r="DL13" s="183" cm="1">
        <f t="array" ref="DL13">((Sheet3!DA13-Sheet3!DB13)/New!$LQ$3)/(((Sheet3!DA13-Sheet3!DB13)/New!$LQ$3)+((Sheet3!DB13-(SUM(Sheet3!B13:G13*0.004)))/New!$LP$3))</f>
        <v>0.76774751445301692</v>
      </c>
      <c r="DM13" s="183" cm="1">
        <f t="array" ref="DM13">((Sheet3!DA13-Sheet3!DB13)/New!$LQ$3)/(((Sheet3!DA13-Sheet3!DB13)/New!$LQ$3)+((Sheet3!DB13-(SUM(Sheet3!B13:H13*0.004)))/New!$LP$3))</f>
        <v>0.76782409160974874</v>
      </c>
      <c r="DN13" s="183" cm="1">
        <f t="array" ref="DN13">((Sheet3!DA13-Sheet3!DB13)/New!$LQ$3)/(((Sheet3!DA13-Sheet3!DB13)/New!$LQ$3)+((Sheet3!DB13-(SUM(Sheet3!B13:I13*0.004)))/New!$LP$3))</f>
        <v>0.78106807497118369</v>
      </c>
      <c r="DO13" s="186">
        <f>(Sheet3!DB13/$LP$3) / ((Sheet3!DB13/$LP$3) + ((Sheet3!DA13-Sheet3!DB13)/$LQ$3))</f>
        <v>0.26758819507327258</v>
      </c>
      <c r="DP13" s="183">
        <f>((Sheet3!$DB13-(Sheet3!B13/4000)) / $LP$3) / (((Sheet3!$DA13-Sheet3!DB13) / $LQ$3) + (Sheet3!$DB13-((Sheet3!B13/4000)))/$LP$3)</f>
        <v>0.26758601745843219</v>
      </c>
      <c r="DQ13" s="183">
        <f>((Sheet3!$DB13-(SUM(Sheet3!B13:C13)/4000))/$LP$3)/(((Sheet3!$DA13-Sheet3!$DB13)/$LQ$3)+(Sheet3!$DB13-(SUM(Sheet3!B13:C13)/4000))/$LP$3)</f>
        <v>0.26697795670945429</v>
      </c>
      <c r="DR13" s="183">
        <f>((Sheet3!$DB13-(SUM(Sheet3!B13:D13)/4000))/$LP$3)/(((Sheet3!$DA13-Sheet3!$DB13)/$LQ$3)+(Sheet3!$DB13-(SUM(Sheet3!B13:D13)/4000))/$LP$3)</f>
        <v>0.26697359420628813</v>
      </c>
      <c r="DS13" s="183">
        <f>((Sheet3!$DB13-(SUM(Sheet3!B13:E13)/4000))/$LP$3)/(((Sheet3!$DA13-Sheet3!$DB13)/$LQ$3)+(Sheet3!$DB13-(SUM(Sheet3!B13:E13)/4000))/$LP$3)</f>
        <v>0.26624323423053348</v>
      </c>
      <c r="DT13" s="183">
        <f>((Sheet3!$DB13-(SUM(Sheet3!B13:F13)/4000))/$LP$3)/(((Sheet3!$DA13-Sheet3!$DB13)/$LQ$3)+(Sheet3!$DB13-(SUM(Sheet3!B13:F13)/4000))/$LP$3)</f>
        <v>0.26623995579580029</v>
      </c>
      <c r="DU13" s="183">
        <f>((Sheet3!$DB13-(SUM(Sheet3!B13:G13)/4000))/$LP$3)/(((Sheet3!$DA13-Sheet3!$DB13)/$LQ$3)+(Sheet3!$DB13-(SUM(Sheet3!B13:G13)/4000))/$LP$3)</f>
        <v>0.26547528102756734</v>
      </c>
      <c r="DV13" s="183">
        <f>((Sheet3!$DB13-(SUM(Sheet3!B13:H13)/4000))/$LP$3)/(((Sheet3!$DA13-Sheet3!$DB13)/$LQ$3)+(Sheet3!$DB13-(SUM(Sheet3!B13:H13)/4000))/$LP$3)</f>
        <v>0.26547090061998402</v>
      </c>
      <c r="DW13" s="183">
        <f>((Sheet3!$DB13-(SUM(Sheet3!B13:I13)/4000))/$LP$3)/(((Sheet3!$DA13-Sheet3!$DB13)/$LQ$3)+(Sheet3!$DB13-(SUM(Sheet3!B13:I13)/4000))/$LP$3)</f>
        <v>0.2647254711652835</v>
      </c>
      <c r="DX13" s="186">
        <f>($LR$2*($LP$3/1000))/($LP$2*(Sheet3!DF13+273))*DO13</f>
        <v>0.12290793222511587</v>
      </c>
      <c r="DY13" s="183">
        <f>(($LR$2*($LP$3/1000))/($LP$2*(Sheet3!BZ13+273)))*(DP13)</f>
        <v>0.12261893786212855</v>
      </c>
      <c r="DZ13" s="183">
        <f>(($LR$2*($LP$3/1000))/($LP$2*(Sheet3!CA13+273)))*(DQ13)</f>
        <v>0.12537185034223849</v>
      </c>
      <c r="EA13" s="183">
        <f>(($LR$2*($LP$3/1000))/($LP$2*(Sheet3!CB13+273)))*(DR13)</f>
        <v>0.1277439335339644</v>
      </c>
      <c r="EB13" s="183">
        <f>(($LR$2*($LP$3/1000))/($LP$2*(Sheet3!CC13+273)))*(DS13)</f>
        <v>0.13050976615484622</v>
      </c>
      <c r="EC13" s="183">
        <f>(($LR$2*($LP$3/1000))/($LP$2*(Sheet3!CD13+273)))*(DT13)</f>
        <v>0.13220189618763784</v>
      </c>
      <c r="ED13" s="183">
        <f>(($LR$2*($LP$3/1000))/($LP$2*(Sheet3!CE13+273)))*(DU13)</f>
        <v>0.13429103232355122</v>
      </c>
      <c r="EE13" s="183">
        <f>(($LR$2*($LP$3/1000))/($LP$2*(Sheet3!CF13+273)))*(DV13)</f>
        <v>0.13663008095662563</v>
      </c>
      <c r="EF13" s="183">
        <f>(($LR$2*($LP$3/1000))/($LP$2*(Sheet3!CG13+273)))*(DW13)</f>
        <v>0.13909489961125579</v>
      </c>
      <c r="EG13" s="186">
        <f>(($LR$2*($LQ$3/1000))/($LQ$2*(Sheet3!DF13+273)))*(1-DO13)</f>
        <v>0.54079490179050982</v>
      </c>
      <c r="EH13" s="183">
        <f>(($LR$2*($LQ$3/1000))/($LQ$2*(Sheet3!BZ13+273)))*(1-DP13)</f>
        <v>0.5395293213636031</v>
      </c>
      <c r="EI13" s="183">
        <f>(($LR$2*($LQ$3/1000))/($LQ$2*(Sheet3!CA13+273)))*(1-DQ13)</f>
        <v>0.55335769879097674</v>
      </c>
      <c r="EJ13" s="183">
        <f>(($LR$2*($LQ$3/1000))/($LQ$2*(Sheet3!CB13+273)))*(1-DR13)</f>
        <v>0.56384000623564845</v>
      </c>
      <c r="EK13" s="183">
        <f>(($LR$2*($LQ$3/1000))/($LQ$2*(Sheet3!CC13+273)))*(1-DS13)</f>
        <v>0.57820366619475749</v>
      </c>
      <c r="EL13" s="183">
        <f>(($LR$2*($LQ$3/1000))/($LQ$2*(Sheet3!CD13+273)))*(1-DT13)</f>
        <v>0.58571022007008766</v>
      </c>
      <c r="EM13" s="183">
        <f>(($LR$2*($LQ$3/1000))/($LQ$2*(Sheet3!CE13+273)))*(1-DU13)</f>
        <v>0.5973015337110188</v>
      </c>
      <c r="EN13" s="183">
        <f>(($LR$2*($LQ$3/1000))/($LQ$2*(Sheet3!CF13+273)))*(1-DV13)</f>
        <v>0.60771883858704312</v>
      </c>
      <c r="EO13" s="183">
        <f>(($LR$2*($LQ$3/1000))/($LQ$2*(Sheet3!CG13+273)))*(1-DW13)</f>
        <v>0.62105389242429909</v>
      </c>
      <c r="EP13" s="186">
        <f t="shared" si="132"/>
        <v>4744.7595099313321</v>
      </c>
      <c r="EQ13" s="183">
        <f xml:space="preserve"> (($FV13-(Sheet3!B13/4000))*0.018)/(0.011*JO13*3600)</f>
        <v>4735.522998792715</v>
      </c>
      <c r="ER13" s="183">
        <f>((($FV13-(SUM(Sheet3!B13:C13)/4000))*0.018)/(0.011*JP13*3600))</f>
        <v>4828.4639232306718</v>
      </c>
      <c r="ES13" s="183">
        <f>((($FV13-(SUM(Sheet3!B13:D13)/4000))*0.018)/(0.011*JQ13*3600))</f>
        <v>4903.761976082571</v>
      </c>
      <c r="ET13" s="183">
        <f>((($FV13-(SUM(Sheet3!B13:E13)/4000))*0.018)/(0.011*JR13))/3600</f>
        <v>4997.1528445095437</v>
      </c>
      <c r="EU13" s="183">
        <f>((($FV13-(SUM(Sheet3!B13:F13)/4000))*0.018)/(0.011*JS13))/3600</f>
        <v>5050.2472062544384</v>
      </c>
      <c r="EV13" s="183">
        <f>((($FV13-(SUM(Sheet3!B13:G13)/4000))*0.018)/(0.011*JT13))/3600</f>
        <v>5122.059955626868</v>
      </c>
      <c r="EW13" s="183">
        <f>((($FV13-(SUM(Sheet3!B13:H13)/4000))*0.018)/(0.011*JU13))/3600</f>
        <v>5194.7387975371257</v>
      </c>
      <c r="EX13" s="183">
        <f>((($FV13-(SUM(Sheet3!B13:I13)/4000))*0.018)/(0.011*JV13))/3600</f>
        <v>5277.3860947709818</v>
      </c>
      <c r="EY13" s="186">
        <f>0.27*EP13^0.63*ID13^0.36</f>
        <v>48.075076562606966</v>
      </c>
      <c r="EZ13" s="183">
        <f t="shared" si="134"/>
        <v>48.003892091253107</v>
      </c>
      <c r="FA13" s="183">
        <f t="shared" si="135"/>
        <v>48.704493664092482</v>
      </c>
      <c r="FB13" s="183">
        <f t="shared" si="136"/>
        <v>49.287593074248015</v>
      </c>
      <c r="FC13" s="183">
        <f t="shared" si="137"/>
        <v>49.993709120825926</v>
      </c>
      <c r="FD13" s="183">
        <f t="shared" si="138"/>
        <v>50.40820240966957</v>
      </c>
      <c r="FE13" s="183">
        <f t="shared" si="139"/>
        <v>50.94900782962101</v>
      </c>
      <c r="FF13" s="183">
        <f t="shared" si="140"/>
        <v>51.520693425089668</v>
      </c>
      <c r="FG13" s="183">
        <f t="shared" si="141"/>
        <v>52.152024339229449</v>
      </c>
      <c r="FH13" s="186">
        <f t="shared" si="28"/>
        <v>113.68015425086701</v>
      </c>
      <c r="FI13" s="183">
        <f t="shared" si="29"/>
        <v>113.83979329981415</v>
      </c>
      <c r="FJ13" s="183">
        <f t="shared" si="30"/>
        <v>112.03474000411134</v>
      </c>
      <c r="FK13" s="183">
        <f t="shared" si="31"/>
        <v>110.76435817091966</v>
      </c>
      <c r="FL13" s="183">
        <f t="shared" si="32"/>
        <v>108.97886463126811</v>
      </c>
      <c r="FM13" s="183">
        <f t="shared" si="33"/>
        <v>108.11445398792428</v>
      </c>
      <c r="FN13" s="183">
        <f t="shared" si="34"/>
        <v>106.71661773731844</v>
      </c>
      <c r="FO13" s="183">
        <f t="shared" si="35"/>
        <v>105.56783840957777</v>
      </c>
      <c r="FP13" s="183">
        <f t="shared" si="36"/>
        <v>104.05084849416279</v>
      </c>
      <c r="FQ13" s="314">
        <f>Sheet3!CV13</f>
        <v>2</v>
      </c>
      <c r="FR13" s="183">
        <v>5000</v>
      </c>
      <c r="FS13" s="183">
        <v>20</v>
      </c>
      <c r="FT13" s="183">
        <v>0.17460000000000001</v>
      </c>
      <c r="FU13" s="183">
        <v>23.28</v>
      </c>
      <c r="FV13" s="183">
        <v>243</v>
      </c>
      <c r="FW13" s="183">
        <v>45</v>
      </c>
      <c r="FX13" s="183">
        <v>468</v>
      </c>
      <c r="FY13" s="183">
        <v>10.42</v>
      </c>
      <c r="FZ13" s="183">
        <v>21.74</v>
      </c>
      <c r="GA13" s="183">
        <v>205</v>
      </c>
      <c r="GB13" s="186">
        <f>EXP($LP$6-($LQ$6/('Trial and Error method'!T13+$LP$8))) / ($LR$2/1000)</f>
        <v>9.9853947151697056E-2</v>
      </c>
      <c r="GC13" s="183">
        <f>EXP($LP$6-($LQ$6/('Trial and Error method'!U13+$LP$8))) / ($LR$2/1000)</f>
        <v>0.13577262876450247</v>
      </c>
      <c r="GD13" s="183">
        <f>EXP($LP$6-($LQ$6/('Trial and Error method'!V13+$LP$8))) / ($LR$2/1000)</f>
        <v>0.1263963590435411</v>
      </c>
      <c r="GE13" s="183">
        <f>EXP($LP$6-($LQ$6/('Trial and Error method'!W13+$LP$8))) / ($LR$2/1000)</f>
        <v>0.1186854840589682</v>
      </c>
      <c r="GF13" s="183">
        <f>EXP($LP$6-($LQ$6/('Trial and Error method'!X13+$LP$8))) / ($LR$2/1000)</f>
        <v>0.11005930025884018</v>
      </c>
      <c r="GG13" s="183">
        <f>EXP($LP$6-($LQ$6/('Trial and Error method'!Y13+$LP$8))) / ($LR$2/1000)</f>
        <v>0.10411042215869945</v>
      </c>
      <c r="GH13" s="183">
        <f>EXP($LP$6-($LQ$6/('Trial and Error method'!Z13+$LP$8))) / ($LR$2/1000)</f>
        <v>9.7739408477322834E-2</v>
      </c>
      <c r="GI13" s="183">
        <f>EXP($LP$6-($LQ$6/('Trial and Error method'!AA13+$LP$8))) / ($LR$2/1000)</f>
        <v>9.3286160996997672E-2</v>
      </c>
      <c r="GJ13" s="183">
        <f>EXP($LP$6-($LQ$6/('Trial and Error method'!AB13+$LP$8))) / ($LR$2/1000)</f>
        <v>8.9059554918093239E-2</v>
      </c>
      <c r="GK13" s="188">
        <f t="shared" si="142"/>
        <v>0.81339853912298754</v>
      </c>
      <c r="GL13" s="165">
        <f t="shared" si="143"/>
        <v>0.79650368970903662</v>
      </c>
      <c r="GM13" s="165">
        <f t="shared" si="144"/>
        <v>0.80125846408427226</v>
      </c>
      <c r="GN13" s="165">
        <f t="shared" si="145"/>
        <v>0.80489511945568681</v>
      </c>
      <c r="GO13" s="165">
        <f t="shared" si="146"/>
        <v>0.80933862825754699</v>
      </c>
      <c r="GP13" s="165">
        <f t="shared" si="147"/>
        <v>0.81212937202940905</v>
      </c>
      <c r="GQ13" s="165">
        <f t="shared" si="148"/>
        <v>0.8155196911471434</v>
      </c>
      <c r="GR13" s="165">
        <f t="shared" si="149"/>
        <v>0.81760189729205368</v>
      </c>
      <c r="GS13" s="165">
        <f t="shared" si="150"/>
        <v>0.81997375503644176</v>
      </c>
      <c r="GT13" s="188">
        <f t="shared" si="38"/>
        <v>7.2273950080605637E-2</v>
      </c>
      <c r="GU13" s="165">
        <f t="shared" si="39"/>
        <v>7.3807383764716364E-2</v>
      </c>
      <c r="GV13" s="165">
        <f t="shared" si="40"/>
        <v>7.3287464203542027E-2</v>
      </c>
      <c r="GW13" s="165">
        <f t="shared" si="41"/>
        <v>7.2918816894168653E-2</v>
      </c>
      <c r="GX13" s="165">
        <f t="shared" si="42"/>
        <v>7.2454882115653402E-2</v>
      </c>
      <c r="GY13" s="165">
        <f t="shared" si="43"/>
        <v>7.2190963146498172E-2</v>
      </c>
      <c r="GZ13" s="165">
        <f t="shared" si="44"/>
        <v>7.1848048922416793E-2</v>
      </c>
      <c r="HA13" s="165">
        <f t="shared" si="45"/>
        <v>7.1657255736366401E-2</v>
      </c>
      <c r="HB13" s="165">
        <f t="shared" si="46"/>
        <v>7.1415844809944881E-2</v>
      </c>
      <c r="HC13" s="188">
        <f>BV13*Sheet3!DF13</f>
        <v>246.5993037037552</v>
      </c>
      <c r="HD13" s="165">
        <f>BW13*Sheet3!BZ13</f>
        <v>248.00744812224363</v>
      </c>
      <c r="HE13" s="165">
        <f>BX13*Sheet3!CA13</f>
        <v>233.08041544538622</v>
      </c>
      <c r="HF13" s="165">
        <f>BY13*Sheet3!CB13</f>
        <v>222.25849904862429</v>
      </c>
      <c r="HG13" s="165">
        <f>BZ13*Sheet3!CC13</f>
        <v>208.23680307951128</v>
      </c>
      <c r="HH13" s="165">
        <f>CA13*Sheet3!CD13</f>
        <v>201.16129950320257</v>
      </c>
      <c r="HI13" s="165">
        <f>CB13*Sheet3!CE13</f>
        <v>190.74706849250802</v>
      </c>
      <c r="HJ13" s="165">
        <f>CC13*Sheet3!CF13</f>
        <v>181.65536077494033</v>
      </c>
      <c r="HK13" s="165">
        <f>CD13*Sheet3!CG13</f>
        <v>170.64620320958508</v>
      </c>
      <c r="HL13" s="188">
        <f>(CE13*Sheet3!DF13)+2501</f>
        <v>2899.0054276934375</v>
      </c>
      <c r="HM13" s="165">
        <f>(CF13*Sheet3!BZ13)+2501</f>
        <v>2901.3144398018544</v>
      </c>
      <c r="HN13" s="165">
        <f>(CG13*Sheet3!CA13)+2501</f>
        <v>2877.5630913725531</v>
      </c>
      <c r="HO13" s="165">
        <f>(CH13*Sheet3!CB13)+2501</f>
        <v>2859.860332702614</v>
      </c>
      <c r="HP13" s="165">
        <f>(CI13*Sheet3!CC13)+2501</f>
        <v>2837.681095533856</v>
      </c>
      <c r="HQ13" s="165">
        <f>(CJ13*Sheet3!CD13)+2501</f>
        <v>2826.1209813720984</v>
      </c>
      <c r="HR13" s="165">
        <f>(CK13*Sheet3!CE13)+2501</f>
        <v>2809.8151979656768</v>
      </c>
      <c r="HS13" s="165">
        <f>(CL13*Sheet3!CF13)+2501</f>
        <v>2794.9672462301987</v>
      </c>
      <c r="HT13" s="165">
        <f>(CM13*Sheet3!CG13)+2501</f>
        <v>2777.6125472813101</v>
      </c>
      <c r="HU13" s="188">
        <f>-0.0021*(Sheet3!DF13^2) - 2.2115*(Sheet3!DF13) + 2499</f>
        <v>1957.3899999999999</v>
      </c>
      <c r="HV13" s="165">
        <f>-0.0021*(Sheet3!BZ13^2) - 2.2115*(Sheet3!BZ13) + 2499</f>
        <v>1953.9379345771204</v>
      </c>
      <c r="HW13" s="165">
        <f>-0.0021*(Sheet3!CA13^2) - 2.2115*(Sheet3!CA13) + 2499</f>
        <v>1989.3068816665898</v>
      </c>
      <c r="HX13" s="165">
        <f>-0.0021*(Sheet3!CB13^2) - 2.2115*(Sheet3!CB13) + 2499</f>
        <v>2015.4641185747444</v>
      </c>
      <c r="HY13" s="165">
        <f>-0.0021*(Sheet3!CC13^2) - 2.2115*(Sheet3!CC13) + 2499</f>
        <v>2047.9837115911723</v>
      </c>
      <c r="HZ13" s="165">
        <f>-0.0021*(Sheet3!CD13^2) - 2.2115*(Sheet3!CD13) + 2499</f>
        <v>2064.819995840212</v>
      </c>
      <c r="IA13" s="165">
        <f>-0.0021*(Sheet3!CE13^2) - 2.2115*(Sheet3!CE13) + 2499</f>
        <v>2088.4330003160894</v>
      </c>
      <c r="IB13" s="165">
        <f>-0.0021*(Sheet3!CF13^2) - 2.2115*(Sheet3!CF13) + 2499</f>
        <v>2109.7947456835859</v>
      </c>
      <c r="IC13" s="165">
        <f>-0.0021*(Sheet3!CG13^2) - 2.2115*(Sheet3!CG13) + 2499</f>
        <v>2134.5895252254491</v>
      </c>
      <c r="ID13" s="188">
        <f t="shared" si="47"/>
        <v>0.65791562096726708</v>
      </c>
      <c r="IE13" s="165">
        <f t="shared" si="48"/>
        <v>0.65745124200089167</v>
      </c>
      <c r="IF13" s="165">
        <f t="shared" si="49"/>
        <v>0.66156287093898691</v>
      </c>
      <c r="IG13" s="165">
        <f t="shared" si="50"/>
        <v>0.66552994142717581</v>
      </c>
      <c r="IH13" s="165">
        <f t="shared" si="51"/>
        <v>0.66986891069750587</v>
      </c>
      <c r="II13" s="165">
        <f t="shared" si="52"/>
        <v>0.67284962361892953</v>
      </c>
      <c r="IJ13" s="165">
        <f t="shared" si="53"/>
        <v>0.67617739181498515</v>
      </c>
      <c r="IK13" s="165">
        <f t="shared" si="54"/>
        <v>0.68047679386941951</v>
      </c>
      <c r="IL13" s="165">
        <f t="shared" si="55"/>
        <v>0.68471489629784688</v>
      </c>
      <c r="IM13" s="188">
        <f t="shared" si="56"/>
        <v>23.729080104254635</v>
      </c>
      <c r="IN13" s="165">
        <f t="shared" si="151"/>
        <v>19.009474044375995</v>
      </c>
      <c r="IO13" s="165">
        <f t="shared" si="152"/>
        <v>20.495567817911962</v>
      </c>
      <c r="IP13" s="165">
        <f t="shared" si="153"/>
        <v>21.793200517256494</v>
      </c>
      <c r="IQ13" s="165">
        <f t="shared" si="154"/>
        <v>23.175574573387514</v>
      </c>
      <c r="IR13" s="165">
        <f t="shared" si="155"/>
        <v>24.167246222332679</v>
      </c>
      <c r="IS13" s="165">
        <f t="shared" si="156"/>
        <v>25.168740230868494</v>
      </c>
      <c r="IT13" s="165">
        <f t="shared" si="157"/>
        <v>26.031250807002582</v>
      </c>
      <c r="IU13" s="165">
        <f t="shared" si="158"/>
        <v>26.77912960955485</v>
      </c>
      <c r="IV13" s="188">
        <f>_xlfn.FORECAST.LINEAR(Sheet3!DF13,Sheet2!$AK$2:$AK$69,Sheet2!$AJ$2:$AJ$69)</f>
        <v>1.5962912137298422E-5</v>
      </c>
      <c r="IW13" s="165">
        <f>_xlfn.FORECAST.LINEAR(Sheet3!BZ13,Sheet2!$AK$2:$AK$69,Sheet2!$AJ$2:$AJ$69)</f>
        <v>1.600221958029538E-5</v>
      </c>
      <c r="IX13" s="165">
        <f>_xlfn.FORECAST.LINEAR(Sheet3!CA13,Sheet2!$AK$2:$AK$69,Sheet2!$AJ$2:$AJ$69)</f>
        <v>1.5596587449252513E-5</v>
      </c>
      <c r="IY13" s="165">
        <f>_xlfn.FORECAST.LINEAR(Sheet3!CB13,Sheet2!$AK$2:$AK$69,Sheet2!$AJ$2:$AJ$69)</f>
        <v>1.5292357786970578E-5</v>
      </c>
      <c r="IZ13" s="165">
        <f>_xlfn.FORECAST.LINEAR(Sheet3!CC13,Sheet2!$AK$2:$AK$69,Sheet2!$AJ$2:$AJ$69)</f>
        <v>1.4908874192502765E-5</v>
      </c>
      <c r="JA13" s="165">
        <f>_xlfn.FORECAST.LINEAR(Sheet3!CD13,Sheet2!$AK$2:$AK$69,Sheet2!$AJ$2:$AJ$69)</f>
        <v>1.4707962354544757E-5</v>
      </c>
      <c r="JB13" s="165">
        <f>_xlfn.FORECAST.LINEAR(Sheet3!CE13,Sheet2!$AK$2:$AK$69,Sheet2!$AJ$2:$AJ$69)</f>
        <v>1.4423357344839771E-5</v>
      </c>
      <c r="JC13" s="165">
        <f>_xlfn.FORECAST.LINEAR(Sheet3!CF13,Sheet2!$AK$2:$AK$69,Sheet2!$AJ$2:$AJ$69)</f>
        <v>1.4162956211578038E-5</v>
      </c>
      <c r="JD13" s="165">
        <f>_xlfn.FORECAST.LINEAR(Sheet3!CG13,Sheet2!$AK$2:$AK$69,Sheet2!$AJ$2:$AJ$69)</f>
        <v>1.3857089240550841E-5</v>
      </c>
      <c r="JE13" s="188">
        <f>_xlfn.FORECAST.LINEAR(Sheet3!DF13,New!$MC$2:$MC$18,New!$MB$2:$MB$18)</f>
        <v>2.5847452754227255E-5</v>
      </c>
      <c r="JF13" s="165">
        <f>_xlfn.FORECAST.LINEAR(Sheet3!BZ13,New!$MC$2:$MC$18,New!$MB$2:$MB$18)</f>
        <v>2.5893659602223072E-5</v>
      </c>
      <c r="JG13" s="165">
        <f>_xlfn.FORECAST.LINEAR(Sheet3!CA13,New!$MC$2:$MC$18,New!$MB$2:$MB$18)</f>
        <v>2.541682924155154E-5</v>
      </c>
      <c r="JH13" s="165">
        <f>_xlfn.FORECAST.LINEAR(Sheet3!CB13,New!$MC$2:$MC$18,New!$MB$2:$MB$18)</f>
        <v>2.5059199930431841E-5</v>
      </c>
      <c r="JI13" s="165">
        <f>_xlfn.FORECAST.LINEAR(Sheet3!CC13,New!$MC$2:$MC$18,New!$MB$2:$MB$18)</f>
        <v>2.4608405709097393E-5</v>
      </c>
      <c r="JJ13" s="165">
        <f>_xlfn.FORECAST.LINEAR(Sheet3!CD13,New!$MC$2:$MC$18,New!$MB$2:$MB$18)</f>
        <v>2.4372228994224248E-5</v>
      </c>
      <c r="JK13" s="165">
        <f>_xlfn.FORECAST.LINEAR(Sheet3!CE13,New!$MC$2:$MC$18,New!$MB$2:$MB$18)</f>
        <v>2.4037668935883574E-5</v>
      </c>
      <c r="JL13" s="165">
        <f>_xlfn.FORECAST.LINEAR(Sheet3!CF13,New!$MC$2:$MC$18,New!$MB$2:$MB$18)</f>
        <v>2.3731561118504221E-5</v>
      </c>
      <c r="JM13" s="165">
        <f>_xlfn.FORECAST.LINEAR(Sheet3!CG13,New!$MC$2:$MC$18,New!$MB$2:$MB$18)</f>
        <v>2.3372007111435206E-5</v>
      </c>
      <c r="JN13" s="188">
        <f t="shared" si="159"/>
        <v>2.3279271630806849E-5</v>
      </c>
      <c r="JO13" s="165">
        <f t="shared" si="160"/>
        <v>2.3324629235245542E-5</v>
      </c>
      <c r="JP13" s="165">
        <f t="shared" si="161"/>
        <v>2.2862531613790697E-5</v>
      </c>
      <c r="JQ13" s="165">
        <f t="shared" si="162"/>
        <v>2.2511381075155957E-5</v>
      </c>
      <c r="JR13" s="165">
        <f t="shared" si="163"/>
        <v>2.2075456815251545E-5</v>
      </c>
      <c r="JS13" s="165">
        <f t="shared" si="164"/>
        <v>2.1843305169789176E-5</v>
      </c>
      <c r="JT13" s="165">
        <f t="shared" si="165"/>
        <v>2.1521547979892385E-5</v>
      </c>
      <c r="JU13" s="165">
        <f t="shared" si="166"/>
        <v>2.1220355602425595E-5</v>
      </c>
      <c r="JV13" s="165">
        <f t="shared" si="167"/>
        <v>2.0873388802712226E-5</v>
      </c>
      <c r="JW13" s="188">
        <f t="shared" si="66"/>
        <v>0.99342087640971777</v>
      </c>
      <c r="JX13" s="165">
        <f t="shared" si="67"/>
        <v>0.99306609933761925</v>
      </c>
      <c r="JY13" s="165">
        <f t="shared" si="68"/>
        <v>0.99681038031790603</v>
      </c>
      <c r="JZ13" s="165">
        <f t="shared" si="69"/>
        <v>0.9997446596456051</v>
      </c>
      <c r="KA13" s="165">
        <f t="shared" si="70"/>
        <v>1.0036081729224313</v>
      </c>
      <c r="KB13" s="165">
        <f t="shared" si="71"/>
        <v>1.0057099994500394</v>
      </c>
      <c r="KC13" s="165">
        <f t="shared" si="72"/>
        <v>1.0087841411097</v>
      </c>
      <c r="KD13" s="165">
        <f t="shared" si="73"/>
        <v>1.0117013015046383</v>
      </c>
      <c r="KE13" s="165">
        <f t="shared" si="74"/>
        <v>1.0152628576635674</v>
      </c>
      <c r="KF13" s="188">
        <f t="shared" si="75"/>
        <v>0.98626119619886909</v>
      </c>
      <c r="KG13" s="165">
        <f t="shared" si="76"/>
        <v>0.98657302898981902</v>
      </c>
      <c r="KH13" s="165">
        <f t="shared" si="77"/>
        <v>0.98329777483048042</v>
      </c>
      <c r="KI13" s="165">
        <f t="shared" si="78"/>
        <v>0.98075523134996567</v>
      </c>
      <c r="KJ13" s="165">
        <f t="shared" si="79"/>
        <v>0.97743942474403911</v>
      </c>
      <c r="KK13" s="165">
        <f t="shared" si="80"/>
        <v>0.9756506065946563</v>
      </c>
      <c r="KL13" s="165">
        <f t="shared" si="81"/>
        <v>0.97305312388411558</v>
      </c>
      <c r="KM13" s="165">
        <f t="shared" si="82"/>
        <v>0.97060875436786354</v>
      </c>
      <c r="KN13" s="165">
        <f t="shared" si="83"/>
        <v>0.96765109724321785</v>
      </c>
      <c r="KO13" s="188">
        <f t="shared" si="84"/>
        <v>0.65790925547839985</v>
      </c>
      <c r="KP13" s="165">
        <f t="shared" si="85"/>
        <v>0.65859499441195957</v>
      </c>
      <c r="KQ13" s="165">
        <f t="shared" si="86"/>
        <v>0.65222251064471159</v>
      </c>
      <c r="KR13" s="165">
        <f t="shared" si="87"/>
        <v>0.64729502628622027</v>
      </c>
      <c r="KS13" s="165">
        <f t="shared" si="88"/>
        <v>0.64090048089515061</v>
      </c>
      <c r="KT13" s="165">
        <f t="shared" si="89"/>
        <v>0.6374601839883911</v>
      </c>
      <c r="KU13" s="165">
        <f t="shared" si="90"/>
        <v>0.63249076898445256</v>
      </c>
      <c r="KV13" s="165">
        <f t="shared" si="91"/>
        <v>0.62782208351427915</v>
      </c>
      <c r="KW13" s="165">
        <f t="shared" si="92"/>
        <v>0.62229214992583903</v>
      </c>
      <c r="KX13" s="188">
        <f>AVERAGE(Sheet3!J13:P13)*KO13^(1/3)/ID13^(1/3)</f>
        <v>87.951891571528293</v>
      </c>
      <c r="KY13" s="165">
        <f>Sheet3!J13*KP13^(1/3)/IE13^(1/3)</f>
        <v>60.788305310917366</v>
      </c>
      <c r="KZ13" s="165">
        <f>Sheet3!K13*KQ13^(1/3)/IF13^(1/3)</f>
        <v>70.118676487278165</v>
      </c>
      <c r="LA13" s="165">
        <f>Sheet3!L13*KR13^(1/3)/IG13^(1/3)</f>
        <v>80.291064875417845</v>
      </c>
      <c r="LB13" s="165">
        <f>Sheet3!M13*KS13^(1/3)/IH13^(1/3)</f>
        <v>88.767135557862034</v>
      </c>
      <c r="LC13" s="165">
        <f>Sheet3!N13*KT13^(1/3)/II13^(1/3)</f>
        <v>96.393114083166964</v>
      </c>
      <c r="LD13" s="165">
        <f>Sheet3!O13*KU13^(1/3)/IJ13^(1/3)</f>
        <v>102.84974675074623</v>
      </c>
      <c r="LE13" s="165">
        <f>Sheet3!P13*KV13^(1/3)/IK13^(1/3)</f>
        <v>107.11284141274425</v>
      </c>
      <c r="LF13" s="165">
        <f>Sheet3!Q13*KW13^(1/3)/IL13^(1/3)</f>
        <v>106.27871929914633</v>
      </c>
      <c r="LG13" s="186">
        <f t="shared" si="93"/>
        <v>26.031247204923034</v>
      </c>
      <c r="LH13" s="183">
        <f t="shared" si="94"/>
        <v>26.032217039806554</v>
      </c>
      <c r="LI13" s="183">
        <f t="shared" si="95"/>
        <v>26.306592427775872</v>
      </c>
      <c r="LJ13" s="183">
        <f t="shared" si="96"/>
        <v>26.308586924116728</v>
      </c>
      <c r="LK13" s="183">
        <f t="shared" si="97"/>
        <v>26.647871213785304</v>
      </c>
      <c r="LL13" s="183">
        <f t="shared" si="98"/>
        <v>26.649418636026915</v>
      </c>
      <c r="LM13" s="183">
        <f t="shared" si="99"/>
        <v>27.016505206270995</v>
      </c>
      <c r="LN13" s="183">
        <f t="shared" si="100"/>
        <v>27.018643967687336</v>
      </c>
      <c r="LO13" s="183">
        <f t="shared" si="101"/>
        <v>27.388760814208062</v>
      </c>
      <c r="LP13" s="219"/>
      <c r="LQ13" s="219"/>
      <c r="LR13" s="219"/>
      <c r="LS13" s="219"/>
      <c r="LT13" s="219">
        <v>527</v>
      </c>
      <c r="LU13" s="219">
        <v>1.099</v>
      </c>
      <c r="LV13" s="220"/>
      <c r="LW13" s="220"/>
      <c r="LX13" s="220"/>
      <c r="LY13" s="220"/>
      <c r="LZ13" s="222">
        <v>81.349999999999994</v>
      </c>
      <c r="MA13" s="220">
        <v>1.2E-5</v>
      </c>
      <c r="MB13" s="220">
        <v>125</v>
      </c>
      <c r="MC13" s="220">
        <v>2.279E-5</v>
      </c>
      <c r="MD13" s="188">
        <f>Sheet3!DP13</f>
        <v>171.93372968431737</v>
      </c>
      <c r="ME13" s="263">
        <v>120</v>
      </c>
      <c r="MF13" s="263">
        <v>1.98</v>
      </c>
      <c r="MG13" s="263">
        <v>2.206</v>
      </c>
      <c r="MH13" s="263">
        <v>1.121</v>
      </c>
      <c r="MI13" s="263">
        <v>12.85</v>
      </c>
      <c r="MJ13" s="263">
        <v>11.46</v>
      </c>
      <c r="MK13" s="273">
        <v>110</v>
      </c>
      <c r="ML13" s="267">
        <v>1.43</v>
      </c>
      <c r="MM13" s="267">
        <v>0.82599999999999996</v>
      </c>
      <c r="MN13" s="267">
        <v>2.177</v>
      </c>
      <c r="MO13" s="267">
        <v>12.46</v>
      </c>
      <c r="MP13" s="274">
        <v>15.07</v>
      </c>
      <c r="MQ13"/>
      <c r="MR13"/>
      <c r="MS13"/>
    </row>
    <row r="14" spans="1:357" ht="15" thickBot="1" x14ac:dyDescent="0.35">
      <c r="A14" s="184" t="str">
        <f>Sheet3!A14</f>
        <v>06.12.2022</v>
      </c>
      <c r="B14" s="186">
        <f t="shared" si="102"/>
        <v>1.0142562133855799</v>
      </c>
      <c r="C14" s="183">
        <f t="shared" si="103"/>
        <v>1.0131658515765705</v>
      </c>
      <c r="D14" s="183">
        <f t="shared" si="0"/>
        <v>0.99509291916095155</v>
      </c>
      <c r="E14" s="183">
        <f t="shared" si="1"/>
        <v>0.98324835046475267</v>
      </c>
      <c r="F14" s="183">
        <f t="shared" si="2"/>
        <v>0.96691137559573714</v>
      </c>
      <c r="G14" s="183">
        <f t="shared" si="3"/>
        <v>0.95743635274423811</v>
      </c>
      <c r="H14" s="183">
        <f t="shared" si="4"/>
        <v>0.94511489729251497</v>
      </c>
      <c r="I14" s="183">
        <f t="shared" si="5"/>
        <v>0.93192096896098708</v>
      </c>
      <c r="J14" s="183">
        <f t="shared" si="6"/>
        <v>0.91929779236353415</v>
      </c>
      <c r="K14" s="186">
        <f xml:space="preserve"> (6.057 * (10^(-6)))
+ (4.055 * (10^(-8)) * (Sheet3!DF14 + 273))
+ (1.25 * (10^(-10)) * (Sheet3!DF14 + 273)^2)
- (3.367 * (10^(-14)) * (DD14 + 273)^3)</f>
        <v>5.4925720400631002E-5</v>
      </c>
      <c r="L14" s="183">
        <f xml:space="preserve"> (6.057 * (10^(-6)))
+ (4.055 * (10^(-8)) * (Sheet3!BZ14 + 273))
+ (1.25 * (10^(-10)) * (Sheet3!BZ14 + 273)^2)
- (3.367 * (10^(-14)) * (BX14 + 273)^3)</f>
        <v>5.4779316256965066E-5</v>
      </c>
      <c r="M14" s="183">
        <f xml:space="preserve"> (6.057 * (10^(-6)))
+ (4.055 * (10^(-8)) * (Sheet3!CA14 + 273))
+ (1.25 * (10^(-10)) * (Sheet3!CA14 + 273)^2)
- (3.367 * (10^(-14)) * (BY14 + 273)^3)</f>
        <v>5.2628621312629002E-5</v>
      </c>
      <c r="N14" s="183">
        <f xml:space="preserve"> (6.057 * (10^(-6)))
+ (4.055 * (10^(-8)) * (Sheet3!CB14 + 273))
+ (1.25 * (10^(-10)) * (Sheet3!CB14 + 273)^2)
- (3.367 * (10^(-14)) * (BZ14 + 273)^3)</f>
        <v>5.1376325324812259E-5</v>
      </c>
      <c r="O14" s="183">
        <f xml:space="preserve"> (6.057 * (10^(-6)))
+ (4.055 * (10^(-8)) * (Sheet3!CC14 + 273))
+ (1.25 * (10^(-10)) * (Sheet3!CC14 + 273)^2)
- (3.367 * (10^(-14)) * (CA14 + 273)^3)</f>
        <v>4.9584789983161093E-5</v>
      </c>
      <c r="P14" s="183">
        <f xml:space="preserve"> (6.057 * (10^(-6)))
+ (4.055 * (10^(-8)) * (Sheet3!CD14 + 273))
+ (1.25 * (10^(-10)) * (Sheet3!CD14 + 273)^2)
- (3.367 * (10^(-14)) * (CB14 + 273)^3)</f>
        <v>4.8673097832133067E-5</v>
      </c>
      <c r="Q14" s="183">
        <f xml:space="preserve"> (6.057 * (10^(-6)))
+ (4.055 * (10^(-8)) * (Sheet3!CE14 + 273))
+ (1.25 * (10^(-10)) * (Sheet3!CE14 + 273)^2)
- (3.367 * (10^(-14)) * (CC14 + 273)^3)</f>
        <v>4.7384684057854976E-5</v>
      </c>
      <c r="R14" s="183">
        <f xml:space="preserve"> (6.057 * (10^(-6)))
+ (4.055 * (10^(-8)) * (Sheet3!CF14 + 273))
+ (1.25 * (10^(-10)) * (Sheet3!CF14 + 273)^2)
- (3.367 * (10^(-14)) * (CD14 + 273)^3)</f>
        <v>4.6212480085590576E-5</v>
      </c>
      <c r="S14" s="183">
        <f xml:space="preserve"> (6.057 * (10^(-6)))
+ (4.055 * (10^(-8)) * (Sheet3!CG14 + 273))
+ (1.25 * (10^(-10)) * (Sheet3!CG14 + 273)^2)
- (3.367 * (10^(-14)) * (CE14 + 273)^3)</f>
        <v>4.4987774769888837E-5</v>
      </c>
      <c r="T14" s="188">
        <f t="shared" si="104"/>
        <v>5.4925720400631002E-5</v>
      </c>
      <c r="U14" s="165">
        <f t="shared" si="105"/>
        <v>5.4779316256965066E-5</v>
      </c>
      <c r="V14" s="165">
        <f t="shared" si="106"/>
        <v>5.2628621312629002E-5</v>
      </c>
      <c r="W14" s="165">
        <f t="shared" si="107"/>
        <v>5.1376325324812259E-5</v>
      </c>
      <c r="X14" s="165">
        <f t="shared" si="108"/>
        <v>4.9584789983161093E-5</v>
      </c>
      <c r="Y14" s="165">
        <f t="shared" si="109"/>
        <v>4.8673097832133067E-5</v>
      </c>
      <c r="Z14" s="165">
        <f t="shared" si="110"/>
        <v>4.7384684057854976E-5</v>
      </c>
      <c r="AA14" s="165">
        <f t="shared" si="111"/>
        <v>4.6212480085590576E-5</v>
      </c>
      <c r="AB14" s="165">
        <f t="shared" si="112"/>
        <v>4.4987774769888837E-5</v>
      </c>
      <c r="AC14" s="186">
        <f t="shared" si="8"/>
        <v>5.5708753191019092E-5</v>
      </c>
      <c r="AD14" s="183">
        <f t="shared" si="9"/>
        <v>5.5500532604270285E-5</v>
      </c>
      <c r="AE14" s="183">
        <f t="shared" si="10"/>
        <v>5.2370368413400266E-5</v>
      </c>
      <c r="AF14" s="183">
        <f t="shared" si="11"/>
        <v>5.0515687128562152E-5</v>
      </c>
      <c r="AG14" s="183">
        <f t="shared" si="12"/>
        <v>4.7944097491244021E-5</v>
      </c>
      <c r="AH14" s="183">
        <f t="shared" si="13"/>
        <v>4.6601393265160965E-5</v>
      </c>
      <c r="AI14" s="183">
        <f t="shared" si="14"/>
        <v>4.4783970806577876E-5</v>
      </c>
      <c r="AJ14" s="183">
        <f t="shared" si="15"/>
        <v>4.3066379219453891E-5</v>
      </c>
      <c r="AK14" s="183">
        <f t="shared" si="16"/>
        <v>4.135716202930671E-5</v>
      </c>
      <c r="AL14" s="186">
        <f t="shared" si="113"/>
        <v>4.365842999361598E-2</v>
      </c>
      <c r="AM14" s="183">
        <f t="shared" si="114"/>
        <v>4.3564169778733494E-2</v>
      </c>
      <c r="AN14" s="183">
        <f t="shared" si="115"/>
        <v>4.2086925636636421E-2</v>
      </c>
      <c r="AO14" s="183">
        <f t="shared" si="116"/>
        <v>4.121795468080168E-2</v>
      </c>
      <c r="AP14" s="183">
        <f t="shared" si="117"/>
        <v>3.9942630393232294E-2</v>
      </c>
      <c r="AQ14" s="183">
        <f t="shared" si="118"/>
        <v>3.9289497258320503E-2</v>
      </c>
      <c r="AR14" s="183">
        <f t="shared" si="119"/>
        <v>3.8345129500633741E-2</v>
      </c>
      <c r="AS14" s="183">
        <f t="shared" si="120"/>
        <v>3.7482174454229619E-2</v>
      </c>
      <c r="AT14" s="183">
        <f t="shared" si="121"/>
        <v>3.6564562236309106E-2</v>
      </c>
      <c r="AU14" s="186">
        <f>_xlfn.FORECAST.LINEAR(Sheet3!DF14,Sheet2!$AH$2:$AH$40,Sheet2!$AG$2:$AG$40)</f>
        <v>5.8692557125312989E-2</v>
      </c>
      <c r="AV14" s="183">
        <f>_xlfn.FORECAST.LINEAR(Sheet3!BZ14,Sheet2!$AH$2:$AH$40,Sheet2!$AG$2:$AG$40)</f>
        <v>5.8473605170397062E-2</v>
      </c>
      <c r="AW14" s="183">
        <f>_xlfn.FORECAST.LINEAR(Sheet3!CA14,Sheet2!$AH$2:$AH$40,Sheet2!$AG$2:$AG$40)</f>
        <v>5.5071465519820173E-2</v>
      </c>
      <c r="AX14" s="183">
        <f>_xlfn.FORECAST.LINEAR(Sheet3!CB14,Sheet2!$AH$2:$AH$40,Sheet2!$AG$2:$AG$40)</f>
        <v>5.3057029986486676E-2</v>
      </c>
      <c r="AY14" s="183">
        <f>_xlfn.FORECAST.LINEAR(Sheet3!CC14,Sheet2!$AH$2:$AH$40,Sheet2!$AG$2:$AG$40)</f>
        <v>5.0130233315156696E-2</v>
      </c>
      <c r="AZ14" s="183">
        <f>_xlfn.FORECAST.LINEAR(Sheet3!CD14,Sheet2!$AH$2:$AH$40,Sheet2!$AG$2:$AG$40)</f>
        <v>4.8619575796349797E-2</v>
      </c>
      <c r="BA14" s="183">
        <f>_xlfn.FORECAST.LINEAR(Sheet3!CE14,Sheet2!$AH$2:$AH$40,Sheet2!$AG$2:$AG$40)</f>
        <v>4.6459328995977031E-2</v>
      </c>
      <c r="BB14" s="183">
        <f>_xlfn.FORECAST.LINEAR(Sheet3!CF14,Sheet2!$AH$2:$AH$40,Sheet2!$AG$2:$AG$40)</f>
        <v>4.446704702037043E-2</v>
      </c>
      <c r="BC14" s="183">
        <f>_xlfn.FORECAST.LINEAR(Sheet3!CG14,Sheet2!$AH$2:$AH$40,Sheet2!$AG$2:$AG$40)</f>
        <v>4.2367267851058432E-2</v>
      </c>
      <c r="BD14" s="186">
        <f>_xlfn.FORECAST.LINEAR(Sheet3!DF14,Sheet2!$AB$12:$AB$37,Sheet2!$AA$12:$AA$37)/1000</f>
        <v>3.7893071980671066E-2</v>
      </c>
      <c r="BE14" s="183">
        <f>_xlfn.FORECAST.LINEAR(Sheet3!BZ14,Sheet2!$AB$12:$AB$37,Sheet2!$AA$12:$AA$37)/1000</f>
        <v>3.7844119391529756E-2</v>
      </c>
      <c r="BF14" s="183">
        <f>_xlfn.FORECAST.LINEAR(Sheet3!CA14,Sheet2!$AB$12:$AB$37,Sheet2!$AA$12:$AA$37)/1000</f>
        <v>3.7083479713386748E-2</v>
      </c>
      <c r="BG14" s="183">
        <f>_xlfn.FORECAST.LINEAR(Sheet3!CB14,Sheet2!$AB$12:$AB$37,Sheet2!$AA$12:$AA$37)/1000</f>
        <v>3.663309855532499E-2</v>
      </c>
      <c r="BH14" s="183">
        <f>_xlfn.FORECAST.LINEAR(Sheet3!CC14,Sheet2!$AB$12:$AB$37,Sheet2!$AA$12:$AA$37)/1000</f>
        <v>3.5978734564801267E-2</v>
      </c>
      <c r="BI14" s="183">
        <f>_xlfn.FORECAST.LINEAR(Sheet3!CD14,Sheet2!$AB$12:$AB$37,Sheet2!$AA$12:$AA$37)/1000</f>
        <v>3.5640986510074954E-2</v>
      </c>
      <c r="BJ14" s="183">
        <f>_xlfn.FORECAST.LINEAR(Sheet3!CE14,Sheet2!$AB$12:$AB$37,Sheet2!$AA$12:$AA$37)/1000</f>
        <v>3.5158005327728011E-2</v>
      </c>
      <c r="BK14" s="183">
        <f>_xlfn.FORECAST.LINEAR(Sheet3!CF14,Sheet2!$AB$12:$AB$37,Sheet2!$AA$12:$AA$37)/1000</f>
        <v>3.471257719239601E-2</v>
      </c>
      <c r="BL14" s="183">
        <f>_xlfn.FORECAST.LINEAR(Sheet3!CG14,Sheet2!$AB$12:$AB$37,Sheet2!$AA$12:$AA$37)/1000</f>
        <v>3.4243115172738453E-2</v>
      </c>
      <c r="BM14" s="186">
        <f t="shared" si="122"/>
        <v>0.65010236610546956</v>
      </c>
      <c r="BN14" s="183">
        <f t="shared" si="123"/>
        <v>0.65125209818082019</v>
      </c>
      <c r="BO14" s="183">
        <f t="shared" si="124"/>
        <v>0.6698196305574472</v>
      </c>
      <c r="BP14" s="183">
        <f t="shared" si="125"/>
        <v>0.68121704801519478</v>
      </c>
      <c r="BQ14" s="183">
        <f t="shared" si="126"/>
        <v>0.69869605953723279</v>
      </c>
      <c r="BR14" s="183">
        <f t="shared" si="127"/>
        <v>0.70795948028603339</v>
      </c>
      <c r="BS14" s="183">
        <f t="shared" si="128"/>
        <v>0.7218737792973815</v>
      </c>
      <c r="BT14" s="183">
        <f t="shared" si="129"/>
        <v>0.73497360548419499</v>
      </c>
      <c r="BU14" s="183">
        <f t="shared" si="130"/>
        <v>0.74954319956574089</v>
      </c>
      <c r="BV14" s="186">
        <f t="shared" si="131"/>
        <v>1.2054881026651154</v>
      </c>
      <c r="BW14" s="183">
        <f t="shared" si="19"/>
        <v>1.2052666941455623</v>
      </c>
      <c r="BX14" s="183">
        <f t="shared" si="20"/>
        <v>1.1997857574376276</v>
      </c>
      <c r="BY14" s="183">
        <f t="shared" si="21"/>
        <v>1.1977734014787267</v>
      </c>
      <c r="BZ14" s="183">
        <f t="shared" si="22"/>
        <v>1.1923759831216281</v>
      </c>
      <c r="CA14" s="183">
        <f t="shared" si="23"/>
        <v>1.1908832002274672</v>
      </c>
      <c r="CB14" s="183">
        <f t="shared" si="24"/>
        <v>1.186113758598315</v>
      </c>
      <c r="CC14" s="183">
        <f t="shared" si="25"/>
        <v>1.18417169096299</v>
      </c>
      <c r="CD14" s="183">
        <f t="shared" si="26"/>
        <v>1.179540835352173</v>
      </c>
      <c r="CE14" s="187">
        <f xml:space="preserve"> -0.0000000019505*Sheet3!DF14^3 + 0.0000015497*Sheet3!DF14^2  + 0.00016911*Sheet3!DF14 + 1.8585</f>
        <v>1.9471087320625</v>
      </c>
      <c r="CF14" s="185">
        <f xml:space="preserve"> -0.0000000019505*Sheet3!BZ14^3 + 0.0000015497*Sheet3!BZ14^2  + 0.00016911*Sheet3!BZ14 + 1.8585</f>
        <v>1.9466221927066762</v>
      </c>
      <c r="CG14" s="185">
        <f xml:space="preserve"> -0.0000000019505*Sheet3!CA14^3 + 0.0000015497*Sheet3!CA14^2  + 0.00016911*Sheet3!CA14 + 1.8585</f>
        <v>1.9391234461430615</v>
      </c>
      <c r="CH14" s="185">
        <f xml:space="preserve"> -0.0000000019505*Sheet3!CB14^3 + 0.0000015497*Sheet3!CB14^2  + 0.00016911*Sheet3!CB14 + 1.8585</f>
        <v>1.934744926025459</v>
      </c>
      <c r="CI14" s="185">
        <f xml:space="preserve"> -0.0000000019505*Sheet3!CC14^3 + 0.0000015497*Sheet3!CC14^2  + 0.00016911*Sheet3!CC14 + 1.8585</f>
        <v>1.928479240971793</v>
      </c>
      <c r="CJ14" s="185">
        <f xml:space="preserve"> -0.0000000019505*Sheet3!CD14^3 + 0.0000015497*Sheet3!CD14^2  + 0.00016911*Sheet3!CD14 + 1.8585</f>
        <v>1.9252948251401185</v>
      </c>
      <c r="CK14" s="185">
        <f xml:space="preserve"> -0.0000000019505*Sheet3!CE14^3 + 0.0000015497*Sheet3!CE14^2  + 0.00016911*Sheet3!CE14 + 1.8585</f>
        <v>1.9208059882156328</v>
      </c>
      <c r="CL14" s="185">
        <f xml:space="preserve"> -0.0000000019505*Sheet3!CF14^3 + 0.0000015497*Sheet3!CF14^2  + 0.00016911*Sheet3!CF14 + 1.8585</f>
        <v>1.9167394349947979</v>
      </c>
      <c r="CM14" s="185">
        <f xml:space="preserve"> -0.0000000019505*Sheet3!CG14^3 + 0.0000015497*Sheet3!CG14^2  + 0.00016911*Sheet3!CG14 + 1.8585</f>
        <v>1.9125359406293569</v>
      </c>
      <c r="CN14" s="186">
        <f>_xlfn.FORECAST.LINEAR(Sheet3!DF14,New!$LU$2:$LU$14,New!$LT$2:$LT$14)</f>
        <v>1.0369379596202553</v>
      </c>
      <c r="CO14" s="183">
        <f>_xlfn.FORECAST.LINEAR(Sheet3!BZ14,New!$LU$2:$LU$14,New!$LT$2:$LT$14)</f>
        <v>1.0367768081089452</v>
      </c>
      <c r="CP14" s="183">
        <f>_xlfn.FORECAST.LINEAR(Sheet3!CA14,New!$LU$2:$LU$14,New!$LT$2:$LT$14)</f>
        <v>1.0342727886925021</v>
      </c>
      <c r="CQ14" s="183">
        <f>_xlfn.FORECAST.LINEAR(Sheet3!CB14,New!$LU$2:$LU$14,New!$LT$2:$LT$14)</f>
        <v>1.032790137712027</v>
      </c>
      <c r="CR14" s="183">
        <f>_xlfn.FORECAST.LINEAR(Sheet3!CC14,New!$LU$2:$LU$14,New!$LT$2:$LT$14)</f>
        <v>1.0306359769644664</v>
      </c>
      <c r="CS14" s="183">
        <f>_xlfn.FORECAST.LINEAR(Sheet3!CD14,New!$LU$2:$LU$14,New!$LT$2:$LT$14)</f>
        <v>1.0295241132118873</v>
      </c>
      <c r="CT14" s="183">
        <f>_xlfn.FORECAST.LINEAR(Sheet3!CE14,New!$LU$2:$LU$14,New!$LT$2:$LT$14)</f>
        <v>1.027934143225933</v>
      </c>
      <c r="CU14" s="183">
        <f>_xlfn.FORECAST.LINEAR(Sheet3!CF14,New!$LU$2:$LU$14,New!$LT$2:$LT$14)</f>
        <v>1.0264677975545837</v>
      </c>
      <c r="CV14" s="183">
        <f>_xlfn.FORECAST.LINEAR(Sheet3!CG14,New!$LU$2:$LU$14,New!$LT$2:$LT$14)</f>
        <v>1.0249223325383816</v>
      </c>
      <c r="CW14" s="186">
        <f>EXP((17.625*Sheet3!BA14)/(243.04+Sheet3!BA14)) / EXP((17.625*Sheet3!DF14)/(243.04+Sheet3!DF14))</f>
        <v>4.3282066535348981E-2</v>
      </c>
      <c r="CX14" s="183">
        <f>EXP((17.625*(Sheet3!BC14+273))/(243.04+(Sheet3!BC14+273)))/EXP((17.625*(Sheet3!BZ14+273))/(243.04+(Sheet3!BZ14+273)))</f>
        <v>0.21699684575937425</v>
      </c>
      <c r="CY14" s="183">
        <f>EXP((17.625*(Sheet3!BE14+273))/(243.04+(Sheet3!BE14+273))) / EXP((17.625*(Sheet3!CA14+273))/(243.04+(Sheet3!CA14+273)))</f>
        <v>0.2419648930207117</v>
      </c>
      <c r="CZ14" s="183">
        <f>EXP((17.625*(Sheet3!BG14+273))/(243.04+(Sheet3!BG14+273))) / EXP((17.625*(Sheet3!CB14+273))/(243.04+(Sheet3!CB14+273)))</f>
        <v>0.25817778888323528</v>
      </c>
      <c r="DA14" s="183">
        <f>EXP((17.625*(Sheet3!BI14+273))/(243.04+(Sheet3!BI14+273))) / EXP((17.625*(Sheet3!CC14+273))/(243.04+(Sheet3!CC14+273)))</f>
        <v>0.28434732293888754</v>
      </c>
      <c r="DB14" s="183">
        <f>EXP((17.625*(Sheet3!BK14+273))/(243.04+(Sheet3!BK14+273)))/EXP((17.625*(Sheet3!CD14+273))/(243.04+(Sheet3!CD14+273)))</f>
        <v>0.29976316988780466</v>
      </c>
      <c r="DC14" s="183">
        <f>EXP((17.625*(Sheet3!BM14+273))/(243.04+(Sheet3!BM14+273))) / EXP((17.625*(Sheet3!CE14+273))/(243.04+(Sheet3!CE14+273)))</f>
        <v>0.32264871720264782</v>
      </c>
      <c r="DD14" s="183">
        <f>EXP((17.625*(Sheet3!BO14+273))/(243.04+(Sheet3!BO14+273))) / EXP((17.625*(Sheet3!CF14+273))/(243.04+(Sheet3!CF14+273)))</f>
        <v>0.34701864601071264</v>
      </c>
      <c r="DE14" s="183">
        <f>EXP((17.625*(Sheet3!BQ14+273))/(243.04+(Sheet3!BQ14+273))) / EXP((17.625*(Sheet3!CG14+273))/(243.04+(Sheet3!CG14+273)))</f>
        <v>0.37407009464302377</v>
      </c>
      <c r="DF14" s="186">
        <f>((Sheet3!DA14-Sheet3!DB14)/New!$LQ$3)/(((Sheet3!DA14-Sheet3!DB14)/New!$LQ$3)+(Sheet3!DB14/New!$LP$3))</f>
        <v>0.73241180492672753</v>
      </c>
      <c r="DG14" s="183">
        <f>((Sheet3!DA14-Sheet3!DB14)/New!$LQ$3)/(((Sheet3!DA14-Sheet3!DB14)/New!$LQ$3)+((Sheet3!DB14-(Sheet3!B14*0.004))/New!$LP$3))</f>
        <v>0.73241180492672753</v>
      </c>
      <c r="DH14" s="183" cm="1">
        <f t="array" ref="DH14">((Sheet3!DA14-Sheet3!DB14)/New!$LQ$3)/(((Sheet3!DA14-Sheet3!DB14)/New!$LQ$3)+((Sheet3!DB14-(SUM(Sheet3!B14:C14*0.004)))/New!$LP$3))</f>
        <v>0.74192359764195182</v>
      </c>
      <c r="DI14" s="183" cm="1">
        <f t="array" ref="DI14">((Sheet3!DA14-Sheet3!DB14)/New!$LQ$3)/(((Sheet3!DA14-Sheet3!DB14)/New!$LQ$3)+((Sheet3!DB14-(SUM(Sheet3!B14:D14*0.004)))/New!$LP$3))</f>
        <v>0.74192359764195182</v>
      </c>
      <c r="DJ14" s="183" cm="1">
        <f t="array" ref="DJ14">((Sheet3!DA14-Sheet3!DB14)/New!$LQ$3)/(((Sheet3!DA14-Sheet3!DB14)/New!$LQ$3)+((Sheet3!DB14-(SUM(Sheet3!B14:E14*0.004)))/New!$LP$3))</f>
        <v>0.75387568912679692</v>
      </c>
      <c r="DK14" s="183" cm="1">
        <f t="array" ref="DK14">((Sheet3!DA14-Sheet3!DB14)/New!$LQ$3)/(((Sheet3!DA14-Sheet3!DB14)/New!$LQ$3)+((Sheet3!DB14-(SUM(Sheet3!B14:F14*0.004)))/New!$LP$3))</f>
        <v>0.7539126047182213</v>
      </c>
      <c r="DL14" s="183" cm="1">
        <f t="array" ref="DL14">((Sheet3!DA14-Sheet3!DB14)/New!$LQ$3)/(((Sheet3!DA14-Sheet3!DB14)/New!$LQ$3)+((Sheet3!DB14-(SUM(Sheet3!B14:G14*0.004)))/New!$LP$3))</f>
        <v>0.76713544664244415</v>
      </c>
      <c r="DM14" s="183" cm="1">
        <f t="array" ref="DM14">((Sheet3!DA14-Sheet3!DB14)/New!$LQ$3)/(((Sheet3!DA14-Sheet3!DB14)/New!$LQ$3)+((Sheet3!DB14-(SUM(Sheet3!B14:H14*0.004)))/New!$LP$3))</f>
        <v>0.76721190174325948</v>
      </c>
      <c r="DN14" s="183" cm="1">
        <f t="array" ref="DN14">((Sheet3!DA14-Sheet3!DB14)/New!$LQ$3)/(((Sheet3!DA14-Sheet3!DB14)/New!$LQ$3)+((Sheet3!DB14-(SUM(Sheet3!B14:I14*0.004)))/New!$LP$3))</f>
        <v>0.78073140951908304</v>
      </c>
      <c r="DO14" s="186">
        <f>(Sheet3!DB14/$LP$3) / ((Sheet3!DB14/$LP$3) + ((Sheet3!DA14-Sheet3!DB14)/$LQ$3))</f>
        <v>0.26758819507327258</v>
      </c>
      <c r="DP14" s="183">
        <f>((Sheet3!$DB14-(Sheet3!B14/4000)) / $LP$3) / (((Sheet3!$DA14-Sheet3!DB14) / $LQ$3) + (Sheet3!$DB14-((Sheet3!B14/4000)))/$LP$3)</f>
        <v>0.26758819507327258</v>
      </c>
      <c r="DQ14" s="183">
        <f>((Sheet3!$DB14-(SUM(Sheet3!B14:C14)/4000))/$LP$3)/(((Sheet3!$DA14-Sheet3!$DB14)/$LQ$3)+(Sheet3!$DB14-(SUM(Sheet3!B14:C14)/4000))/$LP$3)</f>
        <v>0.26700085899919795</v>
      </c>
      <c r="DR14" s="183">
        <f>((Sheet3!$DB14-(SUM(Sheet3!B14:D14)/4000))/$LP$3)/(((Sheet3!$DA14-Sheet3!$DB14)/$LQ$3)+(Sheet3!$DB14-(SUM(Sheet3!B14:D14)/4000))/$LP$3)</f>
        <v>0.26700085899919795</v>
      </c>
      <c r="DS14" s="183">
        <f>((Sheet3!$DB14-(SUM(Sheet3!B14:E14)/4000))/$LP$3)/(((Sheet3!$DA14-Sheet3!$DB14)/$LQ$3)+(Sheet3!$DB14-(SUM(Sheet3!B14:E14)/4000))/$LP$3)</f>
        <v>0.26628257316236303</v>
      </c>
      <c r="DT14" s="183">
        <f>((Sheet3!$DB14-(SUM(Sheet3!B14:F14)/4000))/$LP$3)/(((Sheet3!$DA14-Sheet3!$DB14)/$LQ$3)+(Sheet3!$DB14-(SUM(Sheet3!B14:F14)/4000))/$LP$3)</f>
        <v>0.26628038777681212</v>
      </c>
      <c r="DU14" s="183">
        <f>((Sheet3!$DB14-(SUM(Sheet3!B14:G14)/4000))/$LP$3)/(((Sheet3!$DA14-Sheet3!$DB14)/$LQ$3)+(Sheet3!$DB14-(SUM(Sheet3!B14:G14)/4000))/$LP$3)</f>
        <v>0.26551032240748063</v>
      </c>
      <c r="DV14" s="183">
        <f>((Sheet3!$DB14-(SUM(Sheet3!B14:H14)/4000))/$LP$3)/(((Sheet3!$DA14-Sheet3!$DB14)/$LQ$3)+(Sheet3!$DB14-(SUM(Sheet3!B14:H14)/4000))/$LP$3)</f>
        <v>0.26550594241783376</v>
      </c>
      <c r="DW14" s="183">
        <f>((Sheet3!$DB14-(SUM(Sheet3!B14:I14)/4000))/$LP$3)/(((Sheet3!$DA14-Sheet3!$DB14)/$LQ$3)+(Sheet3!$DB14-(SUM(Sheet3!B14:I14)/4000))/$LP$3)</f>
        <v>0.26474412534066522</v>
      </c>
      <c r="DX14" s="186">
        <f>($LR$2*($LP$3/1000))/($LP$2*(Sheet3!DF14+273))*DO14</f>
        <v>0.12038932705656842</v>
      </c>
      <c r="DY14" s="183">
        <f>(($LR$2*($LP$3/1000))/($LP$2*(Sheet3!BZ14+273)))*(DP14)</f>
        <v>0.12060224040385559</v>
      </c>
      <c r="DZ14" s="183">
        <f>(($LR$2*($LP$3/1000))/($LP$2*(Sheet3!CA14+273)))*(DQ14)</f>
        <v>0.12373785537398826</v>
      </c>
      <c r="EA14" s="183">
        <f>(($LR$2*($LP$3/1000))/($LP$2*(Sheet3!CB14+273)))*(DR14)</f>
        <v>0.12584333560879421</v>
      </c>
      <c r="EB14" s="183">
        <f>(($LR$2*($LP$3/1000))/($LP$2*(Sheet3!CC14+273)))*(DS14)</f>
        <v>0.12868620259046978</v>
      </c>
      <c r="EC14" s="183">
        <f>(($LR$2*($LP$3/1000))/($LP$2*(Sheet3!CD14+273)))*(DT14)</f>
        <v>0.13039115435050336</v>
      </c>
      <c r="ED14" s="183">
        <f>(($LR$2*($LP$3/1000))/($LP$2*(Sheet3!CE14+273)))*(DU14)</f>
        <v>0.13252649422843876</v>
      </c>
      <c r="EE14" s="183">
        <f>(($LR$2*($LP$3/1000))/($LP$2*(Sheet3!CF14+273)))*(DV14)</f>
        <v>0.13492897518227298</v>
      </c>
      <c r="EF14" s="183">
        <f>(($LR$2*($LP$3/1000))/($LP$2*(Sheet3!CG14+273)))*(DW14)</f>
        <v>0.13716498746290304</v>
      </c>
      <c r="EG14" s="186">
        <f>(($LR$2*($LQ$3/1000))/($LQ$2*(Sheet3!DF14+273)))*(1-DO14)</f>
        <v>0.5297130390489011</v>
      </c>
      <c r="EH14" s="183">
        <f>(($LR$2*($LQ$3/1000))/($LQ$2*(Sheet3!BZ14+273)))*(1-DP14)</f>
        <v>0.53064985777696461</v>
      </c>
      <c r="EI14" s="183">
        <f>(($LR$2*($LQ$3/1000))/($LQ$2*(Sheet3!CA14+273)))*(1-DQ14)</f>
        <v>0.54608177518345891</v>
      </c>
      <c r="EJ14" s="183">
        <f>(($LR$2*($LQ$3/1000))/($LQ$2*(Sheet3!CB14+273)))*(1-DR14)</f>
        <v>0.55537371240640054</v>
      </c>
      <c r="EK14" s="183">
        <f>(($LR$2*($LQ$3/1000))/($LQ$2*(Sheet3!CC14+273)))*(1-DS14)</f>
        <v>0.57000985694676298</v>
      </c>
      <c r="EL14" s="183">
        <f>(($LR$2*($LQ$3/1000))/($LQ$2*(Sheet3!CD14+273)))*(1-DT14)</f>
        <v>0.57756832593553009</v>
      </c>
      <c r="EM14" s="183">
        <f>(($LR$2*($LQ$3/1000))/($LQ$2*(Sheet3!CE14+273)))*(1-DU14)</f>
        <v>0.58934728506894274</v>
      </c>
      <c r="EN14" s="183">
        <f>(($LR$2*($LQ$3/1000))/($LQ$2*(Sheet3!CF14+273)))*(1-DV14)</f>
        <v>0.60004463030192201</v>
      </c>
      <c r="EO14" s="183">
        <f>(($LR$2*($LQ$3/1000))/($LQ$2*(Sheet3!CG14+273)))*(1-DW14)</f>
        <v>0.61237821210283783</v>
      </c>
      <c r="EP14" s="186">
        <f t="shared" si="132"/>
        <v>4663.8726883728841</v>
      </c>
      <c r="EQ14" s="183">
        <f xml:space="preserve"> (($FV14-(Sheet3!B14/4000))*0.018)/(0.011*JO14*3600)</f>
        <v>4670.7310649890323</v>
      </c>
      <c r="ER14" s="183">
        <f>((($FV14-(SUM(Sheet3!B14:C14)/4000))*0.018)/(0.011*JP14*3600))</f>
        <v>4776.1626720114709</v>
      </c>
      <c r="ES14" s="183">
        <f>((($FV14-(SUM(Sheet3!B14:D14)/4000))*0.018)/(0.011*JQ14*3600))</f>
        <v>4843.2682636099789</v>
      </c>
      <c r="ET14" s="183">
        <f>((($FV14-(SUM(Sheet3!B14:E14)/4000))*0.018)/(0.011*JR14))/3600</f>
        <v>4939.3749679409848</v>
      </c>
      <c r="EU14" s="183">
        <f>((($FV14-(SUM(Sheet3!B14:F14)/4000))*0.018)/(0.011*JS14))/3600</f>
        <v>4993.1079264370819</v>
      </c>
      <c r="EV14" s="183">
        <f>((($FV14-(SUM(Sheet3!B14:G14)/4000))*0.018)/(0.011*JT14))/3600</f>
        <v>5066.674851772591</v>
      </c>
      <c r="EW14" s="183">
        <f>((($FV14-(SUM(Sheet3!B14:H14)/4000))*0.018)/(0.011*JU14))/3600</f>
        <v>5141.6479132801232</v>
      </c>
      <c r="EX14" s="183">
        <f>((($FV14-(SUM(Sheet3!B14:I14)/4000))*0.018)/(0.011*JV14))/3600</f>
        <v>5217.6546881853801</v>
      </c>
      <c r="EY14" s="186">
        <f t="shared" si="133"/>
        <v>47.453210043194026</v>
      </c>
      <c r="EZ14" s="183">
        <f t="shared" si="134"/>
        <v>47.505851538640023</v>
      </c>
      <c r="FA14" s="183">
        <f t="shared" si="135"/>
        <v>48.301301707086317</v>
      </c>
      <c r="FB14" s="183">
        <f t="shared" si="136"/>
        <v>48.819609244834396</v>
      </c>
      <c r="FC14" s="183">
        <f t="shared" si="137"/>
        <v>49.545042090957359</v>
      </c>
      <c r="FD14" s="183">
        <f t="shared" si="138"/>
        <v>49.963218642426156</v>
      </c>
      <c r="FE14" s="183">
        <f t="shared" si="139"/>
        <v>50.51594576076171</v>
      </c>
      <c r="FF14" s="183">
        <f t="shared" si="140"/>
        <v>51.103754568780289</v>
      </c>
      <c r="FG14" s="183">
        <f t="shared" si="141"/>
        <v>51.680182907501766</v>
      </c>
      <c r="FH14" s="186">
        <f t="shared" si="28"/>
        <v>115.0962582579523</v>
      </c>
      <c r="FI14" s="183">
        <f t="shared" si="29"/>
        <v>114.97516566181233</v>
      </c>
      <c r="FJ14" s="183">
        <f t="shared" si="30"/>
        <v>112.936294061049</v>
      </c>
      <c r="FK14" s="183">
        <f t="shared" si="31"/>
        <v>111.79135785489062</v>
      </c>
      <c r="FL14" s="183">
        <f t="shared" si="32"/>
        <v>109.94218355868038</v>
      </c>
      <c r="FM14" s="183">
        <f t="shared" si="33"/>
        <v>109.05720788158169</v>
      </c>
      <c r="FN14" s="183">
        <f t="shared" si="34"/>
        <v>107.61336011352211</v>
      </c>
      <c r="FO14" s="183">
        <f t="shared" si="35"/>
        <v>106.41554688961982</v>
      </c>
      <c r="FP14" s="183">
        <f t="shared" si="36"/>
        <v>104.98129246139926</v>
      </c>
      <c r="FQ14" s="314">
        <f>Sheet3!CV14</f>
        <v>2</v>
      </c>
      <c r="FR14" s="183">
        <v>5000</v>
      </c>
      <c r="FS14" s="183">
        <v>20</v>
      </c>
      <c r="FT14" s="183">
        <v>0.17346666666666669</v>
      </c>
      <c r="FU14" s="183">
        <v>23.13</v>
      </c>
      <c r="FV14" s="183">
        <v>243</v>
      </c>
      <c r="FW14" s="183">
        <v>45</v>
      </c>
      <c r="FX14" s="183">
        <v>468</v>
      </c>
      <c r="FY14" s="183">
        <v>10.45</v>
      </c>
      <c r="FZ14" s="183">
        <v>22.5</v>
      </c>
      <c r="GA14" s="183">
        <v>215</v>
      </c>
      <c r="GB14" s="186">
        <f>EXP($LP$6-($LQ$6/('Trial and Error method'!T14+$LP$8))) / ($LR$2/1000)</f>
        <v>0.1029718485721863</v>
      </c>
      <c r="GC14" s="183">
        <f>EXP($LP$6-($LQ$6/('Trial and Error method'!U14+$LP$8))) / ($LR$2/1000)</f>
        <v>0.1406346641568661</v>
      </c>
      <c r="GD14" s="183">
        <f>EXP($LP$6-($LQ$6/('Trial and Error method'!V14+$LP$8))) / ($LR$2/1000)</f>
        <v>0.12978631728331991</v>
      </c>
      <c r="GE14" s="183">
        <f>EXP($LP$6-($LQ$6/('Trial and Error method'!W14+$LP$8))) / ($LR$2/1000)</f>
        <v>0.12156004661242986</v>
      </c>
      <c r="GF14" s="183">
        <f>EXP($LP$6-($LQ$6/('Trial and Error method'!X14+$LP$8))) / ($LR$2/1000)</f>
        <v>0.11235850793843496</v>
      </c>
      <c r="GG14" s="183">
        <f>EXP($LP$6-($LQ$6/('Trial and Error method'!Y14+$LP$8))) / ($LR$2/1000)</f>
        <v>0.10611592292191582</v>
      </c>
      <c r="GH14" s="183">
        <f>EXP($LP$6-($LQ$6/('Trial and Error method'!Z14+$LP$8))) / ($LR$2/1000)</f>
        <v>9.9483483313293555E-2</v>
      </c>
      <c r="GI14" s="183">
        <f>EXP($LP$6-($LQ$6/('Trial and Error method'!AA14+$LP$8))) / ($LR$2/1000)</f>
        <v>9.4658486236895725E-2</v>
      </c>
      <c r="GJ14" s="183">
        <f>EXP($LP$6-($LQ$6/('Trial and Error method'!AB14+$LP$8))) / ($LR$2/1000)</f>
        <v>9.0342338790874277E-2</v>
      </c>
      <c r="GK14" s="188">
        <f t="shared" si="142"/>
        <v>0.81194062935218103</v>
      </c>
      <c r="GL14" s="165">
        <f t="shared" si="143"/>
        <v>0.79419815059001619</v>
      </c>
      <c r="GM14" s="165">
        <f t="shared" si="144"/>
        <v>0.79964527171665523</v>
      </c>
      <c r="GN14" s="165">
        <f t="shared" si="145"/>
        <v>0.80352697523030558</v>
      </c>
      <c r="GO14" s="165">
        <f t="shared" si="146"/>
        <v>0.80823810912326066</v>
      </c>
      <c r="GP14" s="165">
        <f t="shared" si="147"/>
        <v>0.81116819407773799</v>
      </c>
      <c r="GQ14" s="165">
        <f t="shared" si="148"/>
        <v>0.81468546062851599</v>
      </c>
      <c r="GR14" s="165">
        <f t="shared" si="149"/>
        <v>0.81694250500173604</v>
      </c>
      <c r="GS14" s="165">
        <f t="shared" si="150"/>
        <v>0.81936565295862196</v>
      </c>
      <c r="GT14" s="188">
        <f t="shared" si="38"/>
        <v>7.2462157433655805E-2</v>
      </c>
      <c r="GU14" s="165">
        <f t="shared" si="39"/>
        <v>7.4069718962318148E-2</v>
      </c>
      <c r="GV14" s="165">
        <f t="shared" si="40"/>
        <v>7.3467017332331366E-2</v>
      </c>
      <c r="GW14" s="165">
        <f t="shared" si="41"/>
        <v>7.3073514741116466E-2</v>
      </c>
      <c r="GX14" s="165">
        <f t="shared" si="42"/>
        <v>7.2575451038908251E-2</v>
      </c>
      <c r="GY14" s="165">
        <f t="shared" si="43"/>
        <v>7.2294189373014531E-2</v>
      </c>
      <c r="GZ14" s="165">
        <f t="shared" si="44"/>
        <v>7.1933167723533864E-2</v>
      </c>
      <c r="HA14" s="165">
        <f t="shared" si="45"/>
        <v>7.1721368408939543E-2</v>
      </c>
      <c r="HB14" s="165">
        <f t="shared" si="46"/>
        <v>7.1469280607083754E-2</v>
      </c>
      <c r="HC14" s="188">
        <f>BV14*Sheet3!DF14</f>
        <v>259.17994207299984</v>
      </c>
      <c r="HD14" s="165">
        <f>BW14*Sheet3!BZ14</f>
        <v>258.09397316867489</v>
      </c>
      <c r="HE14" s="165">
        <f>BX14*Sheet3!CA14</f>
        <v>240.8592285193067</v>
      </c>
      <c r="HF14" s="165">
        <f>BY14*Sheet3!CB14</f>
        <v>230.9613029457754</v>
      </c>
      <c r="HG14" s="165">
        <f>BZ14*Sheet3!CC14</f>
        <v>216.18884370693951</v>
      </c>
      <c r="HH14" s="165">
        <f>CA14*Sheet3!CD14</f>
        <v>208.83948528151021</v>
      </c>
      <c r="HI14" s="165">
        <f>CB14*Sheet3!CE14</f>
        <v>197.92105566629635</v>
      </c>
      <c r="HJ14" s="165">
        <f>CC14*Sheet3!CF14</f>
        <v>188.31408551202537</v>
      </c>
      <c r="HK14" s="165">
        <f>CD14*Sheet3!CG14</f>
        <v>177.83213697816842</v>
      </c>
      <c r="HL14" s="188">
        <f>(CE14*Sheet3!DF14)+2501</f>
        <v>2919.6283773934374</v>
      </c>
      <c r="HM14" s="165">
        <f>(CF14*Sheet3!BZ14)+2501</f>
        <v>2917.8467098729161</v>
      </c>
      <c r="HN14" s="165">
        <f>(CG14*Sheet3!CA14)+2501</f>
        <v>2890.2826484615089</v>
      </c>
      <c r="HO14" s="165">
        <f>(CH14*Sheet3!CB14)+2501</f>
        <v>2874.0682351360465</v>
      </c>
      <c r="HP14" s="165">
        <f>(CI14*Sheet3!CC14)+2501</f>
        <v>2850.651203244674</v>
      </c>
      <c r="HQ14" s="165">
        <f>(CJ14*Sheet3!CD14)+2501</f>
        <v>2838.6297358301954</v>
      </c>
      <c r="HR14" s="165">
        <f>(CK14*Sheet3!CE14)+2501</f>
        <v>2821.5155881228825</v>
      </c>
      <c r="HS14" s="165">
        <f>(CL14*Sheet3!CF14)+2501</f>
        <v>2805.8114024515744</v>
      </c>
      <c r="HT14" s="165">
        <f>(CM14*Sheet3!CG14)+2501</f>
        <v>2789.3413131416719</v>
      </c>
      <c r="HU14" s="188">
        <f>-0.0021*(Sheet3!DF14^2) - 2.2115*(Sheet3!DF14) + 2499</f>
        <v>1926.4549999999999</v>
      </c>
      <c r="HV14" s="165">
        <f>-0.0021*(Sheet3!BZ14^2) - 2.2115*(Sheet3!BZ14) + 2499</f>
        <v>1929.1366575424877</v>
      </c>
      <c r="HW14" s="165">
        <f>-0.0021*(Sheet3!CA14^2) - 2.2115*(Sheet3!CA14) + 2499</f>
        <v>1970.4044965320718</v>
      </c>
      <c r="HX14" s="165">
        <f>-0.0021*(Sheet3!CB14^2) - 2.2115*(Sheet3!CB14) + 2499</f>
        <v>1994.4847716295999</v>
      </c>
      <c r="HY14" s="165">
        <f>-0.0021*(Sheet3!CC14^2) - 2.2115*(Sheet3!CC14) + 2499</f>
        <v>2029.001080040387</v>
      </c>
      <c r="HZ14" s="165">
        <f>-0.0021*(Sheet3!CD14^2) - 2.2115*(Sheet3!CD14) + 2499</f>
        <v>2046.5986217384102</v>
      </c>
      <c r="IA14" s="165">
        <f>-0.0021*(Sheet3!CE14^2) - 2.2115*(Sheet3!CE14) + 2499</f>
        <v>2071.5053530676842</v>
      </c>
      <c r="IB14" s="165">
        <f>-0.0021*(Sheet3!CF14^2) - 2.2115*(Sheet3!CF14) + 2499</f>
        <v>2094.2065411938534</v>
      </c>
      <c r="IC14" s="165">
        <f>-0.0021*(Sheet3!CG14^2) - 2.2115*(Sheet3!CG14) + 2499</f>
        <v>2117.8532481376178</v>
      </c>
      <c r="ID14" s="188">
        <f t="shared" si="47"/>
        <v>0.65393069093777956</v>
      </c>
      <c r="IE14" s="165">
        <f t="shared" si="48"/>
        <v>0.65426312642728635</v>
      </c>
      <c r="IF14" s="165">
        <f t="shared" si="49"/>
        <v>0.65890087999298519</v>
      </c>
      <c r="IG14" s="165">
        <f t="shared" si="50"/>
        <v>0.66235741184461971</v>
      </c>
      <c r="IH14" s="165">
        <f t="shared" si="51"/>
        <v>0.66673460930997264</v>
      </c>
      <c r="II14" s="165">
        <f t="shared" si="52"/>
        <v>0.6696830184717204</v>
      </c>
      <c r="IJ14" s="165">
        <f t="shared" si="53"/>
        <v>0.67301631040351806</v>
      </c>
      <c r="IK14" s="165">
        <f t="shared" si="54"/>
        <v>0.67735799549583309</v>
      </c>
      <c r="IL14" s="165">
        <f t="shared" si="55"/>
        <v>0.68107778680887943</v>
      </c>
      <c r="IM14" s="188">
        <f t="shared" si="56"/>
        <v>22.979632964328015</v>
      </c>
      <c r="IN14" s="165">
        <f t="shared" si="151"/>
        <v>18.140467482434094</v>
      </c>
      <c r="IO14" s="165">
        <f t="shared" si="152"/>
        <v>19.863141561172505</v>
      </c>
      <c r="IP14" s="165">
        <f t="shared" si="153"/>
        <v>21.19712755823398</v>
      </c>
      <c r="IQ14" s="165">
        <f t="shared" si="154"/>
        <v>22.666191129307826</v>
      </c>
      <c r="IR14" s="165">
        <f t="shared" si="155"/>
        <v>23.697483890390789</v>
      </c>
      <c r="IS14" s="165">
        <f t="shared" si="156"/>
        <v>24.739649664269262</v>
      </c>
      <c r="IT14" s="165">
        <f t="shared" si="157"/>
        <v>25.66117838215721</v>
      </c>
      <c r="IU14" s="165">
        <f t="shared" si="158"/>
        <v>26.397706959177913</v>
      </c>
      <c r="IV14" s="188">
        <f>_xlfn.FORECAST.LINEAR(Sheet3!DF14,Sheet2!$AK$2:$AK$69,Sheet2!$AJ$2:$AJ$69)</f>
        <v>1.6313035254065307E-5</v>
      </c>
      <c r="IW14" s="165">
        <f>_xlfn.FORECAST.LINEAR(Sheet3!BZ14,Sheet2!$AK$2:$AK$69,Sheet2!$AJ$2:$AJ$69)</f>
        <v>1.6282871310478633E-5</v>
      </c>
      <c r="IX14" s="165">
        <f>_xlfn.FORECAST.LINEAR(Sheet3!CA14,Sheet2!$AK$2:$AK$69,Sheet2!$AJ$2:$AJ$69)</f>
        <v>1.5814175113939094E-5</v>
      </c>
      <c r="IY14" s="165">
        <f>_xlfn.FORECAST.LINEAR(Sheet3!CB14,Sheet2!$AK$2:$AK$69,Sheet2!$AJ$2:$AJ$69)</f>
        <v>1.5536656149516985E-5</v>
      </c>
      <c r="IZ14" s="165">
        <f>_xlfn.FORECAST.LINEAR(Sheet3!CC14,Sheet2!$AK$2:$AK$69,Sheet2!$AJ$2:$AJ$69)</f>
        <v>1.513344563825407E-5</v>
      </c>
      <c r="JA14" s="165">
        <f>_xlfn.FORECAST.LINEAR(Sheet3!CD14,Sheet2!$AK$2:$AK$69,Sheet2!$AJ$2:$AJ$69)</f>
        <v>1.4925329715317579E-5</v>
      </c>
      <c r="JB14" s="165">
        <f>_xlfn.FORECAST.LINEAR(Sheet3!CE14,Sheet2!$AK$2:$AK$69,Sheet2!$AJ$2:$AJ$69)</f>
        <v>1.4627723043366376E-5</v>
      </c>
      <c r="JC14" s="165">
        <f>_xlfn.FORECAST.LINEAR(Sheet3!CF14,Sheet2!$AK$2:$AK$69,Sheet2!$AJ$2:$AJ$69)</f>
        <v>1.435325606660875E-5</v>
      </c>
      <c r="JD14" s="165">
        <f>_xlfn.FORECAST.LINEAR(Sheet3!CG14,Sheet2!$AK$2:$AK$69,Sheet2!$AJ$2:$AJ$69)</f>
        <v>1.4063979725450152E-5</v>
      </c>
      <c r="JE14" s="188">
        <f>_xlfn.FORECAST.LINEAR(Sheet3!DF14,New!$MC$2:$MC$18,New!$MB$2:$MB$18)</f>
        <v>2.6259030928811636E-5</v>
      </c>
      <c r="JF14" s="165">
        <f>_xlfn.FORECAST.LINEAR(Sheet3!BZ14,New!$MC$2:$MC$18,New!$MB$2:$MB$18)</f>
        <v>2.6223572485066727E-5</v>
      </c>
      <c r="JG14" s="165">
        <f>_xlfn.FORECAST.LINEAR(Sheet3!CA14,New!$MC$2:$MC$18,New!$MB$2:$MB$18)</f>
        <v>2.5672608793243943E-5</v>
      </c>
      <c r="JH14" s="165">
        <f>_xlfn.FORECAST.LINEAR(Sheet3!CB14,New!$MC$2:$MC$18,New!$MB$2:$MB$18)</f>
        <v>2.5346378552167204E-5</v>
      </c>
      <c r="JI14" s="165">
        <f>_xlfn.FORECAST.LINEAR(Sheet3!CC14,New!$MC$2:$MC$18,New!$MB$2:$MB$18)</f>
        <v>2.4872394863996977E-5</v>
      </c>
      <c r="JJ14" s="165">
        <f>_xlfn.FORECAST.LINEAR(Sheet3!CD14,New!$MC$2:$MC$18,New!$MB$2:$MB$18)</f>
        <v>2.4627749573348615E-5</v>
      </c>
      <c r="JK14" s="165">
        <f>_xlfn.FORECAST.LINEAR(Sheet3!CE14,New!$MC$2:$MC$18,New!$MB$2:$MB$18)</f>
        <v>2.4277905747219984E-5</v>
      </c>
      <c r="JL14" s="165">
        <f>_xlfn.FORECAST.LINEAR(Sheet3!CF14,New!$MC$2:$MC$18,New!$MB$2:$MB$18)</f>
        <v>2.3955263191307832E-5</v>
      </c>
      <c r="JM14" s="165">
        <f>_xlfn.FORECAST.LINEAR(Sheet3!CG14,New!$MC$2:$MC$18,New!$MB$2:$MB$18)</f>
        <v>2.36152118700928E-5</v>
      </c>
      <c r="JN14" s="188">
        <f t="shared" si="159"/>
        <v>2.3683010415338002E-5</v>
      </c>
      <c r="JO14" s="165">
        <f t="shared" si="160"/>
        <v>2.3648234916048373E-5</v>
      </c>
      <c r="JP14" s="165">
        <f t="shared" si="161"/>
        <v>2.3113386841167518E-5</v>
      </c>
      <c r="JQ14" s="165">
        <f t="shared" si="162"/>
        <v>2.279314079791704E-5</v>
      </c>
      <c r="JR14" s="165">
        <f t="shared" si="163"/>
        <v>2.2334510630048363E-5</v>
      </c>
      <c r="JS14" s="165">
        <f t="shared" si="164"/>
        <v>2.2094113942629111E-5</v>
      </c>
      <c r="JT14" s="165">
        <f t="shared" si="165"/>
        <v>2.1757523164522441E-5</v>
      </c>
      <c r="JU14" s="165">
        <f t="shared" si="166"/>
        <v>2.1440176917669277E-5</v>
      </c>
      <c r="JV14" s="165">
        <f t="shared" si="167"/>
        <v>2.1112716386885926E-5</v>
      </c>
      <c r="JW14" s="188">
        <f t="shared" si="66"/>
        <v>0.99031908046889716</v>
      </c>
      <c r="JX14" s="165">
        <f t="shared" si="67"/>
        <v>0.99058122295851314</v>
      </c>
      <c r="JY14" s="165">
        <f t="shared" si="68"/>
        <v>0.99477877702662532</v>
      </c>
      <c r="JZ14" s="165">
        <f t="shared" si="69"/>
        <v>0.99737962269565128</v>
      </c>
      <c r="KA14" s="165">
        <f t="shared" si="70"/>
        <v>1.0013226972655731</v>
      </c>
      <c r="KB14" s="165">
        <f t="shared" si="71"/>
        <v>1.0034384475656242</v>
      </c>
      <c r="KC14" s="165">
        <f t="shared" si="72"/>
        <v>1.0065650016325864</v>
      </c>
      <c r="KD14" s="165">
        <f t="shared" si="73"/>
        <v>1.0095594012953568</v>
      </c>
      <c r="KE14" s="165">
        <f t="shared" si="74"/>
        <v>1.0128374335501322</v>
      </c>
      <c r="KF14" s="188">
        <f t="shared" si="75"/>
        <v>0.98899823780009988</v>
      </c>
      <c r="KG14" s="165">
        <f t="shared" si="76"/>
        <v>0.98876598326972553</v>
      </c>
      <c r="KH14" s="165">
        <f t="shared" si="77"/>
        <v>0.9850705669993981</v>
      </c>
      <c r="KI14" s="165">
        <f t="shared" si="78"/>
        <v>0.98280287765519214</v>
      </c>
      <c r="KJ14" s="165">
        <f t="shared" si="79"/>
        <v>0.97939654782729912</v>
      </c>
      <c r="KK14" s="165">
        <f t="shared" si="80"/>
        <v>0.97758433446718751</v>
      </c>
      <c r="KL14" s="165">
        <f t="shared" si="81"/>
        <v>0.97492593763283197</v>
      </c>
      <c r="KM14" s="165">
        <f t="shared" si="82"/>
        <v>0.97240157730649668</v>
      </c>
      <c r="KN14" s="165">
        <f t="shared" si="83"/>
        <v>0.96966209843390005</v>
      </c>
      <c r="KO14" s="188">
        <f t="shared" si="84"/>
        <v>0.6632532664071682</v>
      </c>
      <c r="KP14" s="165">
        <f t="shared" si="85"/>
        <v>0.66287705764185112</v>
      </c>
      <c r="KQ14" s="165">
        <f t="shared" si="86"/>
        <v>0.65566760010993941</v>
      </c>
      <c r="KR14" s="165">
        <f t="shared" si="87"/>
        <v>0.65126183261432535</v>
      </c>
      <c r="KS14" s="165">
        <f t="shared" si="88"/>
        <v>0.64467327824519194</v>
      </c>
      <c r="KT14" s="165">
        <f t="shared" si="89"/>
        <v>0.64117886670031632</v>
      </c>
      <c r="KU14" s="165">
        <f t="shared" si="90"/>
        <v>0.63607774108320836</v>
      </c>
      <c r="KV14" s="165">
        <f t="shared" si="91"/>
        <v>0.63124411949594883</v>
      </c>
      <c r="KW14" s="165">
        <f t="shared" si="92"/>
        <v>0.62611330584124469</v>
      </c>
      <c r="KX14" s="188">
        <f>AVERAGE(Sheet3!J14:P14)*KO14^(1/3)/ID14^(1/3)</f>
        <v>86.819146324321139</v>
      </c>
      <c r="KY14" s="165">
        <f>Sheet3!J14*KP14^(1/3)/IE14^(1/3)</f>
        <v>63.661408733840126</v>
      </c>
      <c r="KZ14" s="165">
        <f>Sheet3!K14*KQ14^(1/3)/IF14^(1/3)</f>
        <v>70.574500923531019</v>
      </c>
      <c r="LA14" s="165">
        <f>Sheet3!L14*KR14^(1/3)/IG14^(1/3)</f>
        <v>78.810614353656391</v>
      </c>
      <c r="LB14" s="165">
        <f>Sheet3!M14*KS14^(1/3)/IH14^(1/3)</f>
        <v>86.104930472918198</v>
      </c>
      <c r="LC14" s="165">
        <f>Sheet3!N14*KT14^(1/3)/II14^(1/3)</f>
        <v>93.257952201806901</v>
      </c>
      <c r="LD14" s="165">
        <f>Sheet3!O14*KU14^(1/3)/IJ14^(1/3)</f>
        <v>100.16009737471882</v>
      </c>
      <c r="LE14" s="165">
        <f>Sheet3!P14*KV14^(1/3)/IK14^(1/3)</f>
        <v>105.28046332251218</v>
      </c>
      <c r="LF14" s="165">
        <f>Sheet3!Q14*KW14^(1/3)/IL14^(1/3)</f>
        <v>106.69790633720133</v>
      </c>
      <c r="LG14" s="186">
        <f t="shared" si="93"/>
        <v>26.031247204923034</v>
      </c>
      <c r="LH14" s="183">
        <f t="shared" si="94"/>
        <v>26.031247204923034</v>
      </c>
      <c r="LI14" s="183">
        <f t="shared" si="95"/>
        <v>26.296127862581475</v>
      </c>
      <c r="LJ14" s="183">
        <f t="shared" si="96"/>
        <v>26.296127862581475</v>
      </c>
      <c r="LK14" s="183">
        <f t="shared" si="97"/>
        <v>26.62932051263201</v>
      </c>
      <c r="LL14" s="183">
        <f t="shared" si="98"/>
        <v>26.630350218438959</v>
      </c>
      <c r="LM14" s="183">
        <f t="shared" si="99"/>
        <v>26.999410992935946</v>
      </c>
      <c r="LN14" s="183">
        <f t="shared" si="100"/>
        <v>27.001546227142072</v>
      </c>
      <c r="LO14" s="183">
        <f t="shared" si="101"/>
        <v>27.379347037684731</v>
      </c>
      <c r="LP14" s="219"/>
      <c r="LQ14" s="219"/>
      <c r="LR14" s="219"/>
      <c r="LS14" s="219"/>
      <c r="LT14" s="219">
        <v>627</v>
      </c>
      <c r="LU14" s="219">
        <v>1.121</v>
      </c>
      <c r="LV14" s="220"/>
      <c r="LW14" s="220"/>
      <c r="LX14" s="220"/>
      <c r="LY14" s="220"/>
      <c r="LZ14" s="222">
        <v>85.95</v>
      </c>
      <c r="MA14" s="220">
        <v>1.2E-5</v>
      </c>
      <c r="MB14" s="220">
        <v>150</v>
      </c>
      <c r="MC14" s="220">
        <v>2.3799999999999999E-5</v>
      </c>
      <c r="MD14" s="188">
        <f>Sheet3!DP14</f>
        <v>170.88569243455223</v>
      </c>
      <c r="ME14" s="264">
        <v>130</v>
      </c>
      <c r="MF14" s="264">
        <v>2.7</v>
      </c>
      <c r="MG14" s="264">
        <v>2.2570000000000001</v>
      </c>
      <c r="MH14" s="264">
        <v>1.496</v>
      </c>
      <c r="MI14" s="264">
        <v>13.24</v>
      </c>
      <c r="MJ14" s="264">
        <v>8.85</v>
      </c>
      <c r="MK14" s="273">
        <v>120</v>
      </c>
      <c r="ML14" s="267">
        <v>1.98</v>
      </c>
      <c r="MM14" s="267">
        <v>1.121</v>
      </c>
      <c r="MN14" s="267">
        <v>2.206</v>
      </c>
      <c r="MO14" s="267">
        <v>12.85</v>
      </c>
      <c r="MP14" s="274">
        <v>11.46</v>
      </c>
      <c r="MQ14"/>
      <c r="MR14"/>
      <c r="MS14"/>
    </row>
    <row r="15" spans="1:357" ht="15" thickBot="1" x14ac:dyDescent="0.35">
      <c r="A15" s="184" t="str">
        <f>Sheet3!A15</f>
        <v>07.12.2022</v>
      </c>
      <c r="B15" s="186">
        <f t="shared" si="102"/>
        <v>0.7794884052707719</v>
      </c>
      <c r="C15" s="183">
        <f t="shared" si="103"/>
        <v>0.78067586485375962</v>
      </c>
      <c r="D15" s="183">
        <f t="shared" si="0"/>
        <v>0.77532811262462542</v>
      </c>
      <c r="E15" s="183">
        <f t="shared" si="1"/>
        <v>0.76956959480236065</v>
      </c>
      <c r="F15" s="183">
        <f t="shared" si="2"/>
        <v>0.7637100662467734</v>
      </c>
      <c r="G15" s="183">
        <f t="shared" si="3"/>
        <v>0.75953182953456444</v>
      </c>
      <c r="H15" s="183">
        <f t="shared" si="4"/>
        <v>0.75471963411816834</v>
      </c>
      <c r="I15" s="183">
        <f t="shared" si="5"/>
        <v>0.7488790171154438</v>
      </c>
      <c r="J15" s="183">
        <f t="shared" si="6"/>
        <v>0.74479313891519738</v>
      </c>
      <c r="K15" s="186">
        <f xml:space="preserve"> (6.057 * (10^(-6)))
+ (4.055 * (10^(-8)) * (Sheet3!DF15 + 273))
+ (1.25 * (10^(-10)) * (Sheet3!DF15 + 273)^2)
- (3.367 * (10^(-14)) * (DD15 + 273)^3)</f>
        <v>3.5902354484100151E-5</v>
      </c>
      <c r="L15" s="183">
        <f xml:space="preserve"> (6.057 * (10^(-6)))
+ (4.055 * (10^(-8)) * (Sheet3!BZ15 + 273))
+ (1.25 * (10^(-10)) * (Sheet3!BZ15 + 273)^2)
- (3.367 * (10^(-14)) * (BX15 + 273)^3)</f>
        <v>3.5963066602634792E-5</v>
      </c>
      <c r="M15" s="183">
        <f xml:space="preserve"> (6.057 * (10^(-6)))
+ (4.055 * (10^(-8)) * (Sheet3!CA15 + 273))
+ (1.25 * (10^(-10)) * (Sheet3!CA15 + 273)^2)
- (3.367 * (10^(-14)) * (BY15 + 273)^3)</f>
        <v>3.5551073388255778E-5</v>
      </c>
      <c r="N15" s="183">
        <f xml:space="preserve"> (6.057 * (10^(-6)))
+ (4.055 * (10^(-8)) * (Sheet3!CB15 + 273))
+ (1.25 * (10^(-10)) * (Sheet3!CB15 + 273)^2)
- (3.367 * (10^(-14)) * (BZ15 + 273)^3)</f>
        <v>3.5226040390751512E-5</v>
      </c>
      <c r="O15" s="183">
        <f xml:space="preserve"> (6.057 * (10^(-6)))
+ (4.055 * (10^(-8)) * (Sheet3!CC15 + 273))
+ (1.25 * (10^(-10)) * (Sheet3!CC15 + 273)^2)
- (3.367 * (10^(-14)) * (CA15 + 273)^3)</f>
        <v>3.4802616919590313E-5</v>
      </c>
      <c r="P15" s="183">
        <f xml:space="preserve"> (6.057 * (10^(-6)))
+ (4.055 * (10^(-8)) * (Sheet3!CD15 + 273))
+ (1.25 * (10^(-10)) * (Sheet3!CD15 + 273)^2)
- (3.367 * (10^(-14)) * (CB15 + 273)^3)</f>
        <v>3.457608062709236E-5</v>
      </c>
      <c r="Q15" s="183">
        <f xml:space="preserve"> (6.057 * (10^(-6)))
+ (4.055 * (10^(-8)) * (Sheet3!CE15 + 273))
+ (1.25 * (10^(-10)) * (Sheet3!CE15 + 273)^2)
- (3.367 * (10^(-14)) * (CC15 + 273)^3)</f>
        <v>3.42209770805491E-5</v>
      </c>
      <c r="R15" s="183">
        <f xml:space="preserve"> (6.057 * (10^(-6)))
+ (4.055 * (10^(-8)) * (Sheet3!CF15 + 273))
+ (1.25 * (10^(-10)) * (Sheet3!CF15 + 273)^2)
- (3.367 * (10^(-14)) * (CD15 + 273)^3)</f>
        <v>3.3913749032335579E-5</v>
      </c>
      <c r="S15" s="183">
        <f xml:space="preserve"> (6.057 * (10^(-6)))
+ (4.055 * (10^(-8)) * (Sheet3!CG15 + 273))
+ (1.25 * (10^(-10)) * (Sheet3!CG15 + 273)^2)
- (3.367 * (10^(-14)) * (CE15 + 273)^3)</f>
        <v>3.3589580066395213E-5</v>
      </c>
      <c r="T15" s="188">
        <f t="shared" si="104"/>
        <v>3.5902354484100151E-5</v>
      </c>
      <c r="U15" s="165">
        <f t="shared" si="105"/>
        <v>3.5963066602634792E-5</v>
      </c>
      <c r="V15" s="165">
        <f t="shared" si="106"/>
        <v>3.5551073388255778E-5</v>
      </c>
      <c r="W15" s="165">
        <f t="shared" si="107"/>
        <v>3.5226040390751512E-5</v>
      </c>
      <c r="X15" s="165">
        <f t="shared" si="108"/>
        <v>3.4802616919590313E-5</v>
      </c>
      <c r="Y15" s="165">
        <f t="shared" si="109"/>
        <v>3.457608062709236E-5</v>
      </c>
      <c r="Z15" s="165">
        <f t="shared" si="110"/>
        <v>3.42209770805491E-5</v>
      </c>
      <c r="AA15" s="165">
        <f t="shared" si="111"/>
        <v>3.3913749032335579E-5</v>
      </c>
      <c r="AB15" s="165">
        <f t="shared" si="112"/>
        <v>3.3589580066395213E-5</v>
      </c>
      <c r="AC15" s="186">
        <f t="shared" si="8"/>
        <v>2.7985469042277173E-5</v>
      </c>
      <c r="AD15" s="183">
        <f t="shared" si="9"/>
        <v>2.8075498122805273E-5</v>
      </c>
      <c r="AE15" s="183">
        <f t="shared" si="10"/>
        <v>2.75637466318959E-5</v>
      </c>
      <c r="AF15" s="183">
        <f t="shared" si="11"/>
        <v>2.7108889630002229E-5</v>
      </c>
      <c r="AG15" s="183">
        <f t="shared" si="12"/>
        <v>2.6579108873221396E-5</v>
      </c>
      <c r="AH15" s="183">
        <f t="shared" si="13"/>
        <v>2.626163377683007E-5</v>
      </c>
      <c r="AI15" s="183">
        <f t="shared" si="14"/>
        <v>2.5827243301398243E-5</v>
      </c>
      <c r="AJ15" s="183">
        <f t="shared" si="15"/>
        <v>2.5397295042035302E-5</v>
      </c>
      <c r="AK15" s="183">
        <f t="shared" si="16"/>
        <v>2.5017288772493833E-5</v>
      </c>
      <c r="AL15" s="186">
        <f t="shared" si="113"/>
        <v>2.9170104499217548E-2</v>
      </c>
      <c r="AM15" s="183">
        <f t="shared" si="114"/>
        <v>2.9225940896919617E-2</v>
      </c>
      <c r="AN15" s="183">
        <f t="shared" si="115"/>
        <v>2.8863126801956671E-2</v>
      </c>
      <c r="AO15" s="183">
        <f t="shared" si="116"/>
        <v>2.8571846070552593E-2</v>
      </c>
      <c r="AP15" s="183">
        <f t="shared" si="117"/>
        <v>2.8195293146208403E-2</v>
      </c>
      <c r="AQ15" s="183">
        <f t="shared" si="118"/>
        <v>2.7989932096124753E-2</v>
      </c>
      <c r="AR15" s="183">
        <f t="shared" si="119"/>
        <v>2.7672636129372312E-2</v>
      </c>
      <c r="AS15" s="183">
        <f t="shared" si="120"/>
        <v>2.7391296692939424E-2</v>
      </c>
      <c r="AT15" s="183">
        <f t="shared" si="121"/>
        <v>2.710531138044785E-2</v>
      </c>
      <c r="AU15" s="186">
        <f>_xlfn.FORECAST.LINEAR(Sheet3!DF15,Sheet2!$AH$2:$AH$40,Sheet2!$AG$2:$AG$40)</f>
        <v>2.5653712965492358E-2</v>
      </c>
      <c r="AV15" s="183">
        <f>_xlfn.FORECAST.LINEAR(Sheet3!BZ15,Sheet2!$AH$2:$AH$40,Sheet2!$AG$2:$AG$40)</f>
        <v>2.5776078883145124E-2</v>
      </c>
      <c r="AW15" s="183">
        <f>_xlfn.FORECAST.LINEAR(Sheet3!CA15,Sheet2!$AH$2:$AH$40,Sheet2!$AG$2:$AG$40)</f>
        <v>2.4969231325608073E-2</v>
      </c>
      <c r="AX15" s="183">
        <f>_xlfn.FORECAST.LINEAR(Sheet3!CB15,Sheet2!$AH$2:$AH$40,Sheet2!$AG$2:$AG$40)</f>
        <v>2.432912741278143E-2</v>
      </c>
      <c r="AY15" s="183">
        <f>_xlfn.FORECAST.LINEAR(Sheet3!CC15,Sheet2!$AH$2:$AH$40,Sheet2!$AG$2:$AG$40)</f>
        <v>2.3490601938898164E-2</v>
      </c>
      <c r="AZ15" s="183">
        <f>_xlfn.FORECAST.LINEAR(Sheet3!CD15,Sheet2!$AH$2:$AH$40,Sheet2!$AG$2:$AG$40)</f>
        <v>2.3039701277115722E-2</v>
      </c>
      <c r="BA15" s="183">
        <f>_xlfn.FORECAST.LINEAR(Sheet3!CE15,Sheet2!$AH$2:$AH$40,Sheet2!$AG$2:$AG$40)</f>
        <v>2.2329803519027011E-2</v>
      </c>
      <c r="BB15" s="183">
        <f>_xlfn.FORECAST.LINEAR(Sheet3!CF15,Sheet2!$AH$2:$AH$40,Sheet2!$AG$2:$AG$40)</f>
        <v>2.1712395195035018E-2</v>
      </c>
      <c r="BC15" s="183">
        <f>_xlfn.FORECAST.LINEAR(Sheet3!CG15,Sheet2!$AH$2:$AH$40,Sheet2!$AG$2:$AG$40)</f>
        <v>2.1068813089851288E-2</v>
      </c>
      <c r="BD15" s="186">
        <f>_xlfn.FORECAST.LINEAR(Sheet3!DF15,Sheet2!$AB$12:$AB$37,Sheet2!$AA$12:$AA$37)/1000</f>
        <v>3.0506351161118033E-2</v>
      </c>
      <c r="BE15" s="183">
        <f>_xlfn.FORECAST.LINEAR(Sheet3!BZ15,Sheet2!$AB$12:$AB$37,Sheet2!$AA$12:$AA$37)/1000</f>
        <v>3.0533709347958862E-2</v>
      </c>
      <c r="BF15" s="183">
        <f>_xlfn.FORECAST.LINEAR(Sheet3!CA15,Sheet2!$AB$12:$AB$37,Sheet2!$AA$12:$AA$37)/1000</f>
        <v>3.0353316909814413E-2</v>
      </c>
      <c r="BG15" s="183">
        <f>_xlfn.FORECAST.LINEAR(Sheet3!CB15,Sheet2!$AB$12:$AB$37,Sheet2!$AA$12:$AA$37)/1000</f>
        <v>3.0210204491090516E-2</v>
      </c>
      <c r="BH15" s="183">
        <f>_xlfn.FORECAST.LINEAR(Sheet3!CC15,Sheet2!$AB$12:$AB$37,Sheet2!$AA$12:$AA$37)/1000</f>
        <v>3.0022729604084881E-2</v>
      </c>
      <c r="BI15" s="183">
        <f>_xlfn.FORECAST.LINEAR(Sheet3!CD15,Sheet2!$AB$12:$AB$37,Sheet2!$AA$12:$AA$37)/1000</f>
        <v>2.9921918652895823E-2</v>
      </c>
      <c r="BJ15" s="183">
        <f>_xlfn.FORECAST.LINEAR(Sheet3!CE15,Sheet2!$AB$12:$AB$37,Sheet2!$AA$12:$AA$37)/1000</f>
        <v>2.9763201945856625E-2</v>
      </c>
      <c r="BK15" s="183">
        <f>_xlfn.FORECAST.LINEAR(Sheet3!CF15,Sheet2!$AB$12:$AB$37,Sheet2!$AA$12:$AA$37)/1000</f>
        <v>2.9625163735472037E-2</v>
      </c>
      <c r="BL15" s="183">
        <f>_xlfn.FORECAST.LINEAR(Sheet3!CG15,Sheet2!$AB$12:$AB$37,Sheet2!$AA$12:$AA$37)/1000</f>
        <v>2.9481273673445173E-2</v>
      </c>
      <c r="BM15" s="186">
        <f t="shared" si="122"/>
        <v>0.88102917871730169</v>
      </c>
      <c r="BN15" s="183">
        <f t="shared" si="123"/>
        <v>0.87985278816378143</v>
      </c>
      <c r="BO15" s="183">
        <f t="shared" si="124"/>
        <v>0.88806206411042599</v>
      </c>
      <c r="BP15" s="183">
        <f t="shared" si="125"/>
        <v>0.89442237232796085</v>
      </c>
      <c r="BQ15" s="183">
        <f t="shared" si="126"/>
        <v>0.9032058176623764</v>
      </c>
      <c r="BR15" s="183">
        <f t="shared" si="127"/>
        <v>0.90782153980865787</v>
      </c>
      <c r="BS15" s="183">
        <f t="shared" si="128"/>
        <v>0.91550995157337201</v>
      </c>
      <c r="BT15" s="183">
        <f t="shared" si="129"/>
        <v>0.92201061284243602</v>
      </c>
      <c r="BU15" s="183">
        <f t="shared" si="130"/>
        <v>0.92923468462809633</v>
      </c>
      <c r="BV15" s="186">
        <f t="shared" si="131"/>
        <v>1.1830826971973434</v>
      </c>
      <c r="BW15" s="183">
        <f t="shared" si="19"/>
        <v>1.1831260499414225</v>
      </c>
      <c r="BX15" s="183">
        <f t="shared" si="20"/>
        <v>1.1791303275840039</v>
      </c>
      <c r="BY15" s="183">
        <f t="shared" si="21"/>
        <v>1.1783760811701742</v>
      </c>
      <c r="BZ15" s="183">
        <f t="shared" si="22"/>
        <v>1.1744904016478555</v>
      </c>
      <c r="CA15" s="183">
        <f t="shared" si="23"/>
        <v>1.1740311531100784</v>
      </c>
      <c r="CB15" s="183">
        <f t="shared" si="24"/>
        <v>1.1703328876135055</v>
      </c>
      <c r="CC15" s="183">
        <f t="shared" si="25"/>
        <v>1.1697396408560052</v>
      </c>
      <c r="CD15" s="183">
        <f t="shared" si="26"/>
        <v>1.1659736804926903</v>
      </c>
      <c r="CE15" s="187">
        <f xml:space="preserve"> -0.0000000019505*Sheet3!DF15^3 + 0.0000015497*Sheet3!DF15^2  + 0.00016911*Sheet3!DF15 + 1.8585</f>
        <v>1.8828730816875001</v>
      </c>
      <c r="CF15" s="185">
        <f xml:space="preserve"> -0.0000000019505*Sheet3!BZ15^3 + 0.0000015497*Sheet3!BZ15^2  + 0.00016911*Sheet3!BZ15 + 1.8585</f>
        <v>1.8830612386727081</v>
      </c>
      <c r="CG15" s="185">
        <f xml:space="preserve"> -0.0000000019505*Sheet3!CA15^3 + 0.0000015497*Sheet3!CA15^2  + 0.00016911*Sheet3!CA15 + 1.8585</f>
        <v>1.8818296174677684</v>
      </c>
      <c r="CH15" s="185">
        <f xml:space="preserve"> -0.0000000019505*Sheet3!CB15^3 + 0.0000015497*Sheet3!CB15^2  + 0.00016911*Sheet3!CB15 + 1.8585</f>
        <v>1.88086782158424</v>
      </c>
      <c r="CI15" s="185">
        <f xml:space="preserve"> -0.0000000019505*Sheet3!CC15^3 + 0.0000015497*Sheet3!CC15^2  + 0.00016911*Sheet3!CC15 + 1.8585</f>
        <v>1.879628700118547</v>
      </c>
      <c r="CJ15" s="185">
        <f xml:space="preserve"> -0.0000000019505*Sheet3!CD15^3 + 0.0000015497*Sheet3!CD15^2  + 0.00016911*Sheet3!CD15 + 1.8585</f>
        <v>1.8789722808038452</v>
      </c>
      <c r="CK15" s="185">
        <f xml:space="preserve"> -0.0000000019505*Sheet3!CE15^3 + 0.0000015497*Sheet3!CE15^2  + 0.00016911*Sheet3!CE15 + 1.8585</f>
        <v>1.8779530335589154</v>
      </c>
      <c r="CL15" s="185">
        <f xml:space="preserve"> -0.0000000019505*Sheet3!CF15^3 + 0.0000015497*Sheet3!CF15^2  + 0.00016911*Sheet3!CF15 + 1.8585</f>
        <v>1.8770808929886069</v>
      </c>
      <c r="CM15" s="185">
        <f xml:space="preserve"> -0.0000000019505*Sheet3!CG15^3 + 0.0000015497*Sheet3!CG15^2  + 0.00016911*Sheet3!CG15 + 1.8585</f>
        <v>1.8761861446341481</v>
      </c>
      <c r="CN15" s="186">
        <f>_xlfn.FORECAST.LINEAR(Sheet3!DF15,New!$LU$2:$LU$14,New!$LT$2:$LT$14)</f>
        <v>1.0126209368728181</v>
      </c>
      <c r="CO15" s="183">
        <f>_xlfn.FORECAST.LINEAR(Sheet3!BZ15,New!$LU$2:$LU$14,New!$LT$2:$LT$14)</f>
        <v>1.012710999793563</v>
      </c>
      <c r="CP15" s="183">
        <f>_xlfn.FORECAST.LINEAR(Sheet3!CA15,New!$LU$2:$LU$14,New!$LT$2:$LT$14)</f>
        <v>1.0121171494059578</v>
      </c>
      <c r="CQ15" s="183">
        <f>_xlfn.FORECAST.LINEAR(Sheet3!CB15,New!$LU$2:$LU$14,New!$LT$2:$LT$14)</f>
        <v>1.0116460245284156</v>
      </c>
      <c r="CR15" s="183">
        <f>_xlfn.FORECAST.LINEAR(Sheet3!CC15,New!$LU$2:$LU$14,New!$LT$2:$LT$14)</f>
        <v>1.0110288587787879</v>
      </c>
      <c r="CS15" s="183">
        <f>_xlfn.FORECAST.LINEAR(Sheet3!CD15,New!$LU$2:$LU$14,New!$LT$2:$LT$14)</f>
        <v>1.0106969899762246</v>
      </c>
      <c r="CT15" s="183">
        <f>_xlfn.FORECAST.LINEAR(Sheet3!CE15,New!$LU$2:$LU$14,New!$LT$2:$LT$14)</f>
        <v>1.0101744959129246</v>
      </c>
      <c r="CU15" s="183">
        <f>_xlfn.FORECAST.LINEAR(Sheet3!CF15,New!$LU$2:$LU$14,New!$LT$2:$LT$14)</f>
        <v>1.0097200752865145</v>
      </c>
      <c r="CV15" s="183">
        <f>_xlfn.FORECAST.LINEAR(Sheet3!CG15,New!$LU$2:$LU$14,New!$LT$2:$LT$14)</f>
        <v>1.0092463904137663</v>
      </c>
      <c r="CW15" s="186">
        <f>EXP((17.625*Sheet3!BA15)/(243.04+Sheet3!BA15)) / EXP((17.625*Sheet3!DF15)/(243.04+Sheet3!DF15))</f>
        <v>1.0001194253410901</v>
      </c>
      <c r="CX15" s="183">
        <f>EXP((17.625*(Sheet3!BC15+273))/(243.04+(Sheet3!BC15+273)))/EXP((17.625*(Sheet3!BZ15+273))/(243.04+(Sheet3!BZ15+273)))</f>
        <v>0.7702846364064917</v>
      </c>
      <c r="CY15" s="183">
        <f>EXP((17.625*(Sheet3!BE15+273))/(243.04+(Sheet3!BE15+273))) / EXP((17.625*(Sheet3!CA15+273))/(243.04+(Sheet3!CA15+273)))</f>
        <v>0.79916287552103482</v>
      </c>
      <c r="CZ15" s="183">
        <f>EXP((17.625*(Sheet3!BG15+273))/(243.04+(Sheet3!BG15+273))) / EXP((17.625*(Sheet3!CB15+273))/(243.04+(Sheet3!CB15+273)))</f>
        <v>0.82101581035431004</v>
      </c>
      <c r="DA15" s="183">
        <f>EXP((17.625*(Sheet3!BI15+273))/(243.04+(Sheet3!BI15+273))) / EXP((17.625*(Sheet3!CC15+273))/(243.04+(Sheet3!CC15+273)))</f>
        <v>0.85121298731064954</v>
      </c>
      <c r="DB15" s="183">
        <f>EXP((17.625*(Sheet3!BK15+273))/(243.04+(Sheet3!BK15+273)))/EXP((17.625*(Sheet3!CD15+273))/(243.04+(Sheet3!CD15+273)))</f>
        <v>0.86982963745594033</v>
      </c>
      <c r="DC15" s="183">
        <f>EXP((17.625*(Sheet3!BM15+273))/(243.04+(Sheet3!BM15+273))) / EXP((17.625*(Sheet3!CE15+273))/(243.04+(Sheet3!CE15+273)))</f>
        <v>0.89681933333979735</v>
      </c>
      <c r="DD15" s="183">
        <f>EXP((17.625*(Sheet3!BO15+273))/(243.04+(Sheet3!BO15+273))) / EXP((17.625*(Sheet3!CF15+273))/(243.04+(Sheet3!CF15+273)))</f>
        <v>0.9242707937460285</v>
      </c>
      <c r="DE15" s="183">
        <f>EXP((17.625*(Sheet3!BQ15+273))/(243.04+(Sheet3!BQ15+273))) / EXP((17.625*(Sheet3!CG15+273))/(243.04+(Sheet3!CG15+273)))</f>
        <v>0.9501728341449277</v>
      </c>
      <c r="DF15" s="186">
        <f>((Sheet3!DA15-Sheet3!DB15)/New!$LQ$3)/(((Sheet3!DA15-Sheet3!DB15)/New!$LQ$3)+(Sheet3!DB15/New!$LP$3))</f>
        <v>0.71860632808464719</v>
      </c>
      <c r="DG15" s="183">
        <f>((Sheet3!DA15-Sheet3!DB15)/New!$LQ$3)/(((Sheet3!DA15-Sheet3!DB15)/New!$LQ$3)+((Sheet3!DB15-(Sheet3!B15*0.004))/New!$LP$3))</f>
        <v>0.71890444727100877</v>
      </c>
      <c r="DH15" s="183" cm="1">
        <f t="array" ref="DH15">((Sheet3!DA15-Sheet3!DB15)/New!$LQ$3)/(((Sheet3!DA15-Sheet3!DB15)/New!$LQ$3)+((Sheet3!DB15-(SUM(Sheet3!B15:C15*0.004)))/New!$LP$3))</f>
        <v>0.73402140446261954</v>
      </c>
      <c r="DI15" s="183" cm="1">
        <f t="array" ref="DI15">((Sheet3!DA15-Sheet3!DB15)/New!$LQ$3)/(((Sheet3!DA15-Sheet3!DB15)/New!$LQ$3)+((Sheet3!DB15-(SUM(Sheet3!B15:D15*0.004)))/New!$LP$3))</f>
        <v>0.73491081657426849</v>
      </c>
      <c r="DJ15" s="183" cm="1">
        <f t="array" ref="DJ15">((Sheet3!DA15-Sheet3!DB15)/New!$LQ$3)/(((Sheet3!DA15-Sheet3!DB15)/New!$LQ$3)+((Sheet3!DB15-(SUM(Sheet3!B15:E15*0.004)))/New!$LP$3))</f>
        <v>0.75004275527138864</v>
      </c>
      <c r="DK15" s="183" cm="1">
        <f t="array" ref="DK15">((Sheet3!DA15-Sheet3!DB15)/New!$LQ$3)/(((Sheet3!DA15-Sheet3!DB15)/New!$LQ$3)+((Sheet3!DB15-(SUM(Sheet3!B15:F15*0.004)))/New!$LP$3))</f>
        <v>0.750367534148219</v>
      </c>
      <c r="DL15" s="183" cm="1">
        <f t="array" ref="DL15">((Sheet3!DA15-Sheet3!DB15)/New!$LQ$3)/(((Sheet3!DA15-Sheet3!DB15)/New!$LQ$3)+((Sheet3!DB15-(SUM(Sheet3!B15:G15*0.004)))/New!$LP$3))</f>
        <v>0.76576258830054589</v>
      </c>
      <c r="DM15" s="183" cm="1">
        <f t="array" ref="DM15">((Sheet3!DA15-Sheet3!DB15)/New!$LQ$3)/(((Sheet3!DA15-Sheet3!DB15)/New!$LQ$3)+((Sheet3!DB15-(SUM(Sheet3!B15:H15*0.004)))/New!$LP$3))</f>
        <v>0.76607693548029043</v>
      </c>
      <c r="DN15" s="183" cm="1">
        <f t="array" ref="DN15">((Sheet3!DA15-Sheet3!DB15)/New!$LQ$3)/(((Sheet3!DA15-Sheet3!DB15)/New!$LQ$3)+((Sheet3!DB15-(SUM(Sheet3!B15:I15*0.004)))/New!$LP$3))</f>
        <v>0.78278638058990602</v>
      </c>
      <c r="DO15" s="186">
        <f>(Sheet3!DB15/$LP$3) / ((Sheet3!DB15/$LP$3) + ((Sheet3!DA15-Sheet3!DB15)/$LQ$3))</f>
        <v>0.28139367191535275</v>
      </c>
      <c r="DP15" s="183">
        <f>((Sheet3!$DB15-(Sheet3!B15/4000)) / $LP$3) / (((Sheet3!$DA15-Sheet3!DB15) / $LQ$3) + (Sheet3!$DB15-((Sheet3!B15/4000)))/$LP$3)</f>
        <v>0.28137504671008495</v>
      </c>
      <c r="DQ15" s="183">
        <f>((Sheet3!$DB15-(SUM(Sheet3!B15:C15)/4000))/$LP$3)/(((Sheet3!$DA15-Sheet3!$DB15)/$LQ$3)+(Sheet3!$DB15-(SUM(Sheet3!B15:C15)/4000))/$LP$3)</f>
        <v>0.28044922311282894</v>
      </c>
      <c r="DR15" s="183">
        <f>((Sheet3!$DB15-(SUM(Sheet3!B15:D15)/4000))/$LP$3)/(((Sheet3!$DA15-Sheet3!$DB15)/$LQ$3)+(Sheet3!$DB15-(SUM(Sheet3!B15:D15)/4000))/$LP$3)</f>
        <v>0.28039586569687852</v>
      </c>
      <c r="DS15" s="183">
        <f>((Sheet3!$DB15-(SUM(Sheet3!B15:E15)/4000))/$LP$3)/(((Sheet3!$DA15-Sheet3!$DB15)/$LQ$3)+(Sheet3!$DB15-(SUM(Sheet3!B15:E15)/4000))/$LP$3)</f>
        <v>0.27950630053196768</v>
      </c>
      <c r="DT15" s="183">
        <f>((Sheet3!$DB15-(SUM(Sheet3!B15:F15)/4000))/$LP$3)/(((Sheet3!$DA15-Sheet3!$DB15)/$LQ$3)+(Sheet3!$DB15-(SUM(Sheet3!B15:F15)/4000))/$LP$3)</f>
        <v>0.27948757736123786</v>
      </c>
      <c r="DU15" s="183">
        <f>((Sheet3!$DB15-(SUM(Sheet3!B15:G15)/4000))/$LP$3)/(((Sheet3!$DA15-Sheet3!$DB15)/$LQ$3)+(Sheet3!$DB15-(SUM(Sheet3!B15:G15)/4000))/$LP$3)</f>
        <v>0.27861721459165728</v>
      </c>
      <c r="DV15" s="183">
        <f>((Sheet3!$DB15-(SUM(Sheet3!B15:H15)/4000))/$LP$3)/(((Sheet3!$DA15-Sheet3!$DB15)/$LQ$3)+(Sheet3!$DB15-(SUM(Sheet3!B15:H15)/4000))/$LP$3)</f>
        <v>0.27859978588762374</v>
      </c>
      <c r="DW15" s="183">
        <f>((Sheet3!$DB15-(SUM(Sheet3!B15:I15)/4000))/$LP$3)/(((Sheet3!$DA15-Sheet3!$DB15)/$LQ$3)+(Sheet3!$DB15-(SUM(Sheet3!B15:I15)/4000))/$LP$3)</f>
        <v>0.27769233132213744</v>
      </c>
      <c r="DX15" s="186">
        <f>($LR$2*($LP$3/1000))/($LP$2*(Sheet3!DF15+273))*DO15</f>
        <v>0.17257272572813123</v>
      </c>
      <c r="DY15" s="183">
        <f>(($LR$2*($LP$3/1000))/($LP$2*(Sheet3!BZ15+273)))*(DP15)</f>
        <v>0.17232953411770374</v>
      </c>
      <c r="DZ15" s="183">
        <f>(($LR$2*($LP$3/1000))/($LP$2*(Sheet3!CA15+273)))*(DQ15)</f>
        <v>0.173297249344221</v>
      </c>
      <c r="EA15" s="183">
        <f>(($LR$2*($LP$3/1000))/($LP$2*(Sheet3!CB15+273)))*(DR15)</f>
        <v>0.17450126247754136</v>
      </c>
      <c r="EB15" s="183">
        <f>(($LR$2*($LP$3/1000))/($LP$2*(Sheet3!CC15+273)))*(DS15)</f>
        <v>0.17558982946053558</v>
      </c>
      <c r="EC15" s="183">
        <f>(($LR$2*($LP$3/1000))/($LP$2*(Sheet3!CD15+273)))*(DT15)</f>
        <v>0.17647394115004231</v>
      </c>
      <c r="ED15" s="183">
        <f>(($LR$2*($LP$3/1000))/($LP$2*(Sheet3!CE15+273)))*(DU15)</f>
        <v>0.17734906721723728</v>
      </c>
      <c r="EE15" s="183">
        <f>(($LR$2*($LP$3/1000))/($LP$2*(Sheet3!CF15+273)))*(DV15)</f>
        <v>0.1785958627511072</v>
      </c>
      <c r="EF15" s="183">
        <f>(($LR$2*($LP$3/1000))/($LP$2*(Sheet3!CG15+273)))*(DW15)</f>
        <v>0.17934015981803658</v>
      </c>
      <c r="EG15" s="186">
        <f>(($LR$2*($LQ$3/1000))/($LQ$2*(Sheet3!DF15+273)))*(1-DO15)</f>
        <v>0.70845645298917048</v>
      </c>
      <c r="EH15" s="183">
        <f>(($LR$2*($LQ$3/1000))/($LQ$2*(Sheet3!BZ15+273)))*(1-DP15)</f>
        <v>0.70752325404607763</v>
      </c>
      <c r="EI15" s="183">
        <f>(($LR$2*($LQ$3/1000))/($LQ$2*(Sheet3!CA15+273)))*(1-DQ15)</f>
        <v>0.71476481476620501</v>
      </c>
      <c r="EJ15" s="183">
        <f>(($LR$2*($LQ$3/1000))/($LQ$2*(Sheet3!CB15+273)))*(1-DR15)</f>
        <v>0.71992110985041946</v>
      </c>
      <c r="EK15" s="183">
        <f>(($LR$2*($LQ$3/1000))/($LQ$2*(Sheet3!CC15+273)))*(1-DS15)</f>
        <v>0.72761598820184081</v>
      </c>
      <c r="EL15" s="183">
        <f>(($LR$2*($LQ$3/1000))/($LQ$2*(Sheet3!CD15+273)))*(1-DT15)</f>
        <v>0.73134759865861554</v>
      </c>
      <c r="EM15" s="183">
        <f>(($LR$2*($LQ$3/1000))/($LQ$2*(Sheet3!CE15+273)))*(1-DU15)</f>
        <v>0.73816088435613469</v>
      </c>
      <c r="EN15" s="183">
        <f>(($LR$2*($LQ$3/1000))/($LQ$2*(Sheet3!CF15+273)))*(1-DV15)</f>
        <v>0.74341475009132885</v>
      </c>
      <c r="EO15" s="183">
        <f>(($LR$2*($LQ$3/1000))/($LQ$2*(Sheet3!CG15+273)))*(1-DW15)</f>
        <v>0.7498945248100598</v>
      </c>
      <c r="EP15" s="186">
        <f t="shared" si="132"/>
        <v>4822.2224119722105</v>
      </c>
      <c r="EQ15" s="183">
        <f xml:space="preserve"> (($FV15-(Sheet3!B15/4000))*0.018)/(0.011*JO15*3600)</f>
        <v>4816.9279232256249</v>
      </c>
      <c r="ER15" s="183">
        <f>((($FV15-(SUM(Sheet3!B15:C15)/4000))*0.018)/(0.011*JP15*3600))</f>
        <v>4844.5504958876572</v>
      </c>
      <c r="ES15" s="183">
        <f>((($FV15-(SUM(Sheet3!B15:D15)/4000))*0.018)/(0.011*JQ15*3600))</f>
        <v>4871.6457634015014</v>
      </c>
      <c r="ET15" s="183">
        <f>((($FV15-(SUM(Sheet3!B15:E15)/4000))*0.018)/(0.011*JR15))/3600</f>
        <v>4901.670759449592</v>
      </c>
      <c r="EU15" s="183">
        <f>((($FV15-(SUM(Sheet3!B15:F15)/4000))*0.018)/(0.011*JS15))/3600</f>
        <v>4921.3509706909635</v>
      </c>
      <c r="EV15" s="183">
        <f>((($FV15-(SUM(Sheet3!B15:G15)/4000))*0.018)/(0.011*JT15))/3600</f>
        <v>4946.4980734057754</v>
      </c>
      <c r="EW15" s="183">
        <f>((($FV15-(SUM(Sheet3!B15:H15)/4000))*0.018)/(0.011*JU15))/3600</f>
        <v>4974.0882995982247</v>
      </c>
      <c r="EX15" s="183">
        <f>((($FV15-(SUM(Sheet3!B15:I15)/4000))*0.018)/(0.011*JV15))/3600</f>
        <v>4996.5819529025484</v>
      </c>
      <c r="EY15" s="186">
        <f>0.27*EP15^0.63*ID15^0.36</f>
        <v>50.708964049299134</v>
      </c>
      <c r="EZ15" s="183">
        <f t="shared" si="134"/>
        <v>50.659377218344495</v>
      </c>
      <c r="FA15" s="183">
        <f t="shared" si="135"/>
        <v>50.887883301405616</v>
      </c>
      <c r="FB15" s="183">
        <f t="shared" si="136"/>
        <v>51.138278533534965</v>
      </c>
      <c r="FC15" s="183">
        <f t="shared" si="137"/>
        <v>51.391348963067877</v>
      </c>
      <c r="FD15" s="183">
        <f t="shared" si="138"/>
        <v>51.574950144320532</v>
      </c>
      <c r="FE15" s="183">
        <f t="shared" si="139"/>
        <v>51.783857990075887</v>
      </c>
      <c r="FF15" s="183">
        <f t="shared" si="140"/>
        <v>52.043007659305083</v>
      </c>
      <c r="FG15" s="183">
        <f t="shared" si="141"/>
        <v>52.226583402937962</v>
      </c>
      <c r="FH15" s="186">
        <f t="shared" si="28"/>
        <v>82.176987798062314</v>
      </c>
      <c r="FI15" s="183">
        <f t="shared" si="29"/>
        <v>82.253775803227356</v>
      </c>
      <c r="FJ15" s="183">
        <f t="shared" si="30"/>
        <v>81.599079356202438</v>
      </c>
      <c r="FK15" s="183">
        <f t="shared" si="31"/>
        <v>81.173056809622508</v>
      </c>
      <c r="FL15" s="183">
        <f t="shared" si="32"/>
        <v>80.499674955155115</v>
      </c>
      <c r="FM15" s="183">
        <f t="shared" si="33"/>
        <v>80.198852911141742</v>
      </c>
      <c r="FN15" s="183">
        <f t="shared" si="34"/>
        <v>79.610881085247726</v>
      </c>
      <c r="FO15" s="183">
        <f t="shared" si="35"/>
        <v>79.195859088274702</v>
      </c>
      <c r="FP15" s="183">
        <f t="shared" si="36"/>
        <v>78.645433637420183</v>
      </c>
      <c r="FQ15" s="314">
        <f>Sheet3!CV15</f>
        <v>2</v>
      </c>
      <c r="FR15" s="183">
        <v>5000</v>
      </c>
      <c r="FS15" s="183">
        <v>20</v>
      </c>
      <c r="FT15" s="183">
        <v>0.18453333333333335</v>
      </c>
      <c r="FU15" s="183">
        <v>29.14</v>
      </c>
      <c r="FV15" s="183">
        <v>194</v>
      </c>
      <c r="FW15" s="183">
        <v>38</v>
      </c>
      <c r="FX15" s="183">
        <v>396</v>
      </c>
      <c r="FY15" s="183">
        <v>10.220000000000001</v>
      </c>
      <c r="FZ15" s="183">
        <v>18.14</v>
      </c>
      <c r="GA15" s="183">
        <v>85</v>
      </c>
      <c r="GB15" s="186">
        <f>EXP($LP$6-($LQ$6/('Trial and Error method'!T15+$LP$8))) / ($LR$2/1000)</f>
        <v>0.26439990984202855</v>
      </c>
      <c r="GC15" s="183">
        <f>EXP($LP$6-($LQ$6/('Trial and Error method'!U15+$LP$8))) / ($LR$2/1000)</f>
        <v>0.10885180498716059</v>
      </c>
      <c r="GD15" s="183">
        <f>EXP($LP$6-($LQ$6/('Trial and Error method'!V15+$LP$8))) / ($LR$2/1000)</f>
        <v>0.10428309918104171</v>
      </c>
      <c r="GE15" s="183">
        <f>EXP($LP$6-($LQ$6/('Trial and Error method'!W15+$LP$8))) / ($LR$2/1000)</f>
        <v>0.10055804590644764</v>
      </c>
      <c r="GF15" s="183">
        <f>EXP($LP$6-($LQ$6/('Trial and Error method'!X15+$LP$8))) / ($LR$2/1000)</f>
        <v>9.648900276981795E-2</v>
      </c>
      <c r="GG15" s="183">
        <f>EXP($LP$6-($LQ$6/('Trial and Error method'!Y15+$LP$8))) / ($LR$2/1000)</f>
        <v>9.3901876255393993E-2</v>
      </c>
      <c r="GH15" s="183">
        <f>EXP($LP$6-($LQ$6/('Trial and Error method'!Z15+$LP$8))) / ($LR$2/1000)</f>
        <v>9.119584698548884E-2</v>
      </c>
      <c r="GI15" s="183">
        <f>EXP($LP$6-($LQ$6/('Trial and Error method'!AA15+$LP$8))) / ($LR$2/1000)</f>
        <v>8.152066195739327E-2</v>
      </c>
      <c r="GJ15" s="183">
        <f>EXP($LP$6-($LQ$6/('Trial and Error method'!AB15+$LP$8))) / ($LR$2/1000)</f>
        <v>0.27454454786156074</v>
      </c>
      <c r="GK15" s="188">
        <f t="shared" si="142"/>
        <v>0.7270701099153194</v>
      </c>
      <c r="GL15" s="165">
        <f t="shared" si="143"/>
        <v>0.8017954567343738</v>
      </c>
      <c r="GM15" s="165">
        <f t="shared" si="144"/>
        <v>0.80442141352344343</v>
      </c>
      <c r="GN15" s="165">
        <f t="shared" si="145"/>
        <v>0.80618272929167178</v>
      </c>
      <c r="GO15" s="165">
        <f t="shared" si="146"/>
        <v>0.80855310429217342</v>
      </c>
      <c r="GP15" s="165">
        <f t="shared" si="147"/>
        <v>0.80976391813631199</v>
      </c>
      <c r="GQ15" s="165">
        <f t="shared" si="148"/>
        <v>0.81148944002157386</v>
      </c>
      <c r="GR15" s="165">
        <f t="shared" si="149"/>
        <v>0.81597699365780563</v>
      </c>
      <c r="GS15" s="165">
        <f t="shared" si="150"/>
        <v>0.72388041973431494</v>
      </c>
      <c r="GT15" s="188">
        <f t="shared" si="38"/>
        <v>7.0165144979618482E-2</v>
      </c>
      <c r="GU15" s="165">
        <f t="shared" si="39"/>
        <v>6.3618453680171924E-2</v>
      </c>
      <c r="GV15" s="165">
        <f t="shared" si="40"/>
        <v>6.3409137751935005E-2</v>
      </c>
      <c r="GW15" s="165">
        <f t="shared" si="41"/>
        <v>6.3294348515954196E-2</v>
      </c>
      <c r="GX15" s="165">
        <f t="shared" si="42"/>
        <v>6.3113094067055633E-2</v>
      </c>
      <c r="GY15" s="165">
        <f t="shared" si="43"/>
        <v>6.3037914579268745E-2</v>
      </c>
      <c r="GZ15" s="165">
        <f t="shared" si="44"/>
        <v>6.2906003067142544E-2</v>
      </c>
      <c r="HA15" s="165">
        <f t="shared" si="45"/>
        <v>6.2588799252877553E-2</v>
      </c>
      <c r="HB15" s="165">
        <f t="shared" si="46"/>
        <v>7.0544506351564604E-2</v>
      </c>
      <c r="HC15" s="188">
        <f>BV15*Sheet3!DF15</f>
        <v>100.56202926177419</v>
      </c>
      <c r="HD15" s="165">
        <f>BW15*Sheet3!BZ15</f>
        <v>101.13536672841148</v>
      </c>
      <c r="HE15" s="165">
        <f>BX15*Sheet3!CA15</f>
        <v>97.050358460314598</v>
      </c>
      <c r="HF15" s="165">
        <f>BY15*Sheet3!CB15</f>
        <v>94.020354006483416</v>
      </c>
      <c r="HG15" s="165">
        <f>BZ15*Sheet3!CC15</f>
        <v>89.835211309519664</v>
      </c>
      <c r="HH15" s="165">
        <f>CA15*Sheet3!CD15</f>
        <v>87.717133252177646</v>
      </c>
      <c r="HI15" s="165">
        <f>CB15*Sheet3!CE15</f>
        <v>84.171753007652001</v>
      </c>
      <c r="HJ15" s="165">
        <f>CC15*Sheet3!CF15</f>
        <v>81.287373109400534</v>
      </c>
      <c r="HK15" s="165">
        <f>CD15*Sheet3!CG15</f>
        <v>78.073024689777</v>
      </c>
      <c r="HL15" s="188">
        <f>(CE15*Sheet3!DF15)+2501</f>
        <v>2661.0442119434374</v>
      </c>
      <c r="HM15" s="165">
        <f>(CF15*Sheet3!BZ15)+2501</f>
        <v>2661.9668631289542</v>
      </c>
      <c r="HN15" s="165">
        <f>(CG15*Sheet3!CA15)+2501</f>
        <v>2655.8872373681461</v>
      </c>
      <c r="HO15" s="165">
        <f>(CH15*Sheet3!CB15)+2501</f>
        <v>2651.0708146156062</v>
      </c>
      <c r="HP15" s="165">
        <f>(CI15*Sheet3!CC15)+2501</f>
        <v>2644.7703034623992</v>
      </c>
      <c r="HQ15" s="165">
        <f>(CJ15*Sheet3!CD15)+2501</f>
        <v>2641.3864467274198</v>
      </c>
      <c r="HR15" s="165">
        <f>(CK15*Sheet3!CE15)+2501</f>
        <v>2636.0646474807891</v>
      </c>
      <c r="HS15" s="165">
        <f>(CL15*Sheet3!CF15)+2501</f>
        <v>2631.4418261770052</v>
      </c>
      <c r="HT15" s="165">
        <f>(CM15*Sheet3!CG15)+2501</f>
        <v>2626.6285022923876</v>
      </c>
      <c r="HU15" s="188">
        <f>-0.0021*(Sheet3!DF15^2) - 2.2115*(Sheet3!DF15) + 2499</f>
        <v>2295.85</v>
      </c>
      <c r="HV15" s="165">
        <f>-0.0021*(Sheet3!BZ15^2) - 2.2115*(Sheet3!BZ15) + 2499</f>
        <v>2294.6128297214759</v>
      </c>
      <c r="HW15" s="165">
        <f>-0.0021*(Sheet3!CA15^2) - 2.2115*(Sheet3!CA15) + 2499</f>
        <v>2302.7524378260346</v>
      </c>
      <c r="HX15" s="165">
        <f>-0.0021*(Sheet3!CB15^2) - 2.2115*(Sheet3!CB15) + 2499</f>
        <v>2309.1797957216486</v>
      </c>
      <c r="HY15" s="165">
        <f>-0.0021*(Sheet3!CC15^2) - 2.2115*(Sheet3!CC15) + 2499</f>
        <v>2317.5592158344907</v>
      </c>
      <c r="HZ15" s="165">
        <f>-0.0021*(Sheet3!CD15^2) - 2.2115*(Sheet3!CD15) + 2499</f>
        <v>2322.0461818694794</v>
      </c>
      <c r="IA15" s="165">
        <f>-0.0021*(Sheet3!CE15^2) - 2.2115*(Sheet3!CE15) + 2499</f>
        <v>2329.0836665350544</v>
      </c>
      <c r="IB15" s="165">
        <f>-0.0021*(Sheet3!CF15^2) - 2.2115*(Sheet3!CF15) + 2499</f>
        <v>2335.1776244716807</v>
      </c>
      <c r="IC15" s="165">
        <f>-0.0021*(Sheet3!CG15^2) - 2.2115*(Sheet3!CG15) + 2499</f>
        <v>2341.5035375606153</v>
      </c>
      <c r="ID15" s="188">
        <f t="shared" si="47"/>
        <v>0.7416669555723111</v>
      </c>
      <c r="IE15" s="165">
        <f t="shared" si="48"/>
        <v>0.7410774200847956</v>
      </c>
      <c r="IF15" s="165">
        <f t="shared" si="49"/>
        <v>0.7429284944110599</v>
      </c>
      <c r="IG15" s="165">
        <f t="shared" si="50"/>
        <v>0.74581236317282795</v>
      </c>
      <c r="IH15" s="165">
        <f t="shared" si="51"/>
        <v>0.74802330935908534</v>
      </c>
      <c r="II15" s="165">
        <f t="shared" si="52"/>
        <v>0.75019125767351169</v>
      </c>
      <c r="IJ15" s="165">
        <f t="shared" si="53"/>
        <v>0.75192580874780601</v>
      </c>
      <c r="IK15" s="165">
        <f t="shared" si="54"/>
        <v>0.75503970282542354</v>
      </c>
      <c r="IL15" s="165">
        <f t="shared" si="55"/>
        <v>0.75646437162809033</v>
      </c>
      <c r="IM15" s="188">
        <f t="shared" si="56"/>
        <v>2.7375021585496104</v>
      </c>
      <c r="IN15" s="165">
        <f t="shared" si="151"/>
        <v>25.184894523925099</v>
      </c>
      <c r="IO15" s="165">
        <f t="shared" si="152"/>
        <v>25.722992867506939</v>
      </c>
      <c r="IP15" s="165">
        <f t="shared" si="153"/>
        <v>26.284741599691547</v>
      </c>
      <c r="IQ15" s="165">
        <f t="shared" si="154"/>
        <v>26.769635016303631</v>
      </c>
      <c r="IR15" s="165">
        <f t="shared" si="155"/>
        <v>27.165468680252406</v>
      </c>
      <c r="IS15" s="165">
        <f t="shared" si="156"/>
        <v>27.459731355765307</v>
      </c>
      <c r="IT15" s="165">
        <f t="shared" si="157"/>
        <v>28.804289255163614</v>
      </c>
      <c r="IU15" s="165">
        <f t="shared" si="158"/>
        <v>0.51995153675959205</v>
      </c>
      <c r="IV15" s="188">
        <f>_xlfn.FORECAST.LINEAR(Sheet3!DF15,Sheet2!$AK$2:$AK$69,Sheet2!$AJ$2:$AJ$69)</f>
        <v>1.1761434736095797E-5</v>
      </c>
      <c r="IW15" s="165">
        <f>_xlfn.FORECAST.LINEAR(Sheet3!BZ15,Sheet2!$AK$2:$AK$69,Sheet2!$AJ$2:$AJ$69)</f>
        <v>1.1778292492120068E-5</v>
      </c>
      <c r="IX15" s="165">
        <f>_xlfn.FORECAST.LINEAR(Sheet3!CA15,Sheet2!$AK$2:$AK$69,Sheet2!$AJ$2:$AJ$69)</f>
        <v>1.1667137036952111E-5</v>
      </c>
      <c r="IY15" s="165">
        <f>_xlfn.FORECAST.LINEAR(Sheet3!CB15,Sheet2!$AK$2:$AK$69,Sheet2!$AJ$2:$AJ$69)</f>
        <v>1.1578953040953872E-5</v>
      </c>
      <c r="IZ15" s="165">
        <f>_xlfn.FORECAST.LINEAR(Sheet3!CC15,Sheet2!$AK$2:$AK$69,Sheet2!$AJ$2:$AJ$69)</f>
        <v>1.1463433473659226E-5</v>
      </c>
      <c r="JA15" s="165">
        <f>_xlfn.FORECAST.LINEAR(Sheet3!CD15,Sheet2!$AK$2:$AK$69,Sheet2!$AJ$2:$AJ$69)</f>
        <v>1.1401315087319984E-5</v>
      </c>
      <c r="JB15" s="165">
        <f>_xlfn.FORECAST.LINEAR(Sheet3!CE15,Sheet2!$AK$2:$AK$69,Sheet2!$AJ$2:$AJ$69)</f>
        <v>1.130351593345759E-5</v>
      </c>
      <c r="JC15" s="165">
        <f>_xlfn.FORECAST.LINEAR(Sheet3!CF15,Sheet2!$AK$2:$AK$69,Sheet2!$AJ$2:$AJ$69)</f>
        <v>1.1218458598107517E-5</v>
      </c>
      <c r="JD15" s="165">
        <f>_xlfn.FORECAST.LINEAR(Sheet3!CG15,Sheet2!$AK$2:$AK$69,Sheet2!$AJ$2:$AJ$69)</f>
        <v>1.1129795428502068E-5</v>
      </c>
      <c r="JE15" s="188">
        <f>_xlfn.FORECAST.LINEAR(Sheet3!DF15,New!$MC$2:$MC$18,New!$MB$2:$MB$18)</f>
        <v>2.0908514659214704E-5</v>
      </c>
      <c r="JF15" s="165">
        <f>_xlfn.FORECAST.LINEAR(Sheet3!BZ15,New!$MC$2:$MC$18,New!$MB$2:$MB$18)</f>
        <v>2.0928331358312232E-5</v>
      </c>
      <c r="JG15" s="165">
        <f>_xlfn.FORECAST.LINEAR(Sheet3!CA15,New!$MC$2:$MC$18,New!$MB$2:$MB$18)</f>
        <v>2.0797665437833797E-5</v>
      </c>
      <c r="JH15" s="165">
        <f>_xlfn.FORECAST.LINEAR(Sheet3!CB15,New!$MC$2:$MC$18,New!$MB$2:$MB$18)</f>
        <v>2.0694003022065127E-5</v>
      </c>
      <c r="JI15" s="165">
        <f>_xlfn.FORECAST.LINEAR(Sheet3!CC15,New!$MC$2:$MC$18,New!$MB$2:$MB$18)</f>
        <v>2.0558206982446403E-5</v>
      </c>
      <c r="JJ15" s="165">
        <f>_xlfn.FORECAST.LINEAR(Sheet3!CD15,New!$MC$2:$MC$18,New!$MB$2:$MB$18)</f>
        <v>2.0485185319970298E-5</v>
      </c>
      <c r="JK15" s="165">
        <f>_xlfn.FORECAST.LINEAR(Sheet3!CE15,New!$MC$2:$MC$18,New!$MB$2:$MB$18)</f>
        <v>2.0370220054053907E-5</v>
      </c>
      <c r="JL15" s="165">
        <f>_xlfn.FORECAST.LINEAR(Sheet3!CF15,New!$MC$2:$MC$18,New!$MB$2:$MB$18)</f>
        <v>2.0270233103344499E-5</v>
      </c>
      <c r="JM15" s="165">
        <f>_xlfn.FORECAST.LINEAR(Sheet3!CG15,New!$MC$2:$MC$18,New!$MB$2:$MB$18)</f>
        <v>2.0166007407434874E-5</v>
      </c>
      <c r="JN15" s="188">
        <f t="shared" si="159"/>
        <v>1.8286551437960996E-5</v>
      </c>
      <c r="JO15" s="165">
        <f t="shared" si="160"/>
        <v>1.830632068367715E-5</v>
      </c>
      <c r="JP15" s="165">
        <f t="shared" si="161"/>
        <v>1.8185639735778498E-5</v>
      </c>
      <c r="JQ15" s="165">
        <f t="shared" si="162"/>
        <v>1.8083561248908066E-5</v>
      </c>
      <c r="JR15" s="165">
        <f t="shared" si="163"/>
        <v>1.7957351084338557E-5</v>
      </c>
      <c r="JS15" s="165">
        <f t="shared" si="164"/>
        <v>1.7885217360513468E-5</v>
      </c>
      <c r="JT15" s="165">
        <f t="shared" si="165"/>
        <v>1.777935963518241E-5</v>
      </c>
      <c r="JU15" s="165">
        <f t="shared" si="166"/>
        <v>1.7680444256728308E-5</v>
      </c>
      <c r="JV15" s="165">
        <f t="shared" si="167"/>
        <v>1.7585476142591841E-5</v>
      </c>
      <c r="JW15" s="188">
        <f t="shared" si="66"/>
        <v>1.0444458673781256</v>
      </c>
      <c r="JX15" s="165">
        <f t="shared" si="67"/>
        <v>1.0441713197376556</v>
      </c>
      <c r="JY15" s="165">
        <f t="shared" si="68"/>
        <v>1.0459956723183963</v>
      </c>
      <c r="JZ15" s="165">
        <f t="shared" si="69"/>
        <v>1.0474669418811102</v>
      </c>
      <c r="KA15" s="165">
        <f t="shared" si="70"/>
        <v>1.049427176754284</v>
      </c>
      <c r="KB15" s="165">
        <f t="shared" si="71"/>
        <v>1.0504970278597874</v>
      </c>
      <c r="KC15" s="165">
        <f t="shared" si="72"/>
        <v>1.0522042829300009</v>
      </c>
      <c r="KD15" s="165">
        <f t="shared" si="73"/>
        <v>1.0537123425910755</v>
      </c>
      <c r="KE15" s="165">
        <f t="shared" si="74"/>
        <v>1.0553078855474303</v>
      </c>
      <c r="KF15" s="188">
        <f t="shared" si="75"/>
        <v>0.94446821821306282</v>
      </c>
      <c r="KG15" s="165">
        <f t="shared" si="76"/>
        <v>0.94467796084786293</v>
      </c>
      <c r="KH15" s="165">
        <f t="shared" si="77"/>
        <v>0.94328708870196321</v>
      </c>
      <c r="KI15" s="165">
        <f t="shared" si="78"/>
        <v>0.9421702807994371</v>
      </c>
      <c r="KJ15" s="165">
        <f t="shared" si="79"/>
        <v>0.94068902808230226</v>
      </c>
      <c r="KK15" s="165">
        <f t="shared" si="80"/>
        <v>0.93988381263444309</v>
      </c>
      <c r="KL15" s="165">
        <f t="shared" si="81"/>
        <v>0.93860353716229927</v>
      </c>
      <c r="KM15" s="165">
        <f t="shared" si="82"/>
        <v>0.93747739534298935</v>
      </c>
      <c r="KN15" s="165">
        <f t="shared" si="83"/>
        <v>0.93629075219706304</v>
      </c>
      <c r="KO15" s="188">
        <f t="shared" si="84"/>
        <v>0.57812079244108916</v>
      </c>
      <c r="KP15" s="165">
        <f t="shared" si="85"/>
        <v>0.57854125584829064</v>
      </c>
      <c r="KQ15" s="165">
        <f t="shared" si="86"/>
        <v>0.57601334738678167</v>
      </c>
      <c r="KR15" s="165">
        <f t="shared" si="87"/>
        <v>0.57395451812550424</v>
      </c>
      <c r="KS15" s="165">
        <f t="shared" si="88"/>
        <v>0.57127293114475775</v>
      </c>
      <c r="KT15" s="165">
        <f t="shared" si="89"/>
        <v>0.56979413844159821</v>
      </c>
      <c r="KU15" s="165">
        <f t="shared" si="90"/>
        <v>0.56749317126215204</v>
      </c>
      <c r="KV15" s="165">
        <f t="shared" si="91"/>
        <v>0.56543339053504005</v>
      </c>
      <c r="KW15" s="165">
        <f t="shared" si="92"/>
        <v>0.56340947382239781</v>
      </c>
      <c r="KX15" s="188">
        <f>AVERAGE(Sheet3!J15:P15)*KO15^(1/3)/ID15^(1/3)</f>
        <v>230.37199117446681</v>
      </c>
      <c r="KY15" s="165">
        <f>Sheet3!J15*KP15^(1/3)/IE15^(1/3)</f>
        <v>202.78533095821876</v>
      </c>
      <c r="KZ15" s="165">
        <f>Sheet3!K15*KQ15^(1/3)/IF15^(1/3)</f>
        <v>210.65262416630503</v>
      </c>
      <c r="LA15" s="165">
        <f>Sheet3!L15*KR15^(1/3)/IG15^(1/3)</f>
        <v>223.05835140564255</v>
      </c>
      <c r="LB15" s="165">
        <f>Sheet3!M15*KS15^(1/3)/IH15^(1/3)</f>
        <v>233.31855035832413</v>
      </c>
      <c r="LC15" s="165">
        <f>Sheet3!N15*KT15^(1/3)/II15^(1/3)</f>
        <v>242.02050511342176</v>
      </c>
      <c r="LD15" s="165">
        <f>Sheet3!O15*KU15^(1/3)/IJ15^(1/3)</f>
        <v>246.89778979955133</v>
      </c>
      <c r="LE15" s="165">
        <f>Sheet3!P15*KV15^(1/3)/IK15^(1/3)</f>
        <v>243.00741066858967</v>
      </c>
      <c r="LF15" s="165">
        <f>Sheet3!Q15*KW15^(1/3)/IL15^(1/3)</f>
        <v>247.7943933166807</v>
      </c>
      <c r="LG15" s="186">
        <f t="shared" si="93"/>
        <v>25.880146260886463</v>
      </c>
      <c r="LH15" s="183">
        <f t="shared" si="94"/>
        <v>25.888444259450594</v>
      </c>
      <c r="LI15" s="183">
        <f t="shared" si="95"/>
        <v>26.309552627615076</v>
      </c>
      <c r="LJ15" s="183">
        <f t="shared" si="96"/>
        <v>26.334348768520083</v>
      </c>
      <c r="LK15" s="183">
        <f t="shared" si="97"/>
        <v>26.756544196742816</v>
      </c>
      <c r="LL15" s="183">
        <f t="shared" si="98"/>
        <v>26.765612495095123</v>
      </c>
      <c r="LM15" s="183">
        <f t="shared" si="99"/>
        <v>27.195773678052515</v>
      </c>
      <c r="LN15" s="183">
        <f t="shared" si="100"/>
        <v>27.204563194274751</v>
      </c>
      <c r="LO15" s="183">
        <f t="shared" si="101"/>
        <v>27.672120930651985</v>
      </c>
      <c r="LP15" s="219"/>
      <c r="LQ15" s="219"/>
      <c r="LR15" s="219"/>
      <c r="LS15" s="219"/>
      <c r="LT15" s="220"/>
      <c r="LU15" s="220"/>
      <c r="LV15" s="220"/>
      <c r="LW15" s="220"/>
      <c r="LX15" s="220"/>
      <c r="LY15" s="220"/>
      <c r="LZ15" s="222">
        <v>89.96</v>
      </c>
      <c r="MA15" s="220">
        <v>1.2E-5</v>
      </c>
      <c r="MB15" s="220">
        <v>175</v>
      </c>
      <c r="MC15" s="220">
        <v>2.478E-5</v>
      </c>
      <c r="MD15" s="188">
        <f>Sheet3!DP15</f>
        <v>380.00399917115487</v>
      </c>
      <c r="ME15" s="263">
        <v>140</v>
      </c>
      <c r="MF15" s="263">
        <v>3.61</v>
      </c>
      <c r="MG15" s="263">
        <v>2.3149999999999999</v>
      </c>
      <c r="MH15" s="263">
        <v>1.966</v>
      </c>
      <c r="MI15" s="263">
        <v>13.54</v>
      </c>
      <c r="MJ15" s="263">
        <v>6.89</v>
      </c>
      <c r="MK15" s="273">
        <v>130</v>
      </c>
      <c r="ML15" s="267">
        <v>2.7</v>
      </c>
      <c r="MM15" s="267">
        <v>1.496</v>
      </c>
      <c r="MN15" s="267">
        <v>2.2570000000000001</v>
      </c>
      <c r="MO15" s="267">
        <v>13.24</v>
      </c>
      <c r="MP15" s="274">
        <v>8.85</v>
      </c>
      <c r="MQ15"/>
      <c r="MR15"/>
      <c r="MS15"/>
    </row>
    <row r="16" spans="1:357" ht="15" thickBot="1" x14ac:dyDescent="0.35">
      <c r="A16" s="184" t="str">
        <f>Sheet3!A16</f>
        <v>07.12.2022</v>
      </c>
      <c r="B16" s="186">
        <f t="shared" si="102"/>
        <v>0.80255699679243953</v>
      </c>
      <c r="C16" s="183">
        <f t="shared" si="103"/>
        <v>0.80332173595030187</v>
      </c>
      <c r="D16" s="183">
        <f t="shared" si="0"/>
        <v>0.79646829030880884</v>
      </c>
      <c r="E16" s="183">
        <f t="shared" si="1"/>
        <v>0.78755266229659393</v>
      </c>
      <c r="F16" s="183">
        <f t="shared" si="2"/>
        <v>0.78246327849783526</v>
      </c>
      <c r="G16" s="183">
        <f t="shared" si="3"/>
        <v>0.77553895442711307</v>
      </c>
      <c r="H16" s="183">
        <f t="shared" si="4"/>
        <v>0.77069457103868222</v>
      </c>
      <c r="I16" s="183">
        <f t="shared" si="5"/>
        <v>0.76404023090713769</v>
      </c>
      <c r="J16" s="183">
        <f t="shared" si="6"/>
        <v>0.75978337350142144</v>
      </c>
      <c r="K16" s="186">
        <f xml:space="preserve"> (6.057 * (10^(-6)))
+ (4.055 * (10^(-8)) * (Sheet3!DF16 + 273))
+ (1.25 * (10^(-10)) * (Sheet3!DF16 + 273)^2)
- (3.367 * (10^(-14)) * (DD16 + 273)^3)</f>
        <v>3.7215874179232801E-5</v>
      </c>
      <c r="L16" s="183">
        <f xml:space="preserve"> (6.057 * (10^(-6)))
+ (4.055 * (10^(-8)) * (Sheet3!BZ16 + 273))
+ (1.25 * (10^(-10)) * (Sheet3!BZ16 + 273)^2)
- (3.367 * (10^(-14)) * (BX16 + 273)^3)</f>
        <v>3.7253876762849589E-5</v>
      </c>
      <c r="M16" s="183">
        <f xml:space="preserve"> (6.057 * (10^(-6)))
+ (4.055 * (10^(-8)) * (Sheet3!CA16 + 273))
+ (1.25 * (10^(-10)) * (Sheet3!CA16 + 273)^2)
- (3.367 * (10^(-14)) * (BY16 + 273)^3)</f>
        <v>3.6732127385801519E-5</v>
      </c>
      <c r="N16" s="183">
        <f xml:space="preserve"> (6.057 * (10^(-6)))
+ (4.055 * (10^(-8)) * (Sheet3!CB16 + 273))
+ (1.25 * (10^(-10)) * (Sheet3!CB16 + 273)^2)
- (3.367 * (10^(-14)) * (BZ16 + 273)^3)</f>
        <v>3.6207359299434742E-5</v>
      </c>
      <c r="O16" s="183">
        <f xml:space="preserve"> (6.057 * (10^(-6)))
+ (4.055 * (10^(-8)) * (Sheet3!CC16 + 273))
+ (1.25 * (10^(-10)) * (Sheet3!CC16 + 273)^2)
- (3.367 * (10^(-14)) * (CA16 + 273)^3)</f>
        <v>3.5809616880780753E-5</v>
      </c>
      <c r="P16" s="183">
        <f xml:space="preserve"> (6.057 * (10^(-6)))
+ (4.055 * (10^(-8)) * (Sheet3!CD16 + 273))
+ (1.25 * (10^(-10)) * (Sheet3!CD16 + 273)^2)
- (3.367 * (10^(-14)) * (CB16 + 273)^3)</f>
        <v>3.5417903874844969E-5</v>
      </c>
      <c r="Q16" s="183">
        <f xml:space="preserve"> (6.057 * (10^(-6)))
+ (4.055 * (10^(-8)) * (Sheet3!CE16 + 273))
+ (1.25 * (10^(-10)) * (Sheet3!CE16 + 273)^2)
- (3.367 * (10^(-14)) * (CC16 + 273)^3)</f>
        <v>3.5048779136335108E-5</v>
      </c>
      <c r="R16" s="183">
        <f xml:space="preserve"> (6.057 * (10^(-6)))
+ (4.055 * (10^(-8)) * (Sheet3!CF16 + 273))
+ (1.25 * (10^(-10)) * (Sheet3!CF16 + 273)^2)
- (3.367 * (10^(-14)) * (CD16 + 273)^3)</f>
        <v>3.4684872480492606E-5</v>
      </c>
      <c r="S16" s="183">
        <f xml:space="preserve"> (6.057 * (10^(-6)))
+ (4.055 * (10^(-8)) * (Sheet3!CG16 + 273))
+ (1.25 * (10^(-10)) * (Sheet3!CG16 + 273)^2)
- (3.367 * (10^(-14)) * (CE16 + 273)^3)</f>
        <v>3.4342775505266758E-5</v>
      </c>
      <c r="T16" s="188">
        <f t="shared" si="104"/>
        <v>3.7215874179232801E-5</v>
      </c>
      <c r="U16" s="165">
        <f t="shared" si="105"/>
        <v>3.7253876762849589E-5</v>
      </c>
      <c r="V16" s="165">
        <f t="shared" si="106"/>
        <v>3.6732127385801519E-5</v>
      </c>
      <c r="W16" s="165">
        <f t="shared" si="107"/>
        <v>3.6207359299434742E-5</v>
      </c>
      <c r="X16" s="165">
        <f t="shared" si="108"/>
        <v>3.5809616880780753E-5</v>
      </c>
      <c r="Y16" s="165">
        <f t="shared" si="109"/>
        <v>3.5417903874844969E-5</v>
      </c>
      <c r="Z16" s="165">
        <f t="shared" si="110"/>
        <v>3.5048779136335108E-5</v>
      </c>
      <c r="AA16" s="165">
        <f t="shared" si="111"/>
        <v>3.4684872480492606E-5</v>
      </c>
      <c r="AB16" s="165">
        <f t="shared" si="112"/>
        <v>3.4342775505266758E-5</v>
      </c>
      <c r="AC16" s="186">
        <f t="shared" si="8"/>
        <v>2.9867860214290374E-5</v>
      </c>
      <c r="AD16" s="183">
        <f t="shared" si="9"/>
        <v>2.9926848952010942E-5</v>
      </c>
      <c r="AE16" s="183">
        <f t="shared" si="10"/>
        <v>2.9255974698374712E-5</v>
      </c>
      <c r="AF16" s="183">
        <f t="shared" si="11"/>
        <v>2.851520221099917E-5</v>
      </c>
      <c r="AG16" s="183">
        <f t="shared" si="12"/>
        <v>2.8019710226287132E-5</v>
      </c>
      <c r="AH16" s="183">
        <f t="shared" si="13"/>
        <v>2.7467964139097264E-5</v>
      </c>
      <c r="AI16" s="183">
        <f t="shared" si="14"/>
        <v>2.70119038019073E-5</v>
      </c>
      <c r="AJ16" s="183">
        <f t="shared" si="15"/>
        <v>2.6500637978980195E-5</v>
      </c>
      <c r="AK16" s="183">
        <f t="shared" si="16"/>
        <v>2.6093069828793561E-5</v>
      </c>
      <c r="AL16" s="186">
        <f t="shared" si="113"/>
        <v>3.0333068083555279E-2</v>
      </c>
      <c r="AM16" s="183">
        <f t="shared" si="114"/>
        <v>3.0368166513660963E-2</v>
      </c>
      <c r="AN16" s="183">
        <f t="shared" si="115"/>
        <v>2.9917492217575649E-2</v>
      </c>
      <c r="AO16" s="183">
        <f t="shared" si="116"/>
        <v>2.9457853045261297E-2</v>
      </c>
      <c r="AP16" s="183">
        <f t="shared" si="117"/>
        <v>2.9110891785163427E-2</v>
      </c>
      <c r="AQ16" s="183">
        <f t="shared" si="118"/>
        <v>2.8763156906546409E-2</v>
      </c>
      <c r="AR16" s="183">
        <f t="shared" si="119"/>
        <v>2.8438389476949568E-2</v>
      </c>
      <c r="AS16" s="183">
        <f t="shared" si="120"/>
        <v>2.8111455481432686E-2</v>
      </c>
      <c r="AT16" s="183">
        <f t="shared" si="121"/>
        <v>2.7813426540097049E-2</v>
      </c>
      <c r="AU16" s="186">
        <f>_xlfn.FORECAST.LINEAR(Sheet3!DF16,Sheet2!$AH$2:$AH$40,Sheet2!$AG$2:$AG$40)</f>
        <v>2.8195162516247794E-2</v>
      </c>
      <c r="AV16" s="183">
        <f>_xlfn.FORECAST.LINEAR(Sheet3!BZ16,Sheet2!$AH$2:$AH$40,Sheet2!$AG$2:$AG$40)</f>
        <v>2.827271444647354E-2</v>
      </c>
      <c r="AW16" s="183">
        <f>_xlfn.FORECAST.LINEAR(Sheet3!CA16,Sheet2!$AH$2:$AH$40,Sheet2!$AG$2:$AG$40)</f>
        <v>2.7269162553672486E-2</v>
      </c>
      <c r="AX16" s="183">
        <f>_xlfn.FORECAST.LINEAR(Sheet3!CB16,Sheet2!$AH$2:$AH$40,Sheet2!$AG$2:$AG$40)</f>
        <v>2.625211534766593E-2</v>
      </c>
      <c r="AY16" s="183">
        <f>_xlfn.FORECAST.LINEAR(Sheet3!CC16,Sheet2!$AH$2:$AH$40,Sheet2!$AG$2:$AG$40)</f>
        <v>2.5476067055289479E-2</v>
      </c>
      <c r="AZ16" s="183">
        <f>_xlfn.FORECAST.LINEAR(Sheet3!CD16,Sheet2!$AH$2:$AH$40,Sheet2!$AG$2:$AG$40)</f>
        <v>2.4707255412083195E-2</v>
      </c>
      <c r="BA16" s="183">
        <f>_xlfn.FORECAST.LINEAR(Sheet3!CE16,Sheet2!$AH$2:$AH$40,Sheet2!$AG$2:$AG$40)</f>
        <v>2.3978674772293387E-2</v>
      </c>
      <c r="BB16" s="183">
        <f>_xlfn.FORECAST.LINEAR(Sheet3!CF16,Sheet2!$AH$2:$AH$40,Sheet2!$AG$2:$AG$40)</f>
        <v>2.3256345349722866E-2</v>
      </c>
      <c r="BC16" s="183">
        <f>_xlfn.FORECAST.LINEAR(Sheet3!CG16,Sheet2!$AH$2:$AH$40,Sheet2!$AG$2:$AG$40)</f>
        <v>2.2584653693294328E-2</v>
      </c>
      <c r="BD16" s="186">
        <f>_xlfn.FORECAST.LINEAR(Sheet3!DF16,Sheet2!$AB$12:$AB$37,Sheet2!$AA$12:$AA$37)/1000</f>
        <v>3.1074560454929803E-2</v>
      </c>
      <c r="BE16" s="183">
        <f>_xlfn.FORECAST.LINEAR(Sheet3!BZ16,Sheet2!$AB$12:$AB$37,Sheet2!$AA$12:$AA$37)/1000</f>
        <v>3.1091899271470238E-2</v>
      </c>
      <c r="BF16" s="183">
        <f>_xlfn.FORECAST.LINEAR(Sheet3!CA16,Sheet2!$AB$12:$AB$37,Sheet2!$AA$12:$AA$37)/1000</f>
        <v>3.0867528296983467E-2</v>
      </c>
      <c r="BG16" s="183">
        <f>_xlfn.FORECAST.LINEAR(Sheet3!CB16,Sheet2!$AB$12:$AB$37,Sheet2!$AA$12:$AA$37)/1000</f>
        <v>3.0640140082833618E-2</v>
      </c>
      <c r="BH16" s="183">
        <f>_xlfn.FORECAST.LINEAR(Sheet3!CC16,Sheet2!$AB$12:$AB$37,Sheet2!$AA$12:$AA$37)/1000</f>
        <v>3.046663364748298E-2</v>
      </c>
      <c r="BI16" s="183">
        <f>_xlfn.FORECAST.LINEAR(Sheet3!CD16,Sheet2!$AB$12:$AB$37,Sheet2!$AA$12:$AA$37)/1000</f>
        <v>3.0294745159383477E-2</v>
      </c>
      <c r="BJ16" s="183">
        <f>_xlfn.FORECAST.LINEAR(Sheet3!CE16,Sheet2!$AB$12:$AB$37,Sheet2!$AA$12:$AA$37)/1000</f>
        <v>3.0131851392439787E-2</v>
      </c>
      <c r="BK16" s="183">
        <f>_xlfn.FORECAST.LINEAR(Sheet3!CF16,Sheet2!$AB$12:$AB$37,Sheet2!$AA$12:$AA$37)/1000</f>
        <v>2.9970355252972349E-2</v>
      </c>
      <c r="BL16" s="183">
        <f>_xlfn.FORECAST.LINEAR(Sheet3!CG16,Sheet2!$AB$12:$AB$37,Sheet2!$AA$12:$AA$37)/1000</f>
        <v>2.9820180545925709E-2</v>
      </c>
      <c r="BM16" s="186">
        <f t="shared" si="122"/>
        <v>0.8580192816761909</v>
      </c>
      <c r="BN16" s="183">
        <f t="shared" si="123"/>
        <v>0.85731510283305212</v>
      </c>
      <c r="BO16" s="183">
        <f t="shared" si="124"/>
        <v>0.86693510437769894</v>
      </c>
      <c r="BP16" s="183">
        <f t="shared" si="125"/>
        <v>0.87657837384601078</v>
      </c>
      <c r="BQ16" s="183">
        <f t="shared" si="126"/>
        <v>0.88439651246458184</v>
      </c>
      <c r="BR16" s="183">
        <f t="shared" si="127"/>
        <v>0.89195620751962879</v>
      </c>
      <c r="BS16" s="183">
        <f t="shared" si="128"/>
        <v>0.89955619212149263</v>
      </c>
      <c r="BT16" s="183">
        <f t="shared" si="129"/>
        <v>0.90689673214662769</v>
      </c>
      <c r="BU16" s="183">
        <f t="shared" si="130"/>
        <v>0.91416477508754412</v>
      </c>
      <c r="BV16" s="186">
        <f t="shared" si="131"/>
        <v>1.1836278689626132</v>
      </c>
      <c r="BW16" s="183">
        <f t="shared" si="19"/>
        <v>1.1836331117196719</v>
      </c>
      <c r="BX16" s="183">
        <f t="shared" si="20"/>
        <v>1.1795708349206808</v>
      </c>
      <c r="BY16" s="183">
        <f t="shared" si="21"/>
        <v>1.178511659974729</v>
      </c>
      <c r="BZ16" s="183">
        <f t="shared" si="22"/>
        <v>1.1747483641796674</v>
      </c>
      <c r="CA16" s="183">
        <f t="shared" si="23"/>
        <v>1.1739958085912914</v>
      </c>
      <c r="CB16" s="183">
        <f t="shared" si="24"/>
        <v>1.170365486066258</v>
      </c>
      <c r="CC16" s="183">
        <f t="shared" si="25"/>
        <v>1.1696856600879695</v>
      </c>
      <c r="CD16" s="183">
        <f t="shared" si="26"/>
        <v>1.1660168775776343</v>
      </c>
      <c r="CE16" s="187">
        <f xml:space="preserve"> -0.0000000019505*Sheet3!DF16^3 + 0.0000015497*Sheet3!DF16^2  + 0.00016911*Sheet3!DF16 + 1.8585</f>
        <v>1.8868791825625</v>
      </c>
      <c r="CF16" s="185">
        <f xml:space="preserve"> -0.0000000019505*Sheet3!BZ16^3 + 0.0000015497*Sheet3!BZ16^2  + 0.00016911*Sheet3!BZ16 + 1.8585</f>
        <v>1.8870046126862887</v>
      </c>
      <c r="CG16" s="185">
        <f xml:space="preserve"> -0.0000000019505*Sheet3!CA16^3 + 0.0000015497*Sheet3!CA16^2  + 0.00016911*Sheet3!CA16 + 1.8585</f>
        <v>1.8853958906734438</v>
      </c>
      <c r="CH16" s="185">
        <f xml:space="preserve"> -0.0000000019505*Sheet3!CB16^3 + 0.0000015497*Sheet3!CB16^2  + 0.00016911*Sheet3!CB16 + 1.8585</f>
        <v>1.8837978368439272</v>
      </c>
      <c r="CI16" s="185">
        <f xml:space="preserve"> -0.0000000019505*Sheet3!CC16^3 + 0.0000015497*Sheet3!CC16^2  + 0.00016911*Sheet3!CC16 + 1.8585</f>
        <v>1.8826007916249525</v>
      </c>
      <c r="CJ16" s="185">
        <f xml:space="preserve"> -0.0000000019505*Sheet3!CD16^3 + 0.0000015497*Sheet3!CD16^2  + 0.00016911*Sheet3!CD16 + 1.8585</f>
        <v>1.8814343336636754</v>
      </c>
      <c r="CK16" s="185">
        <f xml:space="preserve"> -0.0000000019505*Sheet3!CE16^3 + 0.0000015497*Sheet3!CE16^2  + 0.00016911*Sheet3!CE16 + 1.8585</f>
        <v>1.8803470524967845</v>
      </c>
      <c r="CL16" s="185">
        <f xml:space="preserve"> -0.0000000019505*Sheet3!CF16^3 + 0.0000015497*Sheet3!CF16^2  + 0.00016911*Sheet3!CF16 + 1.8585</f>
        <v>1.8792868002366891</v>
      </c>
      <c r="CM16" s="185">
        <f xml:space="preserve"> -0.0000000019505*Sheet3!CG16^3 + 0.0000015497*Sheet3!CG16^2  + 0.00016911*Sheet3!CG16 + 1.8585</f>
        <v>1.8783169253083791</v>
      </c>
      <c r="CN16" s="186">
        <f>_xlfn.FORECAST.LINEAR(Sheet3!DF16,New!$LU$2:$LU$14,New!$LT$2:$LT$14)</f>
        <v>1.0144914770841593</v>
      </c>
      <c r="CO16" s="183">
        <f>_xlfn.FORECAST.LINEAR(Sheet3!BZ16,New!$LU$2:$LU$14,New!$LT$2:$LT$14)</f>
        <v>1.014548556322231</v>
      </c>
      <c r="CP16" s="183">
        <f>_xlfn.FORECAST.LINEAR(Sheet3!CA16,New!$LU$2:$LU$14,New!$LT$2:$LT$14)</f>
        <v>1.0138099289632523</v>
      </c>
      <c r="CQ16" s="183">
        <f>_xlfn.FORECAST.LINEAR(Sheet3!CB16,New!$LU$2:$LU$14,New!$LT$2:$LT$14)</f>
        <v>1.0130613688767054</v>
      </c>
      <c r="CR16" s="183">
        <f>_xlfn.FORECAST.LINEAR(Sheet3!CC16,New!$LU$2:$LU$14,New!$LT$2:$LT$14)</f>
        <v>1.0124901871523224</v>
      </c>
      <c r="CS16" s="183">
        <f>_xlfn.FORECAST.LINEAR(Sheet3!CD16,New!$LU$2:$LU$14,New!$LT$2:$LT$14)</f>
        <v>1.0119243316966684</v>
      </c>
      <c r="CT16" s="183">
        <f>_xlfn.FORECAST.LINEAR(Sheet3!CE16,New!$LU$2:$LU$14,New!$LT$2:$LT$14)</f>
        <v>1.0113880867873304</v>
      </c>
      <c r="CU16" s="183">
        <f>_xlfn.FORECAST.LINEAR(Sheet3!CF16,New!$LU$2:$LU$14,New!$LT$2:$LT$14)</f>
        <v>1.0108564428558775</v>
      </c>
      <c r="CV16" s="183">
        <f>_xlfn.FORECAST.LINEAR(Sheet3!CG16,New!$LU$2:$LU$14,New!$LT$2:$LT$14)</f>
        <v>1.010362068984636</v>
      </c>
      <c r="CW16" s="186">
        <f>EXP((17.625*Sheet3!BA16)/(243.04+Sheet3!BA16)) / EXP((17.625*Sheet3!DF16)/(243.04+Sheet3!DF16))</f>
        <v>1.0001124637386332</v>
      </c>
      <c r="CX16" s="183">
        <f>EXP((17.625*(Sheet3!BC16+273))/(243.04+(Sheet3!BC16+273)))/EXP((17.625*(Sheet3!BZ16+273))/(243.04+(Sheet3!BZ16+273)))</f>
        <v>0.68548572411106401</v>
      </c>
      <c r="CY16" s="183">
        <f>EXP((17.625*(Sheet3!BE16+273))/(243.04+(Sheet3!BE16+273))) / EXP((17.625*(Sheet3!CA16+273))/(243.04+(Sheet3!CA16+273)))</f>
        <v>0.71673915293099144</v>
      </c>
      <c r="CZ16" s="183">
        <f>EXP((17.625*(Sheet3!BG16+273))/(243.04+(Sheet3!BG16+273))) / EXP((17.625*(Sheet3!CB16+273))/(243.04+(Sheet3!CB16+273)))</f>
        <v>0.74868082516606549</v>
      </c>
      <c r="DA16" s="183">
        <f>EXP((17.625*(Sheet3!BI16+273))/(243.04+(Sheet3!BI16+273))) / EXP((17.625*(Sheet3!CC16+273))/(243.04+(Sheet3!CC16+273)))</f>
        <v>0.77321578709191618</v>
      </c>
      <c r="DB16" s="183">
        <f>EXP((17.625*(Sheet3!BK16+273))/(243.04+(Sheet3!BK16+273)))/EXP((17.625*(Sheet3!CD16+273))/(243.04+(Sheet3!CD16+273)))</f>
        <v>0.80159630789896907</v>
      </c>
      <c r="DC16" s="183">
        <f>EXP((17.625*(Sheet3!BM16+273))/(243.04+(Sheet3!BM16+273))) / EXP((17.625*(Sheet3!CE16+273))/(243.04+(Sheet3!CE16+273)))</f>
        <v>0.82662216509440622</v>
      </c>
      <c r="DD16" s="183">
        <f>EXP((17.625*(Sheet3!BO16+273))/(243.04+(Sheet3!BO16+273))) / EXP((17.625*(Sheet3!CF16+273))/(243.04+(Sheet3!CF16+273)))</f>
        <v>0.85568534358500148</v>
      </c>
      <c r="DE16" s="183">
        <f>EXP((17.625*(Sheet3!BQ16+273))/(243.04+(Sheet3!BQ16+273))) / EXP((17.625*(Sheet3!CG16+273))/(243.04+(Sheet3!CG16+273)))</f>
        <v>0.88038254641644798</v>
      </c>
      <c r="DF16" s="186">
        <f>((Sheet3!DA16-Sheet3!DB16)/New!$LQ$3)/(((Sheet3!DA16-Sheet3!DB16)/New!$LQ$3)+(Sheet3!DB16/New!$LP$3))</f>
        <v>0.72117511433168213</v>
      </c>
      <c r="DG16" s="183">
        <f>((Sheet3!DA16-Sheet3!DB16)/New!$LQ$3)/(((Sheet3!DA16-Sheet3!DB16)/New!$LQ$3)+((Sheet3!DB16-(Sheet3!B16*0.004))/New!$LP$3))</f>
        <v>0.72147156687695213</v>
      </c>
      <c r="DH16" s="183" cm="1">
        <f t="array" ref="DH16">((Sheet3!DA16-Sheet3!DB16)/New!$LQ$3)/(((Sheet3!DA16-Sheet3!DB16)/New!$LQ$3)+((Sheet3!DB16-(SUM(Sheet3!B16:C16*0.004)))/New!$LP$3))</f>
        <v>0.73612597395737611</v>
      </c>
      <c r="DI16" s="183" cm="1">
        <f t="array" ref="DI16">((Sheet3!DA16-Sheet3!DB16)/New!$LQ$3)/(((Sheet3!DA16-Sheet3!DB16)/New!$LQ$3)+((Sheet3!DB16-(SUM(Sheet3!B16:D16*0.004)))/New!$LP$3))</f>
        <v>0.73683235332009744</v>
      </c>
      <c r="DJ16" s="183" cm="1">
        <f t="array" ref="DJ16">((Sheet3!DA16-Sheet3!DB16)/New!$LQ$3)/(((Sheet3!DA16-Sheet3!DB16)/New!$LQ$3)+((Sheet3!DB16-(SUM(Sheet3!B16:E16*0.004)))/New!$LP$3))</f>
        <v>0.75168686077025981</v>
      </c>
      <c r="DK16" s="183" cm="1">
        <f t="array" ref="DK16">((Sheet3!DA16-Sheet3!DB16)/New!$LQ$3)/(((Sheet3!DA16-Sheet3!DB16)/New!$LQ$3)+((Sheet3!DB16-(SUM(Sheet3!B16:F16*0.004)))/New!$LP$3))</f>
        <v>0.7520549674694752</v>
      </c>
      <c r="DL16" s="183" cm="1">
        <f t="array" ref="DL16">((Sheet3!DA16-Sheet3!DB16)/New!$LQ$3)/(((Sheet3!DA16-Sheet3!DB16)/New!$LQ$3)+((Sheet3!DB16-(SUM(Sheet3!B16:G16*0.004)))/New!$LP$3))</f>
        <v>0.76708077607401981</v>
      </c>
      <c r="DM16" s="183" cm="1">
        <f t="array" ref="DM16">((Sheet3!DA16-Sheet3!DB16)/New!$LQ$3)/(((Sheet3!DA16-Sheet3!DB16)/New!$LQ$3)+((Sheet3!DB16-(SUM(Sheet3!B16:H16*0.004)))/New!$LP$3))</f>
        <v>0.76734428251852471</v>
      </c>
      <c r="DN16" s="183" cm="1">
        <f t="array" ref="DN16">((Sheet3!DA16-Sheet3!DB16)/New!$LQ$3)/(((Sheet3!DA16-Sheet3!DB16)/New!$LQ$3)+((Sheet3!DB16-(SUM(Sheet3!B16:I16*0.004)))/New!$LP$3))</f>
        <v>0.78346796036984401</v>
      </c>
      <c r="DO16" s="186">
        <f>(Sheet3!DB16/$LP$3) / ((Sheet3!DB16/$LP$3) + ((Sheet3!DA16-Sheet3!DB16)/$LQ$3))</f>
        <v>0.27882488566831776</v>
      </c>
      <c r="DP16" s="183">
        <f>((Sheet3!$DB16-(Sheet3!B16/4000)) / $LP$3) / (((Sheet3!$DA16-Sheet3!DB16) / $LQ$3) + (Sheet3!$DB16-((Sheet3!B16/4000)))/$LP$3)</f>
        <v>0.27880636452186119</v>
      </c>
      <c r="DQ16" s="183">
        <f>((Sheet3!$DB16-(SUM(Sheet3!B16:C16)/4000))/$LP$3)/(((Sheet3!$DA16-Sheet3!$DB16)/$LQ$3)+(Sheet3!$DB16-(SUM(Sheet3!B16:C16)/4000))/$LP$3)</f>
        <v>0.27790827183058209</v>
      </c>
      <c r="DR16" s="183">
        <f>((Sheet3!$DB16-(SUM(Sheet3!B16:D16)/4000))/$LP$3)/(((Sheet3!$DA16-Sheet3!$DB16)/$LQ$3)+(Sheet3!$DB16-(SUM(Sheet3!B16:D16)/4000))/$LP$3)</f>
        <v>0.27786582869534493</v>
      </c>
      <c r="DS16" s="183">
        <f>((Sheet3!$DB16-(SUM(Sheet3!B16:E16)/4000))/$LP$3)/(((Sheet3!$DA16-Sheet3!$DB16)/$LQ$3)+(Sheet3!$DB16-(SUM(Sheet3!B16:E16)/4000))/$LP$3)</f>
        <v>0.27699065463994255</v>
      </c>
      <c r="DT16" s="183">
        <f>((Sheet3!$DB16-(SUM(Sheet3!B16:F16)/4000))/$LP$3)/(((Sheet3!$DA16-Sheet3!$DB16)/$LQ$3)+(Sheet3!$DB16-(SUM(Sheet3!B16:F16)/4000))/$LP$3)</f>
        <v>0.27696937972676977</v>
      </c>
      <c r="DU16" s="183">
        <f>((Sheet3!$DB16-(SUM(Sheet3!B16:G16)/4000))/$LP$3)/(((Sheet3!$DA16-Sheet3!$DB16)/$LQ$3)+(Sheet3!$DB16-(SUM(Sheet3!B16:G16)/4000))/$LP$3)</f>
        <v>0.27611735530899817</v>
      </c>
      <c r="DV16" s="183">
        <f>((Sheet3!$DB16-(SUM(Sheet3!B16:H16)/4000))/$LP$3)/(((Sheet3!$DA16-Sheet3!$DB16)/$LQ$3)+(Sheet3!$DB16-(SUM(Sheet3!B16:H16)/4000))/$LP$3)</f>
        <v>0.27610269358556744</v>
      </c>
      <c r="DW16" s="183">
        <f>((Sheet3!$DB16-(SUM(Sheet3!B16:I16)/4000))/$LP$3)/(((Sheet3!$DA16-Sheet3!$DB16)/$LQ$3)+(Sheet3!$DB16-(SUM(Sheet3!B16:I16)/4000))/$LP$3)</f>
        <v>0.27522323812790472</v>
      </c>
      <c r="DX16" s="186">
        <f>($LR$2*($LP$3/1000))/($LP$2*(Sheet3!DF16+273))*DO16</f>
        <v>0.16635067705966966</v>
      </c>
      <c r="DY16" s="183">
        <f>(($LR$2*($LP$3/1000))/($LP$2*(Sheet3!BZ16+273)))*(DP16)</f>
        <v>0.16620181128130382</v>
      </c>
      <c r="DZ16" s="183">
        <f>(($LR$2*($LP$3/1000))/($LP$2*(Sheet3!CA16+273)))*(DQ16)</f>
        <v>0.16746186273238733</v>
      </c>
      <c r="EA16" s="183">
        <f>(($LR$2*($LP$3/1000))/($LP$2*(Sheet3!CB16+273)))*(DR16)</f>
        <v>0.16929571451433356</v>
      </c>
      <c r="EB16" s="183">
        <f>(($LR$2*($LP$3/1000))/($LP$2*(Sheet3!CC16+273)))*(DS16)</f>
        <v>0.17020477387774341</v>
      </c>
      <c r="EC16" s="183">
        <f>(($LR$2*($LP$3/1000))/($LP$2*(Sheet3!CD16+273)))*(DT16)</f>
        <v>0.17164493376402995</v>
      </c>
      <c r="ED16" s="183">
        <f>(($LR$2*($LP$3/1000))/($LP$2*(Sheet3!CE16+273)))*(DU16)</f>
        <v>0.17251288251809382</v>
      </c>
      <c r="EE16" s="183">
        <f>(($LR$2*($LP$3/1000))/($LP$2*(Sheet3!CF16+273)))*(DV16)</f>
        <v>0.17391030754573414</v>
      </c>
      <c r="EF16" s="183">
        <f>(($LR$2*($LP$3/1000))/($LP$2*(Sheet3!CG16+273)))*(DW16)</f>
        <v>0.17468084674928361</v>
      </c>
      <c r="EG16" s="186">
        <f>(($LR$2*($LQ$3/1000))/($LQ$2*(Sheet3!DF16+273)))*(1-DO16)</f>
        <v>0.69166860461652124</v>
      </c>
      <c r="EH16" s="183">
        <f>(($LR$2*($LQ$3/1000))/($LQ$2*(Sheet3!BZ16+273)))*(1-DP16)</f>
        <v>0.69111329155174828</v>
      </c>
      <c r="EI16" s="183">
        <f>(($LR$2*($LQ$3/1000))/($LQ$2*(Sheet3!CA16+273)))*(1-DQ16)</f>
        <v>0.69947324164531166</v>
      </c>
      <c r="EJ16" s="183">
        <f>(($LR$2*($LQ$3/1000))/($LQ$2*(Sheet3!CB16+273)))*(1-DR16)</f>
        <v>0.70728265933167722</v>
      </c>
      <c r="EK16" s="183">
        <f>(($LR$2*($LQ$3/1000))/($LQ$2*(Sheet3!CC16+273)))*(1-DS16)</f>
        <v>0.71419173858683849</v>
      </c>
      <c r="EL16" s="183">
        <f>(($LR$2*($LQ$3/1000))/($LQ$2*(Sheet3!CD16+273)))*(1-DT16)</f>
        <v>0.72031127375559878</v>
      </c>
      <c r="EM16" s="183">
        <f>(($LR$2*($LQ$3/1000))/($LQ$2*(Sheet3!CE16+273)))*(1-DU16)</f>
        <v>0.7270433096033988</v>
      </c>
      <c r="EN16" s="183">
        <f>(($LR$2*($LQ$3/1000))/($LQ$2*(Sheet3!CF16+273)))*(1-DV16)</f>
        <v>0.73298642460089358</v>
      </c>
      <c r="EO16" s="183">
        <f>(($LR$2*($LQ$3/1000))/($LQ$2*(Sheet3!CG16+273)))*(1-DW16)</f>
        <v>0.73948392833826049</v>
      </c>
      <c r="EP16" s="186">
        <f t="shared" si="132"/>
        <v>4759.8410441450096</v>
      </c>
      <c r="EQ16" s="183">
        <f xml:space="preserve"> (($FV16-(Sheet3!B16/4000))*0.018)/(0.011*JO16*3600)</f>
        <v>4756.5588309464856</v>
      </c>
      <c r="ER16" s="183">
        <f>((($FV16-(SUM(Sheet3!B16:C16)/4000))*0.018)/(0.011*JP16*3600))</f>
        <v>4791.4014743267107</v>
      </c>
      <c r="ES16" s="183">
        <f>((($FV16-(SUM(Sheet3!B16:D16)/4000))*0.018)/(0.011*JQ16*3600))</f>
        <v>4833.4744462229801</v>
      </c>
      <c r="ET16" s="183">
        <f>((($FV16-(SUM(Sheet3!B16:E16)/4000))*0.018)/(0.011*JR16))/3600</f>
        <v>4860.0798962109766</v>
      </c>
      <c r="EU16" s="183">
        <f>((($FV16-(SUM(Sheet3!B16:F16)/4000))*0.018)/(0.011*JS16))/3600</f>
        <v>4892.8716863767368</v>
      </c>
      <c r="EV16" s="183">
        <f>((($FV16-(SUM(Sheet3!B16:G16)/4000))*0.018)/(0.011*JT16))/3600</f>
        <v>4918.3479069894493</v>
      </c>
      <c r="EW16" s="183">
        <f>((($FV16-(SUM(Sheet3!B16:H16)/4000))*0.018)/(0.011*JU16))/3600</f>
        <v>4949.9810451020448</v>
      </c>
      <c r="EX16" s="183">
        <f>((($FV16-(SUM(Sheet3!B16:I16)/4000))*0.018)/(0.011*JV16))/3600</f>
        <v>4973.4198875025031</v>
      </c>
      <c r="EY16" s="186">
        <f t="shared" si="133"/>
        <v>50.017424976024316</v>
      </c>
      <c r="EZ16" s="183">
        <f t="shared" si="134"/>
        <v>49.987053813072698</v>
      </c>
      <c r="FA16" s="183">
        <f t="shared" si="135"/>
        <v>50.278023712111967</v>
      </c>
      <c r="FB16" s="183">
        <f t="shared" si="136"/>
        <v>50.661400082362107</v>
      </c>
      <c r="FC16" s="183">
        <f t="shared" si="137"/>
        <v>50.87935821016957</v>
      </c>
      <c r="FD16" s="183">
        <f t="shared" si="138"/>
        <v>51.180624101209808</v>
      </c>
      <c r="FE16" s="183">
        <f t="shared" si="139"/>
        <v>51.389900304561195</v>
      </c>
      <c r="FF16" s="183">
        <f t="shared" si="140"/>
        <v>51.682592577079816</v>
      </c>
      <c r="FG16" s="183">
        <f t="shared" si="141"/>
        <v>51.873030963890969</v>
      </c>
      <c r="FH16" s="186">
        <f t="shared" si="28"/>
        <v>84.287886508992443</v>
      </c>
      <c r="FI16" s="183">
        <f t="shared" si="29"/>
        <v>84.33417631792905</v>
      </c>
      <c r="FJ16" s="183">
        <f t="shared" si="30"/>
        <v>83.566243506788553</v>
      </c>
      <c r="FK16" s="183">
        <f t="shared" si="31"/>
        <v>82.909782149633983</v>
      </c>
      <c r="FL16" s="183">
        <f t="shared" si="32"/>
        <v>82.285749497489604</v>
      </c>
      <c r="FM16" s="183">
        <f t="shared" si="33"/>
        <v>81.784240088781601</v>
      </c>
      <c r="FN16" s="183">
        <f t="shared" si="34"/>
        <v>81.191444446817812</v>
      </c>
      <c r="FO16" s="183">
        <f t="shared" si="35"/>
        <v>80.71516113308904</v>
      </c>
      <c r="FP16" s="183">
        <f t="shared" si="36"/>
        <v>80.153707562575633</v>
      </c>
      <c r="FQ16" s="314">
        <f>Sheet3!CV16</f>
        <v>2</v>
      </c>
      <c r="FR16" s="183">
        <v>5000</v>
      </c>
      <c r="FS16" s="183">
        <v>20</v>
      </c>
      <c r="FT16" s="183">
        <v>0.18059999999999998</v>
      </c>
      <c r="FU16" s="183">
        <v>28.52</v>
      </c>
      <c r="FV16" s="183">
        <v>196</v>
      </c>
      <c r="FW16" s="183">
        <v>38</v>
      </c>
      <c r="FX16" s="183">
        <v>400.5</v>
      </c>
      <c r="FY16" s="183">
        <v>10.35</v>
      </c>
      <c r="FZ16" s="183">
        <v>17.97</v>
      </c>
      <c r="GA16" s="183">
        <v>95</v>
      </c>
      <c r="GB16" s="186">
        <f>EXP($LP$6-($LQ$6/('Trial and Error method'!T16+$LP$8))) / ($LR$2/1000)</f>
        <v>0.2731432647645235</v>
      </c>
      <c r="GC16" s="183">
        <f>EXP($LP$6-($LQ$6/('Trial and Error method'!U16+$LP$8))) / ($LR$2/1000)</f>
        <v>0.10898044954432058</v>
      </c>
      <c r="GD16" s="183">
        <f>EXP($LP$6-($LQ$6/('Trial and Error method'!V16+$LP$8))) / ($LR$2/1000)</f>
        <v>0.10403702870339665</v>
      </c>
      <c r="GE16" s="183">
        <f>EXP($LP$6-($LQ$6/('Trial and Error method'!W16+$LP$8))) / ($LR$2/1000)</f>
        <v>9.9973592127885716E-2</v>
      </c>
      <c r="GF16" s="183">
        <f>EXP($LP$6-($LQ$6/('Trial and Error method'!X16+$LP$8))) / ($LR$2/1000)</f>
        <v>9.5994840183772009E-2</v>
      </c>
      <c r="GG16" s="183">
        <f>EXP($LP$6-($LQ$6/('Trial and Error method'!Y16+$LP$8))) / ($LR$2/1000)</f>
        <v>9.3103567158872497E-2</v>
      </c>
      <c r="GH16" s="183">
        <f>EXP($LP$6-($LQ$6/('Trial and Error method'!Z16+$LP$8))) / ($LR$2/1000)</f>
        <v>9.0275427565976854E-2</v>
      </c>
      <c r="GI16" s="183">
        <f>EXP($LP$6-($LQ$6/('Trial and Error method'!AA16+$LP$8))) / ($LR$2/1000)</f>
        <v>8.0102345487563911E-2</v>
      </c>
      <c r="GJ16" s="183">
        <f>EXP($LP$6-($LQ$6/('Trial and Error method'!AB16+$LP$8))) / ($LR$2/1000)</f>
        <v>0.27481000558409724</v>
      </c>
      <c r="GK16" s="188">
        <f t="shared" si="142"/>
        <v>0.72401220928650778</v>
      </c>
      <c r="GL16" s="165">
        <f t="shared" si="143"/>
        <v>0.80311622350782685</v>
      </c>
      <c r="GM16" s="165">
        <f t="shared" si="144"/>
        <v>0.8059037568971954</v>
      </c>
      <c r="GN16" s="165">
        <f t="shared" si="145"/>
        <v>0.80781840753945944</v>
      </c>
      <c r="GO16" s="165">
        <f t="shared" si="146"/>
        <v>0.81014031888305515</v>
      </c>
      <c r="GP16" s="165">
        <f t="shared" si="147"/>
        <v>0.81149485114747955</v>
      </c>
      <c r="GQ16" s="165">
        <f t="shared" si="148"/>
        <v>0.81326774950288971</v>
      </c>
      <c r="GR16" s="165">
        <f t="shared" si="149"/>
        <v>0.8179875364124457</v>
      </c>
      <c r="GS16" s="165">
        <f t="shared" si="150"/>
        <v>0.72498335851591789</v>
      </c>
      <c r="GT16" s="188">
        <f t="shared" si="38"/>
        <v>7.0847176050274463E-2</v>
      </c>
      <c r="GU16" s="165">
        <f t="shared" si="39"/>
        <v>6.3863218165544258E-2</v>
      </c>
      <c r="GV16" s="165">
        <f t="shared" si="40"/>
        <v>6.3642474323547193E-2</v>
      </c>
      <c r="GW16" s="165">
        <f t="shared" si="41"/>
        <v>6.3524431167695392E-2</v>
      </c>
      <c r="GX16" s="165">
        <f t="shared" si="42"/>
        <v>6.3340176031694284E-2</v>
      </c>
      <c r="GY16" s="165">
        <f t="shared" si="43"/>
        <v>6.3263119834916018E-2</v>
      </c>
      <c r="GZ16" s="165">
        <f t="shared" si="44"/>
        <v>6.3125193218528872E-2</v>
      </c>
      <c r="HA16" s="165">
        <f t="shared" si="45"/>
        <v>6.279101309243143E-2</v>
      </c>
      <c r="HB16" s="165">
        <f t="shared" si="46"/>
        <v>7.0838049276747375E-2</v>
      </c>
      <c r="HC16" s="188">
        <f>BV16*Sheet3!DF16</f>
        <v>112.44464755144826</v>
      </c>
      <c r="HD16" s="165">
        <f>BW16*Sheet3!BZ16</f>
        <v>112.80632938137116</v>
      </c>
      <c r="HE16" s="165">
        <f>BX16*Sheet3!CA16</f>
        <v>107.76135707102642</v>
      </c>
      <c r="HF16" s="165">
        <f>BY16*Sheet3!CB16</f>
        <v>102.94838066643923</v>
      </c>
      <c r="HG16" s="165">
        <f>BZ16*Sheet3!CC16</f>
        <v>99.032468381924133</v>
      </c>
      <c r="HH16" s="165">
        <f>CA16*Sheet3!CD16</f>
        <v>95.417582910159496</v>
      </c>
      <c r="HI16" s="165">
        <f>CB16*Sheet3!CE16</f>
        <v>91.767331102669942</v>
      </c>
      <c r="HJ16" s="165">
        <f>CC16*Sheet3!CF16</f>
        <v>88.389552260523359</v>
      </c>
      <c r="HK16" s="165">
        <f>CD16*Sheet3!CG16</f>
        <v>85.03059278236465</v>
      </c>
      <c r="HL16" s="188">
        <f>(CE16*Sheet3!DF16)+2501</f>
        <v>2680.2535223434375</v>
      </c>
      <c r="HM16" s="165">
        <f>(CF16*Sheet3!BZ16)+2501</f>
        <v>2680.8412546718873</v>
      </c>
      <c r="HN16" s="165">
        <f>(CG16*Sheet3!CA16)+2501</f>
        <v>2673.2430004034213</v>
      </c>
      <c r="HO16" s="165">
        <f>(CH16*Sheet3!CB16)+2501</f>
        <v>2665.5583521932926</v>
      </c>
      <c r="HP16" s="165">
        <f>(CI16*Sheet3!CC16)+2501</f>
        <v>2659.7051398046206</v>
      </c>
      <c r="HQ16" s="165">
        <f>(CJ16*Sheet3!CD16)+2501</f>
        <v>2653.9152959564544</v>
      </c>
      <c r="HR16" s="165">
        <f>(CK16*Sheet3!CE16)+2501</f>
        <v>2648.4363629214481</v>
      </c>
      <c r="HS16" s="165">
        <f>(CL16*Sheet3!CF16)+2501</f>
        <v>2643.0119306494189</v>
      </c>
      <c r="HT16" s="165">
        <f>(CM16*Sheet3!CG16)+2501</f>
        <v>2637.9743480248089</v>
      </c>
      <c r="HU16" s="188">
        <f>-0.0021*(Sheet3!DF16^2) - 2.2115*(Sheet3!DF16) + 2499</f>
        <v>2269.9549999999999</v>
      </c>
      <c r="HV16" s="165">
        <f>-0.0021*(Sheet3!BZ16^2) - 2.2115*(Sheet3!BZ16) + 2499</f>
        <v>2269.1582145199336</v>
      </c>
      <c r="HW16" s="165">
        <f>-0.0021*(Sheet3!CA16^2) - 2.2115*(Sheet3!CA16) + 2499</f>
        <v>2279.4387120696501</v>
      </c>
      <c r="HX16" s="165">
        <f>-0.0021*(Sheet3!CB16^2) - 2.2115*(Sheet3!CB16) + 2499</f>
        <v>2289.7906415593066</v>
      </c>
      <c r="HY16" s="165">
        <f>-0.0021*(Sheet3!CC16^2) - 2.2115*(Sheet3!CC16) + 2499</f>
        <v>2297.6443411698401</v>
      </c>
      <c r="HZ16" s="165">
        <f>-0.0021*(Sheet3!CD16^2) - 2.2115*(Sheet3!CD16) + 2499</f>
        <v>2305.386189213496</v>
      </c>
      <c r="IA16" s="165">
        <f>-0.0021*(Sheet3!CE16^2) - 2.2115*(Sheet3!CE16) + 2499</f>
        <v>2312.6874448303997</v>
      </c>
      <c r="IB16" s="165">
        <f>-0.0021*(Sheet3!CF16^2) - 2.2115*(Sheet3!CF16) + 2499</f>
        <v>2319.8919810157718</v>
      </c>
      <c r="IC16" s="165">
        <f>-0.0021*(Sheet3!CG16^2) - 2.2115*(Sheet3!CG16) + 2499</f>
        <v>2326.5610109709219</v>
      </c>
      <c r="ID16" s="188">
        <f t="shared" si="47"/>
        <v>0.73036471439083628</v>
      </c>
      <c r="IE16" s="165">
        <f t="shared" si="48"/>
        <v>0.73001418057359579</v>
      </c>
      <c r="IF16" s="165">
        <f t="shared" si="49"/>
        <v>0.73246380213629003</v>
      </c>
      <c r="IG16" s="165">
        <f t="shared" si="50"/>
        <v>0.73672517923730285</v>
      </c>
      <c r="IH16" s="165">
        <f t="shared" si="51"/>
        <v>0.73843544641616432</v>
      </c>
      <c r="II16" s="165">
        <f t="shared" si="52"/>
        <v>0.74186331464495847</v>
      </c>
      <c r="IJ16" s="165">
        <f t="shared" si="53"/>
        <v>0.74353203265884238</v>
      </c>
      <c r="IK16" s="165">
        <f t="shared" si="54"/>
        <v>0.74692777563102208</v>
      </c>
      <c r="IL16" s="165">
        <f t="shared" si="55"/>
        <v>0.74838549807891941</v>
      </c>
      <c r="IM16" s="188">
        <f t="shared" si="56"/>
        <v>0.91371771417217229</v>
      </c>
      <c r="IN16" s="165">
        <f t="shared" si="151"/>
        <v>24.610449177108393</v>
      </c>
      <c r="IO16" s="165">
        <f t="shared" si="152"/>
        <v>25.223348182473469</v>
      </c>
      <c r="IP16" s="165">
        <f t="shared" si="153"/>
        <v>25.875786328236178</v>
      </c>
      <c r="IQ16" s="165">
        <f t="shared" si="154"/>
        <v>26.340899526479422</v>
      </c>
      <c r="IR16" s="165">
        <f t="shared" si="155"/>
        <v>26.816079096874166</v>
      </c>
      <c r="IS16" s="165">
        <f t="shared" si="156"/>
        <v>27.130847790752725</v>
      </c>
      <c r="IT16" s="165">
        <f t="shared" si="157"/>
        <v>28.551050786453647</v>
      </c>
      <c r="IU16" s="165">
        <f t="shared" si="158"/>
        <v>6.8104460304726486E-2</v>
      </c>
      <c r="IV16" s="188">
        <f>_xlfn.FORECAST.LINEAR(Sheet3!DF16,Sheet2!$AK$2:$AK$69,Sheet2!$AJ$2:$AJ$69)</f>
        <v>1.2111557852862682E-5</v>
      </c>
      <c r="IW16" s="165">
        <f>_xlfn.FORECAST.LINEAR(Sheet3!BZ16,Sheet2!$AK$2:$AK$69,Sheet2!$AJ$2:$AJ$69)</f>
        <v>1.2122241804276888E-5</v>
      </c>
      <c r="IX16" s="165">
        <f>_xlfn.FORECAST.LINEAR(Sheet3!CA16,Sheet2!$AK$2:$AK$69,Sheet2!$AJ$2:$AJ$69)</f>
        <v>1.1983987351639664E-5</v>
      </c>
      <c r="IY16" s="165">
        <f>_xlfn.FORECAST.LINEAR(Sheet3!CB16,Sheet2!$AK$2:$AK$69,Sheet2!$AJ$2:$AJ$69)</f>
        <v>1.1843873715482604E-5</v>
      </c>
      <c r="IZ16" s="165">
        <f>_xlfn.FORECAST.LINEAR(Sheet3!CC16,Sheet2!$AK$2:$AK$69,Sheet2!$AJ$2:$AJ$69)</f>
        <v>1.1736961324950322E-5</v>
      </c>
      <c r="JA16" s="165">
        <f>_xlfn.FORECAST.LINEAR(Sheet3!CD16,Sheet2!$AK$2:$AK$69,Sheet2!$AJ$2:$AJ$69)</f>
        <v>1.1631045892300462E-5</v>
      </c>
      <c r="JB16" s="165">
        <f>_xlfn.FORECAST.LINEAR(Sheet3!CE16,Sheet2!$AK$2:$AK$69,Sheet2!$AJ$2:$AJ$69)</f>
        <v>1.1530672888892468E-5</v>
      </c>
      <c r="JC16" s="165">
        <f>_xlfn.FORECAST.LINEAR(Sheet3!CF16,Sheet2!$AK$2:$AK$69,Sheet2!$AJ$2:$AJ$69)</f>
        <v>1.1431161085210337E-5</v>
      </c>
      <c r="JD16" s="165">
        <f>_xlfn.FORECAST.LINEAR(Sheet3!CG16,Sheet2!$AK$2:$AK$69,Sheet2!$AJ$2:$AJ$69)</f>
        <v>1.1338625399744863E-5</v>
      </c>
      <c r="JE16" s="188">
        <f>_xlfn.FORECAST.LINEAR(Sheet3!DF16,New!$MC$2:$MC$18,New!$MB$2:$MB$18)</f>
        <v>2.1320092833799085E-5</v>
      </c>
      <c r="JF16" s="165">
        <f>_xlfn.FORECAST.LINEAR(Sheet3!BZ16,New!$MC$2:$MC$18,New!$MB$2:$MB$18)</f>
        <v>2.1332652076562063E-5</v>
      </c>
      <c r="JG16" s="165">
        <f>_xlfn.FORECAST.LINEAR(Sheet3!CA16,New!$MC$2:$MC$18,New!$MB$2:$MB$18)</f>
        <v>2.1170130630477493E-5</v>
      </c>
      <c r="JH16" s="165">
        <f>_xlfn.FORECAST.LINEAR(Sheet3!CB16,New!$MC$2:$MC$18,New!$MB$2:$MB$18)</f>
        <v>2.1005423669290757E-5</v>
      </c>
      <c r="JI16" s="165">
        <f>_xlfn.FORECAST.LINEAR(Sheet3!CC16,New!$MC$2:$MC$18,New!$MB$2:$MB$18)</f>
        <v>2.0879745573705236E-5</v>
      </c>
      <c r="JJ16" s="165">
        <f>_xlfn.FORECAST.LINEAR(Sheet3!CD16,New!$MC$2:$MC$18,New!$MB$2:$MB$18)</f>
        <v>2.07552394261738E-5</v>
      </c>
      <c r="JK16" s="165">
        <f>_xlfn.FORECAST.LINEAR(Sheet3!CE16,New!$MC$2:$MC$18,New!$MB$2:$MB$18)</f>
        <v>2.0637248537992259E-5</v>
      </c>
      <c r="JL16" s="165">
        <f>_xlfn.FORECAST.LINEAR(Sheet3!CF16,New!$MC$2:$MC$18,New!$MB$2:$MB$18)</f>
        <v>2.0520270010875011E-5</v>
      </c>
      <c r="JM16" s="165">
        <f>_xlfn.FORECAST.LINEAR(Sheet3!CG16,New!$MC$2:$MC$18,New!$MB$2:$MB$18)</f>
        <v>2.041149207910208E-5</v>
      </c>
      <c r="JN16" s="188">
        <f t="shared" si="159"/>
        <v>1.8717202584001861E-5</v>
      </c>
      <c r="JO16" s="165">
        <f t="shared" si="160"/>
        <v>1.8729783725620547E-5</v>
      </c>
      <c r="JP16" s="165">
        <f t="shared" si="161"/>
        <v>1.8577502470669241E-5</v>
      </c>
      <c r="JQ16" s="165">
        <f t="shared" si="162"/>
        <v>1.8415042295959655E-5</v>
      </c>
      <c r="JR16" s="165">
        <f t="shared" si="163"/>
        <v>1.8298824689967479E-5</v>
      </c>
      <c r="JS16" s="165">
        <f t="shared" si="164"/>
        <v>1.8175815250948788E-5</v>
      </c>
      <c r="JT16" s="165">
        <f t="shared" si="165"/>
        <v>1.8066880632656549E-5</v>
      </c>
      <c r="JU16" s="165">
        <f t="shared" si="166"/>
        <v>1.7951170668295504E-5</v>
      </c>
      <c r="JV16" s="165">
        <f t="shared" si="167"/>
        <v>1.785151267941752E-5</v>
      </c>
      <c r="JW16" s="188">
        <f t="shared" si="66"/>
        <v>1.0388946801615235</v>
      </c>
      <c r="JX16" s="165">
        <f t="shared" si="67"/>
        <v>1.0387301370433728</v>
      </c>
      <c r="JY16" s="165">
        <f t="shared" si="68"/>
        <v>1.0408811825736433</v>
      </c>
      <c r="JZ16" s="165">
        <f t="shared" si="69"/>
        <v>1.0431104028703611</v>
      </c>
      <c r="KA16" s="165">
        <f t="shared" si="70"/>
        <v>1.0448457936282713</v>
      </c>
      <c r="KB16" s="165">
        <f t="shared" si="71"/>
        <v>1.0465952284852742</v>
      </c>
      <c r="KC16" s="165">
        <f t="shared" si="72"/>
        <v>1.0482816107167607</v>
      </c>
      <c r="KD16" s="165">
        <f t="shared" si="73"/>
        <v>1.0499816028732172</v>
      </c>
      <c r="KE16" s="165">
        <f t="shared" si="74"/>
        <v>1.0515881314172684</v>
      </c>
      <c r="KF16" s="188">
        <f t="shared" si="75"/>
        <v>0.94873894862391783</v>
      </c>
      <c r="KG16" s="165">
        <f t="shared" si="76"/>
        <v>0.94886650343490686</v>
      </c>
      <c r="KH16" s="165">
        <f t="shared" si="77"/>
        <v>0.9472034091431849</v>
      </c>
      <c r="KI16" s="165">
        <f t="shared" si="78"/>
        <v>0.94548989209423773</v>
      </c>
      <c r="KJ16" s="165">
        <f t="shared" si="79"/>
        <v>0.94416296449058124</v>
      </c>
      <c r="KK16" s="165">
        <f t="shared" si="80"/>
        <v>0.94283145505613486</v>
      </c>
      <c r="KL16" s="165">
        <f t="shared" si="81"/>
        <v>0.94155374656612256</v>
      </c>
      <c r="KM16" s="165">
        <f t="shared" si="82"/>
        <v>0.94027146065849887</v>
      </c>
      <c r="KN16" s="165">
        <f t="shared" si="83"/>
        <v>0.93906492962460741</v>
      </c>
      <c r="KO16" s="188">
        <f t="shared" si="84"/>
        <v>0.5861593117446775</v>
      </c>
      <c r="KP16" s="165">
        <f t="shared" si="85"/>
        <v>0.58643625880671801</v>
      </c>
      <c r="KQ16" s="165">
        <f t="shared" si="86"/>
        <v>0.58338419220058058</v>
      </c>
      <c r="KR16" s="165">
        <f t="shared" si="87"/>
        <v>0.58020987628927312</v>
      </c>
      <c r="KS16" s="165">
        <f t="shared" si="88"/>
        <v>0.57779862036180429</v>
      </c>
      <c r="KT16" s="165">
        <f t="shared" si="89"/>
        <v>0.57534389936758357</v>
      </c>
      <c r="KU16" s="165">
        <f t="shared" si="90"/>
        <v>0.57303610096352586</v>
      </c>
      <c r="KV16" s="165">
        <f t="shared" si="91"/>
        <v>0.57068287016408092</v>
      </c>
      <c r="KW16" s="165">
        <f t="shared" si="92"/>
        <v>0.56861085840994285</v>
      </c>
      <c r="KX16" s="188">
        <f>AVERAGE(Sheet3!J16:P16)*KO16^(1/3)/ID16^(1/3)</f>
        <v>193.74025288469102</v>
      </c>
      <c r="KY16" s="165">
        <f>Sheet3!J16*KP16^(1/3)/IE16^(1/3)</f>
        <v>170.71910761223168</v>
      </c>
      <c r="KZ16" s="165">
        <f>Sheet3!K16*KQ16^(1/3)/IF16^(1/3)</f>
        <v>177.79335075903754</v>
      </c>
      <c r="LA16" s="165">
        <f>Sheet3!L16*KR16^(1/3)/IG16^(1/3)</f>
        <v>186.51028185105531</v>
      </c>
      <c r="LB16" s="165">
        <f>Sheet3!M16*KS16^(1/3)/IH16^(1/3)</f>
        <v>195.00005512890257</v>
      </c>
      <c r="LC16" s="165">
        <f>Sheet3!N16*KT16^(1/3)/II16^(1/3)</f>
        <v>202.92368559572799</v>
      </c>
      <c r="LD16" s="165">
        <f>Sheet3!O16*KU16^(1/3)/IJ16^(1/3)</f>
        <v>206.95724725747058</v>
      </c>
      <c r="LE16" s="165">
        <f>Sheet3!P16*KV16^(1/3)/IK16^(1/3)</f>
        <v>204.5243219312807</v>
      </c>
      <c r="LF16" s="165">
        <f>Sheet3!Q16*KW16^(1/3)/IL16^(1/3)</f>
        <v>209.56485207804519</v>
      </c>
      <c r="LG16" s="186">
        <f t="shared" si="93"/>
        <v>25.908261626360261</v>
      </c>
      <c r="LH16" s="183">
        <f t="shared" si="94"/>
        <v>25.916513233617863</v>
      </c>
      <c r="LI16" s="183">
        <f t="shared" si="95"/>
        <v>26.324725722833552</v>
      </c>
      <c r="LJ16" s="183">
        <f t="shared" si="96"/>
        <v>26.344417856096662</v>
      </c>
      <c r="LK16" s="183">
        <f t="shared" si="97"/>
        <v>26.758838131245291</v>
      </c>
      <c r="LL16" s="183">
        <f t="shared" si="98"/>
        <v>26.769115233693761</v>
      </c>
      <c r="LM16" s="183">
        <f t="shared" si="99"/>
        <v>27.188913430995214</v>
      </c>
      <c r="LN16" s="183">
        <f t="shared" si="100"/>
        <v>27.196280446680476</v>
      </c>
      <c r="LO16" s="183">
        <f t="shared" si="101"/>
        <v>27.647378767184886</v>
      </c>
      <c r="LP16" s="220"/>
      <c r="LQ16" s="220"/>
      <c r="LR16" s="220"/>
      <c r="LS16" s="220"/>
      <c r="LT16" s="220"/>
      <c r="LU16" s="220"/>
      <c r="LV16" s="220"/>
      <c r="LW16" s="220"/>
      <c r="LX16" s="220"/>
      <c r="LY16" s="220"/>
      <c r="LZ16" s="222">
        <v>93.51</v>
      </c>
      <c r="MA16" s="220">
        <v>1.2E-5</v>
      </c>
      <c r="MB16" s="220">
        <v>200</v>
      </c>
      <c r="MC16" s="220">
        <v>2.5729999999999999E-5</v>
      </c>
      <c r="MD16" s="188">
        <f>Sheet3!DP16</f>
        <v>324.54322577615159</v>
      </c>
      <c r="ME16" s="264">
        <v>150</v>
      </c>
      <c r="MF16" s="264">
        <v>4.76</v>
      </c>
      <c r="MG16" s="264">
        <v>2.395</v>
      </c>
      <c r="MH16" s="264">
        <v>2.5470000000000002</v>
      </c>
      <c r="MI16" s="264">
        <v>13.93</v>
      </c>
      <c r="MJ16" s="264">
        <v>5.47</v>
      </c>
      <c r="MK16" s="273">
        <v>140</v>
      </c>
      <c r="ML16" s="267">
        <v>3.61</v>
      </c>
      <c r="MM16" s="267">
        <v>1.966</v>
      </c>
      <c r="MN16" s="267">
        <v>2.3149999999999999</v>
      </c>
      <c r="MO16" s="267">
        <v>13.54</v>
      </c>
      <c r="MP16" s="274">
        <v>6.89</v>
      </c>
      <c r="MQ16"/>
      <c r="MR16"/>
      <c r="MS16"/>
    </row>
    <row r="17" spans="1:357" ht="15" thickBot="1" x14ac:dyDescent="0.35">
      <c r="A17" s="184" t="str">
        <f>Sheet3!A17</f>
        <v>08.12.2022</v>
      </c>
      <c r="B17" s="186">
        <f t="shared" si="102"/>
        <v>0.82483731092342838</v>
      </c>
      <c r="C17" s="183">
        <f t="shared" si="103"/>
        <v>0.82503145786830168</v>
      </c>
      <c r="D17" s="183">
        <f t="shared" si="0"/>
        <v>0.81664301447032983</v>
      </c>
      <c r="E17" s="183">
        <f t="shared" si="1"/>
        <v>0.80870392858233597</v>
      </c>
      <c r="F17" s="183">
        <f t="shared" si="2"/>
        <v>0.80034001474959582</v>
      </c>
      <c r="G17" s="183">
        <f t="shared" si="3"/>
        <v>0.7937433254651638</v>
      </c>
      <c r="H17" s="183">
        <f t="shared" si="4"/>
        <v>0.78869405499520062</v>
      </c>
      <c r="I17" s="183">
        <f t="shared" si="5"/>
        <v>0.78098266062423649</v>
      </c>
      <c r="J17" s="183">
        <f t="shared" si="6"/>
        <v>0.77451315989952874</v>
      </c>
      <c r="K17" s="186">
        <f xml:space="preserve"> (6.057 * (10^(-6)))
+ (4.055 * (10^(-8)) * (Sheet3!DF17 + 273))
+ (1.25 * (10^(-10)) * (Sheet3!DF17 + 273)^2)
- (3.367 * (10^(-14)) * (DD17 + 273)^3)</f>
        <v>3.8554419644306314E-5</v>
      </c>
      <c r="L17" s="183">
        <f xml:space="preserve"> (6.057 * (10^(-6)))
+ (4.055 * (10^(-8)) * (Sheet3!BZ17 + 273))
+ (1.25 * (10^(-10)) * (Sheet3!BZ17 + 273)^2)
- (3.367 * (10^(-14)) * (BX17 + 273)^3)</f>
        <v>3.8557925777223637E-5</v>
      </c>
      <c r="M17" s="183">
        <f xml:space="preserve"> (6.057 * (10^(-6)))
+ (4.055 * (10^(-8)) * (Sheet3!CA17 + 273))
+ (1.25 * (10^(-10)) * (Sheet3!CA17 + 273)^2)
- (3.367 * (10^(-14)) * (BY17 + 273)^3)</f>
        <v>3.7920141844408218E-5</v>
      </c>
      <c r="N17" s="183">
        <f xml:space="preserve"> (6.057 * (10^(-6)))
+ (4.055 * (10^(-8)) * (Sheet3!CB17 + 273))
+ (1.25 * (10^(-10)) * (Sheet3!CB17 + 273)^2)
- (3.367 * (10^(-14)) * (BZ17 + 273)^3)</f>
        <v>3.7427346984900061E-5</v>
      </c>
      <c r="O17" s="183">
        <f xml:space="preserve"> (6.057 * (10^(-6)))
+ (4.055 * (10^(-8)) * (Sheet3!CC17 + 273))
+ (1.25 * (10^(-10)) * (Sheet3!CC17 + 273)^2)
- (3.367 * (10^(-14)) * (CA17 + 273)^3)</f>
        <v>3.6816183542633004E-5</v>
      </c>
      <c r="P17" s="183">
        <f xml:space="preserve"> (6.057 * (10^(-6)))
+ (4.055 * (10^(-8)) * (Sheet3!CD17 + 273))
+ (1.25 * (10^(-10)) * (Sheet3!CD17 + 273)^2)
- (3.367 * (10^(-14)) * (CB17 + 273)^3)</f>
        <v>3.6423874265141578E-5</v>
      </c>
      <c r="Q17" s="183">
        <f xml:space="preserve"> (6.057 * (10^(-6)))
+ (4.055 * (10^(-8)) * (Sheet3!CE17 + 273))
+ (1.25 * (10^(-10)) * (Sheet3!CE17 + 273)^2)
- (3.367 * (10^(-14)) * (CC17 + 273)^3)</f>
        <v>3.6032534390586622E-5</v>
      </c>
      <c r="R17" s="183">
        <f xml:space="preserve"> (6.057 * (10^(-6)))
+ (4.055 * (10^(-8)) * (Sheet3!CF17 + 273))
+ (1.25 * (10^(-10)) * (Sheet3!CF17 + 273)^2)
- (3.367 * (10^(-14)) * (CD17 + 273)^3)</f>
        <v>3.5589510755111362E-5</v>
      </c>
      <c r="S17" s="183">
        <f xml:space="preserve"> (6.057 * (10^(-6)))
+ (4.055 * (10^(-8)) * (Sheet3!CG17 + 273))
+ (1.25 * (10^(-10)) * (Sheet3!CG17 + 273)^2)
- (3.367 * (10^(-14)) * (CE17 + 273)^3)</f>
        <v>3.5123710012845076E-5</v>
      </c>
      <c r="T17" s="188">
        <f t="shared" si="104"/>
        <v>3.8554419644306314E-5</v>
      </c>
      <c r="U17" s="165">
        <f t="shared" si="105"/>
        <v>3.8557925777223637E-5</v>
      </c>
      <c r="V17" s="165">
        <f t="shared" si="106"/>
        <v>3.7920141844408218E-5</v>
      </c>
      <c r="W17" s="165">
        <f t="shared" si="107"/>
        <v>3.7427346984900061E-5</v>
      </c>
      <c r="X17" s="165">
        <f t="shared" si="108"/>
        <v>3.6816183542633004E-5</v>
      </c>
      <c r="Y17" s="165">
        <f t="shared" si="109"/>
        <v>3.6423874265141578E-5</v>
      </c>
      <c r="Z17" s="165">
        <f t="shared" si="110"/>
        <v>3.6032534390586622E-5</v>
      </c>
      <c r="AA17" s="165">
        <f t="shared" si="111"/>
        <v>3.5589510755111362E-5</v>
      </c>
      <c r="AB17" s="165">
        <f t="shared" si="112"/>
        <v>3.5123710012845076E-5</v>
      </c>
      <c r="AC17" s="186">
        <f t="shared" si="8"/>
        <v>3.1801123823623022E-5</v>
      </c>
      <c r="AD17" s="183">
        <f t="shared" si="9"/>
        <v>3.1811501716360586E-5</v>
      </c>
      <c r="AE17" s="183">
        <f t="shared" si="10"/>
        <v>3.0967218944960019E-5</v>
      </c>
      <c r="AF17" s="183">
        <f t="shared" si="11"/>
        <v>3.0267642543102926E-5</v>
      </c>
      <c r="AG17" s="183">
        <f t="shared" si="12"/>
        <v>2.9465464879534726E-5</v>
      </c>
      <c r="AH17" s="183">
        <f t="shared" si="13"/>
        <v>2.8911207085538477E-5</v>
      </c>
      <c r="AI17" s="183">
        <f t="shared" si="14"/>
        <v>2.8418645660265783E-5</v>
      </c>
      <c r="AJ17" s="183">
        <f t="shared" si="15"/>
        <v>2.7794790799841753E-5</v>
      </c>
      <c r="AK17" s="183">
        <f t="shared" si="16"/>
        <v>2.7203775629443356E-5</v>
      </c>
      <c r="AL17" s="186">
        <f t="shared" si="113"/>
        <v>3.1482920196129555E-2</v>
      </c>
      <c r="AM17" s="183">
        <f t="shared" si="114"/>
        <v>3.1488400316984161E-2</v>
      </c>
      <c r="AN17" s="183">
        <f t="shared" si="115"/>
        <v>3.0950571690922048E-2</v>
      </c>
      <c r="AO17" s="183">
        <f t="shared" si="116"/>
        <v>3.0530712136099574E-2</v>
      </c>
      <c r="AP17" s="183">
        <f t="shared" si="117"/>
        <v>3.0007958232445255E-2</v>
      </c>
      <c r="AQ17" s="183">
        <f t="shared" si="118"/>
        <v>2.9668262918413315E-2</v>
      </c>
      <c r="AR17" s="183">
        <f t="shared" si="119"/>
        <v>2.9330689997425736E-2</v>
      </c>
      <c r="AS17" s="183">
        <f t="shared" si="120"/>
        <v>2.8942214663538409E-2</v>
      </c>
      <c r="AT17" s="183">
        <f t="shared" si="121"/>
        <v>2.8539848659620955E-2</v>
      </c>
      <c r="AU17" s="186">
        <f>_xlfn.FORECAST.LINEAR(Sheet3!DF17,Sheet2!$AH$2:$AH$40,Sheet2!$AG$2:$AG$40)</f>
        <v>3.0736612067003226E-2</v>
      </c>
      <c r="AV17" s="183">
        <f>_xlfn.FORECAST.LINEAR(Sheet3!BZ17,Sheet2!$AH$2:$AH$40,Sheet2!$AG$2:$AG$40)</f>
        <v>3.0748851349078413E-2</v>
      </c>
      <c r="AW17" s="183">
        <f>_xlfn.FORECAST.LINEAR(Sheet3!CA17,Sheet2!$AH$2:$AH$40,Sheet2!$AG$2:$AG$40)</f>
        <v>2.9543435240251967E-2</v>
      </c>
      <c r="AX17" s="183">
        <f>_xlfn.FORECAST.LINEAR(Sheet3!CB17,Sheet2!$AH$2:$AH$40,Sheet2!$AG$2:$AG$40)</f>
        <v>2.8604640403641655E-2</v>
      </c>
      <c r="AY17" s="183">
        <f>_xlfn.FORECAST.LINEAR(Sheet3!CC17,Sheet2!$AH$2:$AH$40,Sheet2!$AG$2:$AG$40)</f>
        <v>2.7431271627170732E-2</v>
      </c>
      <c r="AZ17" s="183">
        <f>_xlfn.FORECAST.LINEAR(Sheet3!CD17,Sheet2!$AH$2:$AH$40,Sheet2!$AG$2:$AG$40)</f>
        <v>2.6672590528488718E-2</v>
      </c>
      <c r="BA17" s="183">
        <f>_xlfn.FORECAST.LINEAR(Sheet3!CE17,Sheet2!$AH$2:$AH$40,Sheet2!$AG$2:$AG$40)</f>
        <v>2.591149323564735E-2</v>
      </c>
      <c r="BB17" s="183">
        <f>_xlfn.FORECAST.LINEAR(Sheet3!CF17,Sheet2!$AH$2:$AH$40,Sheet2!$AG$2:$AG$40)</f>
        <v>2.5044529621281564E-2</v>
      </c>
      <c r="BC17" s="183">
        <f>_xlfn.FORECAST.LINEAR(Sheet3!CG17,Sheet2!$AH$2:$AH$40,Sheet2!$AG$2:$AG$40)</f>
        <v>2.413775753241373E-2</v>
      </c>
      <c r="BD17" s="186">
        <f>_xlfn.FORECAST.LINEAR(Sheet3!DF17,Sheet2!$AB$12:$AB$37,Sheet2!$AA$12:$AA$37)/1000</f>
        <v>3.1642769748741577E-2</v>
      </c>
      <c r="BE17" s="183">
        <f>_xlfn.FORECAST.LINEAR(Sheet3!BZ17,Sheet2!$AB$12:$AB$37,Sheet2!$AA$12:$AA$37)/1000</f>
        <v>3.1645506168916683E-2</v>
      </c>
      <c r="BF17" s="183">
        <f>_xlfn.FORECAST.LINEAR(Sheet3!CA17,Sheet2!$AB$12:$AB$37,Sheet2!$AA$12:$AA$37)/1000</f>
        <v>3.1376003028182678E-2</v>
      </c>
      <c r="BG17" s="183">
        <f>_xlfn.FORECAST.LINEAR(Sheet3!CB17,Sheet2!$AB$12:$AB$37,Sheet2!$AA$12:$AA$37)/1000</f>
        <v>3.1166110232559049E-2</v>
      </c>
      <c r="BH17" s="183">
        <f>_xlfn.FORECAST.LINEAR(Sheet3!CC17,Sheet2!$AB$12:$AB$37,Sheet2!$AA$12:$AA$37)/1000</f>
        <v>3.0903772133555215E-2</v>
      </c>
      <c r="BI17" s="183">
        <f>_xlfn.FORECAST.LINEAR(Sheet3!CD17,Sheet2!$AB$12:$AB$37,Sheet2!$AA$12:$AA$37)/1000</f>
        <v>3.0734148600724393E-2</v>
      </c>
      <c r="BJ17" s="183">
        <f>_xlfn.FORECAST.LINEAR(Sheet3!CE17,Sheet2!$AB$12:$AB$37,Sheet2!$AA$12:$AA$37)/1000</f>
        <v>3.0563984862806044E-2</v>
      </c>
      <c r="BK17" s="183">
        <f>_xlfn.FORECAST.LINEAR(Sheet3!CF17,Sheet2!$AB$12:$AB$37,Sheet2!$AA$12:$AA$37)/1000</f>
        <v>3.0370151865832782E-2</v>
      </c>
      <c r="BL17" s="183">
        <f>_xlfn.FORECAST.LINEAR(Sheet3!CG17,Sheet2!$AB$12:$AB$37,Sheet2!$AA$12:$AA$37)/1000</f>
        <v>3.0167418615388891E-2</v>
      </c>
      <c r="BM17" s="186">
        <f t="shared" si="122"/>
        <v>0.83686750235160279</v>
      </c>
      <c r="BN17" s="183">
        <f t="shared" si="123"/>
        <v>0.83676572610487043</v>
      </c>
      <c r="BO17" s="183">
        <f t="shared" si="124"/>
        <v>0.84768484838766855</v>
      </c>
      <c r="BP17" s="183">
        <f t="shared" si="125"/>
        <v>0.85616120468236701</v>
      </c>
      <c r="BQ17" s="183">
        <f t="shared" si="126"/>
        <v>0.86729318001878752</v>
      </c>
      <c r="BR17" s="183">
        <f t="shared" si="127"/>
        <v>0.87444973373189561</v>
      </c>
      <c r="BS17" s="183">
        <f t="shared" si="128"/>
        <v>0.8820365054053616</v>
      </c>
      <c r="BT17" s="183">
        <f t="shared" si="129"/>
        <v>0.89050257204927674</v>
      </c>
      <c r="BU17" s="183">
        <f t="shared" si="130"/>
        <v>0.89981359670916694</v>
      </c>
      <c r="BV17" s="186">
        <f t="shared" si="131"/>
        <v>1.1829757368463576</v>
      </c>
      <c r="BW17" s="183">
        <f t="shared" si="19"/>
        <v>1.1829395269684131</v>
      </c>
      <c r="BX17" s="183">
        <f t="shared" si="20"/>
        <v>1.1790495314903742</v>
      </c>
      <c r="BY17" s="183">
        <f t="shared" si="21"/>
        <v>1.1781559838139735</v>
      </c>
      <c r="BZ17" s="183">
        <f t="shared" si="22"/>
        <v>1.1742409398105305</v>
      </c>
      <c r="CA17" s="183">
        <f t="shared" si="23"/>
        <v>1.1735214838791552</v>
      </c>
      <c r="CB17" s="183">
        <f t="shared" si="24"/>
        <v>1.1701252278525929</v>
      </c>
      <c r="CC17" s="183">
        <f t="shared" si="25"/>
        <v>1.1693194470794854</v>
      </c>
      <c r="CD17" s="183">
        <f t="shared" si="26"/>
        <v>1.1659231627376423</v>
      </c>
      <c r="CE17" s="187">
        <f xml:space="preserve"> -0.0000000019505*Sheet3!DF17^3 + 0.0000015497*Sheet3!DF17^2  + 0.00016911*Sheet3!DF17 + 1.8585</f>
        <v>1.8910840449375002</v>
      </c>
      <c r="CF17" s="185">
        <f xml:space="preserve"> -0.0000000019505*Sheet3!BZ17^3 + 0.0000015497*Sheet3!BZ17^2  + 0.00016911*Sheet3!BZ17 + 1.8585</f>
        <v>1.8911047569805897</v>
      </c>
      <c r="CG17" s="185">
        <f xml:space="preserve"> -0.0000000019505*Sheet3!CA17^3 + 0.0000015497*Sheet3!CA17^2  + 0.00016911*Sheet3!CA17 + 1.8585</f>
        <v>1.8890859087503091</v>
      </c>
      <c r="CH17" s="185">
        <f xml:space="preserve"> -0.0000000019505*Sheet3!CB17^3 + 0.0000015497*Sheet3!CB17^2  + 0.00016911*Sheet3!CB17 + 1.8585</f>
        <v>1.887543543002115</v>
      </c>
      <c r="CI17" s="185">
        <f xml:space="preserve"> -0.0000000019505*Sheet3!CC17^3 + 0.0000015497*Sheet3!CC17^2  + 0.00016911*Sheet3!CC17 + 1.8585</f>
        <v>1.8856536311605407</v>
      </c>
      <c r="CJ17" s="185">
        <f xml:space="preserve"> -0.0000000019505*Sheet3!CD17^3 + 0.0000015497*Sheet3!CD17^2  + 0.00016911*Sheet3!CD17 + 1.8585</f>
        <v>1.8844545255827767</v>
      </c>
      <c r="CK17" s="185">
        <f xml:space="preserve"> -0.0000000019505*Sheet3!CE17^3 + 0.0000015497*Sheet3!CE17^2  + 0.00016911*Sheet3!CE17 + 1.8585</f>
        <v>1.8832700268393179</v>
      </c>
      <c r="CL17" s="185">
        <f xml:space="preserve"> -0.0000000019505*Sheet3!CF17^3 + 0.0000015497*Sheet3!CF17^2  + 0.00016911*Sheet3!CF17 + 1.8585</f>
        <v>1.8819436522423889</v>
      </c>
      <c r="CM17" s="185">
        <f xml:space="preserve"> -0.0000000019505*Sheet3!CG17^3 + 0.0000015497*Sheet3!CG17^2  + 0.00016911*Sheet3!CG17 + 1.8585</f>
        <v>1.8805829355373265</v>
      </c>
      <c r="CN17" s="186">
        <f>_xlfn.FORECAST.LINEAR(Sheet3!DF17,New!$LU$2:$LU$14,New!$LT$2:$LT$14)</f>
        <v>1.0163620172955006</v>
      </c>
      <c r="CO17" s="183">
        <f>_xlfn.FORECAST.LINEAR(Sheet3!BZ17,New!$LU$2:$LU$14,New!$LT$2:$LT$14)</f>
        <v>1.0163710255676786</v>
      </c>
      <c r="CP17" s="183">
        <f>_xlfn.FORECAST.LINEAR(Sheet3!CA17,New!$LU$2:$LU$14,New!$LT$2:$LT$14)</f>
        <v>1.0154838234973922</v>
      </c>
      <c r="CQ17" s="183">
        <f>_xlfn.FORECAST.LINEAR(Sheet3!CB17,New!$LU$2:$LU$14,New!$LT$2:$LT$14)</f>
        <v>1.0147928581813359</v>
      </c>
      <c r="CR17" s="183">
        <f>_xlfn.FORECAST.LINEAR(Sheet3!CC17,New!$LU$2:$LU$14,New!$LT$2:$LT$14)</f>
        <v>1.0139292433681011</v>
      </c>
      <c r="CS17" s="183">
        <f>_xlfn.FORECAST.LINEAR(Sheet3!CD17,New!$LU$2:$LU$14,New!$LT$2:$LT$14)</f>
        <v>1.0133708441261222</v>
      </c>
      <c r="CT17" s="183">
        <f>_xlfn.FORECAST.LINEAR(Sheet3!CE17,New!$LU$2:$LU$14,New!$LT$2:$LT$14)</f>
        <v>1.0128106665335435</v>
      </c>
      <c r="CU17" s="183">
        <f>_xlfn.FORECAST.LINEAR(Sheet3!CF17,New!$LU$2:$LU$14,New!$LT$2:$LT$14)</f>
        <v>1.0121725699394328</v>
      </c>
      <c r="CV17" s="183">
        <f>_xlfn.FORECAST.LINEAR(Sheet3!CG17,New!$LU$2:$LU$14,New!$LT$2:$LT$14)</f>
        <v>1.01150517378583</v>
      </c>
      <c r="CW17" s="186">
        <f>EXP((17.625*Sheet3!BA17)/(243.04+Sheet3!BA17)) / EXP((17.625*Sheet3!DF17)/(243.04+Sheet3!DF17))</f>
        <v>0.83170984703743522</v>
      </c>
      <c r="CX17" s="183">
        <f>EXP((17.625*(Sheet3!BC17+273))/(243.04+(Sheet3!BC17+273)))/EXP((17.625*(Sheet3!BZ17+273))/(243.04+(Sheet3!BZ17+273)))</f>
        <v>0.61179107892501317</v>
      </c>
      <c r="CY17" s="183">
        <f>EXP((17.625*(Sheet3!BE17+273))/(243.04+(Sheet3!BE17+273))) / EXP((17.625*(Sheet3!CA17+273))/(243.04+(Sheet3!CA17+273)))</f>
        <v>0.64457157726087044</v>
      </c>
      <c r="CZ17" s="183">
        <f>EXP((17.625*(Sheet3!BG17+273))/(243.04+(Sheet3!BG17+273))) / EXP((17.625*(Sheet3!CB17+273))/(243.04+(Sheet3!CB17+273)))</f>
        <v>0.67030711731650294</v>
      </c>
      <c r="DA17" s="183">
        <f>EXP((17.625*(Sheet3!BI17+273))/(243.04+(Sheet3!BI17+273))) / EXP((17.625*(Sheet3!CC17+273))/(243.04+(Sheet3!CC17+273)))</f>
        <v>0.70426255639908164</v>
      </c>
      <c r="DB17" s="183">
        <f>EXP((17.625*(Sheet3!BK17+273))/(243.04+(Sheet3!BK17+273)))/EXP((17.625*(Sheet3!CD17+273))/(243.04+(Sheet3!CD17+273)))</f>
        <v>0.72912580787044279</v>
      </c>
      <c r="DC17" s="183">
        <f>EXP((17.625*(Sheet3!BM17+273))/(243.04+(Sheet3!BM17+273))) / EXP((17.625*(Sheet3!CE17+273))/(243.04+(Sheet3!CE17+273)))</f>
        <v>0.75256343716100915</v>
      </c>
      <c r="DD17" s="183">
        <f>EXP((17.625*(Sheet3!BO17+273))/(243.04+(Sheet3!BO17+273))) / EXP((17.625*(Sheet3!CF17+273))/(243.04+(Sheet3!CF17+273)))</f>
        <v>0.78366200034390254</v>
      </c>
      <c r="DE17" s="183">
        <f>EXP((17.625*(Sheet3!BQ17+273))/(243.04+(Sheet3!BQ17+273))) / EXP((17.625*(Sheet3!CG17+273))/(243.04+(Sheet3!CG17+273)))</f>
        <v>0.81517460040422995</v>
      </c>
      <c r="DF17" s="186">
        <f>((Sheet3!DA17-Sheet3!DB17)/New!$LQ$3)/(((Sheet3!DA17-Sheet3!DB17)/New!$LQ$3)+(Sheet3!DB17/New!$LP$3))</f>
        <v>0.72555941198071516</v>
      </c>
      <c r="DG17" s="183">
        <f>((Sheet3!DA17-Sheet3!DB17)/New!$LQ$3)/(((Sheet3!DA17-Sheet3!DB17)/New!$LQ$3)+((Sheet3!DB17-(Sheet3!B17*0.004))/New!$LP$3))</f>
        <v>0.72577851337089472</v>
      </c>
      <c r="DH17" s="183" cm="1">
        <f t="array" ref="DH17">((Sheet3!DA17-Sheet3!DB17)/New!$LQ$3)/(((Sheet3!DA17-Sheet3!DB17)/New!$LQ$3)+((Sheet3!DB17-(SUM(Sheet3!B17:C17*0.004)))/New!$LP$3))</f>
        <v>0.73888200622657096</v>
      </c>
      <c r="DI17" s="183" cm="1">
        <f t="array" ref="DI17">((Sheet3!DA17-Sheet3!DB17)/New!$LQ$3)/(((Sheet3!DA17-Sheet3!DB17)/New!$LQ$3)+((Sheet3!DB17-(SUM(Sheet3!B17:D17*0.004)))/New!$LP$3))</f>
        <v>0.73908856656449484</v>
      </c>
      <c r="DJ17" s="183" cm="1">
        <f t="array" ref="DJ17">((Sheet3!DA17-Sheet3!DB17)/New!$LQ$3)/(((Sheet3!DA17-Sheet3!DB17)/New!$LQ$3)+((Sheet3!DB17-(SUM(Sheet3!B17:E17*0.004)))/New!$LP$3))</f>
        <v>0.75302459407756284</v>
      </c>
      <c r="DK17" s="183" cm="1">
        <f t="array" ref="DK17">((Sheet3!DA17-Sheet3!DB17)/New!$LQ$3)/(((Sheet3!DA17-Sheet3!DB17)/New!$LQ$3)+((Sheet3!DB17-(SUM(Sheet3!B17:F17*0.004)))/New!$LP$3))</f>
        <v>0.75323913858454994</v>
      </c>
      <c r="DL17" s="183" cm="1">
        <f t="array" ref="DL17">((Sheet3!DA17-Sheet3!DB17)/New!$LQ$3)/(((Sheet3!DA17-Sheet3!DB17)/New!$LQ$3)+((Sheet3!DB17-(SUM(Sheet3!B17:G17*0.004)))/New!$LP$3))</f>
        <v>0.76698415544043919</v>
      </c>
      <c r="DM17" s="183" cm="1">
        <f t="array" ref="DM17">((Sheet3!DA17-Sheet3!DB17)/New!$LQ$3)/(((Sheet3!DA17-Sheet3!DB17)/New!$LQ$3)+((Sheet3!DB17-(SUM(Sheet3!B17:H17*0.004)))/New!$LP$3))</f>
        <v>0.76720672929997558</v>
      </c>
      <c r="DN17" s="183" cm="1">
        <f t="array" ref="DN17">((Sheet3!DA17-Sheet3!DB17)/New!$LQ$3)/(((Sheet3!DA17-Sheet3!DB17)/New!$LQ$3)+((Sheet3!DB17-(SUM(Sheet3!B17:I17*0.004)))/New!$LP$3))</f>
        <v>0.7808248079959561</v>
      </c>
      <c r="DO17" s="186">
        <f>(Sheet3!DB17/$LP$3) / ((Sheet3!DB17/$LP$3) + ((Sheet3!DA17-Sheet3!DB17)/$LQ$3))</f>
        <v>0.27444058801928473</v>
      </c>
      <c r="DP17" s="183">
        <f>((Sheet3!$DB17-(Sheet3!B17/4000)) / $LP$3) / (((Sheet3!$DA17-Sheet3!DB17) / $LQ$3) + (Sheet3!$DB17-((Sheet3!B17/4000)))/$LP$3)</f>
        <v>0.27442689805805831</v>
      </c>
      <c r="DQ17" s="183">
        <f>((Sheet3!$DB17-(SUM(Sheet3!B17:C17)/4000))/$LP$3)/(((Sheet3!$DA17-Sheet3!$DB17)/$LQ$3)+(Sheet3!$DB17-(SUM(Sheet3!B17:C17)/4000))/$LP$3)</f>
        <v>0.27362201693351196</v>
      </c>
      <c r="DR17" s="183">
        <f>((Sheet3!$DB17-(SUM(Sheet3!B17:D17)/4000))/$LP$3)/(((Sheet3!$DA17-Sheet3!$DB17)/$LQ$3)+(Sheet3!$DB17-(SUM(Sheet3!B17:D17)/4000))/$LP$3)</f>
        <v>0.27360954343785754</v>
      </c>
      <c r="DS17" s="183">
        <f>((Sheet3!$DB17-(SUM(Sheet3!B17:E17)/4000))/$LP$3)/(((Sheet3!$DA17-Sheet3!$DB17)/$LQ$3)+(Sheet3!$DB17-(SUM(Sheet3!B17:E17)/4000))/$LP$3)</f>
        <v>0.27278284405505487</v>
      </c>
      <c r="DT17" s="183">
        <f>((Sheet3!$DB17-(SUM(Sheet3!B17:F17)/4000))/$LP$3)/(((Sheet3!$DA17-Sheet3!$DB17)/$LQ$3)+(Sheet3!$DB17-(SUM(Sheet3!B17:F17)/4000))/$LP$3)</f>
        <v>0.27277034172164383</v>
      </c>
      <c r="DU17" s="183">
        <f>((Sheet3!$DB17-(SUM(Sheet3!B17:G17)/4000))/$LP$3)/(((Sheet3!$DA17-Sheet3!$DB17)/$LQ$3)+(Sheet3!$DB17-(SUM(Sheet3!B17:G17)/4000))/$LP$3)</f>
        <v>0.27198308010279448</v>
      </c>
      <c r="DV17" s="183">
        <f>((Sheet3!$DB17-(SUM(Sheet3!B17:H17)/4000))/$LP$3)/(((Sheet3!$DA17-Sheet3!$DB17)/$LQ$3)+(Sheet3!$DB17-(SUM(Sheet3!B17:H17)/4000))/$LP$3)</f>
        <v>0.27197055025490624</v>
      </c>
      <c r="DW17" s="183">
        <f>((Sheet3!$DB17-(SUM(Sheet3!B17:I17)/4000))/$LP$3)/(((Sheet3!$DA17-Sheet3!$DB17)/$LQ$3)+(Sheet3!$DB17-(SUM(Sheet3!B17:I17)/4000))/$LP$3)</f>
        <v>0.2712167136851325</v>
      </c>
      <c r="DX17" s="186">
        <f>($LR$2*($LP$3/1000))/($LP$2*(Sheet3!DF17+273))*DO17</f>
        <v>0.15940333378125765</v>
      </c>
      <c r="DY17" s="183">
        <f>(($LR$2*($LP$3/1000))/($LP$2*(Sheet3!BZ17+273)))*(DP17)</f>
        <v>0.15937507723766872</v>
      </c>
      <c r="DZ17" s="183">
        <f>(($LR$2*($LP$3/1000))/($LP$2*(Sheet3!CA17+273)))*(DQ17)</f>
        <v>0.16092663761613105</v>
      </c>
      <c r="EA17" s="183">
        <f>(($LR$2*($LP$3/1000))/($LP$2*(Sheet3!CB17+273)))*(DR17)</f>
        <v>0.16252754654666929</v>
      </c>
      <c r="EB17" s="183">
        <f>(($LR$2*($LP$3/1000))/($LP$2*(Sheet3!CC17+273)))*(DS17)</f>
        <v>0.16408612693983815</v>
      </c>
      <c r="EC17" s="183">
        <f>(($LR$2*($LP$3/1000))/($LP$2*(Sheet3!CD17+273)))*(DT17)</f>
        <v>0.16543164544868103</v>
      </c>
      <c r="ED17" s="183">
        <f>(($LR$2*($LP$3/1000))/($LP$2*(Sheet3!CE17+273)))*(DU17)</f>
        <v>0.16633015567689552</v>
      </c>
      <c r="EE17" s="183">
        <f>(($LR$2*($LP$3/1000))/($LP$2*(Sheet3!CF17+273)))*(DV17)</f>
        <v>0.1679180229640401</v>
      </c>
      <c r="EF17" s="183">
        <f>(($LR$2*($LP$3/1000))/($LP$2*(Sheet3!CG17+273)))*(DW17)</f>
        <v>0.16914975407537397</v>
      </c>
      <c r="EG17" s="186">
        <f>(($LR$2*($LQ$3/1000))/($LQ$2*(Sheet3!DF17+273)))*(1-DO17)</f>
        <v>0.67746416857034519</v>
      </c>
      <c r="EH17" s="183">
        <f>(($LR$2*($LQ$3/1000))/($LQ$2*(Sheet3!BZ17+273)))*(1-DP17)</f>
        <v>0.67739064886720168</v>
      </c>
      <c r="EI17" s="183">
        <f>(($LR$2*($LQ$3/1000))/($LQ$2*(Sheet3!CA17+273)))*(1-DQ17)</f>
        <v>0.68675821077153754</v>
      </c>
      <c r="EJ17" s="183">
        <f>(($LR$2*($LQ$3/1000))/($LQ$2*(Sheet3!CB17+273)))*(1-DR17)</f>
        <v>0.69363365813569777</v>
      </c>
      <c r="EK17" s="183">
        <f>(($LR$2*($LQ$3/1000))/($LQ$2*(Sheet3!CC17+273)))*(1-DS17)</f>
        <v>0.70320705307894937</v>
      </c>
      <c r="EL17" s="183">
        <f>(($LR$2*($LQ$3/1000))/($LQ$2*(Sheet3!CD17+273)))*(1-DT17)</f>
        <v>0.70901808828321455</v>
      </c>
      <c r="EM17" s="183">
        <f>(($LR$2*($LQ$3/1000))/($LQ$2*(Sheet3!CE17+273)))*(1-DU17)</f>
        <v>0.71570634972846614</v>
      </c>
      <c r="EN17" s="183">
        <f>(($LR$2*($LQ$3/1000))/($LQ$2*(Sheet3!CF17+273)))*(1-DV17)</f>
        <v>0.72258454908523662</v>
      </c>
      <c r="EO17" s="183">
        <f>(($LR$2*($LQ$3/1000))/($LQ$2*(Sheet3!CG17+273)))*(1-DW17)</f>
        <v>0.73066384263379303</v>
      </c>
      <c r="EP17" s="186">
        <f t="shared" si="132"/>
        <v>4980.7919405108778</v>
      </c>
      <c r="EQ17" s="183">
        <f xml:space="preserve"> (($FV17-(Sheet3!B17/4000))*0.018)/(0.011*JO17*3600)</f>
        <v>4980.184941066942</v>
      </c>
      <c r="ER17" s="183">
        <f>((($FV17-(SUM(Sheet3!B17:C17)/4000))*0.018)/(0.011*JP17*3600))</f>
        <v>5024.9386897546628</v>
      </c>
      <c r="ES17" s="183">
        <f>((($FV17-(SUM(Sheet3!B17:D17)/4000))*0.018)/(0.011*JQ17*3600))</f>
        <v>5064.9357045073421</v>
      </c>
      <c r="ET17" s="183">
        <f>((($FV17-(SUM(Sheet3!B17:E17)/4000))*0.018)/(0.011*JR17))/3600</f>
        <v>5109.8331194309012</v>
      </c>
      <c r="EU17" s="183">
        <f>((($FV17-(SUM(Sheet3!B17:F17)/4000))*0.018)/(0.011*JS17))/3600</f>
        <v>5143.2509264098617</v>
      </c>
      <c r="EV17" s="183">
        <f>((($FV17-(SUM(Sheet3!B17:G17)/4000))*0.018)/(0.011*JT17))/3600</f>
        <v>5171.3932621155791</v>
      </c>
      <c r="EW17" s="183">
        <f>((($FV17-(SUM(Sheet3!B17:H17)/4000))*0.018)/(0.011*JU17))/3600</f>
        <v>5210.6208242207658</v>
      </c>
      <c r="EX17" s="183">
        <f>((($FV17-(SUM(Sheet3!B17:I17)/4000))*0.018)/(0.011*JV17))/3600</f>
        <v>5246.6285727322638</v>
      </c>
      <c r="EY17" s="186">
        <f t="shared" si="133"/>
        <v>51.206537629831274</v>
      </c>
      <c r="EZ17" s="183">
        <f t="shared" si="134"/>
        <v>51.200838729192974</v>
      </c>
      <c r="FA17" s="183">
        <f t="shared" si="135"/>
        <v>51.568480456696136</v>
      </c>
      <c r="FB17" s="183">
        <f t="shared" si="136"/>
        <v>51.919323110923678</v>
      </c>
      <c r="FC17" s="183">
        <f t="shared" si="137"/>
        <v>52.290197091533052</v>
      </c>
      <c r="FD17" s="183">
        <f t="shared" si="138"/>
        <v>52.585610353310635</v>
      </c>
      <c r="FE17" s="183">
        <f t="shared" si="139"/>
        <v>52.811132937320679</v>
      </c>
      <c r="FF17" s="183">
        <f t="shared" si="140"/>
        <v>53.160201555809621</v>
      </c>
      <c r="FG17" s="183">
        <f t="shared" si="141"/>
        <v>53.458411402925776</v>
      </c>
      <c r="FH17" s="186">
        <f t="shared" si="28"/>
        <v>89.562852095560174</v>
      </c>
      <c r="FI17" s="183">
        <f t="shared" si="29"/>
        <v>89.568472581676403</v>
      </c>
      <c r="FJ17" s="183">
        <f t="shared" si="30"/>
        <v>88.670775075938124</v>
      </c>
      <c r="FK17" s="183">
        <f t="shared" si="31"/>
        <v>88.062994900041829</v>
      </c>
      <c r="FL17" s="183">
        <f t="shared" si="32"/>
        <v>87.173447238280787</v>
      </c>
      <c r="FM17" s="183">
        <f t="shared" si="33"/>
        <v>86.673539649292081</v>
      </c>
      <c r="FN17" s="183">
        <f t="shared" si="34"/>
        <v>86.054831588744037</v>
      </c>
      <c r="FO17" s="183">
        <f t="shared" si="35"/>
        <v>85.476331388067265</v>
      </c>
      <c r="FP17" s="183">
        <f t="shared" si="36"/>
        <v>84.760831723514272</v>
      </c>
      <c r="FQ17" s="314">
        <f>Sheet3!CV17</f>
        <v>2</v>
      </c>
      <c r="FR17" s="183">
        <v>5000</v>
      </c>
      <c r="FS17" s="183">
        <v>20</v>
      </c>
      <c r="FT17" s="183">
        <v>0.17193333333333333</v>
      </c>
      <c r="FU17" s="183">
        <v>25.79</v>
      </c>
      <c r="FV17" s="183">
        <v>210</v>
      </c>
      <c r="FW17" s="183">
        <v>40</v>
      </c>
      <c r="FX17" s="183">
        <v>426</v>
      </c>
      <c r="FY17" s="183">
        <v>10.11</v>
      </c>
      <c r="FZ17" s="183">
        <v>17.3</v>
      </c>
      <c r="GA17" s="183">
        <v>105</v>
      </c>
      <c r="GB17" s="186">
        <f>EXP($LP$6-($LQ$6/('Trial and Error method'!T17+$LP$8))) / ($LR$2/1000)</f>
        <v>0.3115265301574191</v>
      </c>
      <c r="GC17" s="183">
        <f>EXP($LP$6-($LQ$6/('Trial and Error method'!U17+$LP$8))) / ($LR$2/1000)</f>
        <v>0.10488909325686353</v>
      </c>
      <c r="GD17" s="183">
        <f>EXP($LP$6-($LQ$6/('Trial and Error method'!V17+$LP$8))) / ($LR$2/1000)</f>
        <v>0.10022049800061714</v>
      </c>
      <c r="GE17" s="183">
        <f>EXP($LP$6-($LQ$6/('Trial and Error method'!W17+$LP$8))) / ($LR$2/1000)</f>
        <v>9.64183181380147E-2</v>
      </c>
      <c r="GF17" s="183">
        <f>EXP($LP$6-($LQ$6/('Trial and Error method'!X17+$LP$8))) / ($LR$2/1000)</f>
        <v>9.221845709239132E-2</v>
      </c>
      <c r="GG17" s="183">
        <f>EXP($LP$6-($LQ$6/('Trial and Error method'!Y17+$LP$8))) / ($LR$2/1000)</f>
        <v>8.9278227961429854E-2</v>
      </c>
      <c r="GH17" s="183">
        <f>EXP($LP$6-($LQ$6/('Trial and Error method'!Z17+$LP$8))) / ($LR$2/1000)</f>
        <v>8.6450039541927079E-2</v>
      </c>
      <c r="GI17" s="183">
        <f>EXP($LP$6-($LQ$6/('Trial and Error method'!AA17+$LP$8))) / ($LR$2/1000)</f>
        <v>8.4761186751347556E-2</v>
      </c>
      <c r="GJ17" s="183">
        <f>EXP($LP$6-($LQ$6/('Trial and Error method'!AB17+$LP$8))) / ($LR$2/1000)</f>
        <v>7.4944633596057714E-2</v>
      </c>
      <c r="GK17" s="188">
        <f t="shared" si="142"/>
        <v>0.70685430188653442</v>
      </c>
      <c r="GL17" s="165">
        <f t="shared" si="143"/>
        <v>0.80737747131931092</v>
      </c>
      <c r="GM17" s="165">
        <f t="shared" si="144"/>
        <v>0.80998763104693916</v>
      </c>
      <c r="GN17" s="165">
        <f t="shared" si="145"/>
        <v>0.81176553474401436</v>
      </c>
      <c r="GO17" s="165">
        <f t="shared" si="146"/>
        <v>0.81416497176109182</v>
      </c>
      <c r="GP17" s="165">
        <f t="shared" si="147"/>
        <v>0.81553821194173881</v>
      </c>
      <c r="GQ17" s="165">
        <f t="shared" si="148"/>
        <v>0.81727657151596</v>
      </c>
      <c r="GR17" s="165">
        <f t="shared" si="149"/>
        <v>0.81806710609671329</v>
      </c>
      <c r="GS17" s="165">
        <f t="shared" si="150"/>
        <v>0.82302248417791768</v>
      </c>
      <c r="GT17" s="188">
        <f t="shared" si="38"/>
        <v>7.5755182630921028E-2</v>
      </c>
      <c r="GU17" s="165">
        <f t="shared" si="39"/>
        <v>6.6319009996219896E-2</v>
      </c>
      <c r="GV17" s="165">
        <f t="shared" si="40"/>
        <v>6.6107531744545533E-2</v>
      </c>
      <c r="GW17" s="165">
        <f t="shared" si="41"/>
        <v>6.5988672188806358E-2</v>
      </c>
      <c r="GX17" s="165">
        <f t="shared" si="42"/>
        <v>6.5801219692868257E-2</v>
      </c>
      <c r="GY17" s="165">
        <f t="shared" si="43"/>
        <v>6.5715349954893323E-2</v>
      </c>
      <c r="GZ17" s="165">
        <f t="shared" si="44"/>
        <v>6.5574833658166104E-2</v>
      </c>
      <c r="HA17" s="165">
        <f t="shared" si="45"/>
        <v>6.5543840601176684E-2</v>
      </c>
      <c r="HB17" s="165">
        <f t="shared" si="46"/>
        <v>6.5152350371407666E-2</v>
      </c>
      <c r="HC17" s="188">
        <f>BV17*Sheet3!DF17</f>
        <v>124.21245236886755</v>
      </c>
      <c r="HD17" s="165">
        <f>BW17*Sheet3!BZ17</f>
        <v>124.2656191215779</v>
      </c>
      <c r="HE17" s="165">
        <f>BX17*Sheet3!CA17</f>
        <v>118.26471977304492</v>
      </c>
      <c r="HF17" s="165">
        <f>BY17*Sheet3!CB17</f>
        <v>113.82306123141642</v>
      </c>
      <c r="HG17" s="165">
        <f>BZ17*Sheet3!CC17</f>
        <v>108.02343910961385</v>
      </c>
      <c r="HH17" s="165">
        <f>CA17*Sheet3!CD17</f>
        <v>104.45402195681338</v>
      </c>
      <c r="HI17" s="165">
        <f>CB17*Sheet3!CE17</f>
        <v>100.64750718464239</v>
      </c>
      <c r="HJ17" s="165">
        <f>CC17*Sheet3!CF17</f>
        <v>96.589304009491727</v>
      </c>
      <c r="HK17" s="165">
        <f>CD17*Sheet3!CG17</f>
        <v>92.148825359336257</v>
      </c>
      <c r="HL17" s="188">
        <f>(CE17*Sheet3!DF17)+2501</f>
        <v>2699.5638247184374</v>
      </c>
      <c r="HM17" s="165">
        <f>(CF17*Sheet3!BZ17)+2501</f>
        <v>2699.6570725658312</v>
      </c>
      <c r="HN17" s="165">
        <f>(CG17*Sheet3!CA17)+2501</f>
        <v>2690.485012850274</v>
      </c>
      <c r="HO17" s="165">
        <f>(CH17*Sheet3!CB17)+2501</f>
        <v>2683.3578432938789</v>
      </c>
      <c r="HP17" s="165">
        <f>(CI17*Sheet3!CC17)+2501</f>
        <v>2674.4693309537988</v>
      </c>
      <c r="HQ17" s="165">
        <f>(CJ17*Sheet3!CD17)+2501</f>
        <v>2668.7334902648527</v>
      </c>
      <c r="HR17" s="165">
        <f>(CK17*Sheet3!CE17)+2501</f>
        <v>2662.9881607926586</v>
      </c>
      <c r="HS17" s="165">
        <f>(CL17*Sheet3!CF17)+2501</f>
        <v>2656.4542071537248</v>
      </c>
      <c r="HT17" s="165">
        <f>(CM17*Sheet3!CG17)+2501</f>
        <v>2649.6320145606128</v>
      </c>
      <c r="HU17" s="188">
        <f>-0.0021*(Sheet3!DF17^2) - 2.2115*(Sheet3!DF17) + 2499</f>
        <v>2243.64</v>
      </c>
      <c r="HV17" s="165">
        <f>-0.0021*(Sheet3!BZ17^2) - 2.2115*(Sheet3!BZ17) + 2499</f>
        <v>2243.5122542672839</v>
      </c>
      <c r="HW17" s="165">
        <f>-0.0021*(Sheet3!CA17^2) - 2.2115*(Sheet3!CA17) + 2499</f>
        <v>2256.0468476500778</v>
      </c>
      <c r="HX17" s="165">
        <f>-0.0021*(Sheet3!CB17^2) - 2.2115*(Sheet3!CB17) + 2499</f>
        <v>2265.7435156533033</v>
      </c>
      <c r="HY17" s="165">
        <f>-0.0021*(Sheet3!CC17^2) - 2.2115*(Sheet3!CC17) + 2499</f>
        <v>2277.7824835802871</v>
      </c>
      <c r="HZ17" s="165">
        <f>-0.0021*(Sheet3!CD17^2) - 2.2115*(Sheet3!CD17) + 2499</f>
        <v>2285.5190259463579</v>
      </c>
      <c r="IA17" s="165">
        <f>-0.0021*(Sheet3!CE17^2) - 2.2115*(Sheet3!CE17) + 2499</f>
        <v>2293.2425994099513</v>
      </c>
      <c r="IB17" s="165">
        <f>-0.0021*(Sheet3!CF17^2) - 2.2115*(Sheet3!CF17) + 2499</f>
        <v>2301.9946074488403</v>
      </c>
      <c r="IC17" s="165">
        <f>-0.0021*(Sheet3!CG17^2) - 2.2115*(Sheet3!CG17) + 2499</f>
        <v>2311.0961895369278</v>
      </c>
      <c r="ID17" s="188">
        <f t="shared" si="47"/>
        <v>0.72011033180934891</v>
      </c>
      <c r="IE17" s="165">
        <f t="shared" si="48"/>
        <v>0.72004129038011178</v>
      </c>
      <c r="IF17" s="165">
        <f t="shared" si="49"/>
        <v>0.7230850928374587</v>
      </c>
      <c r="IG17" s="165">
        <f t="shared" si="50"/>
        <v>0.72668057079970205</v>
      </c>
      <c r="IH17" s="165">
        <f t="shared" si="51"/>
        <v>0.72983217963646818</v>
      </c>
      <c r="II17" s="165">
        <f t="shared" si="52"/>
        <v>0.73293420176346902</v>
      </c>
      <c r="IJ17" s="165">
        <f t="shared" si="53"/>
        <v>0.73464990707443467</v>
      </c>
      <c r="IK17" s="165">
        <f t="shared" si="54"/>
        <v>0.73838810059015381</v>
      </c>
      <c r="IL17" s="165">
        <f t="shared" si="55"/>
        <v>0.7409674320600983</v>
      </c>
      <c r="IM17" s="188">
        <f t="shared" si="56"/>
        <v>-6.3033996026034318</v>
      </c>
      <c r="IN17" s="165">
        <f t="shared" si="151"/>
        <v>25.225108101445219</v>
      </c>
      <c r="IO17" s="165">
        <f t="shared" si="152"/>
        <v>25.861395339146309</v>
      </c>
      <c r="IP17" s="165">
        <f t="shared" si="153"/>
        <v>26.492463628865135</v>
      </c>
      <c r="IQ17" s="165">
        <f t="shared" si="154"/>
        <v>27.063146617139669</v>
      </c>
      <c r="IR17" s="165">
        <f t="shared" si="155"/>
        <v>27.559356297123465</v>
      </c>
      <c r="IS17" s="165">
        <f t="shared" si="156"/>
        <v>27.90027347647931</v>
      </c>
      <c r="IT17" s="165">
        <f t="shared" si="157"/>
        <v>28.246442237697266</v>
      </c>
      <c r="IU17" s="165">
        <f t="shared" si="158"/>
        <v>29.553344351937966</v>
      </c>
      <c r="IV17" s="188">
        <f>_xlfn.FORECAST.LINEAR(Sheet3!DF17,Sheet2!$AK$2:$AK$69,Sheet2!$AJ$2:$AJ$69)</f>
        <v>1.2461680969629569E-5</v>
      </c>
      <c r="IW17" s="165">
        <f>_xlfn.FORECAST.LINEAR(Sheet3!BZ17,Sheet2!$AK$2:$AK$69,Sheet2!$AJ$2:$AJ$69)</f>
        <v>1.2463367115862879E-5</v>
      </c>
      <c r="IX17" s="165">
        <f>_xlfn.FORECAST.LINEAR(Sheet3!CA17,Sheet2!$AK$2:$AK$69,Sheet2!$AJ$2:$AJ$69)</f>
        <v>1.2297302814134805E-5</v>
      </c>
      <c r="IY17" s="165">
        <f>_xlfn.FORECAST.LINEAR(Sheet3!CB17,Sheet2!$AK$2:$AK$69,Sheet2!$AJ$2:$AJ$69)</f>
        <v>1.2167969625482306E-5</v>
      </c>
      <c r="IZ17" s="165">
        <f>_xlfn.FORECAST.LINEAR(Sheet3!CC17,Sheet2!$AK$2:$AK$69,Sheet2!$AJ$2:$AJ$69)</f>
        <v>1.2006320328523872E-5</v>
      </c>
      <c r="JA17" s="165">
        <f>_xlfn.FORECAST.LINEAR(Sheet3!CD17,Sheet2!$AK$2:$AK$69,Sheet2!$AJ$2:$AJ$69)</f>
        <v>1.1901800531613594E-5</v>
      </c>
      <c r="JB17" s="165">
        <f>_xlfn.FORECAST.LINEAR(Sheet3!CE17,Sheet2!$AK$2:$AK$69,Sheet2!$AJ$2:$AJ$69)</f>
        <v>1.179694786741129E-5</v>
      </c>
      <c r="JC17" s="165">
        <f>_xlfn.FORECAST.LINEAR(Sheet3!CF17,Sheet2!$AK$2:$AK$69,Sheet2!$AJ$2:$AJ$69)</f>
        <v>1.167751051611899E-5</v>
      </c>
      <c r="JD17" s="165">
        <f>_xlfn.FORECAST.LINEAR(Sheet3!CG17,Sheet2!$AK$2:$AK$69,Sheet2!$AJ$2:$AJ$69)</f>
        <v>1.1552588945333823E-5</v>
      </c>
      <c r="JE17" s="188">
        <f>_xlfn.FORECAST.LINEAR(Sheet3!DF17,New!$MC$2:$MC$18,New!$MB$2:$MB$18)</f>
        <v>2.1731671008383463E-5</v>
      </c>
      <c r="JF17" s="165">
        <f>_xlfn.FORECAST.LINEAR(Sheet3!BZ17,New!$MC$2:$MC$18,New!$MB$2:$MB$18)</f>
        <v>2.1733653113978762E-5</v>
      </c>
      <c r="JG17" s="165">
        <f>_xlfn.FORECAST.LINEAR(Sheet3!CA17,New!$MC$2:$MC$18,New!$MB$2:$MB$18)</f>
        <v>2.1538440519049261E-5</v>
      </c>
      <c r="JH17" s="165">
        <f>_xlfn.FORECAST.LINEAR(Sheet3!CB17,New!$MC$2:$MC$18,New!$MB$2:$MB$18)</f>
        <v>2.1386406234108816E-5</v>
      </c>
      <c r="JI17" s="165">
        <f>_xlfn.FORECAST.LINEAR(Sheet3!CC17,New!$MC$2:$MC$18,New!$MB$2:$MB$18)</f>
        <v>2.1196383583849771E-5</v>
      </c>
      <c r="JJ17" s="165">
        <f>_xlfn.FORECAST.LINEAR(Sheet3!CD17,New!$MC$2:$MC$18,New!$MB$2:$MB$18)</f>
        <v>2.1073518039816288E-5</v>
      </c>
      <c r="JK17" s="165">
        <f>_xlfn.FORECAST.LINEAR(Sheet3!CE17,New!$MC$2:$MC$18,New!$MB$2:$MB$18)</f>
        <v>2.0950261202246699E-5</v>
      </c>
      <c r="JL17" s="165">
        <f>_xlfn.FORECAST.LINEAR(Sheet3!CF17,New!$MC$2:$MC$18,New!$MB$2:$MB$18)</f>
        <v>2.0809859712976261E-5</v>
      </c>
      <c r="JM17" s="165">
        <f>_xlfn.FORECAST.LINEAR(Sheet3!CG17,New!$MC$2:$MC$18,New!$MB$2:$MB$18)</f>
        <v>2.0663011391320872E-5</v>
      </c>
      <c r="JN17" s="188">
        <f t="shared" si="159"/>
        <v>1.9164531784227617E-5</v>
      </c>
      <c r="JO17" s="165">
        <f t="shared" si="160"/>
        <v>1.9166616618477584E-5</v>
      </c>
      <c r="JP17" s="165">
        <f t="shared" si="161"/>
        <v>1.8981303504877819E-5</v>
      </c>
      <c r="JQ17" s="165">
        <f t="shared" si="162"/>
        <v>1.8831186724664915E-5</v>
      </c>
      <c r="JR17" s="165">
        <f t="shared" si="163"/>
        <v>1.8651004934949227E-5</v>
      </c>
      <c r="JS17" s="165">
        <f t="shared" si="164"/>
        <v>1.8529600777257859E-5</v>
      </c>
      <c r="JT17" s="165">
        <f t="shared" si="165"/>
        <v>1.8414942407986745E-5</v>
      </c>
      <c r="JU17" s="165">
        <f t="shared" si="166"/>
        <v>1.8276089537087758E-5</v>
      </c>
      <c r="JV17" s="165">
        <f t="shared" si="167"/>
        <v>1.8137643241471246E-5</v>
      </c>
      <c r="JW17" s="188">
        <f t="shared" si="66"/>
        <v>1.0336438559770527</v>
      </c>
      <c r="JX17" s="165">
        <f t="shared" si="67"/>
        <v>1.0336192558361117</v>
      </c>
      <c r="JY17" s="165">
        <f t="shared" si="68"/>
        <v>1.0360732194825977</v>
      </c>
      <c r="JZ17" s="165">
        <f t="shared" si="69"/>
        <v>1.0380290256162803</v>
      </c>
      <c r="KA17" s="165">
        <f t="shared" si="70"/>
        <v>1.0405304865993654</v>
      </c>
      <c r="KB17" s="165">
        <f t="shared" si="71"/>
        <v>1.0421826631122251</v>
      </c>
      <c r="KC17" s="165">
        <f t="shared" si="72"/>
        <v>1.0438683750722613</v>
      </c>
      <c r="KD17" s="165">
        <f t="shared" si="73"/>
        <v>1.0458240041962852</v>
      </c>
      <c r="KE17" s="165">
        <f t="shared" si="74"/>
        <v>1.0479109930484658</v>
      </c>
      <c r="KF17" s="188">
        <f t="shared" si="75"/>
        <v>0.95283724688814031</v>
      </c>
      <c r="KG17" s="165">
        <f t="shared" si="76"/>
        <v>0.9528565835980416</v>
      </c>
      <c r="KH17" s="165">
        <f t="shared" si="77"/>
        <v>0.95093394715874002</v>
      </c>
      <c r="KI17" s="165">
        <f t="shared" si="78"/>
        <v>0.94941063786361446</v>
      </c>
      <c r="KJ17" s="165">
        <f t="shared" si="79"/>
        <v>0.94747390188370328</v>
      </c>
      <c r="KK17" s="165">
        <f t="shared" si="80"/>
        <v>0.94620177733575916</v>
      </c>
      <c r="KL17" s="165">
        <f t="shared" si="81"/>
        <v>0.9449095747564743</v>
      </c>
      <c r="KM17" s="165">
        <f t="shared" si="82"/>
        <v>0.94341768117298752</v>
      </c>
      <c r="KN17" s="165">
        <f t="shared" si="83"/>
        <v>0.94183406257763769</v>
      </c>
      <c r="KO17" s="188">
        <f t="shared" si="84"/>
        <v>0.59397386965780108</v>
      </c>
      <c r="KP17" s="165">
        <f t="shared" si="85"/>
        <v>0.59405671552767692</v>
      </c>
      <c r="KQ17" s="165">
        <f t="shared" si="86"/>
        <v>0.59050238993334037</v>
      </c>
      <c r="KR17" s="165">
        <f t="shared" si="87"/>
        <v>0.58766943243017344</v>
      </c>
      <c r="KS17" s="165">
        <f t="shared" si="88"/>
        <v>0.58411389741498065</v>
      </c>
      <c r="KT17" s="165">
        <f t="shared" si="89"/>
        <v>0.58176163065489128</v>
      </c>
      <c r="KU17" s="165">
        <f t="shared" si="90"/>
        <v>0.57941401421238314</v>
      </c>
      <c r="KV17" s="165">
        <f t="shared" si="91"/>
        <v>0.57666830337217467</v>
      </c>
      <c r="KW17" s="165">
        <f t="shared" si="92"/>
        <v>0.57388902718750612</v>
      </c>
      <c r="KX17" s="188">
        <f>AVERAGE(Sheet3!J17:P17)*KO17^(1/3)/ID17^(1/3)</f>
        <v>166.91243839001106</v>
      </c>
      <c r="KY17" s="165">
        <f>Sheet3!J17*KP17^(1/3)/IE17^(1/3)</f>
        <v>137.10447942982279</v>
      </c>
      <c r="KZ17" s="165">
        <f>Sheet3!K17*KQ17^(1/3)/IF17^(1/3)</f>
        <v>147.49761857591832</v>
      </c>
      <c r="LA17" s="165">
        <f>Sheet3!L17*KR17^(1/3)/IG17^(1/3)</f>
        <v>160.10546744897135</v>
      </c>
      <c r="LB17" s="165">
        <f>Sheet3!M17*KS17^(1/3)/IH17^(1/3)</f>
        <v>171.23715748830588</v>
      </c>
      <c r="LC17" s="165">
        <f>Sheet3!N17*KT17^(1/3)/II17^(1/3)</f>
        <v>178.76839299323669</v>
      </c>
      <c r="LD17" s="165">
        <f>Sheet3!O17*KU17^(1/3)/IJ17^(1/3)</f>
        <v>182.38220558598937</v>
      </c>
      <c r="LE17" s="165">
        <f>Sheet3!P17*KV17^(1/3)/IK17^(1/3)</f>
        <v>179.67253857094784</v>
      </c>
      <c r="LF17" s="165">
        <f>Sheet3!Q17*KW17^(1/3)/IL17^(1/3)</f>
        <v>166.84198881260428</v>
      </c>
      <c r="LG17" s="186">
        <f t="shared" si="93"/>
        <v>25.956247764128925</v>
      </c>
      <c r="LH17" s="183">
        <f t="shared" si="94"/>
        <v>25.962346315737033</v>
      </c>
      <c r="LI17" s="183">
        <f t="shared" si="95"/>
        <v>26.327323535378714</v>
      </c>
      <c r="LJ17" s="183">
        <f t="shared" si="96"/>
        <v>26.333080812740775</v>
      </c>
      <c r="LK17" s="183">
        <f t="shared" si="97"/>
        <v>26.721775180138032</v>
      </c>
      <c r="LL17" s="183">
        <f t="shared" si="98"/>
        <v>26.727763159523981</v>
      </c>
      <c r="LM17" s="183">
        <f t="shared" si="99"/>
        <v>27.111636329606959</v>
      </c>
      <c r="LN17" s="183">
        <f t="shared" si="100"/>
        <v>27.117856343369429</v>
      </c>
      <c r="LO17" s="183">
        <f t="shared" si="101"/>
        <v>27.498655536600552</v>
      </c>
      <c r="LP17" s="220"/>
      <c r="LQ17" s="220"/>
      <c r="LR17" s="220"/>
      <c r="LS17" s="220"/>
      <c r="LT17" s="220"/>
      <c r="LU17" s="220"/>
      <c r="LV17" s="220"/>
      <c r="LW17" s="220"/>
      <c r="LX17" s="220"/>
      <c r="LY17" s="220"/>
      <c r="LZ17" s="222">
        <v>96.71</v>
      </c>
      <c r="MA17" s="220">
        <v>1.2E-5</v>
      </c>
      <c r="MB17" s="220">
        <v>225</v>
      </c>
      <c r="MC17" s="220">
        <v>2.6659999999999999E-5</v>
      </c>
      <c r="MD17" s="188">
        <f>Sheet3!DP17</f>
        <v>280.7166866275075</v>
      </c>
      <c r="ME17" s="263">
        <v>160</v>
      </c>
      <c r="MF17" s="263">
        <v>6.18</v>
      </c>
      <c r="MG17" s="263">
        <v>2.4790000000000001</v>
      </c>
      <c r="MH17" s="263">
        <v>3.258</v>
      </c>
      <c r="MI17" s="263">
        <v>14.32</v>
      </c>
      <c r="MJ17" s="263">
        <v>4.3899999999999997</v>
      </c>
      <c r="MK17" s="273">
        <v>150</v>
      </c>
      <c r="ML17" s="267">
        <v>4.76</v>
      </c>
      <c r="MM17" s="267">
        <v>2.5470000000000002</v>
      </c>
      <c r="MN17" s="267">
        <v>2.395</v>
      </c>
      <c r="MO17" s="267">
        <v>13.93</v>
      </c>
      <c r="MP17" s="274">
        <v>5.47</v>
      </c>
      <c r="MQ17"/>
      <c r="MR17"/>
      <c r="MS17"/>
    </row>
    <row r="18" spans="1:357" ht="15" thickBot="1" x14ac:dyDescent="0.35">
      <c r="A18" s="184" t="str">
        <f>Sheet3!A18</f>
        <v>08.12.2022</v>
      </c>
      <c r="B18" s="186">
        <f t="shared" si="102"/>
        <v>0.84505485667049696</v>
      </c>
      <c r="C18" s="183">
        <f t="shared" si="103"/>
        <v>0.84418563938962665</v>
      </c>
      <c r="D18" s="183">
        <f t="shared" si="0"/>
        <v>0.83446865559402994</v>
      </c>
      <c r="E18" s="183">
        <f t="shared" si="1"/>
        <v>0.8230418786616398</v>
      </c>
      <c r="F18" s="183">
        <f t="shared" si="2"/>
        <v>0.81604808841480037</v>
      </c>
      <c r="G18" s="183">
        <f t="shared" si="3"/>
        <v>0.81004979837875135</v>
      </c>
      <c r="H18" s="183">
        <f t="shared" si="4"/>
        <v>0.80308125237314598</v>
      </c>
      <c r="I18" s="183">
        <f t="shared" si="5"/>
        <v>0.79443836826510073</v>
      </c>
      <c r="J18" s="183">
        <f t="shared" si="6"/>
        <v>0.78704100092237583</v>
      </c>
      <c r="K18" s="186">
        <f xml:space="preserve"> (6.057 * (10^(-6)))
+ (4.055 * (10^(-8)) * (Sheet3!DF18 + 273))
+ (1.25 * (10^(-10)) * (Sheet3!DF18 + 273)^2)
- (3.367 * (10^(-14)) * (DD18 + 273)^3)</f>
        <v>3.9917831349408495E-5</v>
      </c>
      <c r="L18" s="183">
        <f xml:space="preserve"> (6.057 * (10^(-6)))
+ (4.055 * (10^(-8)) * (Sheet3!BZ18 + 273))
+ (1.25 * (10^(-10)) * (Sheet3!BZ18 + 273)^2)
- (3.367 * (10^(-14)) * (BX18 + 273)^3)</f>
        <v>3.9849857715926635E-5</v>
      </c>
      <c r="M18" s="183">
        <f xml:space="preserve"> (6.057 * (10^(-6)))
+ (4.055 * (10^(-8)) * (Sheet3!CA18 + 273))
+ (1.25 * (10^(-10)) * (Sheet3!CA18 + 273)^2)
- (3.367 * (10^(-14)) * (BY18 + 273)^3)</f>
        <v>3.9101824091709604E-5</v>
      </c>
      <c r="N18" s="183">
        <f xml:space="preserve"> (6.057 * (10^(-6)))
+ (4.055 * (10^(-8)) * (Sheet3!CB18 + 273))
+ (1.25 * (10^(-10)) * (Sheet3!CB18 + 273)^2)
- (3.367 * (10^(-14)) * (BZ18 + 273)^3)</f>
        <v>3.8371233632478492E-5</v>
      </c>
      <c r="O18" s="183">
        <f xml:space="preserve"> (6.057 * (10^(-6)))
+ (4.055 * (10^(-8)) * (Sheet3!CC18 + 273))
+ (1.25 * (10^(-10)) * (Sheet3!CC18 + 273)^2)
- (3.367 * (10^(-14)) * (CA18 + 273)^3)</f>
        <v>3.7829006985884114E-5</v>
      </c>
      <c r="P18" s="183">
        <f xml:space="preserve"> (6.057 * (10^(-6)))
+ (4.055 * (10^(-8)) * (Sheet3!CD18 + 273))
+ (1.25 * (10^(-10)) * (Sheet3!CD18 + 273)^2)
- (3.367 * (10^(-14)) * (CB18 + 273)^3)</f>
        <v>3.746137657989603E-5</v>
      </c>
      <c r="Q18" s="183">
        <f xml:space="preserve"> (6.057 * (10^(-6)))
+ (4.055 * (10^(-8)) * (Sheet3!CE18 + 273))
+ (1.25 * (10^(-10)) * (Sheet3!CE18 + 273)^2)
- (3.367 * (10^(-14)) * (CC18 + 273)^3)</f>
        <v>3.694344941581402E-5</v>
      </c>
      <c r="R18" s="183">
        <f xml:space="preserve"> (6.057 * (10^(-6)))
+ (4.055 * (10^(-8)) * (Sheet3!CF18 + 273))
+ (1.25 * (10^(-10)) * (Sheet3!CF18 + 273)^2)
- (3.367 * (10^(-14)) * (CD18 + 273)^3)</f>
        <v>3.6434588390043289E-5</v>
      </c>
      <c r="S18" s="183">
        <f xml:space="preserve"> (6.057 * (10^(-6)))
+ (4.055 * (10^(-8)) * (Sheet3!CG18 + 273))
+ (1.25 * (10^(-10)) * (Sheet3!CG18 + 273)^2)
- (3.367 * (10^(-14)) * (CE18 + 273)^3)</f>
        <v>3.5906011672977226E-5</v>
      </c>
      <c r="T18" s="188">
        <f t="shared" si="104"/>
        <v>3.9917831349408495E-5</v>
      </c>
      <c r="U18" s="165">
        <f t="shared" si="105"/>
        <v>3.9849857715926635E-5</v>
      </c>
      <c r="V18" s="165">
        <f t="shared" si="106"/>
        <v>3.9101824091709604E-5</v>
      </c>
      <c r="W18" s="165">
        <f t="shared" si="107"/>
        <v>3.8371233632478492E-5</v>
      </c>
      <c r="X18" s="165">
        <f t="shared" si="108"/>
        <v>3.7829006985884114E-5</v>
      </c>
      <c r="Y18" s="165">
        <f t="shared" si="109"/>
        <v>3.746137657989603E-5</v>
      </c>
      <c r="Z18" s="165">
        <f t="shared" si="110"/>
        <v>3.694344941581402E-5</v>
      </c>
      <c r="AA18" s="165">
        <f t="shared" si="111"/>
        <v>3.6434588390043289E-5</v>
      </c>
      <c r="AB18" s="165">
        <f t="shared" si="112"/>
        <v>3.5906011672977226E-5</v>
      </c>
      <c r="AC18" s="186">
        <f t="shared" si="8"/>
        <v>3.3732757249571467E-5</v>
      </c>
      <c r="AD18" s="183">
        <f t="shared" si="9"/>
        <v>3.3640677615505173E-5</v>
      </c>
      <c r="AE18" s="183">
        <f t="shared" si="10"/>
        <v>3.2629246581083164E-5</v>
      </c>
      <c r="AF18" s="183">
        <f t="shared" si="11"/>
        <v>3.1581132215439797E-5</v>
      </c>
      <c r="AG18" s="183">
        <f t="shared" si="12"/>
        <v>3.087028883746086E-5</v>
      </c>
      <c r="AH18" s="183">
        <f t="shared" si="13"/>
        <v>3.0345580545535258E-5</v>
      </c>
      <c r="AI18" s="183">
        <f t="shared" si="14"/>
        <v>2.9668591623835891E-5</v>
      </c>
      <c r="AJ18" s="183">
        <f t="shared" si="15"/>
        <v>2.8945034948996572E-5</v>
      </c>
      <c r="AK18" s="183">
        <f t="shared" si="16"/>
        <v>2.8259503366230508E-5</v>
      </c>
      <c r="AL18" s="186">
        <f t="shared" si="113"/>
        <v>3.2623583087824148E-2</v>
      </c>
      <c r="AM18" s="183">
        <f t="shared" si="114"/>
        <v>3.2569952433171914E-2</v>
      </c>
      <c r="AN18" s="183">
        <f t="shared" si="115"/>
        <v>3.1944331754678992E-2</v>
      </c>
      <c r="AO18" s="183">
        <f t="shared" si="116"/>
        <v>3.132705494779893E-2</v>
      </c>
      <c r="AP18" s="183">
        <f t="shared" si="117"/>
        <v>3.0865666810330643E-2</v>
      </c>
      <c r="AQ18" s="183">
        <f t="shared" si="118"/>
        <v>3.0549959815448877E-2</v>
      </c>
      <c r="AR18" s="183">
        <f t="shared" si="119"/>
        <v>3.0104336066240273E-2</v>
      </c>
      <c r="AS18" s="183">
        <f t="shared" si="120"/>
        <v>2.9660892411925262E-2</v>
      </c>
      <c r="AT18" s="183">
        <f t="shared" si="121"/>
        <v>2.9204480633352761E-2</v>
      </c>
      <c r="AU18" s="186">
        <f>_xlfn.FORECAST.LINEAR(Sheet3!DF18,Sheet2!$AH$2:$AH$40,Sheet2!$AG$2:$AG$40)</f>
        <v>3.3278061617758661E-2</v>
      </c>
      <c r="AV18" s="183">
        <f>_xlfn.FORECAST.LINEAR(Sheet3!BZ18,Sheet2!$AH$2:$AH$40,Sheet2!$AG$2:$AG$40)</f>
        <v>3.3158795202508203E-2</v>
      </c>
      <c r="AW18" s="183">
        <f>_xlfn.FORECAST.LINEAR(Sheet3!CA18,Sheet2!$AH$2:$AH$40,Sheet2!$AG$2:$AG$40)</f>
        <v>3.1768572235378212E-2</v>
      </c>
      <c r="AX18" s="183">
        <f>_xlfn.FORECAST.LINEAR(Sheet3!CB18,Sheet2!$AH$2:$AH$40,Sheet2!$AG$2:$AG$40)</f>
        <v>3.0397109309146311E-2</v>
      </c>
      <c r="AY18" s="183">
        <f>_xlfn.FORECAST.LINEAR(Sheet3!CC18,Sheet2!$AH$2:$AH$40,Sheet2!$AG$2:$AG$40)</f>
        <v>2.9370327285455793E-2</v>
      </c>
      <c r="AZ18" s="183">
        <f>_xlfn.FORECAST.LINEAR(Sheet3!CD18,Sheet2!$AH$2:$AH$40,Sheet2!$AG$2:$AG$40)</f>
        <v>2.8669686638859142E-2</v>
      </c>
      <c r="BA18" s="183">
        <f>_xlfn.FORECAST.LINEAR(Sheet3!CE18,Sheet2!$AH$2:$AH$40,Sheet2!$AG$2:$AG$40)</f>
        <v>2.7676461999722946E-2</v>
      </c>
      <c r="BB18" s="183">
        <f>_xlfn.FORECAST.LINEAR(Sheet3!CF18,Sheet2!$AH$2:$AH$40,Sheet2!$AG$2:$AG$40)</f>
        <v>2.6693375260810229E-2</v>
      </c>
      <c r="BC18" s="183">
        <f>_xlfn.FORECAST.LINEAR(Sheet3!CG18,Sheet2!$AH$2:$AH$40,Sheet2!$AG$2:$AG$40)</f>
        <v>2.5675294102316591E-2</v>
      </c>
      <c r="BD18" s="186">
        <f>_xlfn.FORECAST.LINEAR(Sheet3!DF18,Sheet2!$AB$12:$AB$37,Sheet2!$AA$12:$AA$37)/1000</f>
        <v>3.221097904255335E-2</v>
      </c>
      <c r="BE18" s="183">
        <f>_xlfn.FORECAST.LINEAR(Sheet3!BZ18,Sheet2!$AB$12:$AB$37,Sheet2!$AA$12:$AA$37)/1000</f>
        <v>3.2184313832706951E-2</v>
      </c>
      <c r="BF18" s="183">
        <f>_xlfn.FORECAST.LINEAR(Sheet3!CA18,Sheet2!$AB$12:$AB$37,Sheet2!$AA$12:$AA$37)/1000</f>
        <v>3.1873492156093683E-2</v>
      </c>
      <c r="BG18" s="183">
        <f>_xlfn.FORECAST.LINEAR(Sheet3!CB18,Sheet2!$AB$12:$AB$37,Sheet2!$AA$12:$AA$37)/1000</f>
        <v>3.1566864790395388E-2</v>
      </c>
      <c r="BH18" s="183">
        <f>_xlfn.FORECAST.LINEAR(Sheet3!CC18,Sheet2!$AB$12:$AB$37,Sheet2!$AA$12:$AA$37)/1000</f>
        <v>3.1337300096338651E-2</v>
      </c>
      <c r="BI18" s="183">
        <f>_xlfn.FORECAST.LINEAR(Sheet3!CD18,Sheet2!$AB$12:$AB$37,Sheet2!$AA$12:$AA$37)/1000</f>
        <v>3.1180653065159072E-2</v>
      </c>
      <c r="BJ18" s="183">
        <f>_xlfn.FORECAST.LINEAR(Sheet3!CE18,Sheet2!$AB$12:$AB$37,Sheet2!$AA$12:$AA$37)/1000</f>
        <v>3.0958591025551683E-2</v>
      </c>
      <c r="BK18" s="183">
        <f>_xlfn.FORECAST.LINEAR(Sheet3!CF18,Sheet2!$AB$12:$AB$37,Sheet2!$AA$12:$AA$37)/1000</f>
        <v>3.0738795585777062E-2</v>
      </c>
      <c r="BL18" s="183">
        <f>_xlfn.FORECAST.LINEAR(Sheet3!CG18,Sheet2!$AB$12:$AB$37,Sheet2!$AA$12:$AA$37)/1000</f>
        <v>3.0511176203783508E-2</v>
      </c>
      <c r="BM18" s="186">
        <f t="shared" si="122"/>
        <v>0.81359901251672906</v>
      </c>
      <c r="BN18" s="183">
        <f t="shared" si="123"/>
        <v>0.81458805307970739</v>
      </c>
      <c r="BO18" s="183">
        <f t="shared" si="124"/>
        <v>0.82652304933071707</v>
      </c>
      <c r="BP18" s="183">
        <f t="shared" si="125"/>
        <v>0.83836750534096094</v>
      </c>
      <c r="BQ18" s="183">
        <f t="shared" si="126"/>
        <v>0.84774491164166199</v>
      </c>
      <c r="BR18" s="183">
        <f t="shared" si="127"/>
        <v>0.85406724992934246</v>
      </c>
      <c r="BS18" s="183">
        <f t="shared" si="128"/>
        <v>0.86347001013731073</v>
      </c>
      <c r="BT18" s="183">
        <f t="shared" si="129"/>
        <v>0.87269854889784471</v>
      </c>
      <c r="BU18" s="183">
        <f t="shared" si="130"/>
        <v>0.88273425540117123</v>
      </c>
      <c r="BV18" s="186">
        <f t="shared" si="131"/>
        <v>1.1886921771302164</v>
      </c>
      <c r="BW18" s="183">
        <f t="shared" si="19"/>
        <v>1.1885415065213814</v>
      </c>
      <c r="BX18" s="183">
        <f t="shared" si="20"/>
        <v>1.1844910739424053</v>
      </c>
      <c r="BY18" s="183">
        <f t="shared" si="21"/>
        <v>1.183198024925912</v>
      </c>
      <c r="BZ18" s="183">
        <f t="shared" si="22"/>
        <v>1.1794235059861002</v>
      </c>
      <c r="CA18" s="183">
        <f t="shared" si="23"/>
        <v>1.1787538497743546</v>
      </c>
      <c r="CB18" s="183">
        <f t="shared" si="24"/>
        <v>1.1751271613516263</v>
      </c>
      <c r="CC18" s="183">
        <f t="shared" si="25"/>
        <v>1.1742102887387329</v>
      </c>
      <c r="CD18" s="183">
        <f t="shared" si="26"/>
        <v>1.1707252407580666</v>
      </c>
      <c r="CE18" s="187">
        <f xml:space="preserve"> -0.0000000019505*Sheet3!DF18^3 + 0.0000015497*Sheet3!DF18^2  + 0.00016911*Sheet3!DF18 + 1.8585</f>
        <v>1.8954759658125</v>
      </c>
      <c r="CF18" s="185">
        <f xml:space="preserve"> -0.0000000019505*Sheet3!BZ18^3 + 0.0000015497*Sheet3!BZ18^2  + 0.00016911*Sheet3!BZ18 + 1.8585</f>
        <v>1.8952658467272734</v>
      </c>
      <c r="CG18" s="185">
        <f xml:space="preserve"> -0.0000000019505*Sheet3!CA18^3 + 0.0000015497*Sheet3!CA18^2  + 0.00016911*Sheet3!CA18 + 1.8585</f>
        <v>1.8928454969419117</v>
      </c>
      <c r="CH18" s="185">
        <f xml:space="preserve"> -0.0000000019505*Sheet3!CB18^3 + 0.0000015497*Sheet3!CB18^2  + 0.00016911*Sheet3!CB18 + 1.8585</f>
        <v>1.8905112519932941</v>
      </c>
      <c r="CI18" s="185">
        <f xml:space="preserve"> -0.0000000019505*Sheet3!CC18^3 + 0.0000015497*Sheet3!CC18^2  + 0.00016911*Sheet3!CC18 + 1.8585</f>
        <v>1.8887995128250756</v>
      </c>
      <c r="CJ18" s="185">
        <f xml:space="preserve"> -0.0000000019505*Sheet3!CD18^3 + 0.0000015497*Sheet3!CD18^2  + 0.00016911*Sheet3!CD18 + 1.8585</f>
        <v>1.8876495494265975</v>
      </c>
      <c r="CK18" s="185">
        <f xml:space="preserve"> -0.0000000019505*Sheet3!CE18^3 + 0.0000015497*Sheet3!CE18^2  + 0.00016911*Sheet3!CE18 + 1.8585</f>
        <v>1.8860450270742264</v>
      </c>
      <c r="CL18" s="185">
        <f xml:space="preserve"> -0.0000000019505*Sheet3!CF18^3 + 0.0000015497*Sheet3!CF18^2  + 0.00016911*Sheet3!CF18 + 1.8585</f>
        <v>1.8844871332431601</v>
      </c>
      <c r="CM18" s="185">
        <f xml:space="preserve"> -0.0000000019505*Sheet3!CG18^3 + 0.0000015497*Sheet3!CG18^2  + 0.00016911*Sheet3!CG18 + 1.8585</f>
        <v>1.8829062307048845</v>
      </c>
      <c r="CN18" s="186">
        <f>_xlfn.FORECAST.LINEAR(Sheet3!DF18,New!$LU$2:$LU$14,New!$LT$2:$LT$14)</f>
        <v>1.0182325575068421</v>
      </c>
      <c r="CO18" s="183">
        <f>_xlfn.FORECAST.LINEAR(Sheet3!BZ18,New!$LU$2:$LU$14,New!$LT$2:$LT$14)</f>
        <v>1.0181447758605282</v>
      </c>
      <c r="CP18" s="183">
        <f>_xlfn.FORECAST.LINEAR(Sheet3!CA18,New!$LU$2:$LU$14,New!$LT$2:$LT$14)</f>
        <v>1.0171215535179978</v>
      </c>
      <c r="CQ18" s="183">
        <f>_xlfn.FORECAST.LINEAR(Sheet3!CB18,New!$LU$2:$LU$14,New!$LT$2:$LT$14)</f>
        <v>1.0161121388116867</v>
      </c>
      <c r="CR18" s="183">
        <f>_xlfn.FORECAST.LINEAR(Sheet3!CC18,New!$LU$2:$LU$14,New!$LT$2:$LT$14)</f>
        <v>1.0153564137716107</v>
      </c>
      <c r="CS18" s="183">
        <f>_xlfn.FORECAST.LINEAR(Sheet3!CD18,New!$LU$2:$LU$14,New!$LT$2:$LT$14)</f>
        <v>1.0148407330638156</v>
      </c>
      <c r="CT18" s="183">
        <f>_xlfn.FORECAST.LINEAR(Sheet3!CE18,New!$LU$2:$LU$14,New!$LT$2:$LT$14)</f>
        <v>1.0141097066990203</v>
      </c>
      <c r="CU18" s="183">
        <f>_xlfn.FORECAST.LINEAR(Sheet3!CF18,New!$LU$2:$LU$14,New!$LT$2:$LT$14)</f>
        <v>1.0133861419617916</v>
      </c>
      <c r="CV18" s="183">
        <f>_xlfn.FORECAST.LINEAR(Sheet3!CG18,New!$LU$2:$LU$14,New!$LT$2:$LT$14)</f>
        <v>1.0126368208726497</v>
      </c>
      <c r="CW18" s="186">
        <f>EXP((17.625*Sheet3!BA18)/(243.04+Sheet3!BA18)) / EXP((17.625*Sheet3!DF18)/(243.04+Sheet3!DF18))</f>
        <v>0.58976897613371493</v>
      </c>
      <c r="CX18" s="183">
        <f>EXP((17.625*(Sheet3!BC18+273))/(243.04+(Sheet3!BC18+273)))/EXP((17.625*(Sheet3!BZ18+273))/(243.04+(Sheet3!BZ18+273)))</f>
        <v>0.5538974984977032</v>
      </c>
      <c r="CY18" s="183">
        <f>EXP((17.625*(Sheet3!BE18+273))/(243.04+(Sheet3!BE18+273))) / EXP((17.625*(Sheet3!CA18+273))/(243.04+(Sheet3!CA18+273)))</f>
        <v>0.58733696533826452</v>
      </c>
      <c r="CZ18" s="183">
        <f>EXP((17.625*(Sheet3!BG18+273))/(243.04+(Sheet3!BG18+273))) / EXP((17.625*(Sheet3!CB18+273))/(243.04+(Sheet3!CB18+273)))</f>
        <v>0.62182613107476958</v>
      </c>
      <c r="DA18" s="183">
        <f>EXP((17.625*(Sheet3!BI18+273))/(243.04+(Sheet3!BI18+273))) / EXP((17.625*(Sheet3!CC18+273))/(243.04+(Sheet3!CC18+273)))</f>
        <v>0.64839677317325062</v>
      </c>
      <c r="DB18" s="183">
        <f>EXP((17.625*(Sheet3!BK18+273))/(243.04+(Sheet3!BK18+273)))/EXP((17.625*(Sheet3!CD18+273))/(243.04+(Sheet3!CD18+273)))</f>
        <v>0.6689754290245864</v>
      </c>
      <c r="DC18" s="183">
        <f>EXP((17.625*(Sheet3!BM18+273))/(243.04+(Sheet3!BM18+273))) / EXP((17.625*(Sheet3!CE18+273))/(243.04+(Sheet3!CE18+273)))</f>
        <v>0.69724698368917359</v>
      </c>
      <c r="DD18" s="183">
        <f>EXP((17.625*(Sheet3!BO18+273))/(243.04+(Sheet3!BO18+273))) / EXP((17.625*(Sheet3!CF18+273))/(243.04+(Sheet3!CF18+273)))</f>
        <v>0.72927525168332596</v>
      </c>
      <c r="DE18" s="183">
        <f>EXP((17.625*(Sheet3!BQ18+273))/(243.04+(Sheet3!BQ18+273))) / EXP((17.625*(Sheet3!CG18+273))/(243.04+(Sheet3!CG18+273)))</f>
        <v>0.76196755741795763</v>
      </c>
      <c r="DF18" s="186">
        <f>((Sheet3!DA18-Sheet3!DB18)/New!$LQ$3)/(((Sheet3!DA18-Sheet3!DB18)/New!$LQ$3)+(Sheet3!DB18/New!$LP$3))</f>
        <v>0.7206152600878607</v>
      </c>
      <c r="DG18" s="183">
        <f>((Sheet3!DA18-Sheet3!DB18)/New!$LQ$3)/(((Sheet3!DA18-Sheet3!DB18)/New!$LQ$3)+((Sheet3!DB18-(Sheet3!B18*0.004))/New!$LP$3))</f>
        <v>0.72079208006545858</v>
      </c>
      <c r="DH18" s="183" cm="1">
        <f t="array" ref="DH18">((Sheet3!DA18-Sheet3!DB18)/New!$LQ$3)/(((Sheet3!DA18-Sheet3!DB18)/New!$LQ$3)+((Sheet3!DB18-(SUM(Sheet3!B18:C18*0.004)))/New!$LP$3))</f>
        <v>0.73347026662350112</v>
      </c>
      <c r="DI18" s="183" cm="1">
        <f t="array" ref="DI18">((Sheet3!DA18-Sheet3!DB18)/New!$LQ$3)/(((Sheet3!DA18-Sheet3!DB18)/New!$LQ$3)+((Sheet3!DB18-(SUM(Sheet3!B18:D18*0.004)))/New!$LP$3))</f>
        <v>0.73361273641107894</v>
      </c>
      <c r="DJ18" s="183" cm="1">
        <f t="array" ref="DJ18">((Sheet3!DA18-Sheet3!DB18)/New!$LQ$3)/(((Sheet3!DA18-Sheet3!DB18)/New!$LQ$3)+((Sheet3!DB18-(SUM(Sheet3!B18:E18*0.004)))/New!$LP$3))</f>
        <v>0.7471299116238177</v>
      </c>
      <c r="DK18" s="183" cm="1">
        <f t="array" ref="DK18">((Sheet3!DA18-Sheet3!DB18)/New!$LQ$3)/(((Sheet3!DA18-Sheet3!DB18)/New!$LQ$3)+((Sheet3!DB18-(SUM(Sheet3!B18:F18*0.004)))/New!$LP$3))</f>
        <v>0.7472988606885882</v>
      </c>
      <c r="DL18" s="183" cm="1">
        <f t="array" ref="DL18">((Sheet3!DA18-Sheet3!DB18)/New!$LQ$3)/(((Sheet3!DA18-Sheet3!DB18)/New!$LQ$3)+((Sheet3!DB18-(SUM(Sheet3!B18:G18*0.004)))/New!$LP$3))</f>
        <v>0.76078220319485446</v>
      </c>
      <c r="DM18" s="183" cm="1">
        <f t="array" ref="DM18">((Sheet3!DA18-Sheet3!DB18)/New!$LQ$3)/(((Sheet3!DA18-Sheet3!DB18)/New!$LQ$3)+((Sheet3!DB18-(SUM(Sheet3!B18:H18*0.004)))/New!$LP$3))</f>
        <v>0.76097928705100326</v>
      </c>
      <c r="DN18" s="183" cm="1">
        <f t="array" ref="DN18">((Sheet3!DA18-Sheet3!DB18)/New!$LQ$3)/(((Sheet3!DA18-Sheet3!DB18)/New!$LQ$3)+((Sheet3!DB18-(SUM(Sheet3!B18:I18*0.004)))/New!$LP$3))</f>
        <v>0.77417117336052965</v>
      </c>
      <c r="DO18" s="186">
        <f>(Sheet3!DB18/$LP$3) / ((Sheet3!DB18/$LP$3) + ((Sheet3!DA18-Sheet3!DB18)/$LQ$3))</f>
        <v>0.2793847399121393</v>
      </c>
      <c r="DP18" s="183">
        <f>((Sheet3!$DB18-(Sheet3!B18/4000)) / $LP$3) / (((Sheet3!$DA18-Sheet3!DB18) / $LQ$3) + (Sheet3!$DB18-((Sheet3!B18/4000)))/$LP$3)</f>
        <v>0.27937369120515942</v>
      </c>
      <c r="DQ18" s="183">
        <f>((Sheet3!$DB18-(SUM(Sheet3!B18:C18)/4000))/$LP$3)/(((Sheet3!$DA18-Sheet3!$DB18)/$LQ$3)+(Sheet3!$DB18-(SUM(Sheet3!B18:C18)/4000))/$LP$3)</f>
        <v>0.2785945176792079</v>
      </c>
      <c r="DR18" s="183">
        <f>((Sheet3!$DB18-(SUM(Sheet3!B18:D18)/4000))/$LP$3)/(((Sheet3!$DA18-Sheet3!$DB18)/$LQ$3)+(Sheet3!$DB18-(SUM(Sheet3!B18:D18)/4000))/$LP$3)</f>
        <v>0.27858590541231937</v>
      </c>
      <c r="DS18" s="183">
        <f>((Sheet3!$DB18-(SUM(Sheet3!B18:E18)/4000))/$LP$3)/(((Sheet3!$DA18-Sheet3!$DB18)/$LQ$3)+(Sheet3!$DB18-(SUM(Sheet3!B18:E18)/4000))/$LP$3)</f>
        <v>0.27778283170877643</v>
      </c>
      <c r="DT18" s="183">
        <f>((Sheet3!$DB18-(SUM(Sheet3!B18:F18)/4000))/$LP$3)/(((Sheet3!$DA18-Sheet3!$DB18)/$LQ$3)+(Sheet3!$DB18-(SUM(Sheet3!B18:F18)/4000))/$LP$3)</f>
        <v>0.27777296693992221</v>
      </c>
      <c r="DU18" s="183">
        <f>((Sheet3!$DB18-(SUM(Sheet3!B18:G18)/4000))/$LP$3)/(((Sheet3!$DA18-Sheet3!$DB18)/$LQ$3)+(Sheet3!$DB18-(SUM(Sheet3!B18:G18)/4000))/$LP$3)</f>
        <v>0.27699897654472355</v>
      </c>
      <c r="DV18" s="183">
        <f>((Sheet3!$DB18-(SUM(Sheet3!B18:H18)/4000))/$LP$3)/(((Sheet3!$DA18-Sheet3!$DB18)/$LQ$3)+(Sheet3!$DB18-(SUM(Sheet3!B18:H18)/4000))/$LP$3)</f>
        <v>0.27698785455747871</v>
      </c>
      <c r="DW18" s="183">
        <f>((Sheet3!$DB18-(SUM(Sheet3!B18:I18)/4000))/$LP$3)/(((Sheet3!$DA18-Sheet3!$DB18)/$LQ$3)+(Sheet3!$DB18-(SUM(Sheet3!B18:I18)/4000))/$LP$3)</f>
        <v>0.27625552267691578</v>
      </c>
      <c r="DX18" s="186">
        <f>($LR$2*($LP$3/1000))/($LP$2*(Sheet3!DF18+273))*DO18</f>
        <v>0.15809269911462506</v>
      </c>
      <c r="DY18" s="183">
        <f>(($LR$2*($LP$3/1000))/($LP$2*(Sheet3!BZ18+273)))*(DP18)</f>
        <v>0.15827788378382507</v>
      </c>
      <c r="DZ18" s="183">
        <f>(($LR$2*($LP$3/1000))/($LP$2*(Sheet3!CA18+273)))*(DQ18)</f>
        <v>0.1600962887241322</v>
      </c>
      <c r="EA18" s="183">
        <f>(($LR$2*($LP$3/1000))/($LP$2*(Sheet3!CB18+273)))*(DR18)</f>
        <v>0.16238493152006395</v>
      </c>
      <c r="EB18" s="183">
        <f>(($LR$2*($LP$3/1000))/($LP$2*(Sheet3!CC18+273)))*(DS18)</f>
        <v>0.16367239703224065</v>
      </c>
      <c r="EC18" s="183">
        <f>(($LR$2*($LP$3/1000))/($LP$2*(Sheet3!CD18+273)))*(DT18)</f>
        <v>0.16488649549775686</v>
      </c>
      <c r="ED18" s="183">
        <f>(($LR$2*($LP$3/1000))/($LP$2*(Sheet3!CE18+273)))*(DU18)</f>
        <v>0.16618298185870062</v>
      </c>
      <c r="EE18" s="183">
        <f>(($LR$2*($LP$3/1000))/($LP$2*(Sheet3!CF18+273)))*(DV18)</f>
        <v>0.16795156919044538</v>
      </c>
      <c r="EF18" s="183">
        <f>(($LR$2*($LP$3/1000))/($LP$2*(Sheet3!CG18+273)))*(DW18)</f>
        <v>0.16938143177657924</v>
      </c>
      <c r="EG18" s="186">
        <f>(($LR$2*($LQ$3/1000))/($LQ$2*(Sheet3!DF18+273)))*(1-DO18)</f>
        <v>0.65550631340210397</v>
      </c>
      <c r="EH18" s="183">
        <f>(($LR$2*($LQ$3/1000))/($LQ$2*(Sheet3!BZ18+273)))*(1-DP18)</f>
        <v>0.65631016929588226</v>
      </c>
      <c r="EI18" s="183">
        <f>(($LR$2*($LQ$3/1000))/($LQ$2*(Sheet3!CA18+273)))*(1-DQ18)</f>
        <v>0.6664267606065849</v>
      </c>
      <c r="EJ18" s="183">
        <f>(($LR$2*($LQ$3/1000))/($LQ$2*(Sheet3!CB18+273)))*(1-DR18)</f>
        <v>0.67598257382089699</v>
      </c>
      <c r="EK18" s="183">
        <f>(($LR$2*($LQ$3/1000))/($LQ$2*(Sheet3!CC18+273)))*(1-DS18)</f>
        <v>0.68407251460942131</v>
      </c>
      <c r="EL18" s="183">
        <f>(($LR$2*($LQ$3/1000))/($LQ$2*(Sheet3!CD18+273)))*(1-DT18)</f>
        <v>0.68918075443158566</v>
      </c>
      <c r="EM18" s="183">
        <f>(($LR$2*($LQ$3/1000))/($LQ$2*(Sheet3!CE18+273)))*(1-DU18)</f>
        <v>0.69728702827861011</v>
      </c>
      <c r="EN18" s="183">
        <f>(($LR$2*($LQ$3/1000))/($LQ$2*(Sheet3!CF18+273)))*(1-DV18)</f>
        <v>0.7047469797073993</v>
      </c>
      <c r="EO18" s="183">
        <f>(($LR$2*($LQ$3/1000))/($LQ$2*(Sheet3!CG18+273)))*(1-DW18)</f>
        <v>0.71335282362459196</v>
      </c>
      <c r="EP18" s="186">
        <f t="shared" si="132"/>
        <v>4912.2498711896897</v>
      </c>
      <c r="EQ18" s="183">
        <f xml:space="preserve"> (($FV18-(Sheet3!B18/4000))*0.018)/(0.011*JO18*3600)</f>
        <v>4916.9679473289652</v>
      </c>
      <c r="ER18" s="183">
        <f>((($FV18-(SUM(Sheet3!B18:C18)/4000))*0.018)/(0.011*JP18*3600))</f>
        <v>4967.9820750574709</v>
      </c>
      <c r="ES18" s="183">
        <f>((($FV18-(SUM(Sheet3!B18:D18)/4000))*0.018)/(0.011*JQ18*3600))</f>
        <v>5025.0199737615667</v>
      </c>
      <c r="ET18" s="183">
        <f>((($FV18-(SUM(Sheet3!B18:E18)/4000))*0.018)/(0.011*JR18))/3600</f>
        <v>5062.7373361081964</v>
      </c>
      <c r="EU18" s="183">
        <f>((($FV18-(SUM(Sheet3!B18:F18)/4000))*0.018)/(0.011*JS18))/3600</f>
        <v>5092.8431836643376</v>
      </c>
      <c r="EV18" s="183">
        <f>((($FV18-(SUM(Sheet3!B18:G18)/4000))*0.018)/(0.011*JT18))/3600</f>
        <v>5130.4629115792495</v>
      </c>
      <c r="EW18" s="183">
        <f>((($FV18-(SUM(Sheet3!B18:H18)/4000))*0.018)/(0.011*JU18))/3600</f>
        <v>5174.0437208223912</v>
      </c>
      <c r="EX18" s="183">
        <f>((($FV18-(SUM(Sheet3!B18:I18)/4000))*0.018)/(0.011*JV18))/3600</f>
        <v>5214.4750127942552</v>
      </c>
      <c r="EY18" s="186">
        <f t="shared" si="133"/>
        <v>50.539692252491761</v>
      </c>
      <c r="EZ18" s="183">
        <f t="shared" si="134"/>
        <v>50.580242816705606</v>
      </c>
      <c r="FA18" s="183">
        <f t="shared" si="135"/>
        <v>51.000261815473038</v>
      </c>
      <c r="FB18" s="183">
        <f t="shared" si="136"/>
        <v>51.497917130361529</v>
      </c>
      <c r="FC18" s="183">
        <f t="shared" si="137"/>
        <v>51.804304490237783</v>
      </c>
      <c r="FD18" s="183">
        <f t="shared" si="138"/>
        <v>52.068875646993881</v>
      </c>
      <c r="FE18" s="183">
        <f t="shared" si="139"/>
        <v>52.376975177448443</v>
      </c>
      <c r="FF18" s="183">
        <f t="shared" si="140"/>
        <v>52.762906076822574</v>
      </c>
      <c r="FG18" s="183">
        <f t="shared" si="141"/>
        <v>53.099601606613476</v>
      </c>
      <c r="FH18" s="186">
        <f t="shared" si="28"/>
        <v>91.599213857345973</v>
      </c>
      <c r="FI18" s="183">
        <f t="shared" si="29"/>
        <v>91.522005699910395</v>
      </c>
      <c r="FJ18" s="183">
        <f t="shared" si="30"/>
        <v>90.509404611608787</v>
      </c>
      <c r="FK18" s="183">
        <f t="shared" si="31"/>
        <v>89.626559980001758</v>
      </c>
      <c r="FL18" s="183">
        <f t="shared" si="32"/>
        <v>88.831911207588618</v>
      </c>
      <c r="FM18" s="183">
        <f t="shared" si="33"/>
        <v>88.372336591737096</v>
      </c>
      <c r="FN18" s="183">
        <f t="shared" si="34"/>
        <v>87.598559048612927</v>
      </c>
      <c r="FO18" s="183">
        <f t="shared" si="35"/>
        <v>86.9441600269529</v>
      </c>
      <c r="FP18" s="183">
        <f t="shared" si="36"/>
        <v>86.152571486616139</v>
      </c>
      <c r="FQ18" s="314">
        <f>Sheet3!CV18</f>
        <v>2</v>
      </c>
      <c r="FR18" s="183">
        <v>5000</v>
      </c>
      <c r="FS18" s="183">
        <v>20</v>
      </c>
      <c r="FT18" s="183">
        <v>0.16919999999999999</v>
      </c>
      <c r="FU18" s="183">
        <v>24.76</v>
      </c>
      <c r="FV18" s="183">
        <v>211</v>
      </c>
      <c r="FW18" s="183">
        <v>41</v>
      </c>
      <c r="FX18" s="183">
        <v>432</v>
      </c>
      <c r="FY18" s="183">
        <v>10.26</v>
      </c>
      <c r="FZ18" s="183">
        <v>17.59</v>
      </c>
      <c r="GA18" s="183">
        <v>115</v>
      </c>
      <c r="GB18" s="186">
        <f>EXP($LP$6-($LQ$6/('Trial and Error method'!T18+$LP$8))) / ($LR$2/1000)</f>
        <v>0.34126630110081019</v>
      </c>
      <c r="GC18" s="183">
        <f>EXP($LP$6-($LQ$6/('Trial and Error method'!U18+$LP$8))) / ($LR$2/1000)</f>
        <v>0.1085296754621445</v>
      </c>
      <c r="GD18" s="183">
        <f>EXP($LP$6-($LQ$6/('Trial and Error method'!V18+$LP$8))) / ($LR$2/1000)</f>
        <v>0.10337229653364562</v>
      </c>
      <c r="GE18" s="183">
        <f>EXP($LP$6-($LQ$6/('Trial and Error method'!W18+$LP$8))) / ($LR$2/1000)</f>
        <v>9.8891052148958297E-2</v>
      </c>
      <c r="GF18" s="183">
        <f>EXP($LP$6-($LQ$6/('Trial and Error method'!X18+$LP$8))) / ($LR$2/1000)</f>
        <v>9.4630989411680813E-2</v>
      </c>
      <c r="GG18" s="183">
        <f>EXP($LP$6-($LQ$6/('Trial and Error method'!Y18+$LP$8))) / ($LR$2/1000)</f>
        <v>9.1645010205269439E-2</v>
      </c>
      <c r="GH18" s="183">
        <f>EXP($LP$6-($LQ$6/('Trial and Error method'!Z18+$LP$8))) / ($LR$2/1000)</f>
        <v>8.8569687396545763E-2</v>
      </c>
      <c r="GI18" s="183">
        <f>EXP($LP$6-($LQ$6/('Trial and Error method'!AA18+$LP$8))) / ($LR$2/1000)</f>
        <v>8.6720241327400888E-2</v>
      </c>
      <c r="GJ18" s="183">
        <f>EXP($LP$6-($LQ$6/('Trial and Error method'!AB18+$LP$8))) / ($LR$2/1000)</f>
        <v>7.582290217311792E-2</v>
      </c>
      <c r="GK18" s="188">
        <f t="shared" si="142"/>
        <v>0.68921153342832231</v>
      </c>
      <c r="GL18" s="165">
        <f t="shared" si="143"/>
        <v>0.80302165663445513</v>
      </c>
      <c r="GM18" s="165">
        <f t="shared" si="144"/>
        <v>0.80584407466219277</v>
      </c>
      <c r="GN18" s="165">
        <f t="shared" si="145"/>
        <v>0.80793372664558083</v>
      </c>
      <c r="GO18" s="165">
        <f t="shared" si="146"/>
        <v>0.81034640786434631</v>
      </c>
      <c r="GP18" s="165">
        <f t="shared" si="147"/>
        <v>0.81173759536894652</v>
      </c>
      <c r="GQ18" s="165">
        <f t="shared" si="148"/>
        <v>0.81358215924082733</v>
      </c>
      <c r="GR18" s="165">
        <f t="shared" si="149"/>
        <v>0.81444518345891093</v>
      </c>
      <c r="GS18" s="165">
        <f t="shared" si="150"/>
        <v>0.81988161354080802</v>
      </c>
      <c r="GT18" s="188">
        <f t="shared" si="38"/>
        <v>7.7812418326974733E-2</v>
      </c>
      <c r="GU18" s="165">
        <f t="shared" si="39"/>
        <v>6.6782240808960724E-2</v>
      </c>
      <c r="GV18" s="165">
        <f t="shared" si="40"/>
        <v>6.6548753027131813E-2</v>
      </c>
      <c r="GW18" s="165">
        <f t="shared" si="41"/>
        <v>6.6408648249664068E-2</v>
      </c>
      <c r="GX18" s="165">
        <f t="shared" si="42"/>
        <v>6.6209512480685836E-2</v>
      </c>
      <c r="GY18" s="165">
        <f t="shared" si="43"/>
        <v>6.6115829342746818E-2</v>
      </c>
      <c r="GZ18" s="165">
        <f t="shared" si="44"/>
        <v>6.5969024967478043E-2</v>
      </c>
      <c r="HA18" s="165">
        <f t="shared" si="45"/>
        <v>6.5931796648443314E-2</v>
      </c>
      <c r="HB18" s="165">
        <f t="shared" si="46"/>
        <v>6.5498736113941136E-2</v>
      </c>
      <c r="HC18" s="188">
        <f>BV18*Sheet3!DF18</f>
        <v>136.69960036997489</v>
      </c>
      <c r="HD18" s="165">
        <f>BW18*Sheet3!BZ18</f>
        <v>136.12450854903435</v>
      </c>
      <c r="HE18" s="165">
        <f>BX18*Sheet3!CA18</f>
        <v>129.18121010769357</v>
      </c>
      <c r="HF18" s="165">
        <f>BY18*Sheet3!CB18</f>
        <v>122.6552025463543</v>
      </c>
      <c r="HG18" s="165">
        <f>BZ18*Sheet3!CC18</f>
        <v>117.49888038502564</v>
      </c>
      <c r="HH18" s="165">
        <f>CA18*Sheet3!CD18</f>
        <v>114.18251377972769</v>
      </c>
      <c r="HI18" s="165">
        <f>CB18*Sheet3!CE18</f>
        <v>109.23868896393974</v>
      </c>
      <c r="HJ18" s="165">
        <f>CC18*Sheet3!CF18</f>
        <v>104.61136223592041</v>
      </c>
      <c r="HK18" s="165">
        <f>CD18*Sheet3!CG18</f>
        <v>99.611059523616447</v>
      </c>
      <c r="HL18" s="188">
        <f>(CE18*Sheet3!DF18)+2501</f>
        <v>2718.9797360684374</v>
      </c>
      <c r="HM18" s="165">
        <f>(CF18*Sheet3!BZ18)+2501</f>
        <v>2718.0661525406967</v>
      </c>
      <c r="HN18" s="165">
        <f>(CG18*Sheet3!CA18)+2501</f>
        <v>2707.4347104178723</v>
      </c>
      <c r="HO18" s="165">
        <f>(CH18*Sheet3!CB18)+2501</f>
        <v>2696.9782180534985</v>
      </c>
      <c r="HP18" s="165">
        <f>(CI18*Sheet3!CC18)+2501</f>
        <v>2689.1697514949678</v>
      </c>
      <c r="HQ18" s="165">
        <f>(CJ18*Sheet3!CD18)+2501</f>
        <v>2683.851212515623</v>
      </c>
      <c r="HR18" s="165">
        <f>(CK18*Sheet3!CE18)+2501</f>
        <v>2676.3249289613668</v>
      </c>
      <c r="HS18" s="165">
        <f>(CL18*Sheet3!CF18)+2501</f>
        <v>2668.8905116189931</v>
      </c>
      <c r="HT18" s="165">
        <f>(CM18*Sheet3!CG18)+2501</f>
        <v>2661.2069196891025</v>
      </c>
      <c r="HU18" s="188">
        <f>-0.0021*(Sheet3!DF18^2) - 2.2115*(Sheet3!DF18) + 2499</f>
        <v>2216.9050000000002</v>
      </c>
      <c r="HV18" s="165">
        <f>-0.0021*(Sheet3!BZ18^2) - 2.2115*(Sheet3!BZ18) + 2499</f>
        <v>2218.1690259529196</v>
      </c>
      <c r="HW18" s="165">
        <f>-0.0021*(Sheet3!CA18^2) - 2.2115*(Sheet3!CA18) + 2499</f>
        <v>2232.8348515728294</v>
      </c>
      <c r="HX18" s="165">
        <f>-0.0021*(Sheet3!CB18^2) - 2.2115*(Sheet3!CB18) + 2499</f>
        <v>2247.1796282169835</v>
      </c>
      <c r="HY18" s="165">
        <f>-0.0021*(Sheet3!CC18^2) - 2.2115*(Sheet3!CC18) + 2499</f>
        <v>2257.8391626642488</v>
      </c>
      <c r="HZ18" s="165">
        <f>-0.0021*(Sheet3!CD18^2) - 2.2115*(Sheet3!CD18) + 2499</f>
        <v>2265.0735109002162</v>
      </c>
      <c r="IA18" s="165">
        <f>-0.0021*(Sheet3!CE18^2) - 2.2115*(Sheet3!CE18) + 2499</f>
        <v>2275.2741869802021</v>
      </c>
      <c r="IB18" s="165">
        <f>-0.0021*(Sheet3!CF18^2) - 2.2115*(Sheet3!CF18) + 2499</f>
        <v>2285.3075752513732</v>
      </c>
      <c r="IC18" s="165">
        <f>-0.0021*(Sheet3!CG18^2) - 2.2115*(Sheet3!CG18) + 2499</f>
        <v>2295.6318764556163</v>
      </c>
      <c r="ID18" s="188">
        <f t="shared" si="47"/>
        <v>0.7114052579757445</v>
      </c>
      <c r="IE18" s="165">
        <f t="shared" si="48"/>
        <v>0.7117951011330399</v>
      </c>
      <c r="IF18" s="165">
        <f t="shared" si="49"/>
        <v>0.71529756469037808</v>
      </c>
      <c r="IG18" s="165">
        <f t="shared" si="50"/>
        <v>0.72031963285214295</v>
      </c>
      <c r="IH18" s="165">
        <f t="shared" si="51"/>
        <v>0.72276649237059065</v>
      </c>
      <c r="II18" s="165">
        <f t="shared" si="52"/>
        <v>0.72549988035810598</v>
      </c>
      <c r="IJ18" s="165">
        <f t="shared" si="53"/>
        <v>0.72804994159649739</v>
      </c>
      <c r="IK18" s="165">
        <f t="shared" si="54"/>
        <v>0.73213108185417419</v>
      </c>
      <c r="IL18" s="165">
        <f t="shared" si="55"/>
        <v>0.73510053691242405</v>
      </c>
      <c r="IM18" s="188">
        <f t="shared" si="56"/>
        <v>-10.674738814184115</v>
      </c>
      <c r="IN18" s="165">
        <f t="shared" si="151"/>
        <v>25.307858347479605</v>
      </c>
      <c r="IO18" s="165">
        <f t="shared" si="152"/>
        <v>26.036686008160039</v>
      </c>
      <c r="IP18" s="165">
        <f t="shared" si="153"/>
        <v>26.816251360054615</v>
      </c>
      <c r="IQ18" s="165">
        <f t="shared" si="154"/>
        <v>27.379447700541757</v>
      </c>
      <c r="IR18" s="165">
        <f t="shared" si="155"/>
        <v>27.87400419140981</v>
      </c>
      <c r="IS18" s="165">
        <f t="shared" si="156"/>
        <v>28.282787773248518</v>
      </c>
      <c r="IT18" s="165">
        <f t="shared" si="157"/>
        <v>28.668464994879283</v>
      </c>
      <c r="IU18" s="165">
        <f t="shared" si="158"/>
        <v>30.137246543870738</v>
      </c>
      <c r="IV18" s="188">
        <f>_xlfn.FORECAST.LINEAR(Sheet3!DF18,Sheet2!$AK$2:$AK$69,Sheet2!$AJ$2:$AJ$69)</f>
        <v>1.2811804086396453E-5</v>
      </c>
      <c r="IW18" s="165">
        <f>_xlfn.FORECAST.LINEAR(Sheet3!BZ18,Sheet2!$AK$2:$AK$69,Sheet2!$AJ$2:$AJ$69)</f>
        <v>1.279537333371018E-5</v>
      </c>
      <c r="IX18" s="165">
        <f>_xlfn.FORECAST.LINEAR(Sheet3!CA18,Sheet2!$AK$2:$AK$69,Sheet2!$AJ$2:$AJ$69)</f>
        <v>1.2603849091921561E-5</v>
      </c>
      <c r="IY18" s="165">
        <f>_xlfn.FORECAST.LINEAR(Sheet3!CB18,Sheet2!$AK$2:$AK$69,Sheet2!$AJ$2:$AJ$69)</f>
        <v>1.2414909329525012E-5</v>
      </c>
      <c r="IZ18" s="165">
        <f>_xlfn.FORECAST.LINEAR(Sheet3!CC18,Sheet2!$AK$2:$AK$69,Sheet2!$AJ$2:$AJ$69)</f>
        <v>1.2273454574986261E-5</v>
      </c>
      <c r="JA18" s="165">
        <f>_xlfn.FORECAST.LINEAR(Sheet3!CD18,Sheet2!$AK$2:$AK$69,Sheet2!$AJ$2:$AJ$69)</f>
        <v>1.2176930728251995E-5</v>
      </c>
      <c r="JB18" s="165">
        <f>_xlfn.FORECAST.LINEAR(Sheet3!CE18,Sheet2!$AK$2:$AK$69,Sheet2!$AJ$2:$AJ$69)</f>
        <v>1.204009901101383E-5</v>
      </c>
      <c r="JC18" s="165">
        <f>_xlfn.FORECAST.LINEAR(Sheet3!CF18,Sheet2!$AK$2:$AK$69,Sheet2!$AJ$2:$AJ$69)</f>
        <v>1.1904663942874073E-5</v>
      </c>
      <c r="JD18" s="165">
        <f>_xlfn.FORECAST.LINEAR(Sheet3!CG18,Sheet2!$AK$2:$AK$69,Sheet2!$AJ$2:$AJ$69)</f>
        <v>1.1764407864122685E-5</v>
      </c>
      <c r="JE18" s="188">
        <f>_xlfn.FORECAST.LINEAR(Sheet3!DF18,New!$MC$2:$MC$18,New!$MB$2:$MB$18)</f>
        <v>2.214324918296784E-5</v>
      </c>
      <c r="JF18" s="165">
        <f>_xlfn.FORECAST.LINEAR(Sheet3!BZ18,New!$MC$2:$MC$18,New!$MB$2:$MB$18)</f>
        <v>2.2123934436600591E-5</v>
      </c>
      <c r="JG18" s="165">
        <f>_xlfn.FORECAST.LINEAR(Sheet3!CA18,New!$MC$2:$MC$18,New!$MB$2:$MB$18)</f>
        <v>2.1898793067610375E-5</v>
      </c>
      <c r="JH18" s="165">
        <f>_xlfn.FORECAST.LINEAR(Sheet3!CB18,New!$MC$2:$MC$18,New!$MB$2:$MB$18)</f>
        <v>2.1676689816526407E-5</v>
      </c>
      <c r="JI18" s="165">
        <f>_xlfn.FORECAST.LINEAR(Sheet3!CC18,New!$MC$2:$MC$18,New!$MB$2:$MB$18)</f>
        <v>2.1510406338311786E-5</v>
      </c>
      <c r="JJ18" s="165">
        <f>_xlfn.FORECAST.LINEAR(Sheet3!CD18,New!$MC$2:$MC$18,New!$MB$2:$MB$18)</f>
        <v>2.1396940226706245E-5</v>
      </c>
      <c r="JK18" s="165">
        <f>_xlfn.FORECAST.LINEAR(Sheet3!CE18,New!$MC$2:$MC$18,New!$MB$2:$MB$18)</f>
        <v>2.1236091240423438E-5</v>
      </c>
      <c r="JL18" s="165">
        <f>_xlfn.FORECAST.LINEAR(Sheet3!CF18,New!$MC$2:$MC$18,New!$MB$2:$MB$18)</f>
        <v>2.1076884048866348E-5</v>
      </c>
      <c r="JM18" s="165">
        <f>_xlfn.FORECAST.LINEAR(Sheet3!CG18,New!$MC$2:$MC$18,New!$MB$2:$MB$18)</f>
        <v>2.0912009642971879E-5</v>
      </c>
      <c r="JN18" s="188">
        <f t="shared" si="159"/>
        <v>1.9524473189280749E-5</v>
      </c>
      <c r="JO18" s="165">
        <f t="shared" si="160"/>
        <v>1.9505530483256075E-5</v>
      </c>
      <c r="JP18" s="165">
        <f t="shared" si="161"/>
        <v>1.9290734402692881E-5</v>
      </c>
      <c r="JQ18" s="165">
        <f t="shared" si="162"/>
        <v>1.9071611212121836E-5</v>
      </c>
      <c r="JR18" s="165">
        <f t="shared" si="163"/>
        <v>1.8914893269428317E-5</v>
      </c>
      <c r="JS18" s="165">
        <f t="shared" si="164"/>
        <v>1.8802901212408248E-5</v>
      </c>
      <c r="JT18" s="165">
        <f t="shared" si="165"/>
        <v>1.8651139072998866E-5</v>
      </c>
      <c r="JU18" s="165">
        <f t="shared" si="166"/>
        <v>1.8493843444029762E-5</v>
      </c>
      <c r="JV18" s="165">
        <f t="shared" si="167"/>
        <v>1.8337547228353107E-5</v>
      </c>
      <c r="JW18" s="188">
        <f t="shared" si="66"/>
        <v>1.0286695457519455</v>
      </c>
      <c r="JX18" s="165">
        <f t="shared" si="67"/>
        <v>1.0288971188931813</v>
      </c>
      <c r="JY18" s="165">
        <f t="shared" si="68"/>
        <v>1.0315919447117203</v>
      </c>
      <c r="JZ18" s="165">
        <f t="shared" si="69"/>
        <v>1.034328797142219</v>
      </c>
      <c r="KA18" s="165">
        <f t="shared" si="70"/>
        <v>1.0364308756624401</v>
      </c>
      <c r="KB18" s="165">
        <f t="shared" si="71"/>
        <v>1.0378922251696725</v>
      </c>
      <c r="KC18" s="165">
        <f t="shared" si="72"/>
        <v>1.0400024356022943</v>
      </c>
      <c r="KD18" s="165">
        <f t="shared" si="73"/>
        <v>1.0421370286819884</v>
      </c>
      <c r="KE18" s="165">
        <f t="shared" si="74"/>
        <v>1.044397391690987</v>
      </c>
      <c r="KF18" s="188">
        <f t="shared" si="75"/>
        <v>0.95677344983303514</v>
      </c>
      <c r="KG18" s="165">
        <f t="shared" si="76"/>
        <v>0.95659221318410392</v>
      </c>
      <c r="KH18" s="165">
        <f t="shared" si="77"/>
        <v>0.95445454029672394</v>
      </c>
      <c r="KI18" s="165">
        <f t="shared" si="78"/>
        <v>0.95229936836663576</v>
      </c>
      <c r="KJ18" s="165">
        <f t="shared" si="79"/>
        <v>0.95065478505663714</v>
      </c>
      <c r="KK18" s="165">
        <f t="shared" si="80"/>
        <v>0.94951692794245379</v>
      </c>
      <c r="KL18" s="165">
        <f t="shared" si="81"/>
        <v>0.94788166595200574</v>
      </c>
      <c r="KM18" s="165">
        <f t="shared" si="82"/>
        <v>0.94623683942290737</v>
      </c>
      <c r="KN18" s="165">
        <f t="shared" si="83"/>
        <v>0.94450524047127427</v>
      </c>
      <c r="KO18" s="188">
        <f t="shared" si="84"/>
        <v>0.60117646831333071</v>
      </c>
      <c r="KP18" s="165">
        <f t="shared" si="85"/>
        <v>0.60088720256439931</v>
      </c>
      <c r="KQ18" s="165">
        <f t="shared" si="86"/>
        <v>0.5968933971568634</v>
      </c>
      <c r="KR18" s="165">
        <f t="shared" si="87"/>
        <v>0.59285322385949046</v>
      </c>
      <c r="KS18" s="165">
        <f t="shared" si="88"/>
        <v>0.58981221446929089</v>
      </c>
      <c r="KT18" s="165">
        <f t="shared" si="89"/>
        <v>0.58769103180789195</v>
      </c>
      <c r="KU18" s="165">
        <f t="shared" si="90"/>
        <v>0.58468325888751094</v>
      </c>
      <c r="KV18" s="165">
        <f t="shared" si="91"/>
        <v>0.58163302202439304</v>
      </c>
      <c r="KW18" s="165">
        <f t="shared" si="92"/>
        <v>0.5785542623501303</v>
      </c>
      <c r="KX18" s="188">
        <f>AVERAGE(Sheet3!J18:P18)*KO18^(1/3)/ID18^(1/3)</f>
        <v>151.52133219873284</v>
      </c>
      <c r="KY18" s="165">
        <f>Sheet3!J18*KP18^(1/3)/IE18^(1/3)</f>
        <v>125.40826265462367</v>
      </c>
      <c r="KZ18" s="165">
        <f>Sheet3!K18*KQ18^(1/3)/IF18^(1/3)</f>
        <v>134.76479846730138</v>
      </c>
      <c r="LA18" s="165">
        <f>Sheet3!L18*KR18^(1/3)/IG18^(1/3)</f>
        <v>144.73628868286079</v>
      </c>
      <c r="LB18" s="165">
        <f>Sheet3!M18*KS18^(1/3)/IH18^(1/3)</f>
        <v>152.38826946390421</v>
      </c>
      <c r="LC18" s="165">
        <f>Sheet3!N18*KT18^(1/3)/II18^(1/3)</f>
        <v>159.89028943209263</v>
      </c>
      <c r="LD18" s="165">
        <f>Sheet3!O18*KU18^(1/3)/IJ18^(1/3)</f>
        <v>165.45668756174965</v>
      </c>
      <c r="LE18" s="165">
        <f>Sheet3!P18*KV18^(1/3)/IK18^(1/3)</f>
        <v>165.77757324212871</v>
      </c>
      <c r="LF18" s="165">
        <f>Sheet3!Q18*KW18^(1/3)/IL18^(1/3)</f>
        <v>157.73990792437482</v>
      </c>
      <c r="LG18" s="186">
        <f t="shared" si="93"/>
        <v>25.902134021661634</v>
      </c>
      <c r="LH18" s="183">
        <f t="shared" si="94"/>
        <v>25.907055685756628</v>
      </c>
      <c r="LI18" s="183">
        <f t="shared" si="95"/>
        <v>26.260179157407524</v>
      </c>
      <c r="LJ18" s="183">
        <f t="shared" si="96"/>
        <v>26.264149932467781</v>
      </c>
      <c r="LK18" s="183">
        <f t="shared" si="97"/>
        <v>26.641139953859369</v>
      </c>
      <c r="LL18" s="183">
        <f t="shared" si="98"/>
        <v>26.645855004964211</v>
      </c>
      <c r="LM18" s="183">
        <f t="shared" si="99"/>
        <v>27.022389166976179</v>
      </c>
      <c r="LN18" s="183">
        <f t="shared" si="100"/>
        <v>27.027896352850036</v>
      </c>
      <c r="LO18" s="183">
        <f t="shared" si="101"/>
        <v>27.39674042154558</v>
      </c>
      <c r="LP18" s="220"/>
      <c r="LQ18" s="220"/>
      <c r="LR18" s="220"/>
      <c r="LS18" s="220"/>
      <c r="LT18" s="220"/>
      <c r="LU18" s="220"/>
      <c r="LV18" s="220"/>
      <c r="LW18" s="220"/>
      <c r="LX18" s="220"/>
      <c r="LY18" s="220"/>
      <c r="LZ18" s="222">
        <v>99.63</v>
      </c>
      <c r="MA18" s="220">
        <v>1.2E-5</v>
      </c>
      <c r="MB18" s="220">
        <v>300</v>
      </c>
      <c r="MC18" s="220">
        <v>2.9280000000000001E-5</v>
      </c>
      <c r="MD18" s="188">
        <f>Sheet3!DP18</f>
        <v>258.68829501093569</v>
      </c>
      <c r="ME18" s="264">
        <v>170</v>
      </c>
      <c r="MF18" s="264">
        <v>7.92</v>
      </c>
      <c r="MG18" s="264">
        <v>2.5830000000000002</v>
      </c>
      <c r="MH18" s="264">
        <v>4.1219999999999999</v>
      </c>
      <c r="MI18" s="264">
        <v>14.72</v>
      </c>
      <c r="MJ18" s="264">
        <v>3.57</v>
      </c>
      <c r="MK18" s="273">
        <v>160</v>
      </c>
      <c r="ML18" s="267">
        <v>6.18</v>
      </c>
      <c r="MM18" s="267">
        <v>3.258</v>
      </c>
      <c r="MN18" s="267">
        <v>2.4790000000000001</v>
      </c>
      <c r="MO18" s="267">
        <v>14.32</v>
      </c>
      <c r="MP18" s="274">
        <v>4.3899999999999997</v>
      </c>
      <c r="MQ18"/>
      <c r="MR18"/>
      <c r="MS18"/>
    </row>
    <row r="19" spans="1:357" ht="15" thickBot="1" x14ac:dyDescent="0.35">
      <c r="A19" s="184" t="str">
        <f>Sheet3!A19</f>
        <v>09.12.2022</v>
      </c>
      <c r="B19" s="186">
        <f t="shared" si="102"/>
        <v>0.77712282000464705</v>
      </c>
      <c r="C19" s="183">
        <f t="shared" si="103"/>
        <v>0.77655564522091947</v>
      </c>
      <c r="D19" s="183">
        <f t="shared" si="0"/>
        <v>0.77210549441575027</v>
      </c>
      <c r="E19" s="183">
        <f t="shared" si="1"/>
        <v>0.76779396901105434</v>
      </c>
      <c r="F19" s="183">
        <f t="shared" si="2"/>
        <v>0.76306714474555237</v>
      </c>
      <c r="G19" s="183">
        <f t="shared" si="3"/>
        <v>0.75926082081045654</v>
      </c>
      <c r="H19" s="183">
        <f t="shared" si="4"/>
        <v>0.75565168111675807</v>
      </c>
      <c r="I19" s="183">
        <f t="shared" si="5"/>
        <v>0.73039634055881875</v>
      </c>
      <c r="J19" s="183">
        <f t="shared" si="6"/>
        <v>0.74769917053646984</v>
      </c>
      <c r="K19" s="186">
        <f xml:space="preserve"> (6.057 * (10^(-6)))
+ (4.055 * (10^(-8)) * (Sheet3!DF19 + 273))
+ (1.25 * (10^(-10)) * (Sheet3!DF19 + 273)^2)
- (3.367 * (10^(-14)) * (DD19 + 273)^3)</f>
        <v>3.5901792327924842E-5</v>
      </c>
      <c r="L19" s="183">
        <f xml:space="preserve"> (6.057 * (10^(-6)))
+ (4.055 * (10^(-8)) * (Sheet3!BZ19 + 273))
+ (1.25 * (10^(-10)) * (Sheet3!BZ19 + 273)^2)
- (3.367 * (10^(-14)) * (BX19 + 273)^3)</f>
        <v>3.5865970572565551E-5</v>
      </c>
      <c r="M19" s="183">
        <f xml:space="preserve"> (6.057 * (10^(-6)))
+ (4.055 * (10^(-8)) * (Sheet3!CA19 + 273))
+ (1.25 * (10^(-10)) * (Sheet3!CA19 + 273)^2)
- (3.367 * (10^(-14)) * (BY19 + 273)^3)</f>
        <v>3.5564422785210216E-5</v>
      </c>
      <c r="N19" s="183">
        <f xml:space="preserve"> (6.057 * (10^(-6)))
+ (4.055 * (10^(-8)) * (Sheet3!CB19 + 273))
+ (1.25 * (10^(-10)) * (Sheet3!CB19 + 273)^2)
- (3.367 * (10^(-14)) * (BZ19 + 273)^3)</f>
        <v>3.5329442156582852E-5</v>
      </c>
      <c r="O19" s="183">
        <f xml:space="preserve"> (6.057 * (10^(-6)))
+ (4.055 * (10^(-8)) * (Sheet3!CC19 + 273))
+ (1.25 * (10^(-10)) * (Sheet3!CC19 + 273)^2)
- (3.367 * (10^(-14)) * (CA19 + 273)^3)</f>
        <v>3.502005622735851E-5</v>
      </c>
      <c r="P19" s="183">
        <f xml:space="preserve"> (6.057 * (10^(-6)))
+ (4.055 * (10^(-8)) * (Sheet3!CD19 + 273))
+ (1.25 * (10^(-10)) * (Sheet3!CD19 + 273)^2)
- (3.367 * (10^(-14)) * (CB19 + 273)^3)</f>
        <v>3.4817216665534366E-5</v>
      </c>
      <c r="Q19" s="183">
        <f xml:space="preserve"> (6.057 * (10^(-6)))
+ (4.055 * (10^(-8)) * (Sheet3!CE19 + 273))
+ (1.25 * (10^(-10)) * (Sheet3!CE19 + 273)^2)
- (3.367 * (10^(-14)) * (CC19 + 273)^3)</f>
        <v>3.4575068060860313E-5</v>
      </c>
      <c r="R19" s="183">
        <f xml:space="preserve"> (6.057 * (10^(-6)))
+ (4.055 * (10^(-8)) * (Sheet3!CF19 + 273))
+ (1.25 * (10^(-10)) * (Sheet3!CF19 + 273)^2)
- (3.367 * (10^(-14)) * (CD19 + 273)^3)</f>
        <v>3.3287335815737592E-5</v>
      </c>
      <c r="S19" s="183">
        <f xml:space="preserve"> (6.057 * (10^(-6)))
+ (4.055 * (10^(-8)) * (Sheet3!CG19 + 273))
+ (1.25 * (10^(-10)) * (Sheet3!CG19 + 273)^2)
- (3.367 * (10^(-14)) * (CE19 + 273)^3)</f>
        <v>3.4090840549468204E-5</v>
      </c>
      <c r="T19" s="188">
        <f t="shared" si="104"/>
        <v>3.5901792327924842E-5</v>
      </c>
      <c r="U19" s="165">
        <f t="shared" si="105"/>
        <v>3.5865970572565551E-5</v>
      </c>
      <c r="V19" s="165">
        <f t="shared" si="106"/>
        <v>3.5564422785210216E-5</v>
      </c>
      <c r="W19" s="165">
        <f t="shared" si="107"/>
        <v>3.5329442156582852E-5</v>
      </c>
      <c r="X19" s="165">
        <f t="shared" si="108"/>
        <v>3.502005622735851E-5</v>
      </c>
      <c r="Y19" s="165">
        <f t="shared" si="109"/>
        <v>3.4817216665534366E-5</v>
      </c>
      <c r="Z19" s="165">
        <f t="shared" si="110"/>
        <v>3.4575068060860313E-5</v>
      </c>
      <c r="AA19" s="165">
        <f t="shared" si="111"/>
        <v>3.3287335815737592E-5</v>
      </c>
      <c r="AB19" s="165">
        <f t="shared" si="112"/>
        <v>3.4090840549468204E-5</v>
      </c>
      <c r="AC19" s="186">
        <f t="shared" si="8"/>
        <v>2.7900102097098154E-5</v>
      </c>
      <c r="AD19" s="183">
        <f t="shared" si="9"/>
        <v>2.785192191945315E-5</v>
      </c>
      <c r="AE19" s="183">
        <f t="shared" si="10"/>
        <v>2.7459486238185508E-5</v>
      </c>
      <c r="AF19" s="183">
        <f t="shared" si="11"/>
        <v>2.712573261634921E-5</v>
      </c>
      <c r="AG19" s="183">
        <f t="shared" si="12"/>
        <v>2.6722654314239159E-5</v>
      </c>
      <c r="AH19" s="183">
        <f t="shared" si="13"/>
        <v>2.6435348503809131E-5</v>
      </c>
      <c r="AI19" s="183">
        <f t="shared" si="14"/>
        <v>2.6126708304915425E-5</v>
      </c>
      <c r="AJ19" s="183">
        <f t="shared" si="15"/>
        <v>2.431294826676724E-5</v>
      </c>
      <c r="AK19" s="183">
        <f t="shared" si="16"/>
        <v>2.5489693201728427E-5</v>
      </c>
      <c r="AL19" s="186">
        <f t="shared" si="113"/>
        <v>2.9123513212496968E-2</v>
      </c>
      <c r="AM19" s="183">
        <f t="shared" si="114"/>
        <v>2.9092411245951355E-2</v>
      </c>
      <c r="AN19" s="183">
        <f t="shared" si="115"/>
        <v>2.8820936452755588E-2</v>
      </c>
      <c r="AO19" s="183">
        <f t="shared" si="116"/>
        <v>2.8606608373670177E-2</v>
      </c>
      <c r="AP19" s="183">
        <f t="shared" si="117"/>
        <v>2.8325909845016192E-2</v>
      </c>
      <c r="AQ19" s="183">
        <f t="shared" si="118"/>
        <v>2.8139285195319014E-2</v>
      </c>
      <c r="AR19" s="183">
        <f t="shared" si="119"/>
        <v>2.7918649433196014E-2</v>
      </c>
      <c r="AS19" s="183">
        <f t="shared" si="120"/>
        <v>2.6712849836686328E-2</v>
      </c>
      <c r="AT19" s="183">
        <f t="shared" si="121"/>
        <v>2.7477665738834076E-2</v>
      </c>
      <c r="AU19" s="186">
        <f>_xlfn.FORECAST.LINEAR(Sheet3!DF19,Sheet2!$AH$2:$AH$40,Sheet2!$AG$2:$AG$40)</f>
        <v>2.5653712965492358E-2</v>
      </c>
      <c r="AV19" s="183">
        <f>_xlfn.FORECAST.LINEAR(Sheet3!BZ19,Sheet2!$AH$2:$AH$40,Sheet2!$AG$2:$AG$40)</f>
        <v>2.5586494093401958E-2</v>
      </c>
      <c r="AW19" s="183">
        <f>_xlfn.FORECAST.LINEAR(Sheet3!CA19,Sheet2!$AH$2:$AH$40,Sheet2!$AG$2:$AG$40)</f>
        <v>2.499557895841285E-2</v>
      </c>
      <c r="AX19" s="183">
        <f>_xlfn.FORECAST.LINEAR(Sheet3!CB19,Sheet2!$AH$2:$AH$40,Sheet2!$AG$2:$AG$40)</f>
        <v>2.4533233839704544E-2</v>
      </c>
      <c r="AY19" s="183">
        <f>_xlfn.FORECAST.LINEAR(Sheet3!CC19,Sheet2!$AH$2:$AH$40,Sheet2!$AG$2:$AG$40)</f>
        <v>2.3922030322180994E-2</v>
      </c>
      <c r="AZ19" s="183">
        <f>_xlfn.FORECAST.LINEAR(Sheet3!CD19,Sheet2!$AH$2:$AH$40,Sheet2!$AG$2:$AG$40)</f>
        <v>2.3519726828575078E-2</v>
      </c>
      <c r="BA19" s="183">
        <f>_xlfn.FORECAST.LINEAR(Sheet3!CE19,Sheet2!$AH$2:$AH$40,Sheet2!$AG$2:$AG$40)</f>
        <v>2.3037825858702544E-2</v>
      </c>
      <c r="BB19" s="183">
        <f>_xlfn.FORECAST.LINEAR(Sheet3!CF19,Sheet2!$AH$2:$AH$40,Sheet2!$AG$2:$AG$40)</f>
        <v>2.04445760748878E-2</v>
      </c>
      <c r="BC19" s="183">
        <f>_xlfn.FORECAST.LINEAR(Sheet3!CG19,Sheet2!$AH$2:$AH$40,Sheet2!$AG$2:$AG$40)</f>
        <v>2.2079570323594516E-2</v>
      </c>
      <c r="BD19" s="186">
        <f>_xlfn.FORECAST.LINEAR(Sheet3!DF19,Sheet2!$AB$12:$AB$37,Sheet2!$AA$12:$AA$37)/1000</f>
        <v>3.0506351161118033E-2</v>
      </c>
      <c r="BE19" s="183">
        <f>_xlfn.FORECAST.LINEAR(Sheet3!BZ19,Sheet2!$AB$12:$AB$37,Sheet2!$AA$12:$AA$37)/1000</f>
        <v>3.0491322577202225E-2</v>
      </c>
      <c r="BF19" s="183">
        <f>_xlfn.FORECAST.LINEAR(Sheet3!CA19,Sheet2!$AB$12:$AB$37,Sheet2!$AA$12:$AA$37)/1000</f>
        <v>3.0359207630653303E-2</v>
      </c>
      <c r="BG19" s="183">
        <f>_xlfn.FORECAST.LINEAR(Sheet3!CB19,Sheet2!$AB$12:$AB$37,Sheet2!$AA$12:$AA$37)/1000</f>
        <v>3.0255837963795079E-2</v>
      </c>
      <c r="BH19" s="183">
        <f>_xlfn.FORECAST.LINEAR(Sheet3!CC19,Sheet2!$AB$12:$AB$37,Sheet2!$AA$12:$AA$37)/1000</f>
        <v>3.0119187004517097E-2</v>
      </c>
      <c r="BI19" s="183">
        <f>_xlfn.FORECAST.LINEAR(Sheet3!CD19,Sheet2!$AB$12:$AB$37,Sheet2!$AA$12:$AA$37)/1000</f>
        <v>3.002924125527652E-2</v>
      </c>
      <c r="BJ19" s="183">
        <f>_xlfn.FORECAST.LINEAR(Sheet3!CE19,Sheet2!$AB$12:$AB$37,Sheet2!$AA$12:$AA$37)/1000</f>
        <v>2.9921499352748064E-2</v>
      </c>
      <c r="BK19" s="183">
        <f>_xlfn.FORECAST.LINEAR(Sheet3!CF19,Sheet2!$AB$12:$AB$37,Sheet2!$AA$12:$AA$37)/1000</f>
        <v>2.9341708725819857E-2</v>
      </c>
      <c r="BL19" s="183">
        <f>_xlfn.FORECAST.LINEAR(Sheet3!CG19,Sheet2!$AB$12:$AB$37,Sheet2!$AA$12:$AA$37)/1000</f>
        <v>2.9707255595387973E-2</v>
      </c>
      <c r="BM19" s="186">
        <f t="shared" si="122"/>
        <v>0.87740981834435194</v>
      </c>
      <c r="BN19" s="183">
        <f t="shared" si="123"/>
        <v>0.87806251589651407</v>
      </c>
      <c r="BO19" s="183">
        <f t="shared" si="124"/>
        <v>0.88398453403152999</v>
      </c>
      <c r="BP19" s="183">
        <f t="shared" si="125"/>
        <v>0.88853546537325878</v>
      </c>
      <c r="BQ19" s="183">
        <f t="shared" si="126"/>
        <v>0.89479907738457165</v>
      </c>
      <c r="BR19" s="183">
        <f t="shared" si="127"/>
        <v>0.89885328587213198</v>
      </c>
      <c r="BS19" s="183">
        <f t="shared" si="128"/>
        <v>0.90392819653148382</v>
      </c>
      <c r="BT19" s="183">
        <f t="shared" si="129"/>
        <v>0.93126886889361282</v>
      </c>
      <c r="BU19" s="183">
        <f t="shared" si="130"/>
        <v>0.91404470412378258</v>
      </c>
      <c r="BV19" s="186">
        <f t="shared" si="131"/>
        <v>1.1896945742792793</v>
      </c>
      <c r="BW19" s="183">
        <f t="shared" si="19"/>
        <v>1.1895949485846968</v>
      </c>
      <c r="BX19" s="183">
        <f t="shared" si="20"/>
        <v>1.1873288312515393</v>
      </c>
      <c r="BY19" s="183">
        <f t="shared" si="21"/>
        <v>1.1868890602192779</v>
      </c>
      <c r="BZ19" s="183">
        <f t="shared" si="22"/>
        <v>1.1846191453896679</v>
      </c>
      <c r="CA19" s="183">
        <f t="shared" si="23"/>
        <v>1.1842385941214006</v>
      </c>
      <c r="CB19" s="183">
        <f t="shared" si="24"/>
        <v>1.18215867944006</v>
      </c>
      <c r="CC19" s="183">
        <f t="shared" si="25"/>
        <v>1.1797976085680482</v>
      </c>
      <c r="CD19" s="183">
        <f t="shared" si="26"/>
        <v>1.1793637943599062</v>
      </c>
      <c r="CE19" s="187">
        <f xml:space="preserve"> -0.0000000019505*Sheet3!DF19^3 + 0.0000015497*Sheet3!DF19^2  + 0.00016911*Sheet3!DF19 + 1.8585</f>
        <v>1.8828730816875001</v>
      </c>
      <c r="CF19" s="185">
        <f xml:space="preserve"> -0.0000000019505*Sheet3!BZ19^3 + 0.0000015497*Sheet3!BZ19^2  + 0.00016911*Sheet3!BZ19 + 1.8585</f>
        <v>1.8827699295639055</v>
      </c>
      <c r="CG19" s="185">
        <f xml:space="preserve"> -0.0000000019505*Sheet3!CA19^3 + 0.0000015497*Sheet3!CA19^2  + 0.00016911*Sheet3!CA19 + 1.8585</f>
        <v>1.8818694980730768</v>
      </c>
      <c r="CH19" s="185">
        <f xml:space="preserve"> -0.0000000019505*Sheet3!CB19^3 + 0.0000015497*Sheet3!CB19^2  + 0.00016911*Sheet3!CB19 + 1.8585</f>
        <v>1.8811730212133968</v>
      </c>
      <c r="CI19" s="185">
        <f xml:space="preserve"> -0.0000000019505*Sheet3!CC19^3 + 0.0000015497*Sheet3!CC19^2  + 0.00016911*Sheet3!CC19 + 1.8585</f>
        <v>1.8802632680794995</v>
      </c>
      <c r="CJ19" s="185">
        <f xml:space="preserve"> -0.0000000019505*Sheet3!CD19^3 + 0.0000015497*Sheet3!CD19^2  + 0.00016911*Sheet3!CD19 + 1.8585</f>
        <v>1.8796713392726201</v>
      </c>
      <c r="CK19" s="185">
        <f xml:space="preserve"> -0.0000000019505*Sheet3!CE19^3 + 0.0000015497*Sheet3!CE19^2  + 0.00016911*Sheet3!CE19 + 1.8585</f>
        <v>1.8789695651580618</v>
      </c>
      <c r="CL19" s="185">
        <f xml:space="preserve"> -0.0000000019505*Sheet3!CF19^3 + 0.0000015497*Sheet3!CF19^2  + 0.00016911*Sheet3!CF19 + 1.8585</f>
        <v>1.8753324768506927</v>
      </c>
      <c r="CM19" s="185">
        <f xml:space="preserve"> -0.0000000019505*Sheet3!CG19^3 + 0.0000015497*Sheet3!CG19^2  + 0.00016911*Sheet3!CG19 + 1.8585</f>
        <v>1.8775979430968801</v>
      </c>
      <c r="CN19" s="186">
        <f>_xlfn.FORECAST.LINEAR(Sheet3!DF19,New!$LU$2:$LU$14,New!$LT$2:$LT$14)</f>
        <v>1.0126209368728181</v>
      </c>
      <c r="CO19" s="183">
        <f>_xlfn.FORECAST.LINEAR(Sheet3!BZ19,New!$LU$2:$LU$14,New!$LT$2:$LT$14)</f>
        <v>1.0125714629010965</v>
      </c>
      <c r="CP19" s="183">
        <f>_xlfn.FORECAST.LINEAR(Sheet3!CA19,New!$LU$2:$LU$14,New!$LT$2:$LT$14)</f>
        <v>1.0121365416093639</v>
      </c>
      <c r="CQ19" s="183">
        <f>_xlfn.FORECAST.LINEAR(Sheet3!CB19,New!$LU$2:$LU$14,New!$LT$2:$LT$14)</f>
        <v>1.0117962495363602</v>
      </c>
      <c r="CR19" s="183">
        <f>_xlfn.FORECAST.LINEAR(Sheet3!CC19,New!$LU$2:$LU$14,New!$LT$2:$LT$14)</f>
        <v>1.0113463957289135</v>
      </c>
      <c r="CS19" s="183">
        <f>_xlfn.FORECAST.LINEAR(Sheet3!CD19,New!$LU$2:$LU$14,New!$LT$2:$LT$14)</f>
        <v>1.0110502950796878</v>
      </c>
      <c r="CT19" s="183">
        <f>_xlfn.FORECAST.LINEAR(Sheet3!CE19,New!$LU$2:$LU$14,New!$LT$2:$LT$14)</f>
        <v>1.0106956096436683</v>
      </c>
      <c r="CU19" s="183">
        <f>_xlfn.FORECAST.LINEAR(Sheet3!CF19,New!$LU$2:$LU$14,New!$LT$2:$LT$14)</f>
        <v>1.0087869437812136</v>
      </c>
      <c r="CV19" s="183">
        <f>_xlfn.FORECAST.LINEAR(Sheet3!CG19,New!$LU$2:$LU$14,New!$LT$2:$LT$14)</f>
        <v>1.0099903209982073</v>
      </c>
      <c r="CW19" s="186">
        <f>EXP((17.625*Sheet3!BA19)/(243.04+Sheet3!BA19)) / EXP((17.625*Sheet3!DF19)/(243.04+Sheet3!DF19))</f>
        <v>1.0001194253410901</v>
      </c>
      <c r="CX19" s="183">
        <f>EXP((17.625*(Sheet3!BC19+273))/(243.04+(Sheet3!BC19+273)))/EXP((17.625*(Sheet3!BZ19+273))/(243.04+(Sheet3!BZ19+273)))</f>
        <v>0.78350219155418543</v>
      </c>
      <c r="CY19" s="183">
        <f>EXP((17.625*(Sheet3!BE19+273))/(243.04+(Sheet3!BE19+273))) / EXP((17.625*(Sheet3!CA19+273))/(243.04+(Sheet3!CA19+273)))</f>
        <v>0.80511142647872946</v>
      </c>
      <c r="CZ19" s="183">
        <f>EXP((17.625*(Sheet3!BG19+273))/(243.04+(Sheet3!BG19+273))) / EXP((17.625*(Sheet3!CB19+273))/(243.04+(Sheet3!CB19+273)))</f>
        <v>0.821612868410871</v>
      </c>
      <c r="DA19" s="183">
        <f>EXP((17.625*(Sheet3!BI19+273))/(243.04+(Sheet3!BI19+273))) / EXP((17.625*(Sheet3!CC19+273))/(243.04+(Sheet3!CC19+273)))</f>
        <v>0.84416213051000266</v>
      </c>
      <c r="DB19" s="183">
        <f>EXP((17.625*(Sheet3!BK19+273))/(243.04+(Sheet3!BK19+273)))/EXP((17.625*(Sheet3!CD19+273))/(243.04+(Sheet3!CD19+273)))</f>
        <v>0.86054079901792024</v>
      </c>
      <c r="DC19" s="183">
        <f>EXP((17.625*(Sheet3!BM19+273))/(243.04+(Sheet3!BM19+273))) / EXP((17.625*(Sheet3!CE19+273))/(243.04+(Sheet3!CE19+273)))</f>
        <v>0.87906102188282464</v>
      </c>
      <c r="DD19" s="183">
        <f>EXP((17.625*(Sheet3!BO19+273))/(243.04+(Sheet3!BO19+273))) / EXP((17.625*(Sheet3!CF19+273))/(243.04+(Sheet3!CF19+273)))</f>
        <v>0.99842128443975586</v>
      </c>
      <c r="DE19" s="183">
        <f>EXP((17.625*(Sheet3!BQ19+273))/(243.04+(Sheet3!BQ19+273))) / EXP((17.625*(Sheet3!CG19+273))/(243.04+(Sheet3!CG19+273)))</f>
        <v>0.91886877683074786</v>
      </c>
      <c r="DF19" s="186">
        <f>((Sheet3!DA19-Sheet3!DB19)/New!$LQ$3)/(((Sheet3!DA19-Sheet3!DB19)/New!$LQ$3)+(Sheet3!DB19/New!$LP$3))</f>
        <v>0.708892453418833</v>
      </c>
      <c r="DG19" s="183">
        <f>((Sheet3!DA19-Sheet3!DB19)/New!$LQ$3)/(((Sheet3!DA19-Sheet3!DB19)/New!$LQ$3)+((Sheet3!DB19-(Sheet3!B19*0.004))/New!$LP$3))</f>
        <v>0.70906362581552462</v>
      </c>
      <c r="DH19" s="183" cm="1">
        <f t="array" ref="DH19">((Sheet3!DA19-Sheet3!DB19)/New!$LQ$3)/(((Sheet3!DA19-Sheet3!DB19)/New!$LQ$3)+((Sheet3!DB19-(SUM(Sheet3!B19:C19*0.004)))/New!$LP$3))</f>
        <v>0.71671908538255724</v>
      </c>
      <c r="DI19" s="183" cm="1">
        <f t="array" ref="DI19">((Sheet3!DA19-Sheet3!DB19)/New!$LQ$3)/(((Sheet3!DA19-Sheet3!DB19)/New!$LQ$3)+((Sheet3!DB19-(SUM(Sheet3!B19:D19*0.004)))/New!$LP$3))</f>
        <v>0.7168425871759172</v>
      </c>
      <c r="DJ19" s="183" cm="1">
        <f t="array" ref="DJ19">((Sheet3!DA19-Sheet3!DB19)/New!$LQ$3)/(((Sheet3!DA19-Sheet3!DB19)/New!$LQ$3)+((Sheet3!DB19-(SUM(Sheet3!B19:E19*0.004)))/New!$LP$3))</f>
        <v>0.72461527336773313</v>
      </c>
      <c r="DK19" s="183" cm="1">
        <f t="array" ref="DK19">((Sheet3!DA19-Sheet3!DB19)/New!$LQ$3)/(((Sheet3!DA19-Sheet3!DB19)/New!$LQ$3)+((Sheet3!DB19-(SUM(Sheet3!B19:F19*0.004)))/New!$LP$3))</f>
        <v>0.72473099012408826</v>
      </c>
      <c r="DL19" s="183" cm="1">
        <f t="array" ref="DL19">((Sheet3!DA19-Sheet3!DB19)/New!$LQ$3)/(((Sheet3!DA19-Sheet3!DB19)/New!$LQ$3)+((Sheet3!DB19-(SUM(Sheet3!B19:G19*0.004)))/New!$LP$3))</f>
        <v>0.73233268691983511</v>
      </c>
      <c r="DM19" s="183" cm="1">
        <f t="array" ref="DM19">((Sheet3!DA19-Sheet3!DB19)/New!$LQ$3)/(((Sheet3!DA19-Sheet3!DB19)/New!$LQ$3)+((Sheet3!DB19-(SUM(Sheet3!B19:H19*0.004)))/New!$LP$3))</f>
        <v>0.73284872677406676</v>
      </c>
      <c r="DN19" s="183" cm="1">
        <f t="array" ref="DN19">((Sheet3!DA19-Sheet3!DB19)/New!$LQ$3)/(((Sheet3!DA19-Sheet3!DB19)/New!$LQ$3)+((Sheet3!DB19-(SUM(Sheet3!B19:I19*0.004)))/New!$LP$3))</f>
        <v>0.74151367193124962</v>
      </c>
      <c r="DO19" s="186">
        <f>(Sheet3!DB19/$LP$3) / ((Sheet3!DB19/$LP$3) + ((Sheet3!DA19-Sheet3!DB19)/$LQ$3))</f>
        <v>0.291107546581167</v>
      </c>
      <c r="DP19" s="183">
        <f>((Sheet3!$DB19-(Sheet3!B19/4000)) / $LP$3) / (((Sheet3!$DA19-Sheet3!DB19) / $LQ$3) + (Sheet3!$DB19-((Sheet3!B19/4000)))/$LP$3)</f>
        <v>0.29109685072762637</v>
      </c>
      <c r="DQ19" s="183">
        <f>((Sheet3!$DB19-(SUM(Sheet3!B19:C19)/4000))/$LP$3)/(((Sheet3!$DA19-Sheet3!$DB19)/$LQ$3)+(Sheet3!$DB19-(SUM(Sheet3!B19:C19)/4000))/$LP$3)</f>
        <v>0.29062339336330811</v>
      </c>
      <c r="DR19" s="183">
        <f>((Sheet3!$DB19-(SUM(Sheet3!B19:D19)/4000))/$LP$3)/(((Sheet3!$DA19-Sheet3!$DB19)/$LQ$3)+(Sheet3!$DB19-(SUM(Sheet3!B19:D19)/4000))/$LP$3)</f>
        <v>0.2906158330661312</v>
      </c>
      <c r="DS19" s="183">
        <f>((Sheet3!$DB19-(SUM(Sheet3!B19:E19)/4000))/$LP$3)/(((Sheet3!$DA19-Sheet3!$DB19)/$LQ$3)+(Sheet3!$DB19-(SUM(Sheet3!B19:E19)/4000))/$LP$3)</f>
        <v>0.2901448871068889</v>
      </c>
      <c r="DT19" s="183">
        <f>((Sheet3!$DB19-(SUM(Sheet3!B19:F19)/4000))/$LP$3)/(((Sheet3!$DA19-Sheet3!$DB19)/$LQ$3)+(Sheet3!$DB19-(SUM(Sheet3!B19:F19)/4000))/$LP$3)</f>
        <v>0.29013794748788341</v>
      </c>
      <c r="DU19" s="183">
        <f>((Sheet3!$DB19-(SUM(Sheet3!B19:G19)/4000))/$LP$3)/(((Sheet3!$DA19-Sheet3!$DB19)/$LQ$3)+(Sheet3!$DB19-(SUM(Sheet3!B19:G19)/4000))/$LP$3)</f>
        <v>0.28968658102334299</v>
      </c>
      <c r="DV19" s="183">
        <f>((Sheet3!$DB19-(SUM(Sheet3!B19:H19)/4000))/$LP$3)/(((Sheet3!$DA19-Sheet3!$DB19)/$LQ$3)+(Sheet3!$DB19-(SUM(Sheet3!B19:H19)/4000))/$LP$3)</f>
        <v>0.28965625893685354</v>
      </c>
      <c r="DW19" s="183">
        <f>((Sheet3!$DB19-(SUM(Sheet3!B19:I19)/4000))/$LP$3)/(((Sheet3!$DA19-Sheet3!$DB19)/$LQ$3)+(Sheet3!$DB19-(SUM(Sheet3!B19:I19)/4000))/$LP$3)</f>
        <v>0.28915303996771285</v>
      </c>
      <c r="DX19" s="186">
        <f>($LR$2*($LP$3/1000))/($LP$2*(Sheet3!DF19+273))*DO19</f>
        <v>0.17853003747949595</v>
      </c>
      <c r="DY19" s="183">
        <f>(($LR$2*($LP$3/1000))/($LP$2*(Sheet3!BZ19+273)))*(DP19)</f>
        <v>0.17865546854482112</v>
      </c>
      <c r="DZ19" s="183">
        <f>(($LR$2*($LP$3/1000))/($LP$2*(Sheet3!CA19+273)))*(DQ19)</f>
        <v>0.17953176363641934</v>
      </c>
      <c r="EA19" s="183">
        <f>(($LR$2*($LP$3/1000))/($LP$2*(Sheet3!CB19+273)))*(DR19)</f>
        <v>0.18045075588357165</v>
      </c>
      <c r="EB19" s="183">
        <f>(($LR$2*($LP$3/1000))/($LP$2*(Sheet3!CC19+273)))*(DS19)</f>
        <v>0.18139206666858898</v>
      </c>
      <c r="EC19" s="183">
        <f>(($LR$2*($LP$3/1000))/($LP$2*(Sheet3!CD19+273)))*(DT19)</f>
        <v>0.18220903366123242</v>
      </c>
      <c r="ED19" s="183">
        <f>(($LR$2*($LP$3/1000))/($LP$2*(Sheet3!CE19+273)))*(DU19)</f>
        <v>0.18291767415936716</v>
      </c>
      <c r="EE19" s="183">
        <f>(($LR$2*($LP$3/1000))/($LP$2*(Sheet3!CF19+273)))*(DV19)</f>
        <v>0.18842814494452492</v>
      </c>
      <c r="EF19" s="183">
        <f>(($LR$2*($LP$3/1000))/($LP$2*(Sheet3!CG19+273)))*(DW19)</f>
        <v>0.18458237509756667</v>
      </c>
      <c r="EG19" s="186">
        <f>(($LR$2*($LQ$3/1000))/($LQ$2*(Sheet3!DF19+273)))*(1-DO19)</f>
        <v>0.69887978086485603</v>
      </c>
      <c r="EH19" s="183">
        <f>(($LR$2*($LQ$3/1000))/($LQ$2*(Sheet3!BZ19+273)))*(1-DP19)</f>
        <v>0.6994070473516929</v>
      </c>
      <c r="EI19" s="183">
        <f>(($LR$2*($LQ$3/1000))/($LQ$2*(Sheet3!CA19+273)))*(1-DQ19)</f>
        <v>0.70445277039511067</v>
      </c>
      <c r="EJ19" s="183">
        <f>(($LR$2*($LQ$3/1000))/($LQ$2*(Sheet3!CB19+273)))*(1-DR19)</f>
        <v>0.70808470948968716</v>
      </c>
      <c r="EK19" s="183">
        <f>(($LR$2*($LQ$3/1000))/($LQ$2*(Sheet3!CC19+273)))*(1-DS19)</f>
        <v>0.71340701071598267</v>
      </c>
      <c r="EL19" s="183">
        <f>(($LR$2*($LQ$3/1000))/($LQ$2*(Sheet3!CD19+273)))*(1-DT19)</f>
        <v>0.71664425221089956</v>
      </c>
      <c r="EM19" s="183">
        <f>(($LR$2*($LQ$3/1000))/($LQ$2*(Sheet3!CE19+273)))*(1-DU19)</f>
        <v>0.7210105223721166</v>
      </c>
      <c r="EN19" s="183">
        <f>(($LR$2*($LQ$3/1000))/($LQ$2*(Sheet3!CF19+273)))*(1-DV19)</f>
        <v>0.74284072394908796</v>
      </c>
      <c r="EO19" s="183">
        <f>(($LR$2*($LQ$3/1000))/($LQ$2*(Sheet3!CG19+273)))*(1-DW19)</f>
        <v>0.72946232902621588</v>
      </c>
      <c r="EP19" s="186">
        <f t="shared" si="132"/>
        <v>10066.752980962385</v>
      </c>
      <c r="EQ19" s="183">
        <f xml:space="preserve"> (($FV19-(Sheet3!B19/4000))*0.018)/(0.011*JO19*3600)</f>
        <v>10072.546189438475</v>
      </c>
      <c r="ER19" s="183">
        <f>((($FV19-(SUM(Sheet3!B19:C19)/4000))*0.018)/(0.011*JP19*3600))</f>
        <v>10118.031443730628</v>
      </c>
      <c r="ES19" s="183">
        <f>((($FV19-(SUM(Sheet3!B19:D19)/4000))*0.018)/(0.011*JQ19*3600))</f>
        <v>10159.472519817098</v>
      </c>
      <c r="ET19" s="183">
        <f>((($FV19-(SUM(Sheet3!B19:E19)/4000))*0.018)/(0.011*JR19))/3600</f>
        <v>10207.739081864711</v>
      </c>
      <c r="EU19" s="183">
        <f>((($FV19-(SUM(Sheet3!B19:F19)/4000))*0.018)/(0.011*JS19))/3600</f>
        <v>10244.454955694651</v>
      </c>
      <c r="EV19" s="183">
        <f>((($FV19-(SUM(Sheet3!B19:G19)/4000))*0.018)/(0.011*JT19))/3600</f>
        <v>10281.952195845719</v>
      </c>
      <c r="EW19" s="183">
        <f>((($FV19-(SUM(Sheet3!B19:H19)/4000))*0.018)/(0.011*JU19))/3600</f>
        <v>10527.535672846323</v>
      </c>
      <c r="EX19" s="183">
        <f>((($FV19-(SUM(Sheet3!B19:I19)/4000))*0.018)/(0.011*JV19))/3600</f>
        <v>10363.167338527692</v>
      </c>
      <c r="EY19" s="186">
        <f t="shared" si="133"/>
        <v>80.688301802127725</v>
      </c>
      <c r="EZ19" s="183">
        <f t="shared" si="134"/>
        <v>80.72914458825926</v>
      </c>
      <c r="FA19" s="183">
        <f t="shared" si="135"/>
        <v>81.031409523455693</v>
      </c>
      <c r="FB19" s="183">
        <f t="shared" si="136"/>
        <v>81.328097782143317</v>
      </c>
      <c r="FC19" s="183">
        <f t="shared" si="137"/>
        <v>81.651897956048941</v>
      </c>
      <c r="FD19" s="183">
        <f t="shared" si="138"/>
        <v>81.916140796647881</v>
      </c>
      <c r="FE19" s="183">
        <f t="shared" si="139"/>
        <v>82.164525141261365</v>
      </c>
      <c r="FF19" s="183">
        <f t="shared" si="140"/>
        <v>83.953271915750605</v>
      </c>
      <c r="FG19" s="183">
        <f t="shared" si="141"/>
        <v>82.726394538585936</v>
      </c>
      <c r="FH19" s="186">
        <f t="shared" si="28"/>
        <v>130.55149020156722</v>
      </c>
      <c r="FI19" s="183">
        <f t="shared" si="29"/>
        <v>130.47808188308369</v>
      </c>
      <c r="FJ19" s="183">
        <f t="shared" si="30"/>
        <v>129.74450580848503</v>
      </c>
      <c r="FK19" s="183">
        <f t="shared" si="31"/>
        <v>129.25116905718491</v>
      </c>
      <c r="FL19" s="183">
        <f t="shared" si="32"/>
        <v>128.49246112097245</v>
      </c>
      <c r="FM19" s="183">
        <f t="shared" si="33"/>
        <v>128.05898044315455</v>
      </c>
      <c r="FN19" s="183">
        <f t="shared" si="34"/>
        <v>127.44014295910534</v>
      </c>
      <c r="FO19" s="183">
        <f t="shared" si="35"/>
        <v>124.5906192213301</v>
      </c>
      <c r="FP19" s="183">
        <f t="shared" si="36"/>
        <v>126.28490093945408</v>
      </c>
      <c r="FQ19" s="314">
        <f>Sheet3!CV19</f>
        <v>2</v>
      </c>
      <c r="FR19" s="183">
        <v>10000</v>
      </c>
      <c r="FS19" s="183">
        <v>20</v>
      </c>
      <c r="FT19" s="183">
        <v>0.30980000000000002</v>
      </c>
      <c r="FU19" s="183">
        <v>22.67</v>
      </c>
      <c r="FV19" s="183">
        <v>403</v>
      </c>
      <c r="FW19" s="183">
        <v>82</v>
      </c>
      <c r="FX19" s="183">
        <v>831</v>
      </c>
      <c r="FY19" s="183">
        <v>10.130000000000001</v>
      </c>
      <c r="FZ19" s="183">
        <v>24.57</v>
      </c>
      <c r="GA19" s="183">
        <v>85</v>
      </c>
      <c r="GB19" s="186">
        <f>EXP($LP$6-($LQ$6/('Trial and Error method'!T19+$LP$8))) / ($LR$2/1000)</f>
        <v>5.667099514484128E-2</v>
      </c>
      <c r="GC19" s="183">
        <f>EXP($LP$6-($LQ$6/('Trial and Error method'!U19+$LP$8))) / ($LR$2/1000)</f>
        <v>8.3528167520913313E-2</v>
      </c>
      <c r="GD19" s="183">
        <f>EXP($LP$6-($LQ$6/('Trial and Error method'!V19+$LP$8))) / ($LR$2/1000)</f>
        <v>7.9593696152977317E-2</v>
      </c>
      <c r="GE19" s="183">
        <f>EXP($LP$6-($LQ$6/('Trial and Error method'!W19+$LP$8))) / ($LR$2/1000)</f>
        <v>7.6019062379302116E-2</v>
      </c>
      <c r="GF19" s="183">
        <f>EXP($LP$6-($LQ$6/('Trial and Error method'!X19+$LP$8))) / ($LR$2/1000)</f>
        <v>7.2365899747716039E-2</v>
      </c>
      <c r="GG19" s="183">
        <f>EXP($LP$6-($LQ$6/('Trial and Error method'!Y19+$LP$8))) / ($LR$2/1000)</f>
        <v>6.9228079835633949E-2</v>
      </c>
      <c r="GH19" s="183">
        <f>EXP($LP$6-($LQ$6/('Trial and Error method'!Z19+$LP$8))) / ($LR$2/1000)</f>
        <v>6.6266419444747607E-2</v>
      </c>
      <c r="GI19" s="183">
        <f>EXP($LP$6-($LQ$6/('Trial and Error method'!AA19+$LP$8))) / ($LR$2/1000)</f>
        <v>6.2905232488454921E-2</v>
      </c>
      <c r="GJ19" s="183">
        <f>EXP($LP$6-($LQ$6/('Trial and Error method'!AB19+$LP$8))) / ($LR$2/1000)</f>
        <v>6.1073469011475867E-2</v>
      </c>
      <c r="GK19" s="188">
        <f t="shared" si="142"/>
        <v>0.82053654443213808</v>
      </c>
      <c r="GL19" s="165">
        <f t="shared" si="143"/>
        <v>0.80825018150162531</v>
      </c>
      <c r="GM19" s="165">
        <f t="shared" si="144"/>
        <v>0.81031677577009409</v>
      </c>
      <c r="GN19" s="165">
        <f t="shared" si="145"/>
        <v>0.81196165508646512</v>
      </c>
      <c r="GO19" s="165">
        <f t="shared" si="146"/>
        <v>0.81389434672597172</v>
      </c>
      <c r="GP19" s="165">
        <f t="shared" si="147"/>
        <v>0.81533523536667618</v>
      </c>
      <c r="GQ19" s="165">
        <f t="shared" si="148"/>
        <v>0.81693800012196738</v>
      </c>
      <c r="GR19" s="165">
        <f t="shared" si="149"/>
        <v>0.81849109934284892</v>
      </c>
      <c r="GS19" s="165">
        <f t="shared" si="150"/>
        <v>0.81960439282741149</v>
      </c>
      <c r="GT19" s="188">
        <f t="shared" si="38"/>
        <v>9.8421736980557811E-2</v>
      </c>
      <c r="GU19" s="165">
        <f t="shared" si="39"/>
        <v>9.99186665593398E-2</v>
      </c>
      <c r="GV19" s="165">
        <f t="shared" si="40"/>
        <v>9.967381459773908E-2</v>
      </c>
      <c r="GW19" s="165">
        <f t="shared" si="41"/>
        <v>9.9501144803012601E-2</v>
      </c>
      <c r="GX19" s="165">
        <f t="shared" si="42"/>
        <v>9.9279155503832567E-2</v>
      </c>
      <c r="GY19" s="165">
        <f t="shared" si="43"/>
        <v>9.9131041039837747E-2</v>
      </c>
      <c r="GZ19" s="165">
        <f t="shared" si="44"/>
        <v>9.8945485530029603E-2</v>
      </c>
      <c r="HA19" s="165">
        <f t="shared" si="45"/>
        <v>9.8960190255583766E-2</v>
      </c>
      <c r="HB19" s="165">
        <f t="shared" si="46"/>
        <v>9.8654553587560034E-2</v>
      </c>
      <c r="HC19" s="188">
        <f>BV19*Sheet3!DF19</f>
        <v>101.12403881373874</v>
      </c>
      <c r="HD19" s="165">
        <f>BW19*Sheet3!BZ19</f>
        <v>100.8009343204145</v>
      </c>
      <c r="HE19" s="165">
        <f>BX19*Sheet3!CA19</f>
        <v>97.84824283383</v>
      </c>
      <c r="HF19" s="165">
        <f>BY19*Sheet3!CB19</f>
        <v>95.652790989868123</v>
      </c>
      <c r="HG19" s="165">
        <f>BZ19*Sheet3!CC19</f>
        <v>92.620917209888191</v>
      </c>
      <c r="HH19" s="165">
        <f>CA19*Sheet3!CD19</f>
        <v>90.716550781559548</v>
      </c>
      <c r="HI19" s="165">
        <f>CB19*Sheet3!CE19</f>
        <v>88.315653664147362</v>
      </c>
      <c r="HJ19" s="165">
        <f>CC19*Sheet3!CF19</f>
        <v>76.10082056270538</v>
      </c>
      <c r="HK19" s="165">
        <f>CD19*Sheet3!CG19</f>
        <v>83.660055504348378</v>
      </c>
      <c r="HL19" s="188">
        <f>(CE19*Sheet3!DF19)+2501</f>
        <v>2661.0442119434374</v>
      </c>
      <c r="HM19" s="165">
        <f>(CF19*Sheet3!BZ19)+2501</f>
        <v>2660.5374696540334</v>
      </c>
      <c r="HN19" s="165">
        <f>(CG19*Sheet3!CA19)+2501</f>
        <v>2656.0856163704343</v>
      </c>
      <c r="HO19" s="165">
        <f>(CH19*Sheet3!CB19)+2501</f>
        <v>2652.605955303573</v>
      </c>
      <c r="HP19" s="165">
        <f>(CI19*Sheet3!CC19)+2501</f>
        <v>2648.0107157759126</v>
      </c>
      <c r="HQ19" s="165">
        <f>(CJ19*Sheet3!CD19)+2501</f>
        <v>2644.988974306546</v>
      </c>
      <c r="HR19" s="165">
        <f>(CK19*Sheet3!CE19)+2501</f>
        <v>2641.3723783008327</v>
      </c>
      <c r="HS19" s="165">
        <f>(CL19*Sheet3!CF19)+2501</f>
        <v>2621.9651039125638</v>
      </c>
      <c r="HT19" s="165">
        <f>(CM19*Sheet3!CG19)+2501</f>
        <v>2634.1904106990073</v>
      </c>
      <c r="HU19" s="188">
        <f>-0.0021*(Sheet3!DF19^2) - 2.2115*(Sheet3!DF19) + 2499</f>
        <v>2295.85</v>
      </c>
      <c r="HV19" s="165">
        <f>-0.0021*(Sheet3!BZ19^2) - 2.2115*(Sheet3!BZ19) + 2499</f>
        <v>2296.5291963962513</v>
      </c>
      <c r="HW19" s="165">
        <f>-0.0021*(Sheet3!CA19^2) - 2.2115*(Sheet3!CA19) + 2499</f>
        <v>2302.4873072697505</v>
      </c>
      <c r="HX19" s="165">
        <f>-0.0021*(Sheet3!CB19^2) - 2.2115*(Sheet3!CB19) + 2499</f>
        <v>2307.1332326546603</v>
      </c>
      <c r="HY19" s="165">
        <f>-0.0021*(Sheet3!CC19^2) - 2.2115*(Sheet3!CC19) + 2499</f>
        <v>2313.2536443194786</v>
      </c>
      <c r="HZ19" s="165">
        <f>-0.0021*(Sheet3!CD19^2) - 2.2115*(Sheet3!CD19) + 2499</f>
        <v>2317.268936044959</v>
      </c>
      <c r="IA19" s="165">
        <f>-0.0021*(Sheet3!CE19^2) - 2.2115*(Sheet3!CE19) + 2499</f>
        <v>2322.0648167726449</v>
      </c>
      <c r="IB19" s="165">
        <f>-0.0021*(Sheet3!CF19^2) - 2.2115*(Sheet3!CF19) + 2499</f>
        <v>2347.613572029386</v>
      </c>
      <c r="IC19" s="165">
        <f>-0.0021*(Sheet3!CG19^2) - 2.2115*(Sheet3!CG19) + 2499</f>
        <v>2331.5565112852537</v>
      </c>
      <c r="ID19" s="188">
        <f t="shared" si="47"/>
        <v>0.74333515202016531</v>
      </c>
      <c r="IE19" s="165">
        <f t="shared" si="48"/>
        <v>0.74363172754896922</v>
      </c>
      <c r="IF19" s="165">
        <f t="shared" si="49"/>
        <v>0.74549037048105071</v>
      </c>
      <c r="IG19" s="165">
        <f t="shared" si="50"/>
        <v>0.74772947204387807</v>
      </c>
      <c r="IH19" s="165">
        <f t="shared" si="51"/>
        <v>0.74978340591557735</v>
      </c>
      <c r="II19" s="165">
        <f t="shared" si="52"/>
        <v>0.75180434641355587</v>
      </c>
      <c r="IJ19" s="165">
        <f t="shared" si="53"/>
        <v>0.75332168967037261</v>
      </c>
      <c r="IK19" s="165">
        <f t="shared" si="54"/>
        <v>0.76740089135074629</v>
      </c>
      <c r="IL19" s="165">
        <f t="shared" si="55"/>
        <v>0.75722050082726633</v>
      </c>
      <c r="IM19" s="188">
        <f t="shared" si="56"/>
        <v>52.973645331111648</v>
      </c>
      <c r="IN19" s="165">
        <f t="shared" si="151"/>
        <v>47.629983486325038</v>
      </c>
      <c r="IO19" s="165">
        <f t="shared" si="152"/>
        <v>48.430828659712319</v>
      </c>
      <c r="IP19" s="165">
        <f t="shared" si="153"/>
        <v>49.263349252356143</v>
      </c>
      <c r="IQ19" s="165">
        <f t="shared" si="154"/>
        <v>50.014657991821785</v>
      </c>
      <c r="IR19" s="165">
        <f t="shared" si="155"/>
        <v>50.745930724454404</v>
      </c>
      <c r="IS19" s="165">
        <f t="shared" si="156"/>
        <v>51.332531665145623</v>
      </c>
      <c r="IT19" s="165">
        <f t="shared" si="157"/>
        <v>52.678863255110038</v>
      </c>
      <c r="IU19" s="165">
        <f t="shared" si="158"/>
        <v>52.462558832251993</v>
      </c>
      <c r="IV19" s="188">
        <f>_xlfn.FORECAST.LINEAR(Sheet3!DF19,Sheet2!$AK$2:$AK$69,Sheet2!$AJ$2:$AJ$69)</f>
        <v>1.1761434736095797E-5</v>
      </c>
      <c r="IW19" s="165">
        <f>_xlfn.FORECAST.LINEAR(Sheet3!BZ19,Sheet2!$AK$2:$AK$69,Sheet2!$AJ$2:$AJ$69)</f>
        <v>1.1752174319734256E-5</v>
      </c>
      <c r="IX19" s="165">
        <f>_xlfn.FORECAST.LINEAR(Sheet3!CA19,Sheet2!$AK$2:$AK$69,Sheet2!$AJ$2:$AJ$69)</f>
        <v>1.1670766821896806E-5</v>
      </c>
      <c r="IY19" s="165">
        <f>_xlfn.FORECAST.LINEAR(Sheet3!CB19,Sheet2!$AK$2:$AK$69,Sheet2!$AJ$2:$AJ$69)</f>
        <v>1.1607071788510845E-5</v>
      </c>
      <c r="IZ19" s="165">
        <f>_xlfn.FORECAST.LINEAR(Sheet3!CC19,Sheet2!$AK$2:$AK$69,Sheet2!$AJ$2:$AJ$69)</f>
        <v>1.1522869259103711E-5</v>
      </c>
      <c r="JA19" s="165">
        <f>_xlfn.FORECAST.LINEAR(Sheet3!CD19,Sheet2!$AK$2:$AK$69,Sheet2!$AJ$2:$AJ$69)</f>
        <v>1.1467445867745957E-5</v>
      </c>
      <c r="JB19" s="165">
        <f>_xlfn.FORECAST.LINEAR(Sheet3!CE19,Sheet2!$AK$2:$AK$69,Sheet2!$AJ$2:$AJ$69)</f>
        <v>1.1401056720066591E-5</v>
      </c>
      <c r="JC19" s="165">
        <f>_xlfn.FORECAST.LINEAR(Sheet3!CF19,Sheet2!$AK$2:$AK$69,Sheet2!$AJ$2:$AJ$69)</f>
        <v>1.1043797337682084E-5</v>
      </c>
      <c r="JD19" s="165">
        <f>_xlfn.FORECAST.LINEAR(Sheet3!CG19,Sheet2!$AK$2:$AK$69,Sheet2!$AJ$2:$AJ$69)</f>
        <v>1.1269042525839753E-5</v>
      </c>
      <c r="JE19" s="188">
        <f>_xlfn.FORECAST.LINEAR(Sheet3!DF19,New!$MC$2:$MC$18,New!$MB$2:$MB$18)</f>
        <v>2.0908514659214704E-5</v>
      </c>
      <c r="JF19" s="165">
        <f>_xlfn.FORECAST.LINEAR(Sheet3!BZ19,New!$MC$2:$MC$18,New!$MB$2:$MB$18)</f>
        <v>2.0897628816265602E-5</v>
      </c>
      <c r="JG19" s="165">
        <f>_xlfn.FORECAST.LINEAR(Sheet3!CA19,New!$MC$2:$MC$18,New!$MB$2:$MB$18)</f>
        <v>2.0801932337647403E-5</v>
      </c>
      <c r="JH19" s="165">
        <f>_xlfn.FORECAST.LINEAR(Sheet3!CB19,New!$MC$2:$MC$18,New!$MB$2:$MB$18)</f>
        <v>2.0727057288512787E-5</v>
      </c>
      <c r="JI19" s="165">
        <f>_xlfn.FORECAST.LINEAR(Sheet3!CC19,New!$MC$2:$MC$18,New!$MB$2:$MB$18)</f>
        <v>2.0628075182821519E-5</v>
      </c>
      <c r="JJ19" s="165">
        <f>_xlfn.FORECAST.LINEAR(Sheet3!CD19,New!$MC$2:$MC$18,New!$MB$2:$MB$18)</f>
        <v>2.05629236485414E-5</v>
      </c>
      <c r="JK19" s="165">
        <f>_xlfn.FORECAST.LINEAR(Sheet3!CE19,New!$MC$2:$MC$18,New!$MB$2:$MB$18)</f>
        <v>2.0484881603027796E-5</v>
      </c>
      <c r="JL19" s="165">
        <f>_xlfn.FORECAST.LINEAR(Sheet3!CF19,New!$MC$2:$MC$18,New!$MB$2:$MB$18)</f>
        <v>2.006491457596383E-5</v>
      </c>
      <c r="JM19" s="165">
        <f>_xlfn.FORECAST.LINEAR(Sheet3!CG19,New!$MC$2:$MC$18,New!$MB$2:$MB$18)</f>
        <v>2.0329695731324024E-5</v>
      </c>
      <c r="JN19" s="188">
        <f t="shared" si="159"/>
        <v>1.8196713332316806E-5</v>
      </c>
      <c r="JO19" s="165">
        <f t="shared" si="160"/>
        <v>1.8186055731936862E-5</v>
      </c>
      <c r="JP19" s="165">
        <f t="shared" si="161"/>
        <v>1.8095855190451249E-5</v>
      </c>
      <c r="JQ19" s="165">
        <f t="shared" si="162"/>
        <v>1.8021906927222479E-5</v>
      </c>
      <c r="JR19" s="165">
        <f t="shared" si="163"/>
        <v>1.7928375750054005E-5</v>
      </c>
      <c r="JS19" s="165">
        <f t="shared" si="164"/>
        <v>1.7863998876431447E-5</v>
      </c>
      <c r="JT19" s="165">
        <f t="shared" si="165"/>
        <v>1.779094848272981E-5</v>
      </c>
      <c r="JU19" s="165">
        <f t="shared" si="166"/>
        <v>1.7375407973637507E-5</v>
      </c>
      <c r="JV19" s="165">
        <f t="shared" si="167"/>
        <v>1.7642267730981907E-5</v>
      </c>
      <c r="JW19" s="188">
        <f t="shared" si="66"/>
        <v>1.0444458673781256</v>
      </c>
      <c r="JX19" s="165">
        <f t="shared" si="67"/>
        <v>1.0445970059107661</v>
      </c>
      <c r="JY19" s="165">
        <f t="shared" si="68"/>
        <v>1.0459355705543236</v>
      </c>
      <c r="JZ19" s="165">
        <f t="shared" si="69"/>
        <v>1.046995473370425</v>
      </c>
      <c r="KA19" s="165">
        <f t="shared" si="70"/>
        <v>1.0484139032116238</v>
      </c>
      <c r="KB19" s="165">
        <f t="shared" si="71"/>
        <v>1.0493584550384143</v>
      </c>
      <c r="KC19" s="165">
        <f t="shared" si="72"/>
        <v>1.0505015010454011</v>
      </c>
      <c r="KD19" s="165">
        <f t="shared" si="73"/>
        <v>1.0568789582568001</v>
      </c>
      <c r="KE19" s="165">
        <f t="shared" si="74"/>
        <v>1.0528128590307908</v>
      </c>
      <c r="KF19" s="188">
        <f t="shared" si="75"/>
        <v>0.94446821821306282</v>
      </c>
      <c r="KG19" s="165">
        <f t="shared" si="76"/>
        <v>0.94435281993816034</v>
      </c>
      <c r="KH19" s="165">
        <f t="shared" si="77"/>
        <v>0.9433328029574497</v>
      </c>
      <c r="KI19" s="165">
        <f t="shared" si="78"/>
        <v>0.94252768973823386</v>
      </c>
      <c r="KJ19" s="165">
        <f t="shared" si="79"/>
        <v>0.94145375366701312</v>
      </c>
      <c r="KK19" s="165">
        <f t="shared" si="80"/>
        <v>0.94074082845038132</v>
      </c>
      <c r="KL19" s="165">
        <f t="shared" si="81"/>
        <v>0.93988045067625758</v>
      </c>
      <c r="KM19" s="165">
        <f t="shared" si="82"/>
        <v>0.93512712753003913</v>
      </c>
      <c r="KN19" s="165">
        <f t="shared" si="83"/>
        <v>0.93814854833446903</v>
      </c>
      <c r="KO19" s="188">
        <f t="shared" si="84"/>
        <v>0.5776627095464939</v>
      </c>
      <c r="KP19" s="165">
        <f t="shared" si="85"/>
        <v>0.5774714159935368</v>
      </c>
      <c r="KQ19" s="165">
        <f t="shared" si="86"/>
        <v>0.57559721108245243</v>
      </c>
      <c r="KR19" s="165">
        <f t="shared" si="87"/>
        <v>0.57410217908710925</v>
      </c>
      <c r="KS19" s="165">
        <f t="shared" si="88"/>
        <v>0.5721350827295949</v>
      </c>
      <c r="KT19" s="165">
        <f t="shared" si="89"/>
        <v>0.57081558514682529</v>
      </c>
      <c r="KU19" s="165">
        <f t="shared" si="90"/>
        <v>0.56924880122113386</v>
      </c>
      <c r="KV19" s="165">
        <f t="shared" si="91"/>
        <v>0.56050680278416076</v>
      </c>
      <c r="KW19" s="165">
        <f t="shared" si="92"/>
        <v>0.56617314038175737</v>
      </c>
      <c r="KX19" s="188">
        <f>AVERAGE(Sheet3!J19:P19)*KO19^(1/3)/ID19^(1/3)</f>
        <v>347.44611301722023</v>
      </c>
      <c r="KY19" s="165">
        <f>Sheet3!J19*KP19^(1/3)/IE19^(1/3)</f>
        <v>322.55793450233722</v>
      </c>
      <c r="KZ19" s="165">
        <f>Sheet3!K19*KQ19^(1/3)/IF19^(1/3)</f>
        <v>311.4860433755378</v>
      </c>
      <c r="LA19" s="165">
        <f>Sheet3!L19*KR19^(1/3)/IG19^(1/3)</f>
        <v>319.04222586559246</v>
      </c>
      <c r="LB19" s="165">
        <f>Sheet3!M19*KS19^(1/3)/IH19^(1/3)</f>
        <v>333.53712489363892</v>
      </c>
      <c r="LC19" s="165">
        <f>Sheet3!N19*KT19^(1/3)/II19^(1/3)</f>
        <v>349.0554546917167</v>
      </c>
      <c r="LD19" s="165">
        <f>Sheet3!O19*KU19^(1/3)/IJ19^(1/3)</f>
        <v>401.72748799891036</v>
      </c>
      <c r="LE19" s="165">
        <f>Sheet3!P19*KV19^(1/3)/IK19^(1/3)</f>
        <v>376.29772196325064</v>
      </c>
      <c r="LF19" s="165">
        <f>Sheet3!Q19*KW19^(1/3)/IL19^(1/3)</f>
        <v>309.83136331746863</v>
      </c>
      <c r="LG19" s="186">
        <f t="shared" si="93"/>
        <v>25.773827902669129</v>
      </c>
      <c r="LH19" s="183">
        <f t="shared" si="94"/>
        <v>25.778592369475781</v>
      </c>
      <c r="LI19" s="183">
        <f t="shared" si="95"/>
        <v>25.991765144118855</v>
      </c>
      <c r="LJ19" s="183">
        <f t="shared" si="96"/>
        <v>25.995205557300917</v>
      </c>
      <c r="LK19" s="183">
        <f t="shared" si="97"/>
        <v>26.211818457960156</v>
      </c>
      <c r="LL19" s="183">
        <f t="shared" si="98"/>
        <v>26.215044597987816</v>
      </c>
      <c r="LM19" s="183">
        <f t="shared" si="99"/>
        <v>26.427058370333953</v>
      </c>
      <c r="LN19" s="183">
        <f t="shared" si="100"/>
        <v>26.441456632124392</v>
      </c>
      <c r="LO19" s="183">
        <f t="shared" si="101"/>
        <v>26.683327954147337</v>
      </c>
      <c r="LP19" s="220"/>
      <c r="LQ19" s="220"/>
      <c r="LR19" s="220"/>
      <c r="LS19" s="220"/>
      <c r="LT19" s="220"/>
      <c r="LU19" s="220"/>
      <c r="LV19" s="220"/>
      <c r="LW19" s="220"/>
      <c r="LX19" s="220"/>
      <c r="LY19" s="220"/>
      <c r="LZ19" s="222">
        <v>102.32</v>
      </c>
      <c r="MA19" s="220">
        <v>1.2E-5</v>
      </c>
      <c r="MB19" s="220"/>
      <c r="MC19" s="220"/>
      <c r="MD19" s="188">
        <f>Sheet3!DP19</f>
        <v>561.04136013412096</v>
      </c>
      <c r="ME19" s="263">
        <v>180</v>
      </c>
      <c r="MF19" s="263">
        <v>10.029999999999999</v>
      </c>
      <c r="MG19" s="263">
        <v>2.7090000000000001</v>
      </c>
      <c r="MH19" s="263">
        <v>5.157</v>
      </c>
      <c r="MI19" s="263">
        <v>15.11</v>
      </c>
      <c r="MJ19" s="263">
        <v>2.93</v>
      </c>
      <c r="MK19" s="273">
        <v>170</v>
      </c>
      <c r="ML19" s="267">
        <v>7.92</v>
      </c>
      <c r="MM19" s="267">
        <v>4.1219999999999999</v>
      </c>
      <c r="MN19" s="267">
        <v>2.5830000000000002</v>
      </c>
      <c r="MO19" s="267">
        <v>14.72</v>
      </c>
      <c r="MP19" s="274">
        <v>3.57</v>
      </c>
      <c r="MQ19"/>
      <c r="MR19"/>
      <c r="MS19"/>
    </row>
    <row r="20" spans="1:357" ht="15" thickBot="1" x14ac:dyDescent="0.35">
      <c r="A20" s="184" t="str">
        <f>Sheet3!A20</f>
        <v>12.12.2022</v>
      </c>
      <c r="B20" s="186">
        <f t="shared" si="102"/>
        <v>0.84476596113132862</v>
      </c>
      <c r="C20" s="183">
        <f t="shared" si="103"/>
        <v>0.84388913710311442</v>
      </c>
      <c r="D20" s="183">
        <f t="shared" si="0"/>
        <v>0.83721182856995513</v>
      </c>
      <c r="E20" s="183">
        <f t="shared" si="1"/>
        <v>0.83076475321926968</v>
      </c>
      <c r="F20" s="183">
        <f t="shared" si="2"/>
        <v>0.82350915019789306</v>
      </c>
      <c r="G20" s="183">
        <f t="shared" si="3"/>
        <v>0.81845273410766739</v>
      </c>
      <c r="H20" s="183">
        <f t="shared" si="4"/>
        <v>0.81222662405910395</v>
      </c>
      <c r="I20" s="183">
        <f t="shared" si="5"/>
        <v>0.80641152739908095</v>
      </c>
      <c r="J20" s="183">
        <f t="shared" si="6"/>
        <v>0.8012827706771084</v>
      </c>
      <c r="K20" s="186">
        <f xml:space="preserve"> (6.057 * (10^(-6)))
+ (4.055 * (10^(-8)) * (Sheet3!DF20 + 273))
+ (1.25 * (10^(-10)) * (Sheet3!DF20 + 273)^2)
- (3.367 * (10^(-14)) * (DD20 + 273)^3)</f>
        <v>3.991819878525887E-5</v>
      </c>
      <c r="L20" s="183">
        <f xml:space="preserve"> (6.057 * (10^(-6)))
+ (4.055 * (10^(-8)) * (Sheet3!BZ20 + 273))
+ (1.25 * (10^(-10)) * (Sheet3!BZ20 + 273)^2)
- (3.367 * (10^(-14)) * (BX20 + 273)^3)</f>
        <v>3.9849638040291876E-5</v>
      </c>
      <c r="M20" s="183">
        <f xml:space="preserve"> (6.057 * (10^(-6)))
+ (4.055 * (10^(-8)) * (Sheet3!CA20 + 273))
+ (1.25 * (10^(-10)) * (Sheet3!CA20 + 273)^2)
- (3.367 * (10^(-14)) * (BY20 + 273)^3)</f>
        <v>3.9347864840807694E-5</v>
      </c>
      <c r="N20" s="183">
        <f xml:space="preserve"> (6.057 * (10^(-6)))
+ (4.055 * (10^(-8)) * (Sheet3!CB20 + 273))
+ (1.25 * (10^(-10)) * (Sheet3!CB20 + 273)^2)
- (3.367 * (10^(-14)) * (BZ20 + 273)^3)</f>
        <v>3.8932125327501902E-5</v>
      </c>
      <c r="O20" s="183">
        <f xml:space="preserve"> (6.057 * (10^(-6)))
+ (4.055 * (10^(-8)) * (Sheet3!CC20 + 273))
+ (1.25 * (10^(-10)) * (Sheet3!CC20 + 273)^2)
- (3.367 * (10^(-14)) * (CA20 + 273)^3)</f>
        <v>3.8408427131035282E-5</v>
      </c>
      <c r="P20" s="183">
        <f xml:space="preserve"> (6.057 * (10^(-6)))
+ (4.055 * (10^(-8)) * (Sheet3!CD20 + 273))
+ (1.25 * (10^(-10)) * (Sheet3!CD20 + 273)^2)
- (3.367 * (10^(-14)) * (CB20 + 273)^3)</f>
        <v>3.8093349312720272E-5</v>
      </c>
      <c r="Q20" s="183">
        <f xml:space="preserve"> (6.057 * (10^(-6)))
+ (4.055 * (10^(-8)) * (Sheet3!CE20 + 273))
+ (1.25 * (10^(-10)) * (Sheet3!CE20 + 273)^2)
- (3.367 * (10^(-14)) * (CC20 + 273)^3)</f>
        <v>3.7650759544285953E-5</v>
      </c>
      <c r="R20" s="183">
        <f xml:space="preserve"> (6.057 * (10^(-6)))
+ (4.055 * (10^(-8)) * (Sheet3!CF20 + 273))
+ (1.25 * (10^(-10)) * (Sheet3!CF20 + 273)^2)
- (3.367 * (10^(-14)) * (CD20 + 273)^3)</f>
        <v>3.729975708470505E-5</v>
      </c>
      <c r="S20" s="183">
        <f xml:space="preserve"> (6.057 * (10^(-6)))
+ (4.055 * (10^(-8)) * (Sheet3!CG20 + 273))
+ (1.25 * (10^(-10)) * (Sheet3!CG20 + 273)^2)
- (3.367 * (10^(-14)) * (CE20 + 273)^3)</f>
        <v>3.6924771565652244E-5</v>
      </c>
      <c r="T20" s="188">
        <f t="shared" si="104"/>
        <v>3.991819878525887E-5</v>
      </c>
      <c r="U20" s="165">
        <f t="shared" si="105"/>
        <v>3.9849638040291876E-5</v>
      </c>
      <c r="V20" s="165">
        <f t="shared" si="106"/>
        <v>3.9347864840807694E-5</v>
      </c>
      <c r="W20" s="165">
        <f t="shared" si="107"/>
        <v>3.8932125327501902E-5</v>
      </c>
      <c r="X20" s="165">
        <f t="shared" si="108"/>
        <v>3.8408427131035282E-5</v>
      </c>
      <c r="Y20" s="165">
        <f t="shared" si="109"/>
        <v>3.8093349312720272E-5</v>
      </c>
      <c r="Z20" s="165">
        <f t="shared" si="110"/>
        <v>3.7650759544285953E-5</v>
      </c>
      <c r="AA20" s="165">
        <f t="shared" si="111"/>
        <v>3.729975708470505E-5</v>
      </c>
      <c r="AB20" s="165">
        <f t="shared" si="112"/>
        <v>3.6924771565652244E-5</v>
      </c>
      <c r="AC20" s="186">
        <f t="shared" si="8"/>
        <v>3.3721535563460643E-5</v>
      </c>
      <c r="AD20" s="183">
        <f t="shared" si="9"/>
        <v>3.3628676659693355E-5</v>
      </c>
      <c r="AE20" s="183">
        <f t="shared" si="10"/>
        <v>3.2942497873696057E-5</v>
      </c>
      <c r="AF20" s="183">
        <f t="shared" si="11"/>
        <v>3.2343437490003797E-5</v>
      </c>
      <c r="AG20" s="183">
        <f t="shared" si="12"/>
        <v>3.1629691187116566E-5</v>
      </c>
      <c r="AH20" s="183">
        <f t="shared" si="13"/>
        <v>3.1177605896314339E-5</v>
      </c>
      <c r="AI20" s="183">
        <f t="shared" si="14"/>
        <v>3.0580949317916467E-5</v>
      </c>
      <c r="AJ20" s="183">
        <f t="shared" si="15"/>
        <v>3.0078954082291689E-5</v>
      </c>
      <c r="AK20" s="183">
        <f t="shared" si="16"/>
        <v>2.9587183266745139E-5</v>
      </c>
      <c r="AL20" s="186">
        <f t="shared" si="113"/>
        <v>3.2627497565979921E-2</v>
      </c>
      <c r="AM20" s="183">
        <f t="shared" si="114"/>
        <v>3.2573425863386109E-2</v>
      </c>
      <c r="AN20" s="183">
        <f t="shared" si="115"/>
        <v>3.2152195632606503E-2</v>
      </c>
      <c r="AO20" s="183">
        <f t="shared" si="116"/>
        <v>3.1801118320542145E-2</v>
      </c>
      <c r="AP20" s="183">
        <f t="shared" si="117"/>
        <v>3.1356023095330005E-2</v>
      </c>
      <c r="AQ20" s="183">
        <f t="shared" si="118"/>
        <v>3.1086372217314071E-2</v>
      </c>
      <c r="AR20" s="183">
        <f t="shared" si="119"/>
        <v>3.0706217451105855E-2</v>
      </c>
      <c r="AS20" s="183">
        <f t="shared" si="120"/>
        <v>3.0402225710149403E-2</v>
      </c>
      <c r="AT20" s="183">
        <f t="shared" si="121"/>
        <v>3.0081691213707105E-2</v>
      </c>
      <c r="AU20" s="186">
        <f>_xlfn.FORECAST.LINEAR(Sheet3!DF20,Sheet2!$AH$2:$AH$40,Sheet2!$AG$2:$AG$40)</f>
        <v>3.3278061617758661E-2</v>
      </c>
      <c r="AV20" s="183">
        <f>_xlfn.FORECAST.LINEAR(Sheet3!BZ20,Sheet2!$AH$2:$AH$40,Sheet2!$AG$2:$AG$40)</f>
        <v>3.3158439793218628E-2</v>
      </c>
      <c r="AW20" s="183">
        <f>_xlfn.FORECAST.LINEAR(Sheet3!CA20,Sheet2!$AH$2:$AH$40,Sheet2!$AG$2:$AG$40)</f>
        <v>3.2227429881553152E-2</v>
      </c>
      <c r="AX20" s="183">
        <f>_xlfn.FORECAST.LINEAR(Sheet3!CB20,Sheet2!$AH$2:$AH$40,Sheet2!$AG$2:$AG$40)</f>
        <v>3.1451264088359465E-2</v>
      </c>
      <c r="AY20" s="183">
        <f>_xlfn.FORECAST.LINEAR(Sheet3!CC20,Sheet2!$AH$2:$AH$40,Sheet2!$AG$2:$AG$40)</f>
        <v>3.0467326182800829E-2</v>
      </c>
      <c r="AZ20" s="183">
        <f>_xlfn.FORECAST.LINEAR(Sheet3!CD20,Sheet2!$AH$2:$AH$40,Sheet2!$AG$2:$AG$40)</f>
        <v>2.9871900685051994E-2</v>
      </c>
      <c r="BA20" s="183">
        <f>_xlfn.FORECAST.LINEAR(Sheet3!CE20,Sheet2!$AH$2:$AH$40,Sheet2!$AG$2:$AG$40)</f>
        <v>2.9031130467369333E-2</v>
      </c>
      <c r="BB20" s="183">
        <f>_xlfn.FORECAST.LINEAR(Sheet3!CF20,Sheet2!$AH$2:$AH$40,Sheet2!$AG$2:$AG$40)</f>
        <v>2.8360594173731549E-2</v>
      </c>
      <c r="BC20" s="183">
        <f>_xlfn.FORECAST.LINEAR(Sheet3!CG20,Sheet2!$AH$2:$AH$40,Sheet2!$AG$2:$AG$40)</f>
        <v>2.76510781494573E-2</v>
      </c>
      <c r="BD20" s="186">
        <f>_xlfn.FORECAST.LINEAR(Sheet3!DF20,Sheet2!$AB$12:$AB$37,Sheet2!$AA$12:$AA$37)/1000</f>
        <v>3.221097904255335E-2</v>
      </c>
      <c r="BE20" s="183">
        <f>_xlfn.FORECAST.LINEAR(Sheet3!BZ20,Sheet2!$AB$12:$AB$37,Sheet2!$AA$12:$AA$37)/1000</f>
        <v>3.2184234371416293E-2</v>
      </c>
      <c r="BF20" s="183">
        <f>_xlfn.FORECAST.LINEAR(Sheet3!CA20,Sheet2!$AB$12:$AB$37,Sheet2!$AA$12:$AA$37)/1000</f>
        <v>3.1976082104816332E-2</v>
      </c>
      <c r="BG20" s="183">
        <f>_xlfn.FORECAST.LINEAR(Sheet3!CB20,Sheet2!$AB$12:$AB$37,Sheet2!$AA$12:$AA$37)/1000</f>
        <v>3.1802549399002698E-2</v>
      </c>
      <c r="BH20" s="183">
        <f>_xlfn.FORECAST.LINEAR(Sheet3!CC20,Sheet2!$AB$12:$AB$37,Sheet2!$AA$12:$AA$37)/1000</f>
        <v>3.1582563658067601E-2</v>
      </c>
      <c r="BI20" s="183">
        <f>_xlfn.FORECAST.LINEAR(Sheet3!CD20,Sheet2!$AB$12:$AB$37,Sheet2!$AA$12:$AA$37)/1000</f>
        <v>3.1449440298804844E-2</v>
      </c>
      <c r="BJ20" s="183">
        <f>_xlfn.FORECAST.LINEAR(Sheet3!CE20,Sheet2!$AB$12:$AB$37,Sheet2!$AA$12:$AA$37)/1000</f>
        <v>3.1261463539043695E-2</v>
      </c>
      <c r="BK20" s="183">
        <f>_xlfn.FORECAST.LINEAR(Sheet3!CF20,Sheet2!$AB$12:$AB$37,Sheet2!$AA$12:$AA$37)/1000</f>
        <v>3.1111547144374422E-2</v>
      </c>
      <c r="BL20" s="183">
        <f>_xlfn.FORECAST.LINEAR(Sheet3!CG20,Sheet2!$AB$12:$AB$37,Sheet2!$AA$12:$AA$37)/1000</f>
        <v>3.0952915784180326E-2</v>
      </c>
      <c r="BM20" s="186">
        <f t="shared" si="122"/>
        <v>0.81257025088851709</v>
      </c>
      <c r="BN20" s="183">
        <f t="shared" si="123"/>
        <v>0.81355994297589207</v>
      </c>
      <c r="BO20" s="183">
        <f t="shared" si="124"/>
        <v>0.82148071212603191</v>
      </c>
      <c r="BP20" s="183">
        <f t="shared" si="125"/>
        <v>0.82806988923421754</v>
      </c>
      <c r="BQ20" s="183">
        <f t="shared" si="126"/>
        <v>0.83674346150091472</v>
      </c>
      <c r="BR20" s="183">
        <f t="shared" si="127"/>
        <v>0.84197871867823226</v>
      </c>
      <c r="BS20" s="183">
        <f t="shared" si="128"/>
        <v>0.84964741226552321</v>
      </c>
      <c r="BT20" s="183">
        <f t="shared" si="129"/>
        <v>0.85573028074413371</v>
      </c>
      <c r="BU20" s="183">
        <f t="shared" si="130"/>
        <v>0.86242464183583389</v>
      </c>
      <c r="BV20" s="186">
        <f t="shared" si="131"/>
        <v>1.1907360574614319</v>
      </c>
      <c r="BW20" s="183">
        <f t="shared" si="19"/>
        <v>1.1905951321493391</v>
      </c>
      <c r="BX20" s="183">
        <f t="shared" si="20"/>
        <v>1.1881102379027764</v>
      </c>
      <c r="BY20" s="183">
        <f t="shared" si="21"/>
        <v>1.1873786196175486</v>
      </c>
      <c r="BZ20" s="183">
        <f t="shared" si="22"/>
        <v>1.1847690392225008</v>
      </c>
      <c r="CA20" s="183">
        <f t="shared" si="23"/>
        <v>1.1842030221830055</v>
      </c>
      <c r="CB20" s="183">
        <f t="shared" si="24"/>
        <v>1.1817799543364571</v>
      </c>
      <c r="CC20" s="183">
        <f t="shared" si="25"/>
        <v>1.1811518869224105</v>
      </c>
      <c r="CD20" s="183">
        <f t="shared" si="26"/>
        <v>1.1789013638809389</v>
      </c>
      <c r="CE20" s="187">
        <f xml:space="preserve"> -0.0000000019505*Sheet3!DF20^3 + 0.0000015497*Sheet3!DF20^2  + 0.00016911*Sheet3!DF20 + 1.8585</f>
        <v>1.8954759658125</v>
      </c>
      <c r="CF20" s="185">
        <f xml:space="preserve"> -0.0000000019505*Sheet3!BZ20^3 + 0.0000015497*Sheet3!BZ20^2  + 0.00016911*Sheet3!BZ20 + 1.8585</f>
        <v>1.8952652211588787</v>
      </c>
      <c r="CG20" s="185">
        <f xml:space="preserve"> -0.0000000019505*Sheet3!CA20^3 + 0.0000015497*Sheet3!CA20^2  + 0.00016911*Sheet3!CA20 + 1.8585</f>
        <v>1.8936384213803481</v>
      </c>
      <c r="CH20" s="185">
        <f xml:space="preserve"> -0.0000000019505*Sheet3!CB20^3 + 0.0000015497*Sheet3!CB20^2  + 0.00016911*Sheet3!CB20 + 1.8585</f>
        <v>1.8923006473001487</v>
      </c>
      <c r="CI20" s="185">
        <f xml:space="preserve"> -0.0000000019505*Sheet3!CC20^3 + 0.0000015497*Sheet3!CC20^2  + 0.00016911*Sheet3!CC20 + 1.8585</f>
        <v>1.8906294433992015</v>
      </c>
      <c r="CJ20" s="185">
        <f xml:space="preserve"> -0.0000000019505*Sheet3!CD20^3 + 0.0000015497*Sheet3!CD20^2  + 0.00016911*Sheet3!CD20 + 1.8585</f>
        <v>1.8896317862962111</v>
      </c>
      <c r="CK20" s="185">
        <f xml:space="preserve"> -0.0000000019505*Sheet3!CE20^3 + 0.0000015497*Sheet3!CE20^2  + 0.00016911*Sheet3!CE20 + 1.8585</f>
        <v>1.8882409379840901</v>
      </c>
      <c r="CL20" s="185">
        <f xml:space="preserve"> -0.0000000019505*Sheet3!CF20^3 + 0.0000015497*Sheet3!CF20^2  + 0.00016911*Sheet3!CF20 + 1.8585</f>
        <v>1.8871469699438965</v>
      </c>
      <c r="CM20" s="185">
        <f xml:space="preserve"> -0.0000000019505*Sheet3!CG20^3 + 0.0000015497*Sheet3!CG20^2  + 0.00016911*Sheet3!CG20 + 1.8585</f>
        <v>1.8860044199265973</v>
      </c>
      <c r="CN20" s="186">
        <f>_xlfn.FORECAST.LINEAR(Sheet3!DF20,New!$LU$2:$LU$14,New!$LT$2:$LT$14)</f>
        <v>1.0182325575068421</v>
      </c>
      <c r="CO20" s="183">
        <f>_xlfn.FORECAST.LINEAR(Sheet3!BZ20,New!$LU$2:$LU$14,New!$LT$2:$LT$14)</f>
        <v>1.0181445142746284</v>
      </c>
      <c r="CP20" s="183">
        <f>_xlfn.FORECAST.LINEAR(Sheet3!CA20,New!$LU$2:$LU$14,New!$LT$2:$LT$14)</f>
        <v>1.0174592787654639</v>
      </c>
      <c r="CQ20" s="183">
        <f>_xlfn.FORECAST.LINEAR(Sheet3!CB20,New!$LU$2:$LU$14,New!$LT$2:$LT$14)</f>
        <v>1.016888010558938</v>
      </c>
      <c r="CR20" s="183">
        <f>_xlfn.FORECAST.LINEAR(Sheet3!CC20,New!$LU$2:$LU$14,New!$LT$2:$LT$14)</f>
        <v>1.0161638193518912</v>
      </c>
      <c r="CS20" s="183">
        <f>_xlfn.FORECAST.LINEAR(Sheet3!CD20,New!$LU$2:$LU$14,New!$LT$2:$LT$14)</f>
        <v>1.0157255783739949</v>
      </c>
      <c r="CT20" s="183">
        <f>_xlfn.FORECAST.LINEAR(Sheet3!CE20,New!$LU$2:$LU$14,New!$LT$2:$LT$14)</f>
        <v>1.0151067604634814</v>
      </c>
      <c r="CU20" s="183">
        <f>_xlfn.FORECAST.LINEAR(Sheet3!CF20,New!$LU$2:$LU$14,New!$LT$2:$LT$14)</f>
        <v>1.0146132369544114</v>
      </c>
      <c r="CV20" s="183">
        <f>_xlfn.FORECAST.LINEAR(Sheet3!CG20,New!$LU$2:$LU$14,New!$LT$2:$LT$14)</f>
        <v>1.014091023852207</v>
      </c>
      <c r="CW20" s="186">
        <f>EXP((17.625*Sheet3!BA20)/(243.04+Sheet3!BA20)) / EXP((17.625*Sheet3!DF20)/(243.04+Sheet3!DF20))</f>
        <v>0.58976897613371493</v>
      </c>
      <c r="CX20" s="183">
        <f>EXP((17.625*(Sheet3!BC20+273))/(243.04+(Sheet3!BC20+273)))/EXP((17.625*(Sheet3!BZ20+273))/(243.04+(Sheet3!BZ20+273)))</f>
        <v>0.55533133793296052</v>
      </c>
      <c r="CY20" s="183">
        <f>EXP((17.625*(Sheet3!BE20+273))/(243.04+(Sheet3!BE20+273))) / EXP((17.625*(Sheet3!CA20+273))/(243.04+(Sheet3!CA20+273)))</f>
        <v>0.57753979969159741</v>
      </c>
      <c r="CZ20" s="183">
        <f>EXP((17.625*(Sheet3!BG20+273))/(243.04+(Sheet3!BG20+273))) / EXP((17.625*(Sheet3!CB20+273))/(243.04+(Sheet3!CB20+273)))</f>
        <v>0.59630447054248548</v>
      </c>
      <c r="DA20" s="183">
        <f>EXP((17.625*(Sheet3!BI20+273))/(243.04+(Sheet3!BI20+273))) / EXP((17.625*(Sheet3!CC20+273))/(243.04+(Sheet3!CC20+273)))</f>
        <v>0.6211544774417751</v>
      </c>
      <c r="DB20" s="183">
        <f>EXP((17.625*(Sheet3!BK20+273))/(243.04+(Sheet3!BK20+273)))/EXP((17.625*(Sheet3!CD20+273))/(243.04+(Sheet3!CD20+273)))</f>
        <v>0.63763293338977578</v>
      </c>
      <c r="DC20" s="183">
        <f>EXP((17.625*(Sheet3!BM20+273))/(243.04+(Sheet3!BM20+273))) / EXP((17.625*(Sheet3!CE20+273))/(243.04+(Sheet3!CE20+273)))</f>
        <v>0.66055847505633081</v>
      </c>
      <c r="DD20" s="183">
        <f>EXP((17.625*(Sheet3!BO20+273))/(243.04+(Sheet3!BO20+273))) / EXP((17.625*(Sheet3!CF20+273))/(243.04+(Sheet3!CF20+273)))</f>
        <v>0.68071826770316912</v>
      </c>
      <c r="DE20" s="183">
        <f>EXP((17.625*(Sheet3!BQ20+273))/(243.04+(Sheet3!BQ20+273))) / EXP((17.625*(Sheet3!CG20+273))/(243.04+(Sheet3!CG20+273)))</f>
        <v>0.70153321874036489</v>
      </c>
      <c r="DF20" s="186">
        <f>((Sheet3!DA20-Sheet3!DB20)/New!$LQ$3)/(((Sheet3!DA20-Sheet3!DB20)/New!$LQ$3)+(Sheet3!DB20/New!$LP$3))</f>
        <v>0.71762282922966159</v>
      </c>
      <c r="DG20" s="183">
        <f>((Sheet3!DA20-Sheet3!DB20)/New!$LQ$3)/(((Sheet3!DA20-Sheet3!DB20)/New!$LQ$3)+((Sheet3!DB20-(Sheet3!B20*0.004))/New!$LP$3))</f>
        <v>0.71775135585226491</v>
      </c>
      <c r="DH20" s="183" cm="1">
        <f t="array" ref="DH20">((Sheet3!DA20-Sheet3!DB20)/New!$LQ$3)/(((Sheet3!DA20-Sheet3!DB20)/New!$LQ$3)+((Sheet3!DB20-(SUM(Sheet3!B20:C20*0.004)))/New!$LP$3))</f>
        <v>0.72504324856051461</v>
      </c>
      <c r="DI20" s="183" cm="1">
        <f t="array" ref="DI20">((Sheet3!DA20-Sheet3!DB20)/New!$LQ$3)/(((Sheet3!DA20-Sheet3!DB20)/New!$LQ$3)+((Sheet3!DB20-(SUM(Sheet3!B20:D20*0.004)))/New!$LP$3))</f>
        <v>0.72509370394577699</v>
      </c>
      <c r="DJ20" s="183" cm="1">
        <f t="array" ref="DJ20">((Sheet3!DA20-Sheet3!DB20)/New!$LQ$3)/(((Sheet3!DA20-Sheet3!DB20)/New!$LQ$3)+((Sheet3!DB20-(SUM(Sheet3!B20:E20*0.004)))/New!$LP$3))</f>
        <v>0.73293824122065188</v>
      </c>
      <c r="DK20" s="183" cm="1">
        <f t="array" ref="DK20">((Sheet3!DA20-Sheet3!DB20)/New!$LQ$3)/(((Sheet3!DA20-Sheet3!DB20)/New!$LQ$3)+((Sheet3!DB20-(SUM(Sheet3!B20:F20*0.004)))/New!$LP$3))</f>
        <v>0.73303105484677655</v>
      </c>
      <c r="DL20" s="183" cm="1">
        <f t="array" ref="DL20">((Sheet3!DA20-Sheet3!DB20)/New!$LQ$3)/(((Sheet3!DA20-Sheet3!DB20)/New!$LQ$3)+((Sheet3!DB20-(SUM(Sheet3!B20:G20*0.004)))/New!$LP$3))</f>
        <v>0.74082793388828339</v>
      </c>
      <c r="DM20" s="183" cm="1">
        <f t="array" ref="DM20">((Sheet3!DA20-Sheet3!DB20)/New!$LQ$3)/(((Sheet3!DA20-Sheet3!DB20)/New!$LQ$3)+((Sheet3!DB20-(SUM(Sheet3!B20:H20*0.004)))/New!$LP$3))</f>
        <v>0.74092275657756579</v>
      </c>
      <c r="DN20" s="183" cm="1">
        <f t="array" ref="DN20">((Sheet3!DA20-Sheet3!DB20)/New!$LQ$3)/(((Sheet3!DA20-Sheet3!DB20)/New!$LQ$3)+((Sheet3!DB20-(SUM(Sheet3!B20:I20*0.004)))/New!$LP$3))</f>
        <v>0.74866333445254007</v>
      </c>
      <c r="DO20" s="186">
        <f>(Sheet3!DB20/$LP$3) / ((Sheet3!DB20/$LP$3) + ((Sheet3!DA20-Sheet3!DB20)/$LQ$3))</f>
        <v>0.28237717077033847</v>
      </c>
      <c r="DP20" s="183">
        <f>((Sheet3!$DB20-(Sheet3!B20/4000)) / $LP$3) / (((Sheet3!$DA20-Sheet3!DB20) / $LQ$3) + (Sheet3!$DB20-((Sheet3!B20/4000)))/$LP$3)</f>
        <v>0.28236913920497969</v>
      </c>
      <c r="DQ20" s="183">
        <f>((Sheet3!$DB20-(SUM(Sheet3!B20:C20)/4000))/$LP$3)/(((Sheet3!$DA20-Sheet3!$DB20)/$LQ$3)+(Sheet3!$DB20-(SUM(Sheet3!B20:C20)/4000))/$LP$3)</f>
        <v>0.28191784724912161</v>
      </c>
      <c r="DR20" s="183">
        <f>((Sheet3!$DB20-(SUM(Sheet3!B20:D20)/4000))/$LP$3)/(((Sheet3!$DA20-Sheet3!$DB20)/$LQ$3)+(Sheet3!$DB20-(SUM(Sheet3!B20:D20)/4000))/$LP$3)</f>
        <v>0.28191475425116247</v>
      </c>
      <c r="DS20" s="183">
        <f>((Sheet3!$DB20-(SUM(Sheet3!B20:E20)/4000))/$LP$3)/(((Sheet3!$DA20-Sheet3!$DB20)/$LQ$3)+(Sheet3!$DB20-(SUM(Sheet3!B20:E20)/4000))/$LP$3)</f>
        <v>0.28143873376994122</v>
      </c>
      <c r="DT20" s="183">
        <f>((Sheet3!$DB20-(SUM(Sheet3!B20:F20)/4000))/$LP$3)/(((Sheet3!$DA20-Sheet3!$DB20)/$LQ$3)+(Sheet3!$DB20-(SUM(Sheet3!B20:F20)/4000))/$LP$3)</f>
        <v>0.28143315892262311</v>
      </c>
      <c r="DU20" s="183">
        <f>((Sheet3!$DB20-(SUM(Sheet3!B20:G20)/4000))/$LP$3)/(((Sheet3!$DA20-Sheet3!$DB20)/$LQ$3)+(Sheet3!$DB20-(SUM(Sheet3!B20:G20)/4000))/$LP$3)</f>
        <v>0.28096952461943242</v>
      </c>
      <c r="DV20" s="183">
        <f>((Sheet3!$DB20-(SUM(Sheet3!B20:H20)/4000))/$LP$3)/(((Sheet3!$DA20-Sheet3!$DB20)/$LQ$3)+(Sheet3!$DB20-(SUM(Sheet3!B20:H20)/4000))/$LP$3)</f>
        <v>0.28096394248913464</v>
      </c>
      <c r="DW20" s="183">
        <f>((Sheet3!$DB20-(SUM(Sheet3!B20:I20)/4000))/$LP$3)/(((Sheet3!$DA20-Sheet3!$DB20)/$LQ$3)+(Sheet3!$DB20-(SUM(Sheet3!B20:I20)/4000))/$LP$3)</f>
        <v>0.2805127439561354</v>
      </c>
      <c r="DX20" s="186">
        <f>($LR$2*($LP$3/1000))/($LP$2*(Sheet3!DF20+273))*DO20</f>
        <v>0.15978599657759807</v>
      </c>
      <c r="DY20" s="183">
        <f>(($LR$2*($LP$3/1000))/($LP$2*(Sheet3!BZ20+273)))*(DP20)</f>
        <v>0.15997551840442034</v>
      </c>
      <c r="DZ20" s="183">
        <f>(($LR$2*($LP$3/1000))/($LP$2*(Sheet3!CA20+273)))*(DQ20)</f>
        <v>0.16124407539343294</v>
      </c>
      <c r="EA20" s="183">
        <f>(($LR$2*($LP$3/1000))/($LP$2*(Sheet3!CB20+273)))*(DR20)</f>
        <v>0.16253543399058817</v>
      </c>
      <c r="EB20" s="183">
        <f>(($LR$2*($LP$3/1000))/($LP$2*(Sheet3!CC20+273)))*(DS20)</f>
        <v>0.16392757414339251</v>
      </c>
      <c r="EC20" s="183">
        <f>(($LR$2*($LP$3/1000))/($LP$2*(Sheet3!CD20+273)))*(DT20)</f>
        <v>0.1649495642906863</v>
      </c>
      <c r="ED20" s="183">
        <f>(($LR$2*($LP$3/1000))/($LP$2*(Sheet3!CE20+273)))*(DU20)</f>
        <v>0.16614512411260907</v>
      </c>
      <c r="EE20" s="183">
        <f>(($LR$2*($LP$3/1000))/($LP$2*(Sheet3!CF20+273)))*(DV20)</f>
        <v>0.16733088505018381</v>
      </c>
      <c r="EF20" s="183">
        <f>(($LR$2*($LP$3/1000))/($LP$2*(Sheet3!CG20+273)))*(DW20)</f>
        <v>0.16833697760961189</v>
      </c>
      <c r="EG20" s="186">
        <f>(($LR$2*($LQ$3/1000))/($LQ$2*(Sheet3!DF20+273)))*(1-DO20)</f>
        <v>0.65278425431091902</v>
      </c>
      <c r="EH20" s="183">
        <f>(($LR$2*($LQ$3/1000))/($LQ$2*(Sheet3!BZ20+273)))*(1-DP20)</f>
        <v>0.6535844245714717</v>
      </c>
      <c r="EI20" s="183">
        <f>(($LR$2*($LQ$3/1000))/($LQ$2*(Sheet3!CA20+273)))*(1-DQ20)</f>
        <v>0.66023663673259891</v>
      </c>
      <c r="EJ20" s="183">
        <f>(($LR$2*($LQ$3/1000))/($LQ$2*(Sheet3!CB20+273)))*(1-DR20)</f>
        <v>0.66553445524362931</v>
      </c>
      <c r="EK20" s="183">
        <f>(($LR$2*($LQ$3/1000))/($LQ$2*(Sheet3!CC20+273)))*(1-DS20)</f>
        <v>0.67281588735752218</v>
      </c>
      <c r="EL20" s="183">
        <f>(($LR$2*($LQ$3/1000))/($LQ$2*(Sheet3!CD20+273)))*(1-DT20)</f>
        <v>0.67702915438754596</v>
      </c>
      <c r="EM20" s="183">
        <f>(($LR$2*($LQ$3/1000))/($LQ$2*(Sheet3!CE20+273)))*(1-DU20)</f>
        <v>0.68350228815291414</v>
      </c>
      <c r="EN20" s="183">
        <f>(($LR$2*($LQ$3/1000))/($LQ$2*(Sheet3!CF20+273)))*(1-DV20)</f>
        <v>0.68839939569394992</v>
      </c>
      <c r="EO20" s="183">
        <f>(($LR$2*($LQ$3/1000))/($LQ$2*(Sheet3!CG20+273)))*(1-DW20)</f>
        <v>0.69408766422622203</v>
      </c>
      <c r="EP20" s="186">
        <f t="shared" si="132"/>
        <v>9722.0403616310286</v>
      </c>
      <c r="EQ20" s="183">
        <f xml:space="preserve"> (($FV20-(Sheet3!B20/4000))*0.018)/(0.011*JO20*3600)</f>
        <v>9731.4594746643179</v>
      </c>
      <c r="ER20" s="183">
        <f>((($FV20-(SUM(Sheet3!B20:C20)/4000))*0.018)/(0.011*JP20*3600))</f>
        <v>9799.8780881473776</v>
      </c>
      <c r="ES20" s="183">
        <f>((($FV20-(SUM(Sheet3!B20:D20)/4000))*0.018)/(0.011*JQ20*3600))</f>
        <v>9863.0864037057272</v>
      </c>
      <c r="ET20" s="183">
        <f>((($FV20-(SUM(Sheet3!B20:E20)/4000))*0.018)/(0.011*JR20))/3600</f>
        <v>9937.5813236262202</v>
      </c>
      <c r="EU20" s="183">
        <f>((($FV20-(SUM(Sheet3!B20:F20)/4000))*0.018)/(0.011*JS20))/3600</f>
        <v>9987.3830668014743</v>
      </c>
      <c r="EV20" s="183">
        <f>((($FV20-(SUM(Sheet3!B20:G20)/4000))*0.018)/(0.011*JT20))/3600</f>
        <v>10051.882710623628</v>
      </c>
      <c r="EW20" s="183">
        <f>((($FV20-(SUM(Sheet3!B20:H20)/4000))*0.018)/(0.011*JU20))/3600</f>
        <v>10109.378670950806</v>
      </c>
      <c r="EX20" s="183">
        <f>((($FV20-(SUM(Sheet3!B20:I20)/4000))*0.018)/(0.011*JV20))/3600</f>
        <v>10164.318620161133</v>
      </c>
      <c r="EY20" s="186">
        <f t="shared" si="133"/>
        <v>77.703129113252615</v>
      </c>
      <c r="EZ20" s="183">
        <f t="shared" si="134"/>
        <v>77.766338967759225</v>
      </c>
      <c r="FA20" s="183">
        <f t="shared" si="135"/>
        <v>78.208345527244276</v>
      </c>
      <c r="FB20" s="183">
        <f t="shared" si="136"/>
        <v>78.636971024857402</v>
      </c>
      <c r="FC20" s="183">
        <f t="shared" si="137"/>
        <v>79.121896619308941</v>
      </c>
      <c r="FD20" s="183">
        <f t="shared" si="138"/>
        <v>79.46166164814224</v>
      </c>
      <c r="FE20" s="183">
        <f t="shared" si="139"/>
        <v>79.88142324303665</v>
      </c>
      <c r="FF20" s="183">
        <f t="shared" si="140"/>
        <v>80.27608404511696</v>
      </c>
      <c r="FG20" s="183">
        <f t="shared" si="141"/>
        <v>80.632922602790742</v>
      </c>
      <c r="FH20" s="186">
        <f t="shared" si="28"/>
        <v>140.84770311175964</v>
      </c>
      <c r="FI20" s="183">
        <f t="shared" si="29"/>
        <v>140.7286709462922</v>
      </c>
      <c r="FJ20" s="183">
        <f t="shared" si="30"/>
        <v>139.69833474969133</v>
      </c>
      <c r="FK20" s="183">
        <f t="shared" si="31"/>
        <v>138.93020110725192</v>
      </c>
      <c r="FL20" s="183">
        <f t="shared" si="32"/>
        <v>137.8304454300758</v>
      </c>
      <c r="FM20" s="183">
        <f t="shared" si="33"/>
        <v>137.23193283335667</v>
      </c>
      <c r="FN20" s="183">
        <f t="shared" si="34"/>
        <v>136.26979735580582</v>
      </c>
      <c r="FO20" s="183">
        <f t="shared" si="35"/>
        <v>135.58731257036496</v>
      </c>
      <c r="FP20" s="183">
        <f t="shared" si="36"/>
        <v>134.75414885532751</v>
      </c>
      <c r="FQ20" s="314">
        <f>Sheet3!CV20</f>
        <v>2</v>
      </c>
      <c r="FR20" s="183">
        <v>10000</v>
      </c>
      <c r="FS20" s="183">
        <v>20</v>
      </c>
      <c r="FT20" s="183">
        <v>0.30099999999999993</v>
      </c>
      <c r="FU20" s="183">
        <v>22.02</v>
      </c>
      <c r="FV20" s="183">
        <v>417</v>
      </c>
      <c r="FW20" s="183">
        <v>82</v>
      </c>
      <c r="FX20" s="183">
        <v>834</v>
      </c>
      <c r="FY20" s="183">
        <v>9.7200000000000006</v>
      </c>
      <c r="FZ20" s="183">
        <v>15.75</v>
      </c>
      <c r="GA20" s="183">
        <v>115</v>
      </c>
      <c r="GB20" s="186">
        <f>EXP($LP$6-($LQ$6/('Trial and Error method'!T20+$LP$8))) / ($LR$2/1000)</f>
        <v>5.7641731424581032E-2</v>
      </c>
      <c r="GC20" s="183">
        <f>EXP($LP$6-($LQ$6/('Trial and Error method'!U20+$LP$8))) / ($LR$2/1000)</f>
        <v>8.7647765105170305E-2</v>
      </c>
      <c r="GD20" s="183">
        <f>EXP($LP$6-($LQ$6/('Trial and Error method'!V20+$LP$8))) / ($LR$2/1000)</f>
        <v>8.3182512927295255E-2</v>
      </c>
      <c r="GE20" s="183">
        <f>EXP($LP$6-($LQ$6/('Trial and Error method'!W20+$LP$8))) / ($LR$2/1000)</f>
        <v>7.9044176474575706E-2</v>
      </c>
      <c r="GF20" s="183">
        <f>EXP($LP$6-($LQ$6/('Trial and Error method'!X20+$LP$8))) / ($LR$2/1000)</f>
        <v>7.4753086188383638E-2</v>
      </c>
      <c r="GG20" s="183">
        <f>EXP($LP$6-($LQ$6/('Trial and Error method'!Y20+$LP$8))) / ($LR$2/1000)</f>
        <v>7.1120272996119657E-2</v>
      </c>
      <c r="GH20" s="183">
        <f>EXP($LP$6-($LQ$6/('Trial and Error method'!Z20+$LP$8))) / ($LR$2/1000)</f>
        <v>6.745575394935216E-2</v>
      </c>
      <c r="GI20" s="183">
        <f>EXP($LP$6-($LQ$6/('Trial and Error method'!AA20+$LP$8))) / ($LR$2/1000)</f>
        <v>6.4374336626348408E-2</v>
      </c>
      <c r="GJ20" s="183">
        <f>EXP($LP$6-($LQ$6/('Trial and Error method'!AB20+$LP$8))) / ($LR$2/1000)</f>
        <v>6.1438579682170105E-2</v>
      </c>
      <c r="GK20" s="188">
        <f t="shared" si="142"/>
        <v>0.82489457971544522</v>
      </c>
      <c r="GL20" s="165">
        <f t="shared" si="143"/>
        <v>0.81109970797382525</v>
      </c>
      <c r="GM20" s="165">
        <f t="shared" si="144"/>
        <v>0.81340751500337372</v>
      </c>
      <c r="GN20" s="165">
        <f t="shared" si="145"/>
        <v>0.8153182836270978</v>
      </c>
      <c r="GO20" s="165">
        <f t="shared" si="146"/>
        <v>0.81755437717675272</v>
      </c>
      <c r="GP20" s="165">
        <f t="shared" si="147"/>
        <v>0.81922891538056453</v>
      </c>
      <c r="GQ20" s="165">
        <f t="shared" si="148"/>
        <v>0.82116620476679625</v>
      </c>
      <c r="GR20" s="165">
        <f t="shared" si="149"/>
        <v>0.82258393434275334</v>
      </c>
      <c r="GS20" s="165">
        <f t="shared" si="150"/>
        <v>0.82417737707623473</v>
      </c>
      <c r="GT20" s="188">
        <f t="shared" si="38"/>
        <v>9.9819161873678508E-2</v>
      </c>
      <c r="GU20" s="165">
        <f t="shared" si="39"/>
        <v>0.10151331646113619</v>
      </c>
      <c r="GV20" s="165">
        <f t="shared" si="40"/>
        <v>0.10122903939923131</v>
      </c>
      <c r="GW20" s="165">
        <f t="shared" si="41"/>
        <v>0.10101764945528072</v>
      </c>
      <c r="GX20" s="165">
        <f t="shared" si="42"/>
        <v>0.10075151173414224</v>
      </c>
      <c r="GY20" s="165">
        <f t="shared" si="43"/>
        <v>0.10056890358473287</v>
      </c>
      <c r="GZ20" s="165">
        <f t="shared" si="44"/>
        <v>0.10034201505331132</v>
      </c>
      <c r="HA20" s="165">
        <f t="shared" si="45"/>
        <v>0.10019921189603472</v>
      </c>
      <c r="HB20" s="165">
        <f t="shared" si="46"/>
        <v>0.10000517902960153</v>
      </c>
      <c r="HC20" s="188">
        <f>BV20*Sheet3!DF20</f>
        <v>136.93464660806467</v>
      </c>
      <c r="HD20" s="165">
        <f>BW20*Sheet3!BZ20</f>
        <v>136.3580467714857</v>
      </c>
      <c r="HE20" s="165">
        <f>BX20*Sheet3!CA20</f>
        <v>131.72104603534763</v>
      </c>
      <c r="HF20" s="165">
        <f>BY20*Sheet3!CB20</f>
        <v>128.01364695471665</v>
      </c>
      <c r="HG20" s="165">
        <f>BZ20*Sheet3!CC20</f>
        <v>123.14539632881844</v>
      </c>
      <c r="HH20" s="165">
        <f>CA20*Sheet3!CD20</f>
        <v>120.31214495584183</v>
      </c>
      <c r="HI20" s="165">
        <f>CB20*Sheet3!CE20</f>
        <v>116.15636608529132</v>
      </c>
      <c r="HJ20" s="165">
        <f>CC20*Sheet3!CF20</f>
        <v>112.97828148346034</v>
      </c>
      <c r="HK20" s="165">
        <f>CD20*Sheet3!CG20</f>
        <v>109.47178721311322</v>
      </c>
      <c r="HL20" s="188">
        <f>(CE20*Sheet3!DF20)+2501</f>
        <v>2718.9797360684374</v>
      </c>
      <c r="HM20" s="165">
        <f>(CF20*Sheet3!BZ20)+2501</f>
        <v>2718.0634304581858</v>
      </c>
      <c r="HN20" s="165">
        <f>(CG20*Sheet3!CA20)+2501</f>
        <v>2710.9401433634939</v>
      </c>
      <c r="HO20" s="165">
        <f>(CH20*Sheet3!CB20)+2501</f>
        <v>2705.0126906392234</v>
      </c>
      <c r="HP20" s="165">
        <f>(CI20*Sheet3!CC20)+2501</f>
        <v>2697.5128260535207</v>
      </c>
      <c r="HQ20" s="165">
        <f>(CJ20*Sheet3!CD20)+2501</f>
        <v>2692.9819905263698</v>
      </c>
      <c r="HR20" s="165">
        <f>(CK20*Sheet3!CE20)+2501</f>
        <v>2686.5939465252341</v>
      </c>
      <c r="HS20" s="165">
        <f>(CL20*Sheet3!CF20)+2501</f>
        <v>2681.5073707552619</v>
      </c>
      <c r="HT20" s="165">
        <f>(CM20*Sheet3!CG20)+2501</f>
        <v>2676.1327811357482</v>
      </c>
      <c r="HU20" s="188">
        <f>-0.0021*(Sheet3!DF20^2) - 2.2115*(Sheet3!DF20) + 2499</f>
        <v>2216.9050000000002</v>
      </c>
      <c r="HV20" s="165">
        <f>-0.0021*(Sheet3!BZ20^2) - 2.2115*(Sheet3!BZ20) + 2499</f>
        <v>2218.1727913189329</v>
      </c>
      <c r="HW20" s="165">
        <f>-0.0021*(Sheet3!CA20^2) - 2.2115*(Sheet3!CA20) + 2499</f>
        <v>2228.0081371386741</v>
      </c>
      <c r="HX20" s="165">
        <f>-0.0021*(Sheet3!CB20^2) - 2.2115*(Sheet3!CB20) + 2499</f>
        <v>2236.1646022373884</v>
      </c>
      <c r="HY20" s="165">
        <f>-0.0021*(Sheet3!CC20^2) - 2.2115*(Sheet3!CC20) + 2499</f>
        <v>2246.4481675556081</v>
      </c>
      <c r="HZ20" s="165">
        <f>-0.0021*(Sheet3!CD20^2) - 2.2115*(Sheet3!CD20) + 2499</f>
        <v>2252.6406448531689</v>
      </c>
      <c r="IA20" s="165">
        <f>-0.0021*(Sheet3!CE20^2) - 2.2115*(Sheet3!CE20) + 2499</f>
        <v>2261.3454689893233</v>
      </c>
      <c r="IB20" s="165">
        <f>-0.0021*(Sheet3!CF20^2) - 2.2115*(Sheet3!CF20) + 2499</f>
        <v>2268.2548463199387</v>
      </c>
      <c r="IC20" s="165">
        <f>-0.0021*(Sheet3!CG20^2) - 2.2115*(Sheet3!CG20) + 2499</f>
        <v>2275.5340450812355</v>
      </c>
      <c r="ID20" s="188">
        <f t="shared" si="47"/>
        <v>0.71152095243730873</v>
      </c>
      <c r="IE20" s="165">
        <f t="shared" si="48"/>
        <v>0.71192243014332979</v>
      </c>
      <c r="IF20" s="165">
        <f t="shared" si="49"/>
        <v>0.71440635111075756</v>
      </c>
      <c r="IG20" s="165">
        <f t="shared" si="50"/>
        <v>0.71722029324628289</v>
      </c>
      <c r="IH20" s="165">
        <f t="shared" si="51"/>
        <v>0.72002941822406907</v>
      </c>
      <c r="II20" s="165">
        <f t="shared" si="52"/>
        <v>0.7223044406108563</v>
      </c>
      <c r="IJ20" s="165">
        <f t="shared" si="53"/>
        <v>0.72474258051416829</v>
      </c>
      <c r="IK20" s="165">
        <f t="shared" si="54"/>
        <v>0.727435431669743</v>
      </c>
      <c r="IL20" s="165">
        <f t="shared" si="55"/>
        <v>0.72950102780250003</v>
      </c>
      <c r="IM20" s="188">
        <f t="shared" si="56"/>
        <v>49.731615265949955</v>
      </c>
      <c r="IN20" s="165">
        <f t="shared" si="151"/>
        <v>43.846205593701981</v>
      </c>
      <c r="IO20" s="165">
        <f t="shared" si="152"/>
        <v>44.822593110672727</v>
      </c>
      <c r="IP20" s="165">
        <f t="shared" si="153"/>
        <v>45.826859201577257</v>
      </c>
      <c r="IQ20" s="165">
        <f t="shared" si="154"/>
        <v>46.779792783820135</v>
      </c>
      <c r="IR20" s="165">
        <f t="shared" si="155"/>
        <v>47.645458892786642</v>
      </c>
      <c r="IS20" s="165">
        <f t="shared" si="156"/>
        <v>48.447974367399425</v>
      </c>
      <c r="IT20" s="165">
        <f t="shared" si="157"/>
        <v>49.225911220661629</v>
      </c>
      <c r="IU20" s="165">
        <f t="shared" si="158"/>
        <v>49.853653722084168</v>
      </c>
      <c r="IV20" s="188">
        <f>_xlfn.FORECAST.LINEAR(Sheet3!DF20,Sheet2!$AK$2:$AK$69,Sheet2!$AJ$2:$AJ$69)</f>
        <v>1.2811804086396453E-5</v>
      </c>
      <c r="IW20" s="165">
        <f>_xlfn.FORECAST.LINEAR(Sheet3!BZ20,Sheet2!$AK$2:$AK$69,Sheet2!$AJ$2:$AJ$69)</f>
        <v>1.2795324370704733E-5</v>
      </c>
      <c r="IX20" s="165">
        <f>_xlfn.FORECAST.LINEAR(Sheet3!CA20,Sheet2!$AK$2:$AK$69,Sheet2!$AJ$2:$AJ$69)</f>
        <v>1.2667063673215662E-5</v>
      </c>
      <c r="IY20" s="165">
        <f>_xlfn.FORECAST.LINEAR(Sheet3!CB20,Sheet2!$AK$2:$AK$69,Sheet2!$AJ$2:$AJ$69)</f>
        <v>1.2560135095168525E-5</v>
      </c>
      <c r="IZ20" s="165">
        <f>_xlfn.FORECAST.LINEAR(Sheet3!CC20,Sheet2!$AK$2:$AK$69,Sheet2!$AJ$2:$AJ$69)</f>
        <v>1.2424582765948821E-5</v>
      </c>
      <c r="JA20" s="165">
        <f>_xlfn.FORECAST.LINEAR(Sheet3!CD20,Sheet2!$AK$2:$AK$69,Sheet2!$AJ$2:$AJ$69)</f>
        <v>1.2342553897418918E-5</v>
      </c>
      <c r="JB20" s="165">
        <f>_xlfn.FORECAST.LINEAR(Sheet3!CE20,Sheet2!$AK$2:$AK$69,Sheet2!$AJ$2:$AJ$69)</f>
        <v>1.2226725082712633E-5</v>
      </c>
      <c r="JC20" s="165">
        <f>_xlfn.FORECAST.LINEAR(Sheet3!CF20,Sheet2!$AK$2:$AK$69,Sheet2!$AJ$2:$AJ$69)</f>
        <v>1.2134348565947232E-5</v>
      </c>
      <c r="JD20" s="165">
        <f>_xlfn.FORECAST.LINEAR(Sheet3!CG20,Sheet2!$AK$2:$AK$69,Sheet2!$AJ$2:$AJ$69)</f>
        <v>1.2036602001691763E-5</v>
      </c>
      <c r="JE20" s="188">
        <f>_xlfn.FORECAST.LINEAR(Sheet3!DF20,New!$MC$2:$MC$18,New!$MB$2:$MB$18)</f>
        <v>2.214324918296784E-5</v>
      </c>
      <c r="JF20" s="165">
        <f>_xlfn.FORECAST.LINEAR(Sheet3!BZ20,New!$MC$2:$MC$18,New!$MB$2:$MB$18)</f>
        <v>2.2123876879405884E-5</v>
      </c>
      <c r="JG20" s="165">
        <f>_xlfn.FORECAST.LINEAR(Sheet3!CA20,New!$MC$2:$MC$18,New!$MB$2:$MB$18)</f>
        <v>2.197310333371447E-5</v>
      </c>
      <c r="JH20" s="165">
        <f>_xlfn.FORECAST.LINEAR(Sheet3!CB20,New!$MC$2:$MC$18,New!$MB$2:$MB$18)</f>
        <v>2.1847406209314523E-5</v>
      </c>
      <c r="JI20" s="165">
        <f>_xlfn.FORECAST.LINEAR(Sheet3!CC20,New!$MC$2:$MC$18,New!$MB$2:$MB$18)</f>
        <v>2.1688061174527656E-5</v>
      </c>
      <c r="JJ20" s="165">
        <f>_xlfn.FORECAST.LINEAR(Sheet3!CD20,New!$MC$2:$MC$18,New!$MB$2:$MB$18)</f>
        <v>2.1591634259662624E-5</v>
      </c>
      <c r="JK20" s="165">
        <f>_xlfn.FORECAST.LINEAR(Sheet3!CE20,New!$MC$2:$MC$18,New!$MB$2:$MB$18)</f>
        <v>2.1455474692247295E-5</v>
      </c>
      <c r="JL20" s="165">
        <f>_xlfn.FORECAST.LINEAR(Sheet3!CF20,New!$MC$2:$MC$18,New!$MB$2:$MB$18)</f>
        <v>2.1346883867123116E-5</v>
      </c>
      <c r="JM20" s="165">
        <f>_xlfn.FORECAST.LINEAR(Sheet3!CG20,New!$MC$2:$MC$18,New!$MB$2:$MB$18)</f>
        <v>2.1231980421559002E-5</v>
      </c>
      <c r="JN20" s="188">
        <f t="shared" si="159"/>
        <v>1.949646859043231E-5</v>
      </c>
      <c r="JO20" s="165">
        <f t="shared" si="160"/>
        <v>1.9477446087732437E-5</v>
      </c>
      <c r="JP20" s="165">
        <f t="shared" si="161"/>
        <v>1.9332997923353704E-5</v>
      </c>
      <c r="JQ20" s="165">
        <f t="shared" si="162"/>
        <v>1.92090433755372E-5</v>
      </c>
      <c r="JR20" s="165">
        <f t="shared" si="163"/>
        <v>1.9056253429754679E-5</v>
      </c>
      <c r="JS20" s="165">
        <f t="shared" si="164"/>
        <v>1.8961127673577169E-5</v>
      </c>
      <c r="JT20" s="165">
        <f t="shared" si="165"/>
        <v>1.883100419133342E-5</v>
      </c>
      <c r="JU20" s="165">
        <f t="shared" si="166"/>
        <v>1.8723803795299919E-5</v>
      </c>
      <c r="JV20" s="165">
        <f t="shared" si="167"/>
        <v>1.8614470498358866E-5</v>
      </c>
      <c r="JW20" s="188">
        <f t="shared" si="66"/>
        <v>1.0286695457519455</v>
      </c>
      <c r="JX20" s="165">
        <f t="shared" si="67"/>
        <v>1.0288977978934934</v>
      </c>
      <c r="JY20" s="165">
        <f t="shared" si="68"/>
        <v>1.0306938144242443</v>
      </c>
      <c r="JZ20" s="165">
        <f t="shared" si="69"/>
        <v>1.0322181073734191</v>
      </c>
      <c r="KA20" s="165">
        <f t="shared" si="70"/>
        <v>1.0341867286791313</v>
      </c>
      <c r="KB20" s="165">
        <f t="shared" si="71"/>
        <v>1.0353982373594497</v>
      </c>
      <c r="KC20" s="165">
        <f t="shared" si="72"/>
        <v>1.0371355777525497</v>
      </c>
      <c r="KD20" s="165">
        <f t="shared" si="73"/>
        <v>1.0385440181483279</v>
      </c>
      <c r="KE20" s="165">
        <f t="shared" si="74"/>
        <v>1.0400569709233993</v>
      </c>
      <c r="KF20" s="188">
        <f t="shared" si="75"/>
        <v>0.95677344983303514</v>
      </c>
      <c r="KG20" s="165">
        <f t="shared" si="76"/>
        <v>0.95659167260302902</v>
      </c>
      <c r="KH20" s="165">
        <f t="shared" si="77"/>
        <v>0.95516525513241268</v>
      </c>
      <c r="KI20" s="165">
        <f t="shared" si="78"/>
        <v>0.95396005815587515</v>
      </c>
      <c r="KJ20" s="165">
        <f t="shared" si="79"/>
        <v>0.95241085217617494</v>
      </c>
      <c r="KK20" s="165">
        <f t="shared" si="80"/>
        <v>0.95146152188234312</v>
      </c>
      <c r="KL20" s="165">
        <f t="shared" si="81"/>
        <v>0.95010552427533645</v>
      </c>
      <c r="KM20" s="165">
        <f t="shared" si="82"/>
        <v>0.94901085147201503</v>
      </c>
      <c r="KN20" s="165">
        <f t="shared" si="83"/>
        <v>0.94783952688731887</v>
      </c>
      <c r="KO20" s="188">
        <f t="shared" si="84"/>
        <v>0.60106868125078161</v>
      </c>
      <c r="KP20" s="165">
        <f t="shared" si="85"/>
        <v>0.60078360525800689</v>
      </c>
      <c r="KQ20" s="165">
        <f t="shared" si="86"/>
        <v>0.59810944755542683</v>
      </c>
      <c r="KR20" s="165">
        <f t="shared" si="87"/>
        <v>0.59584133992260035</v>
      </c>
      <c r="KS20" s="165">
        <f t="shared" si="88"/>
        <v>0.59295081431918639</v>
      </c>
      <c r="KT20" s="165">
        <f t="shared" si="89"/>
        <v>0.59117204427606462</v>
      </c>
      <c r="KU20" s="165">
        <f t="shared" si="90"/>
        <v>0.58865521948290622</v>
      </c>
      <c r="KV20" s="165">
        <f t="shared" si="91"/>
        <v>0.58661231753700716</v>
      </c>
      <c r="KW20" s="165">
        <f t="shared" si="92"/>
        <v>0.58453660476938551</v>
      </c>
      <c r="KX20" s="188">
        <f>AVERAGE(Sheet3!J20:P20)*KO20^(1/3)/ID20^(1/3)</f>
        <v>235.39734808299625</v>
      </c>
      <c r="KY20" s="165">
        <f>Sheet3!J20*KP20^(1/3)/IE20^(1/3)</f>
        <v>201.76920395163341</v>
      </c>
      <c r="KZ20" s="165">
        <f>Sheet3!K20*KQ20^(1/3)/IF20^(1/3)</f>
        <v>206.61145975972028</v>
      </c>
      <c r="LA20" s="165">
        <f>Sheet3!L20*KR20^(1/3)/IG20^(1/3)</f>
        <v>219.52705965797725</v>
      </c>
      <c r="LB20" s="165">
        <f>Sheet3!M20*KS20^(1/3)/IH20^(1/3)</f>
        <v>234.38352513698376</v>
      </c>
      <c r="LC20" s="165">
        <f>Sheet3!N20*KT20^(1/3)/II20^(1/3)</f>
        <v>250.15134744759814</v>
      </c>
      <c r="LD20" s="165">
        <f>Sheet3!O20*KU20^(1/3)/IJ20^(1/3)</f>
        <v>260.96318408730104</v>
      </c>
      <c r="LE20" s="165">
        <f>Sheet3!P20*KV20^(1/3)/IK20^(1/3)</f>
        <v>260.30524249334678</v>
      </c>
      <c r="LF20" s="165">
        <f>Sheet3!Q20*KW20^(1/3)/IL20^(1/3)</f>
        <v>244.87290417200589</v>
      </c>
      <c r="LG20" s="186">
        <f t="shared" si="93"/>
        <v>25.869381865918648</v>
      </c>
      <c r="LH20" s="183">
        <f t="shared" si="94"/>
        <v>25.872959308259304</v>
      </c>
      <c r="LI20" s="183">
        <f t="shared" si="95"/>
        <v>26.076002496505431</v>
      </c>
      <c r="LJ20" s="183">
        <f t="shared" si="96"/>
        <v>26.077407964104392</v>
      </c>
      <c r="LK20" s="183">
        <f t="shared" si="97"/>
        <v>26.296010254615567</v>
      </c>
      <c r="LL20" s="183">
        <f t="shared" si="98"/>
        <v>26.298597706353707</v>
      </c>
      <c r="LM20" s="183">
        <f t="shared" si="99"/>
        <v>26.516042951423763</v>
      </c>
      <c r="LN20" s="183">
        <f t="shared" si="100"/>
        <v>26.518688454428066</v>
      </c>
      <c r="LO20" s="183">
        <f t="shared" si="101"/>
        <v>26.734727248115341</v>
      </c>
      <c r="LP20" s="220"/>
      <c r="LQ20" s="220"/>
      <c r="LR20" s="220"/>
      <c r="LS20" s="220"/>
      <c r="LT20" s="220"/>
      <c r="LU20" s="220"/>
      <c r="LV20" s="220"/>
      <c r="LW20" s="220"/>
      <c r="LX20" s="220"/>
      <c r="LY20" s="220"/>
      <c r="LZ20" s="222">
        <v>104.81</v>
      </c>
      <c r="MA20" s="220">
        <v>1.2E-5</v>
      </c>
      <c r="MB20" s="220"/>
      <c r="MC20" s="220"/>
      <c r="MD20" s="188">
        <f>Sheet3!DP20</f>
        <v>401.55167973311097</v>
      </c>
      <c r="ME20" s="264">
        <v>190</v>
      </c>
      <c r="MF20" s="264">
        <v>12.55</v>
      </c>
      <c r="MG20" s="264">
        <v>2.8559999999999999</v>
      </c>
      <c r="MH20" s="264">
        <v>6.3970000000000002</v>
      </c>
      <c r="MI20" s="264">
        <v>15.6</v>
      </c>
      <c r="MJ20" s="264">
        <v>2.44</v>
      </c>
      <c r="MK20" s="273">
        <v>180</v>
      </c>
      <c r="ML20" s="267">
        <v>10.029999999999999</v>
      </c>
      <c r="MM20" s="267">
        <v>5.157</v>
      </c>
      <c r="MN20" s="267">
        <v>2.7090000000000001</v>
      </c>
      <c r="MO20" s="267">
        <v>15.11</v>
      </c>
      <c r="MP20" s="274">
        <v>2.93</v>
      </c>
      <c r="MQ20"/>
      <c r="MR20"/>
      <c r="MS20"/>
    </row>
    <row r="21" spans="1:357" ht="15" thickBot="1" x14ac:dyDescent="0.35">
      <c r="A21" s="184" t="str">
        <f>Sheet3!A21</f>
        <v>12.12.2022</v>
      </c>
      <c r="B21" s="186">
        <f t="shared" si="102"/>
        <v>0.90367189171088058</v>
      </c>
      <c r="C21" s="183">
        <f t="shared" si="103"/>
        <v>0.90240972576065881</v>
      </c>
      <c r="D21" s="183">
        <f t="shared" si="0"/>
        <v>0.89334237320459164</v>
      </c>
      <c r="E21" s="183">
        <f t="shared" si="1"/>
        <v>0.88525787517202992</v>
      </c>
      <c r="F21" s="183">
        <f t="shared" si="2"/>
        <v>0.87542525636187618</v>
      </c>
      <c r="G21" s="183">
        <f t="shared" si="3"/>
        <v>0.86857832672985769</v>
      </c>
      <c r="H21" s="183">
        <f t="shared" si="4"/>
        <v>0.85851349403944388</v>
      </c>
      <c r="I21" s="183">
        <f t="shared" si="5"/>
        <v>0.85294936544840849</v>
      </c>
      <c r="J21" s="183">
        <f t="shared" si="6"/>
        <v>0.84574587349737274</v>
      </c>
      <c r="K21" s="186">
        <f xml:space="preserve"> (6.057 * (10^(-6)))
+ (4.055 * (10^(-8)) * (Sheet3!DF21 + 273))
+ (1.25 * (10^(-10)) * (Sheet3!DF21 + 273)^2)
- (3.367 * (10^(-14)) * (DD21 + 273)^3)</f>
        <v>4.4158303970779204E-5</v>
      </c>
      <c r="L21" s="183">
        <f xml:space="preserve"> (6.057 * (10^(-6)))
+ (4.055 * (10^(-8)) * (Sheet3!BZ21 + 273))
+ (1.25 * (10^(-10)) * (Sheet3!BZ21 + 273)^2)
- (3.367 * (10^(-14)) * (BX21 + 273)^3)</f>
        <v>4.4046448843825569E-5</v>
      </c>
      <c r="M21" s="183">
        <f xml:space="preserve"> (6.057 * (10^(-6)))
+ (4.055 * (10^(-8)) * (Sheet3!CA21 + 273))
+ (1.25 * (10^(-10)) * (Sheet3!CA21 + 273)^2)
- (3.367 * (10^(-14)) * (BY21 + 273)^3)</f>
        <v>4.3284979202799778E-5</v>
      </c>
      <c r="N21" s="183">
        <f xml:space="preserve"> (6.057 * (10^(-6)))
+ (4.055 * (10^(-8)) * (Sheet3!CB21 + 273))
+ (1.25 * (10^(-10)) * (Sheet3!CB21 + 273)^2)
- (3.367 * (10^(-14)) * (BZ21 + 273)^3)</f>
        <v>4.2681604725957982E-5</v>
      </c>
      <c r="O21" s="183">
        <f xml:space="preserve"> (6.057 * (10^(-6)))
+ (4.055 * (10^(-8)) * (Sheet3!CC21 + 273))
+ (1.25 * (10^(-10)) * (Sheet3!CC21 + 273)^2)
- (3.367 * (10^(-14)) * (CA21 + 273)^3)</f>
        <v>4.1896649312994824E-5</v>
      </c>
      <c r="P21" s="183">
        <f xml:space="preserve"> (6.057 * (10^(-6)))
+ (4.055 * (10^(-8)) * (Sheet3!CD21 + 273))
+ (1.25 * (10^(-10)) * (Sheet3!CD21 + 273)^2)
- (3.367 * (10^(-14)) * (CB21 + 273)^3)</f>
        <v>4.140985471339609E-5</v>
      </c>
      <c r="Q21" s="183">
        <f xml:space="preserve"> (6.057 * (10^(-6)))
+ (4.055 * (10^(-8)) * (Sheet3!CE21 + 273))
+ (1.25 * (10^(-10)) * (Sheet3!CE21 + 273)^2)
- (3.367 * (10^(-14)) * (CC21 + 273)^3)</f>
        <v>4.0645561945454661E-5</v>
      </c>
      <c r="R21" s="183">
        <f xml:space="preserve"> (6.057 * (10^(-6)))
+ (4.055 * (10^(-8)) * (Sheet3!CF21 + 273))
+ (1.25 * (10^(-10)) * (Sheet3!CF21 + 273)^2)
- (3.367 * (10^(-14)) * (CD21 + 273)^3)</f>
        <v>4.0267598863202164E-5</v>
      </c>
      <c r="S21" s="183">
        <f xml:space="preserve"> (6.057 * (10^(-6)))
+ (4.055 * (10^(-8)) * (Sheet3!CG21 + 273))
+ (1.25 * (10^(-10)) * (Sheet3!CG21 + 273)^2)
- (3.367 * (10^(-14)) * (CE21 + 273)^3)</f>
        <v>3.9711057720518387E-5</v>
      </c>
      <c r="T21" s="188">
        <f t="shared" si="104"/>
        <v>4.4158303970779204E-5</v>
      </c>
      <c r="U21" s="165">
        <f t="shared" si="105"/>
        <v>4.4046448843825569E-5</v>
      </c>
      <c r="V21" s="165">
        <f t="shared" si="106"/>
        <v>4.3284979202799778E-5</v>
      </c>
      <c r="W21" s="165">
        <f t="shared" si="107"/>
        <v>4.2681604725957982E-5</v>
      </c>
      <c r="X21" s="165">
        <f t="shared" si="108"/>
        <v>4.1896649312994824E-5</v>
      </c>
      <c r="Y21" s="165">
        <f t="shared" si="109"/>
        <v>4.140985471339609E-5</v>
      </c>
      <c r="Z21" s="165">
        <f t="shared" si="110"/>
        <v>4.0645561945454661E-5</v>
      </c>
      <c r="AA21" s="165">
        <f t="shared" si="111"/>
        <v>4.0267598863202164E-5</v>
      </c>
      <c r="AB21" s="165">
        <f t="shared" si="112"/>
        <v>3.9711057720518387E-5</v>
      </c>
      <c r="AC21" s="186">
        <f t="shared" si="8"/>
        <v>3.9904618084018133E-5</v>
      </c>
      <c r="AD21" s="183">
        <f t="shared" si="9"/>
        <v>3.9747943821887518E-5</v>
      </c>
      <c r="AE21" s="183">
        <f t="shared" si="10"/>
        <v>3.8668306045140548E-5</v>
      </c>
      <c r="AF21" s="183">
        <f t="shared" si="11"/>
        <v>3.7784226708634033E-5</v>
      </c>
      <c r="AG21" s="183">
        <f t="shared" si="12"/>
        <v>3.6677384965532116E-5</v>
      </c>
      <c r="AH21" s="183">
        <f t="shared" si="13"/>
        <v>3.5967702317088088E-5</v>
      </c>
      <c r="AI21" s="183">
        <f t="shared" si="14"/>
        <v>3.4894763402988937E-5</v>
      </c>
      <c r="AJ21" s="183">
        <f t="shared" si="15"/>
        <v>3.434622289849934E-5</v>
      </c>
      <c r="AK21" s="183">
        <f t="shared" si="16"/>
        <v>3.3585463199344411E-5</v>
      </c>
      <c r="AL21" s="186">
        <f t="shared" si="113"/>
        <v>3.6058547555443049E-2</v>
      </c>
      <c r="AM21" s="183">
        <f t="shared" si="114"/>
        <v>3.5974538145600352E-2</v>
      </c>
      <c r="AN21" s="183">
        <f t="shared" si="115"/>
        <v>3.536999386865123E-2</v>
      </c>
      <c r="AO21" s="183">
        <f t="shared" si="116"/>
        <v>3.4888732112101042E-2</v>
      </c>
      <c r="AP21" s="183">
        <f t="shared" si="117"/>
        <v>3.4254607520551462E-2</v>
      </c>
      <c r="AQ21" s="183">
        <f t="shared" si="118"/>
        <v>3.385916141077186E-2</v>
      </c>
      <c r="AR21" s="183">
        <f t="shared" si="119"/>
        <v>3.3231539728320714E-2</v>
      </c>
      <c r="AS21" s="183">
        <f t="shared" si="120"/>
        <v>3.2919243390239938E-2</v>
      </c>
      <c r="AT21" s="183">
        <f t="shared" si="121"/>
        <v>3.2460316166193826E-2</v>
      </c>
      <c r="AU21" s="186">
        <f>_xlfn.FORECAST.LINEAR(Sheet3!DF21,Sheet2!$AH$2:$AH$40,Sheet2!$AG$2:$AG$40)</f>
        <v>4.0902410270024961E-2</v>
      </c>
      <c r="AV21" s="183">
        <f>_xlfn.FORECAST.LINEAR(Sheet3!BZ21,Sheet2!$AH$2:$AH$40,Sheet2!$AG$2:$AG$40)</f>
        <v>4.0715075137984273E-2</v>
      </c>
      <c r="AW21" s="183">
        <f>_xlfn.FORECAST.LINEAR(Sheet3!CA21,Sheet2!$AH$2:$AH$40,Sheet2!$AG$2:$AG$40)</f>
        <v>3.9373063566990593E-2</v>
      </c>
      <c r="AX21" s="183">
        <f>_xlfn.FORECAST.LINEAR(Sheet3!CB21,Sheet2!$AH$2:$AH$40,Sheet2!$AG$2:$AG$40)</f>
        <v>3.8300820737982709E-2</v>
      </c>
      <c r="AY21" s="183">
        <f>_xlfn.FORECAST.LINEAR(Sheet3!CC21,Sheet2!$AH$2:$AH$40,Sheet2!$AG$2:$AG$40)</f>
        <v>3.6893940013394168E-2</v>
      </c>
      <c r="AZ21" s="183">
        <f>_xlfn.FORECAST.LINEAR(Sheet3!CD21,Sheet2!$AH$2:$AH$40,Sheet2!$AG$2:$AG$40)</f>
        <v>3.6014447701198146E-2</v>
      </c>
      <c r="BA21" s="183">
        <f>_xlfn.FORECAST.LINEAR(Sheet3!CE21,Sheet2!$AH$2:$AH$40,Sheet2!$AG$2:$AG$40)</f>
        <v>3.4622599343968788E-2</v>
      </c>
      <c r="BB21" s="183">
        <f>_xlfn.FORECAST.LINEAR(Sheet3!CF21,Sheet2!$AH$2:$AH$40,Sheet2!$AG$2:$AG$40)</f>
        <v>3.3929166890133672E-2</v>
      </c>
      <c r="BC21" s="183">
        <f>_xlfn.FORECAST.LINEAR(Sheet3!CG21,Sheet2!$AH$2:$AH$40,Sheet2!$AG$2:$AG$40)</f>
        <v>3.2912114018383606E-2</v>
      </c>
      <c r="BD21" s="186">
        <f>_xlfn.FORECAST.LINEAR(Sheet3!DF21,Sheet2!$AB$12:$AB$37,Sheet2!$AA$12:$AA$37)/1000</f>
        <v>3.3915606923988664E-2</v>
      </c>
      <c r="BE21" s="183">
        <f>_xlfn.FORECAST.LINEAR(Sheet3!BZ21,Sheet2!$AB$12:$AB$37,Sheet2!$AA$12:$AA$37)/1000</f>
        <v>3.3873723124622536E-2</v>
      </c>
      <c r="BF21" s="183">
        <f>_xlfn.FORECAST.LINEAR(Sheet3!CA21,Sheet2!$AB$12:$AB$37,Sheet2!$AA$12:$AA$37)/1000</f>
        <v>3.3573680400258842E-2</v>
      </c>
      <c r="BG21" s="183">
        <f>_xlfn.FORECAST.LINEAR(Sheet3!CB21,Sheet2!$AB$12:$AB$37,Sheet2!$AA$12:$AA$37)/1000</f>
        <v>3.3333951722393007E-2</v>
      </c>
      <c r="BH21" s="183">
        <f>_xlfn.FORECAST.LINEAR(Sheet3!CC21,Sheet2!$AB$12:$AB$37,Sheet2!$AA$12:$AA$37)/1000</f>
        <v>3.3019405756781292E-2</v>
      </c>
      <c r="BI21" s="183">
        <f>_xlfn.FORECAST.LINEAR(Sheet3!CD21,Sheet2!$AB$12:$AB$37,Sheet2!$AA$12:$AA$37)/1000</f>
        <v>3.282277163296906E-2</v>
      </c>
      <c r="BJ21" s="183">
        <f>_xlfn.FORECAST.LINEAR(Sheet3!CE21,Sheet2!$AB$12:$AB$37,Sheet2!$AA$12:$AA$37)/1000</f>
        <v>3.2511586556751716E-2</v>
      </c>
      <c r="BK21" s="183">
        <f>_xlfn.FORECAST.LINEAR(Sheet3!CF21,Sheet2!$AB$12:$AB$37,Sheet2!$AA$12:$AA$37)/1000</f>
        <v>3.2356551110628969E-2</v>
      </c>
      <c r="BL21" s="183">
        <f>_xlfn.FORECAST.LINEAR(Sheet3!CG21,Sheet2!$AB$12:$AB$37,Sheet2!$AA$12:$AA$37)/1000</f>
        <v>3.2129161629750012E-2</v>
      </c>
      <c r="BM21" s="186">
        <f t="shared" si="122"/>
        <v>0.75425181182953271</v>
      </c>
      <c r="BN21" s="183">
        <f t="shared" si="123"/>
        <v>0.75558562416192676</v>
      </c>
      <c r="BO21" s="183">
        <f t="shared" si="124"/>
        <v>0.76540207858030829</v>
      </c>
      <c r="BP21" s="183">
        <f t="shared" si="125"/>
        <v>0.77332149339523182</v>
      </c>
      <c r="BQ21" s="183">
        <f t="shared" si="126"/>
        <v>0.78411144533223909</v>
      </c>
      <c r="BR21" s="183">
        <f t="shared" si="127"/>
        <v>0.79091759731415678</v>
      </c>
      <c r="BS21" s="183">
        <f t="shared" si="128"/>
        <v>0.80208102147698257</v>
      </c>
      <c r="BT21" s="183">
        <f t="shared" si="129"/>
        <v>0.80768589560372561</v>
      </c>
      <c r="BU21" s="183">
        <f t="shared" si="130"/>
        <v>0.81619839453330745</v>
      </c>
      <c r="BV21" s="186">
        <f t="shared" si="131"/>
        <v>1.1980328003143048</v>
      </c>
      <c r="BW21" s="183">
        <f t="shared" si="19"/>
        <v>1.1978346539194822</v>
      </c>
      <c r="BX21" s="183">
        <f t="shared" si="20"/>
        <v>1.1950613475475054</v>
      </c>
      <c r="BY21" s="183">
        <f t="shared" si="21"/>
        <v>1.1940281556432844</v>
      </c>
      <c r="BZ21" s="183">
        <f t="shared" si="22"/>
        <v>1.1910852296523637</v>
      </c>
      <c r="CA21" s="183">
        <f t="shared" si="23"/>
        <v>1.1902337591471575</v>
      </c>
      <c r="CB21" s="183">
        <f t="shared" si="24"/>
        <v>1.1873314339877383</v>
      </c>
      <c r="CC21" s="183">
        <f t="shared" si="25"/>
        <v>1.1866656245764111</v>
      </c>
      <c r="CD21" s="183">
        <f t="shared" si="26"/>
        <v>1.1841471309611049</v>
      </c>
      <c r="CE21" s="187">
        <f xml:space="preserve"> -0.0000000019505*Sheet3!DF21^3 + 0.0000015497*Sheet3!DF21^2  + 0.00016911*Sheet3!DF21 + 1.8585</f>
        <v>1.9096570494375</v>
      </c>
      <c r="CF21" s="185">
        <f xml:space="preserve"> -0.0000000019505*Sheet3!BZ21^3 + 0.0000015497*Sheet3!BZ21^2  + 0.00016911*Sheet3!BZ21 + 1.8585</f>
        <v>1.9092921921832131</v>
      </c>
      <c r="CG21" s="185">
        <f xml:space="preserve"> -0.0000000019505*Sheet3!CA21^3 + 0.0000015497*Sheet3!CA21^2  + 0.00016911*Sheet3!CA21 + 1.8585</f>
        <v>1.9067011674572749</v>
      </c>
      <c r="CH21" s="185">
        <f xml:space="preserve"> -0.0000000019505*Sheet3!CB21^3 + 0.0000015497*Sheet3!CB21^2  + 0.00016911*Sheet3!CB21 + 1.8585</f>
        <v>1.904660418574577</v>
      </c>
      <c r="CI21" s="185">
        <f xml:space="preserve"> -0.0000000019505*Sheet3!CC21^3 + 0.0000015497*Sheet3!CC21^2  + 0.00016911*Sheet3!CC21 + 1.8585</f>
        <v>1.902024008969629</v>
      </c>
      <c r="CJ21" s="185">
        <f xml:space="preserve"> -0.0000000019505*Sheet3!CD21^3 + 0.0000015497*Sheet3!CD21^2  + 0.00016911*Sheet3!CD21 + 1.8585</f>
        <v>1.9004004719481267</v>
      </c>
      <c r="CK21" s="185">
        <f xml:space="preserve"> -0.0000000019505*Sheet3!CE21^3 + 0.0000015497*Sheet3!CE21^2  + 0.00016911*Sheet3!CE21 + 1.8585</f>
        <v>1.897871151945546</v>
      </c>
      <c r="CL21" s="185">
        <f xml:space="preserve"> -0.0000000019505*Sheet3!CF21^3 + 0.0000015497*Sheet3!CF21^2  + 0.00016911*Sheet3!CF21 + 1.8585</f>
        <v>1.8966298358130198</v>
      </c>
      <c r="CM21" s="185">
        <f xml:space="preserve"> -0.0000000019505*Sheet3!CG21^3 + 0.0000015497*Sheet3!CG21^2  + 0.00016911*Sheet3!CG21 + 1.8585</f>
        <v>1.8948324837082295</v>
      </c>
      <c r="CN21" s="186">
        <f>_xlfn.FORECAST.LINEAR(Sheet3!DF21,New!$LU$2:$LU$14,New!$LT$2:$LT$14)</f>
        <v>1.023844178140866</v>
      </c>
      <c r="CO21" s="183">
        <f>_xlfn.FORECAST.LINEAR(Sheet3!BZ21,New!$LU$2:$LU$14,New!$LT$2:$LT$14)</f>
        <v>1.0237062970259823</v>
      </c>
      <c r="CP21" s="183">
        <f>_xlfn.FORECAST.LINEAR(Sheet3!CA21,New!$LU$2:$LU$14,New!$LT$2:$LT$14)</f>
        <v>1.0227185589035068</v>
      </c>
      <c r="CQ21" s="183">
        <f>_xlfn.FORECAST.LINEAR(Sheet3!CB21,New!$LU$2:$LU$14,New!$LT$2:$LT$14)</f>
        <v>1.0219293741143043</v>
      </c>
      <c r="CR21" s="183">
        <f>_xlfn.FORECAST.LINEAR(Sheet3!CC21,New!$LU$2:$LU$14,New!$LT$2:$LT$14)</f>
        <v>1.0208938914437466</v>
      </c>
      <c r="CS21" s="183">
        <f>_xlfn.FORECAST.LINEAR(Sheet3!CD21,New!$LU$2:$LU$14,New!$LT$2:$LT$14)</f>
        <v>1.0202465735636654</v>
      </c>
      <c r="CT21" s="183">
        <f>_xlfn.FORECAST.LINEAR(Sheet3!CE21,New!$LU$2:$LU$14,New!$LT$2:$LT$14)</f>
        <v>1.0192221549126981</v>
      </c>
      <c r="CU21" s="183">
        <f>_xlfn.FORECAST.LINEAR(Sheet3!CF21,New!$LU$2:$LU$14,New!$LT$2:$LT$14)</f>
        <v>1.0187117795293417</v>
      </c>
      <c r="CV21" s="183">
        <f>_xlfn.FORECAST.LINEAR(Sheet3!CG21,New!$LU$2:$LU$14,New!$LT$2:$LT$14)</f>
        <v>1.0179632152727334</v>
      </c>
      <c r="CW21" s="186">
        <f>EXP((17.625*Sheet3!BA21)/(243.04+Sheet3!BA21)) / EXP((17.625*Sheet3!DF21)/(243.04+Sheet3!DF21))</f>
        <v>0.23387270800980395</v>
      </c>
      <c r="CX21" s="183">
        <f>EXP((17.625*(Sheet3!BC21+273))/(243.04+(Sheet3!BC21+273)))/EXP((17.625*(Sheet3!BZ21+273))/(243.04+(Sheet3!BZ21+273)))</f>
        <v>0.408979937505901</v>
      </c>
      <c r="CY21" s="183">
        <f>EXP((17.625*(Sheet3!BE21+273))/(243.04+(Sheet3!BE21+273))) / EXP((17.625*(Sheet3!CA21+273))/(243.04+(Sheet3!CA21+273)))</f>
        <v>0.4307514674942523</v>
      </c>
      <c r="CZ21" s="183">
        <f>EXP((17.625*(Sheet3!BG21+273))/(243.04+(Sheet3!BG21+273))) / EXP((17.625*(Sheet3!CB21+273))/(243.04+(Sheet3!CB21+273)))</f>
        <v>0.44881716194480736</v>
      </c>
      <c r="DA21" s="183">
        <f>EXP((17.625*(Sheet3!BI21+273))/(243.04+(Sheet3!BI21+273))) / EXP((17.625*(Sheet3!CC21+273))/(243.04+(Sheet3!CC21+273)))</f>
        <v>0.47398375857583491</v>
      </c>
      <c r="DB21" s="183">
        <f>EXP((17.625*(Sheet3!BK21+273))/(243.04+(Sheet3!BK21+273)))/EXP((17.625*(Sheet3!CD21+273))/(243.04+(Sheet3!CD21+273)))</f>
        <v>0.49125068625154344</v>
      </c>
      <c r="DC21" s="183">
        <f>EXP((17.625*(Sheet3!BM21+273))/(243.04+(Sheet3!BM21+273))) / EXP((17.625*(Sheet3!CE21+273))/(243.04+(Sheet3!CE21+273)))</f>
        <v>0.51929576259521437</v>
      </c>
      <c r="DD21" s="183">
        <f>EXP((17.625*(Sheet3!BO21+273))/(243.04+(Sheet3!BO21+273))) / EXP((17.625*(Sheet3!CF21+273))/(243.04+(Sheet3!CF21+273)))</f>
        <v>0.53456303705921782</v>
      </c>
      <c r="DE21" s="183">
        <f>EXP((17.625*(Sheet3!BQ21+273))/(243.04+(Sheet3!BQ21+273))) / EXP((17.625*(Sheet3!CG21+273))/(243.04+(Sheet3!CG21+273)))</f>
        <v>0.55696244245719617</v>
      </c>
      <c r="DF21" s="186">
        <f>((Sheet3!DA21-Sheet3!DB21)/New!$LQ$3)/(((Sheet3!DA21-Sheet3!DB21)/New!$LQ$3)+(Sheet3!DB21/New!$LP$3))</f>
        <v>0.71762282922966159</v>
      </c>
      <c r="DG21" s="183">
        <f>((Sheet3!DA21-Sheet3!DB21)/New!$LQ$3)/(((Sheet3!DA21-Sheet3!DB21)/New!$LQ$3)+((Sheet3!DB21-(Sheet3!B21*0.004))/New!$LP$3))</f>
        <v>0.7176920301523303</v>
      </c>
      <c r="DH21" s="183" cm="1">
        <f t="array" ref="DH21">((Sheet3!DA21-Sheet3!DB21)/New!$LQ$3)/(((Sheet3!DA21-Sheet3!DB21)/New!$LQ$3)+((Sheet3!DB21-(SUM(Sheet3!B21:C21*0.004)))/New!$LP$3))</f>
        <v>0.72426712139620508</v>
      </c>
      <c r="DI21" s="183" cm="1">
        <f t="array" ref="DI21">((Sheet3!DA21-Sheet3!DB21)/New!$LQ$3)/(((Sheet3!DA21-Sheet3!DB21)/New!$LQ$3)+((Sheet3!DB21-(SUM(Sheet3!B21:D21*0.004)))/New!$LP$3))</f>
        <v>0.72426712139620508</v>
      </c>
      <c r="DJ21" s="183" cm="1">
        <f t="array" ref="DJ21">((Sheet3!DA21-Sheet3!DB21)/New!$LQ$3)/(((Sheet3!DA21-Sheet3!DB21)/New!$LQ$3)+((Sheet3!DB21-(SUM(Sheet3!B21:E21*0.004)))/New!$LP$3))</f>
        <v>0.73154885189295671</v>
      </c>
      <c r="DK21" s="183" cm="1">
        <f t="array" ref="DK21">((Sheet3!DA21-Sheet3!DB21)/New!$LQ$3)/(((Sheet3!DA21-Sheet3!DB21)/New!$LQ$3)+((Sheet3!DB21-(SUM(Sheet3!B21:F21*0.004)))/New!$LP$3))</f>
        <v>0.7316207648043509</v>
      </c>
      <c r="DL21" s="183" cm="1">
        <f t="array" ref="DL21">((Sheet3!DA21-Sheet3!DB21)/New!$LQ$3)/(((Sheet3!DA21-Sheet3!DB21)/New!$LQ$3)+((Sheet3!DB21-(SUM(Sheet3!B21:G21*0.004)))/New!$LP$3))</f>
        <v>0.7390204197194411</v>
      </c>
      <c r="DM21" s="183" cm="1">
        <f t="array" ref="DM21">((Sheet3!DA21-Sheet3!DB21)/New!$LQ$3)/(((Sheet3!DA21-Sheet3!DB21)/New!$LQ$3)+((Sheet3!DB21-(SUM(Sheet3!B21:H21*0.004)))/New!$LP$3))</f>
        <v>0.73909380915006939</v>
      </c>
      <c r="DN21" s="183" cm="1">
        <f t="array" ref="DN21">((Sheet3!DA21-Sheet3!DB21)/New!$LQ$3)/(((Sheet3!DA21-Sheet3!DB21)/New!$LQ$3)+((Sheet3!DB21-(SUM(Sheet3!B21:I21*0.004)))/New!$LP$3))</f>
        <v>0.7465605867392161</v>
      </c>
      <c r="DO21" s="186">
        <f>(Sheet3!DB21/$LP$3) / ((Sheet3!DB21/$LP$3) + ((Sheet3!DA21-Sheet3!DB21)/$LQ$3))</f>
        <v>0.28237717077033847</v>
      </c>
      <c r="DP21" s="183">
        <f>((Sheet3!$DB21-(Sheet3!B21/4000)) / $LP$3) / (((Sheet3!$DA21-Sheet3!DB21) / $LQ$3) + (Sheet3!$DB21-((Sheet3!B21/4000)))/$LP$3)</f>
        <v>0.28237284610363816</v>
      </c>
      <c r="DQ21" s="183">
        <f>((Sheet3!$DB21-(SUM(Sheet3!B21:C21)/4000))/$LP$3)/(((Sheet3!$DA21-Sheet3!$DB21)/$LQ$3)+(Sheet3!$DB21-(SUM(Sheet3!B21:C21)/4000))/$LP$3)</f>
        <v>0.28196547605320399</v>
      </c>
      <c r="DR21" s="183">
        <f>((Sheet3!$DB21-(SUM(Sheet3!B21:D21)/4000))/$LP$3)/(((Sheet3!$DA21-Sheet3!$DB21)/$LQ$3)+(Sheet3!$DB21-(SUM(Sheet3!B21:D21)/4000))/$LP$3)</f>
        <v>0.28196547605320399</v>
      </c>
      <c r="DS21" s="183">
        <f>((Sheet3!$DB21-(SUM(Sheet3!B21:E21)/4000))/$LP$3)/(((Sheet3!$DA21-Sheet3!$DB21)/$LQ$3)+(Sheet3!$DB21-(SUM(Sheet3!B21:E21)/4000))/$LP$3)</f>
        <v>0.28152234610061688</v>
      </c>
      <c r="DT21" s="183">
        <f>((Sheet3!$DB21-(SUM(Sheet3!B21:F21)/4000))/$LP$3)/(((Sheet3!$DA21-Sheet3!$DB21)/$LQ$3)+(Sheet3!$DB21-(SUM(Sheet3!B21:F21)/4000))/$LP$3)</f>
        <v>0.28151801112475522</v>
      </c>
      <c r="DU21" s="183">
        <f>((Sheet3!$DB21-(SUM(Sheet3!B21:G21)/4000))/$LP$3)/(((Sheet3!$DA21-Sheet3!$DB21)/$LQ$3)+(Sheet3!$DB21-(SUM(Sheet3!B21:G21)/4000))/$LP$3)</f>
        <v>0.28107618867823891</v>
      </c>
      <c r="DV21" s="183">
        <f>((Sheet3!$DB21-(SUM(Sheet3!B21:H21)/4000))/$LP$3)/(((Sheet3!$DA21-Sheet3!$DB21)/$LQ$3)+(Sheet3!$DB21-(SUM(Sheet3!B21:H21)/4000))/$LP$3)</f>
        <v>0.28107184831685694</v>
      </c>
      <c r="DW21" s="183">
        <f>((Sheet3!$DB21-(SUM(Sheet3!B21:I21)/4000))/$LP$3)/(((Sheet3!$DA21-Sheet3!$DB21)/$LQ$3)+(Sheet3!$DB21-(SUM(Sheet3!B21:I21)/4000))/$LP$3)</f>
        <v>0.28063444332047738</v>
      </c>
      <c r="DX21" s="186">
        <f>($LR$2*($LP$3/1000))/($LP$2*(Sheet3!DF21+273))*DO21</f>
        <v>0.14831810208638291</v>
      </c>
      <c r="DY21" s="183">
        <f>(($LR$2*($LP$3/1000))/($LP$2*(Sheet3!BZ21+273)))*(DP21)</f>
        <v>0.1485778391310652</v>
      </c>
      <c r="DZ21" s="183">
        <f>(($LR$2*($LP$3/1000))/($LP$2*(Sheet3!CA21+273)))*(DQ21)</f>
        <v>0.1502651082446628</v>
      </c>
      <c r="EA21" s="183">
        <f>(($LR$2*($LP$3/1000))/($LP$2*(Sheet3!CB21+273)))*(DR21)</f>
        <v>0.1518198619586926</v>
      </c>
      <c r="EB21" s="183">
        <f>(($LR$2*($LP$3/1000))/($LP$2*(Sheet3!CC21+273)))*(DS21)</f>
        <v>0.15366743431999733</v>
      </c>
      <c r="EC21" s="183">
        <f>(($LR$2*($LP$3/1000))/($LP$2*(Sheet3!CD21+273)))*(DT21)</f>
        <v>0.15499860937937773</v>
      </c>
      <c r="ED21" s="183">
        <f>(($LR$2*($LP$3/1000))/($LP$2*(Sheet3!CE21+273)))*(DU21)</f>
        <v>0.15691032748541967</v>
      </c>
      <c r="EE21" s="183">
        <f>(($LR$2*($LP$3/1000))/($LP$2*(Sheet3!CF21+273)))*(DV21)</f>
        <v>0.15800407361837826</v>
      </c>
      <c r="EF21" s="183">
        <f>(($LR$2*($LP$3/1000))/($LP$2*(Sheet3!CG21+273)))*(DW21)</f>
        <v>0.15939137797501793</v>
      </c>
      <c r="EG21" s="186">
        <f>(($LR$2*($LQ$3/1000))/($LQ$2*(Sheet3!DF21+273)))*(1-DO21)</f>
        <v>0.60593370974314975</v>
      </c>
      <c r="EH21" s="183">
        <f>(($LR$2*($LQ$3/1000))/($LQ$2*(Sheet3!BZ21+273)))*(1-DP21)</f>
        <v>0.60700778503086161</v>
      </c>
      <c r="EI21" s="183">
        <f>(($LR$2*($LQ$3/1000))/($LQ$2*(Sheet3!CA21+273)))*(1-DQ21)</f>
        <v>0.61513697033564552</v>
      </c>
      <c r="EJ21" s="183">
        <f>(($LR$2*($LQ$3/1000))/($LQ$2*(Sheet3!CB21+273)))*(1-DR21)</f>
        <v>0.62150163143653925</v>
      </c>
      <c r="EK21" s="183">
        <f>(($LR$2*($LQ$3/1000))/($LQ$2*(Sheet3!CC21+273)))*(1-DS21)</f>
        <v>0.63044401101224179</v>
      </c>
      <c r="EL21" s="183">
        <f>(($LR$2*($LQ$3/1000))/($LQ$2*(Sheet3!CD21+273)))*(1-DT21)</f>
        <v>0.63591898793477908</v>
      </c>
      <c r="EM21" s="183">
        <f>(($LR$2*($LQ$3/1000))/($LQ$2*(Sheet3!CE21+273)))*(1-DU21)</f>
        <v>0.6451706939915629</v>
      </c>
      <c r="EN21" s="183">
        <f>(($LR$2*($LQ$3/1000))/($LQ$2*(Sheet3!CF21+273)))*(1-DV21)</f>
        <v>0.64968182198534741</v>
      </c>
      <c r="EO21" s="183">
        <f>(($LR$2*($LQ$3/1000))/($LQ$2*(Sheet3!CG21+273)))*(1-DW21)</f>
        <v>0.65680701655828955</v>
      </c>
      <c r="EP21" s="186">
        <f t="shared" si="132"/>
        <v>9151.4327730577461</v>
      </c>
      <c r="EQ21" s="183">
        <f xml:space="preserve"> (($FV21-(Sheet3!B21/4000))*0.018)/(0.011*JO21*3600)</f>
        <v>9164.5770425067076</v>
      </c>
      <c r="ER21" s="183">
        <f>((($FV21-(SUM(Sheet3!B21:C21)/4000))*0.018)/(0.011*JP21*3600))</f>
        <v>9254.8915717774398</v>
      </c>
      <c r="ES21" s="183">
        <f>((($FV21-(SUM(Sheet3!B21:D21)/4000))*0.018)/(0.011*JQ21*3600))</f>
        <v>9332.7856108535252</v>
      </c>
      <c r="ET21" s="183">
        <f>((($FV21-(SUM(Sheet3!B21:E21)/4000))*0.018)/(0.011*JR21))/3600</f>
        <v>9431.0303779391306</v>
      </c>
      <c r="EU21" s="183">
        <f>((($FV21-(SUM(Sheet3!B21:F21)/4000))*0.018)/(0.011*JS21))/3600</f>
        <v>9497.3084987805341</v>
      </c>
      <c r="EV21" s="183">
        <f>((($FV21-(SUM(Sheet3!B21:G21)/4000))*0.018)/(0.011*JT21))/3600</f>
        <v>9598.1347081542262</v>
      </c>
      <c r="EW21" s="183">
        <f>((($FV21-(SUM(Sheet3!B21:H21)/4000))*0.018)/(0.011*JU21))/3600</f>
        <v>9652.238487782939</v>
      </c>
      <c r="EX21" s="183">
        <f>((($FV21-(SUM(Sheet3!B21:I21)/4000))*0.018)/(0.011*JV21))/3600</f>
        <v>9726.6553336175839</v>
      </c>
      <c r="EY21" s="186">
        <f t="shared" si="133"/>
        <v>73.904078582024781</v>
      </c>
      <c r="EZ21" s="183">
        <f t="shared" si="134"/>
        <v>73.990314024911527</v>
      </c>
      <c r="FA21" s="183">
        <f t="shared" si="135"/>
        <v>74.567619434837098</v>
      </c>
      <c r="FB21" s="183">
        <f t="shared" si="136"/>
        <v>75.082679954647858</v>
      </c>
      <c r="FC21" s="183">
        <f t="shared" si="137"/>
        <v>75.71510676058665</v>
      </c>
      <c r="FD21" s="183">
        <f t="shared" si="138"/>
        <v>76.156444697753145</v>
      </c>
      <c r="FE21" s="183">
        <f t="shared" si="139"/>
        <v>76.810681122240752</v>
      </c>
      <c r="FF21" s="183">
        <f t="shared" si="140"/>
        <v>77.173573330325723</v>
      </c>
      <c r="FG21" s="183">
        <f t="shared" si="141"/>
        <v>77.654351371900759</v>
      </c>
      <c r="FH21" s="186">
        <f t="shared" si="28"/>
        <v>148.04854067173005</v>
      </c>
      <c r="FI21" s="183">
        <f t="shared" si="29"/>
        <v>147.87596523856269</v>
      </c>
      <c r="FJ21" s="183">
        <f t="shared" si="30"/>
        <v>146.52534678945037</v>
      </c>
      <c r="FK21" s="183">
        <f t="shared" si="31"/>
        <v>145.52997262201825</v>
      </c>
      <c r="FL21" s="183">
        <f t="shared" si="32"/>
        <v>144.08840363669714</v>
      </c>
      <c r="FM21" s="183">
        <f t="shared" si="33"/>
        <v>143.25518630509691</v>
      </c>
      <c r="FN21" s="183">
        <f t="shared" si="34"/>
        <v>141.80762229295098</v>
      </c>
      <c r="FO21" s="183">
        <f t="shared" si="35"/>
        <v>141.13864687530679</v>
      </c>
      <c r="FP21" s="183">
        <f t="shared" si="36"/>
        <v>140.03804428958924</v>
      </c>
      <c r="FQ21" s="314">
        <f>Sheet3!CV21</f>
        <v>2</v>
      </c>
      <c r="FR21" s="183">
        <v>10000</v>
      </c>
      <c r="FS21" s="183">
        <v>20</v>
      </c>
      <c r="FT21" s="183">
        <v>0.28139999999999998</v>
      </c>
      <c r="FU21" s="183">
        <v>20.100000000000001</v>
      </c>
      <c r="FV21" s="183">
        <v>417</v>
      </c>
      <c r="FW21" s="183">
        <v>82</v>
      </c>
      <c r="FX21" s="183">
        <v>856.5</v>
      </c>
      <c r="FY21" s="183">
        <v>9.66</v>
      </c>
      <c r="FZ21" s="183">
        <v>16.010000000000002</v>
      </c>
      <c r="GA21" s="183">
        <v>145</v>
      </c>
      <c r="GB21" s="186">
        <f>EXP($LP$6-($LQ$6/('Trial and Error method'!T21+$LP$8))) / ($LR$2/1000)</f>
        <v>5.9380563690425478E-2</v>
      </c>
      <c r="GC21" s="183">
        <f>EXP($LP$6-($LQ$6/('Trial and Error method'!U21+$LP$8))) / ($LR$2/1000)</f>
        <v>9.0448153518519939E-2</v>
      </c>
      <c r="GD21" s="183">
        <f>EXP($LP$6-($LQ$6/('Trial and Error method'!V21+$LP$8))) / ($LR$2/1000)</f>
        <v>8.5525431165171306E-2</v>
      </c>
      <c r="GE21" s="183">
        <f>EXP($LP$6-($LQ$6/('Trial and Error method'!W21+$LP$8))) / ($LR$2/1000)</f>
        <v>8.0997417567402502E-2</v>
      </c>
      <c r="GF21" s="183">
        <f>EXP($LP$6-($LQ$6/('Trial and Error method'!X21+$LP$8))) / ($LR$2/1000)</f>
        <v>7.6282884280364352E-2</v>
      </c>
      <c r="GG21" s="183">
        <f>EXP($LP$6-($LQ$6/('Trial and Error method'!Y21+$LP$8))) / ($LR$2/1000)</f>
        <v>7.2298166409073536E-2</v>
      </c>
      <c r="GH21" s="183">
        <f>EXP($LP$6-($LQ$6/('Trial and Error method'!Z21+$LP$8))) / ($LR$2/1000)</f>
        <v>6.815229734722475E-2</v>
      </c>
      <c r="GI21" s="183">
        <f>EXP($LP$6-($LQ$6/('Trial and Error method'!AA21+$LP$8))) / ($LR$2/1000)</f>
        <v>6.4895132634959954E-2</v>
      </c>
      <c r="GJ21" s="183">
        <f>EXP($LP$6-($LQ$6/('Trial and Error method'!AB21+$LP$8))) / ($LR$2/1000)</f>
        <v>6.169509105895548E-2</v>
      </c>
      <c r="GK21" s="188">
        <f t="shared" si="142"/>
        <v>0.82409878715949558</v>
      </c>
      <c r="GL21" s="165">
        <f t="shared" si="143"/>
        <v>0.80980250172402268</v>
      </c>
      <c r="GM21" s="165">
        <f t="shared" si="144"/>
        <v>0.81229960884343899</v>
      </c>
      <c r="GN21" s="165">
        <f t="shared" si="145"/>
        <v>0.81438997949687653</v>
      </c>
      <c r="GO21" s="165">
        <f t="shared" si="146"/>
        <v>0.81680433529501595</v>
      </c>
      <c r="GP21" s="165">
        <f t="shared" si="147"/>
        <v>0.81864089916518845</v>
      </c>
      <c r="GQ21" s="165">
        <f t="shared" si="148"/>
        <v>0.82078795809156269</v>
      </c>
      <c r="GR21" s="165">
        <f t="shared" si="149"/>
        <v>0.8222859339486116</v>
      </c>
      <c r="GS21" s="165">
        <f t="shared" si="150"/>
        <v>0.8239931484236761</v>
      </c>
      <c r="GT21" s="188">
        <f t="shared" si="38"/>
        <v>9.9797119680312643E-2</v>
      </c>
      <c r="GU21" s="165">
        <f t="shared" si="39"/>
        <v>0.10155191928881718</v>
      </c>
      <c r="GV21" s="165">
        <f t="shared" si="40"/>
        <v>0.1012270855990077</v>
      </c>
      <c r="GW21" s="165">
        <f t="shared" si="41"/>
        <v>0.10097827984010752</v>
      </c>
      <c r="GX21" s="165">
        <f t="shared" si="42"/>
        <v>0.10067565970819113</v>
      </c>
      <c r="GY21" s="165">
        <f t="shared" si="43"/>
        <v>0.10046490274066577</v>
      </c>
      <c r="GZ21" s="165">
        <f t="shared" si="44"/>
        <v>0.10020766098464794</v>
      </c>
      <c r="HA21" s="165">
        <f t="shared" si="45"/>
        <v>0.10004182406167561</v>
      </c>
      <c r="HB21" s="165">
        <f t="shared" si="46"/>
        <v>9.9829574487128384E-2</v>
      </c>
      <c r="HC21" s="188">
        <f>BV21*Sheet3!DF21</f>
        <v>173.71475604557421</v>
      </c>
      <c r="HD21" s="165">
        <f>BW21*Sheet3!BZ21</f>
        <v>172.80307786787998</v>
      </c>
      <c r="HE21" s="165">
        <f>BX21*Sheet3!CA21</f>
        <v>166.09247531976072</v>
      </c>
      <c r="HF21" s="165">
        <f>BY21*Sheet3!CB21</f>
        <v>160.911250327668</v>
      </c>
      <c r="HG21" s="165">
        <f>BZ21*Sheet3!CC21</f>
        <v>153.92111202232715</v>
      </c>
      <c r="HH21" s="165">
        <f>CA21*Sheet3!CD21</f>
        <v>149.6921636188473</v>
      </c>
      <c r="HI21" s="165">
        <f>CB21*Sheet3!CE21</f>
        <v>142.82461636919203</v>
      </c>
      <c r="HJ21" s="165">
        <f>CC21*Sheet3!CF21</f>
        <v>139.50671830825993</v>
      </c>
      <c r="HK21" s="165">
        <f>CD21*Sheet3!CG21</f>
        <v>134.47184667139265</v>
      </c>
      <c r="HL21" s="188">
        <f>(CE21*Sheet3!DF21)+2501</f>
        <v>2777.9002721684374</v>
      </c>
      <c r="HM21" s="165">
        <f>(CF21*Sheet3!BZ21)+2501</f>
        <v>2776.4399918876857</v>
      </c>
      <c r="HN21" s="165">
        <f>(CG21*Sheet3!CA21)+2501</f>
        <v>2765.9978741660102</v>
      </c>
      <c r="HO21" s="165">
        <f>(CH21*Sheet3!CB21)+2501</f>
        <v>2757.6784442677881</v>
      </c>
      <c r="HP21" s="165">
        <f>(CI21*Sheet3!CC21)+2501</f>
        <v>2746.7940399774893</v>
      </c>
      <c r="HQ21" s="165">
        <f>(CJ21*Sheet3!CD21)+2501</f>
        <v>2740.0077211320486</v>
      </c>
      <c r="HR21" s="165">
        <f>(CK21*Sheet3!CE21)+2501</f>
        <v>2729.2957491358547</v>
      </c>
      <c r="HS21" s="165">
        <f>(CL21*Sheet3!CF21)+2501</f>
        <v>2723.9714915136742</v>
      </c>
      <c r="HT21" s="165">
        <f>(CM21*Sheet3!CG21)+2501</f>
        <v>2716.1773344334156</v>
      </c>
      <c r="HU21" s="188">
        <f>-0.0021*(Sheet3!DF21^2) - 2.2115*(Sheet3!DF21) + 2499</f>
        <v>2134.1799999999998</v>
      </c>
      <c r="HV21" s="165">
        <f>-0.0021*(Sheet3!BZ21^2) - 2.2115*(Sheet3!BZ21) + 2499</f>
        <v>2136.2579037470045</v>
      </c>
      <c r="HW21" s="165">
        <f>-0.0021*(Sheet3!CA21^2) - 2.2115*(Sheet3!CA21) + 2499</f>
        <v>2151.0766408587633</v>
      </c>
      <c r="HX21" s="165">
        <f>-0.0021*(Sheet3!CB21^2) - 2.2115*(Sheet3!CB21) + 2499</f>
        <v>2162.8323770161624</v>
      </c>
      <c r="HY21" s="165">
        <f>-0.0021*(Sheet3!CC21^2) - 2.2115*(Sheet3!CC21) + 2499</f>
        <v>2178.1435790916908</v>
      </c>
      <c r="HZ21" s="165">
        <f>-0.0021*(Sheet3!CD21^2) - 2.2115*(Sheet3!CD21) + 2499</f>
        <v>2187.6497898358953</v>
      </c>
      <c r="IA21" s="165">
        <f>-0.0021*(Sheet3!CE21^2) - 2.2115*(Sheet3!CE21) + 2499</f>
        <v>2202.5911427603942</v>
      </c>
      <c r="IB21" s="165">
        <f>-0.0021*(Sheet3!CF21^2) - 2.2115*(Sheet3!CF21) + 2499</f>
        <v>2209.988057042759</v>
      </c>
      <c r="IC21" s="165">
        <f>-0.0021*(Sheet3!CG21^2) - 2.2115*(Sheet3!CG21) + 2499</f>
        <v>2220.7805018552076</v>
      </c>
      <c r="ID21" s="188">
        <f t="shared" si="47"/>
        <v>0.68815260731980266</v>
      </c>
      <c r="IE21" s="165">
        <f t="shared" si="48"/>
        <v>0.68865351944658448</v>
      </c>
      <c r="IF21" s="165">
        <f t="shared" si="49"/>
        <v>0.69170961832025102</v>
      </c>
      <c r="IG21" s="165">
        <f t="shared" si="50"/>
        <v>0.69479714519787117</v>
      </c>
      <c r="IH21" s="165">
        <f t="shared" si="51"/>
        <v>0.69826149733308229</v>
      </c>
      <c r="II21" s="165">
        <f t="shared" si="52"/>
        <v>0.70098236598287278</v>
      </c>
      <c r="IJ21" s="165">
        <f t="shared" si="53"/>
        <v>0.70469371051624696</v>
      </c>
      <c r="IK21" s="165">
        <f t="shared" si="54"/>
        <v>0.70699180994109445</v>
      </c>
      <c r="IL21" s="165">
        <f t="shared" si="55"/>
        <v>0.70969128715099539</v>
      </c>
      <c r="IM21" s="188">
        <f t="shared" si="56"/>
        <v>47.494936122948495</v>
      </c>
      <c r="IN21" s="165">
        <f t="shared" si="151"/>
        <v>41.636352049825206</v>
      </c>
      <c r="IO21" s="165">
        <f t="shared" si="152"/>
        <v>42.774273524546409</v>
      </c>
      <c r="IP21" s="165">
        <f t="shared" si="153"/>
        <v>43.891241697999739</v>
      </c>
      <c r="IQ21" s="165">
        <f t="shared" si="154"/>
        <v>45.00614919638123</v>
      </c>
      <c r="IR21" s="165">
        <f t="shared" si="155"/>
        <v>45.982760800037688</v>
      </c>
      <c r="IS21" s="165">
        <f t="shared" si="156"/>
        <v>46.995817449549598</v>
      </c>
      <c r="IT21" s="165">
        <f t="shared" si="157"/>
        <v>47.794777346910955</v>
      </c>
      <c r="IU21" s="165">
        <f t="shared" si="158"/>
        <v>48.538760806268705</v>
      </c>
      <c r="IV21" s="188">
        <f>_xlfn.FORECAST.LINEAR(Sheet3!DF21,Sheet2!$AK$2:$AK$69,Sheet2!$AJ$2:$AJ$69)</f>
        <v>1.386217343669711E-5</v>
      </c>
      <c r="IW21" s="165">
        <f>_xlfn.FORECAST.LINEAR(Sheet3!BZ21,Sheet2!$AK$2:$AK$69,Sheet2!$AJ$2:$AJ$69)</f>
        <v>1.3836365188687415E-5</v>
      </c>
      <c r="IX21" s="165">
        <f>_xlfn.FORECAST.LINEAR(Sheet3!CA21,Sheet2!$AK$2:$AK$69,Sheet2!$AJ$2:$AJ$69)</f>
        <v>1.365148279594668E-5</v>
      </c>
      <c r="IY21" s="165">
        <f>_xlfn.FORECAST.LINEAR(Sheet3!CB21,Sheet2!$AK$2:$AK$69,Sheet2!$AJ$2:$AJ$69)</f>
        <v>1.3503765127849908E-5</v>
      </c>
      <c r="IZ21" s="165">
        <f>_xlfn.FORECAST.LINEAR(Sheet3!CC21,Sheet2!$AK$2:$AK$69,Sheet2!$AJ$2:$AJ$69)</f>
        <v>1.330994602801148E-5</v>
      </c>
      <c r="JA21" s="165">
        <f>_xlfn.FORECAST.LINEAR(Sheet3!CD21,Sheet2!$AK$2:$AK$69,Sheet2!$AJ$2:$AJ$69)</f>
        <v>1.3188782659088004E-5</v>
      </c>
      <c r="JB21" s="165">
        <f>_xlfn.FORECAST.LINEAR(Sheet3!CE21,Sheet2!$AK$2:$AK$69,Sheet2!$AJ$2:$AJ$69)</f>
        <v>1.2997034495228068E-5</v>
      </c>
      <c r="JC21" s="165">
        <f>_xlfn.FORECAST.LINEAR(Sheet3!CF21,Sheet2!$AK$2:$AK$69,Sheet2!$AJ$2:$AJ$69)</f>
        <v>1.2901503686075515E-5</v>
      </c>
      <c r="JD21" s="165">
        <f>_xlfn.FORECAST.LINEAR(Sheet3!CG21,Sheet2!$AK$2:$AK$69,Sheet2!$AJ$2:$AJ$69)</f>
        <v>1.2761389269376589E-5</v>
      </c>
      <c r="JE21" s="188">
        <f>_xlfn.FORECAST.LINEAR(Sheet3!DF21,New!$MC$2:$MC$18,New!$MB$2:$MB$18)</f>
        <v>2.337798370672098E-5</v>
      </c>
      <c r="JF21" s="165">
        <f>_xlfn.FORECAST.LINEAR(Sheet3!BZ21,New!$MC$2:$MC$18,New!$MB$2:$MB$18)</f>
        <v>2.3347645488259033E-5</v>
      </c>
      <c r="JG21" s="165">
        <f>_xlfn.FORECAST.LINEAR(Sheet3!CA21,New!$MC$2:$MC$18,New!$MB$2:$MB$18)</f>
        <v>2.3130311773137083E-5</v>
      </c>
      <c r="JH21" s="165">
        <f>_xlfn.FORECAST.LINEAR(Sheet3!CB21,New!$MC$2:$MC$18,New!$MB$2:$MB$18)</f>
        <v>2.2956666088868796E-5</v>
      </c>
      <c r="JI21" s="165">
        <f>_xlfn.FORECAST.LINEAR(Sheet3!CC21,New!$MC$2:$MC$18,New!$MB$2:$MB$18)</f>
        <v>2.2728827058850679E-5</v>
      </c>
      <c r="JJ21" s="165">
        <f>_xlfn.FORECAST.LINEAR(Sheet3!CD21,New!$MC$2:$MC$18,New!$MB$2:$MB$18)</f>
        <v>2.2586396594194382E-5</v>
      </c>
      <c r="JK21" s="165">
        <f>_xlfn.FORECAST.LINEAR(Sheet3!CE21,New!$MC$2:$MC$18,New!$MB$2:$MB$18)</f>
        <v>2.236099199940459E-5</v>
      </c>
      <c r="JL21" s="165">
        <f>_xlfn.FORECAST.LINEAR(Sheet3!CF21,New!$MC$2:$MC$18,New!$MB$2:$MB$18)</f>
        <v>2.2248693227445026E-5</v>
      </c>
      <c r="JM21" s="165">
        <f>_xlfn.FORECAST.LINEAR(Sheet3!CG21,New!$MC$2:$MC$18,New!$MB$2:$MB$18)</f>
        <v>2.2083985348712486E-5</v>
      </c>
      <c r="JN21" s="188">
        <f t="shared" si="159"/>
        <v>2.0712106972307701E-5</v>
      </c>
      <c r="JO21" s="165">
        <f t="shared" si="160"/>
        <v>2.0682313893131349E-5</v>
      </c>
      <c r="JP21" s="165">
        <f t="shared" si="161"/>
        <v>2.0472392491885702E-5</v>
      </c>
      <c r="JQ21" s="165">
        <f t="shared" si="162"/>
        <v>2.0301524178047079E-5</v>
      </c>
      <c r="JR21" s="165">
        <f t="shared" si="163"/>
        <v>2.0081412263703711E-5</v>
      </c>
      <c r="JS21" s="165">
        <f t="shared" si="164"/>
        <v>1.9941187933474126E-5</v>
      </c>
      <c r="JT21" s="165">
        <f t="shared" si="165"/>
        <v>1.9723268808497021E-5</v>
      </c>
      <c r="JU21" s="165">
        <f t="shared" si="166"/>
        <v>1.9612631380187524E-5</v>
      </c>
      <c r="JV21" s="165">
        <f t="shared" si="167"/>
        <v>1.9454342251048398E-5</v>
      </c>
      <c r="JW21" s="188">
        <f t="shared" si="66"/>
        <v>1.0152024173422087</v>
      </c>
      <c r="JX21" s="165">
        <f t="shared" si="67"/>
        <v>1.0155096660799066</v>
      </c>
      <c r="JY21" s="165">
        <f t="shared" si="68"/>
        <v>1.0177434615951162</v>
      </c>
      <c r="JZ21" s="165">
        <f t="shared" si="69"/>
        <v>1.0195706048282047</v>
      </c>
      <c r="KA21" s="165">
        <f t="shared" si="70"/>
        <v>1.0220272726780286</v>
      </c>
      <c r="KB21" s="165">
        <f t="shared" si="71"/>
        <v>1.0235983678185856</v>
      </c>
      <c r="KC21" s="165">
        <f t="shared" si="72"/>
        <v>1.0261423790462971</v>
      </c>
      <c r="KD21" s="165">
        <f t="shared" si="73"/>
        <v>1.0274370121868153</v>
      </c>
      <c r="KE21" s="165">
        <f t="shared" si="74"/>
        <v>1.0293696038058628</v>
      </c>
      <c r="KF21" s="188">
        <f t="shared" si="75"/>
        <v>0.9677010468805306</v>
      </c>
      <c r="KG21" s="165">
        <f t="shared" si="76"/>
        <v>0.96744721400333256</v>
      </c>
      <c r="KH21" s="165">
        <f t="shared" si="77"/>
        <v>0.96560821408078934</v>
      </c>
      <c r="KI21" s="165">
        <f t="shared" si="78"/>
        <v>0.96411237028350583</v>
      </c>
      <c r="KJ21" s="165">
        <f t="shared" si="79"/>
        <v>0.96211291920538755</v>
      </c>
      <c r="KK21" s="165">
        <f t="shared" si="80"/>
        <v>0.96084124572382634</v>
      </c>
      <c r="KL21" s="165">
        <f t="shared" si="81"/>
        <v>0.95879358692883143</v>
      </c>
      <c r="KM21" s="165">
        <f t="shared" si="82"/>
        <v>0.95775696868130067</v>
      </c>
      <c r="KN21" s="165">
        <f t="shared" si="83"/>
        <v>0.95621628781289381</v>
      </c>
      <c r="KO21" s="188">
        <f t="shared" si="84"/>
        <v>0.62186416844246095</v>
      </c>
      <c r="KP21" s="165">
        <f t="shared" si="85"/>
        <v>0.62144763362790489</v>
      </c>
      <c r="KQ21" s="165">
        <f t="shared" si="86"/>
        <v>0.61793351199865532</v>
      </c>
      <c r="KR21" s="165">
        <f t="shared" si="87"/>
        <v>0.61507464443345972</v>
      </c>
      <c r="KS21" s="165">
        <f t="shared" si="88"/>
        <v>0.61127575031044101</v>
      </c>
      <c r="KT21" s="165">
        <f t="shared" si="89"/>
        <v>0.60885809051254058</v>
      </c>
      <c r="KU21" s="165">
        <f t="shared" si="90"/>
        <v>0.60498905964292371</v>
      </c>
      <c r="KV21" s="165">
        <f t="shared" si="91"/>
        <v>0.60302821566647846</v>
      </c>
      <c r="KW21" s="165">
        <f t="shared" si="92"/>
        <v>0.60021847756499347</v>
      </c>
      <c r="KX21" s="188">
        <f>AVERAGE(Sheet3!J21:P21)*KO21^(1/3)/ID21^(1/3)</f>
        <v>177.21709970056665</v>
      </c>
      <c r="KY21" s="165">
        <f>Sheet3!J21*KP21^(1/3)/IE21^(1/3)</f>
        <v>143.28414976300974</v>
      </c>
      <c r="KZ21" s="165">
        <f>Sheet3!K21*KQ21^(1/3)/IF21^(1/3)</f>
        <v>151.9595696452426</v>
      </c>
      <c r="LA21" s="165">
        <f>Sheet3!L21*KR21^(1/3)/IG21^(1/3)</f>
        <v>164.5937239003668</v>
      </c>
      <c r="LB21" s="165">
        <f>Sheet3!M21*KS21^(1/3)/IH21^(1/3)</f>
        <v>177.31714024856097</v>
      </c>
      <c r="LC21" s="165">
        <f>Sheet3!N21*KT21^(1/3)/II21^(1/3)</f>
        <v>191.15911418074216</v>
      </c>
      <c r="LD21" s="165">
        <f>Sheet3!O21*KU21^(1/3)/IJ21^(1/3)</f>
        <v>199.18742531374428</v>
      </c>
      <c r="LE21" s="165">
        <f>Sheet3!P21*KV21^(1/3)/IK21^(1/3)</f>
        <v>199.49585847926687</v>
      </c>
      <c r="LF21" s="165">
        <f>Sheet3!Q21*KW21^(1/3)/IL21^(1/3)</f>
        <v>190.62454275324941</v>
      </c>
      <c r="LG21" s="186">
        <f t="shared" si="93"/>
        <v>25.869381865918648</v>
      </c>
      <c r="LH21" s="183">
        <f t="shared" si="94"/>
        <v>25.871308015768527</v>
      </c>
      <c r="LI21" s="183">
        <f t="shared" si="95"/>
        <v>26.054383886732566</v>
      </c>
      <c r="LJ21" s="183">
        <f t="shared" si="96"/>
        <v>26.054383886732566</v>
      </c>
      <c r="LK21" s="183">
        <f t="shared" si="97"/>
        <v>26.257279815822642</v>
      </c>
      <c r="LL21" s="183">
        <f t="shared" si="98"/>
        <v>26.25928431914647</v>
      </c>
      <c r="LM21" s="183">
        <f t="shared" si="99"/>
        <v>26.46561889411349</v>
      </c>
      <c r="LN21" s="183">
        <f t="shared" si="100"/>
        <v>26.467666060414189</v>
      </c>
      <c r="LO21" s="183">
        <f t="shared" si="101"/>
        <v>26.6760240883861</v>
      </c>
      <c r="LP21" s="220"/>
      <c r="LQ21" s="220"/>
      <c r="LR21" s="220"/>
      <c r="LS21" s="220"/>
      <c r="LT21" s="220"/>
      <c r="LU21" s="220"/>
      <c r="LV21" s="220"/>
      <c r="LW21" s="220"/>
      <c r="LX21" s="220"/>
      <c r="LY21" s="220"/>
      <c r="LZ21" s="222">
        <v>107.13</v>
      </c>
      <c r="MA21" s="220">
        <v>1.2999999999999999E-5</v>
      </c>
      <c r="MB21" s="220"/>
      <c r="MC21" s="220"/>
      <c r="MD21" s="188">
        <f>Sheet3!DP21</f>
        <v>315.99303230316502</v>
      </c>
      <c r="ME21" s="263">
        <v>200</v>
      </c>
      <c r="MF21" s="263">
        <v>15.55</v>
      </c>
      <c r="MG21" s="263">
        <v>3.0230000000000001</v>
      </c>
      <c r="MH21" s="263">
        <v>7.8620000000000001</v>
      </c>
      <c r="MI21" s="263">
        <v>15.99</v>
      </c>
      <c r="MJ21" s="263">
        <v>2.0299999999999998</v>
      </c>
      <c r="MK21" s="273">
        <v>190</v>
      </c>
      <c r="ML21" s="267">
        <v>12.55</v>
      </c>
      <c r="MM21" s="267">
        <v>6.3970000000000002</v>
      </c>
      <c r="MN21" s="267">
        <v>2.8559999999999999</v>
      </c>
      <c r="MO21" s="267">
        <v>15.6</v>
      </c>
      <c r="MP21" s="274">
        <v>2.44</v>
      </c>
      <c r="MQ21"/>
      <c r="MR21"/>
      <c r="MS21"/>
    </row>
    <row r="22" spans="1:357" ht="15" thickBot="1" x14ac:dyDescent="0.35">
      <c r="A22" s="184" t="str">
        <f>Sheet3!A22</f>
        <v>13.12.2022</v>
      </c>
      <c r="B22" s="186">
        <f t="shared" si="102"/>
        <v>0.95651741152185621</v>
      </c>
      <c r="C22" s="183">
        <f t="shared" si="103"/>
        <v>0.95427418002548214</v>
      </c>
      <c r="D22" s="183">
        <f t="shared" si="0"/>
        <v>0.94408014169285348</v>
      </c>
      <c r="E22" s="183">
        <f t="shared" si="1"/>
        <v>0.93473360050457899</v>
      </c>
      <c r="F22" s="183">
        <f t="shared" si="2"/>
        <v>0.92340830858376943</v>
      </c>
      <c r="G22" s="183">
        <f t="shared" si="3"/>
        <v>0.91574037078710879</v>
      </c>
      <c r="H22" s="183">
        <f t="shared" si="4"/>
        <v>0.90570525699919568</v>
      </c>
      <c r="I22" s="183">
        <f t="shared" si="5"/>
        <v>0.89761513740274512</v>
      </c>
      <c r="J22" s="183">
        <f t="shared" si="6"/>
        <v>0.88979208805594756</v>
      </c>
      <c r="K22" s="186">
        <f xml:space="preserve"> (6.057 * (10^(-6)))
+ (4.055 * (10^(-8)) * (Sheet3!DF22 + 273))
+ (1.25 * (10^(-10)) * (Sheet3!DF22 + 273)^2)
- (3.367 * (10^(-14)) * (DD22 + 273)^3)</f>
        <v>4.8623149072623534E-5</v>
      </c>
      <c r="L22" s="183">
        <f xml:space="preserve"> (6.057 * (10^(-6)))
+ (4.055 * (10^(-8)) * (Sheet3!BZ22 + 273))
+ (1.25 * (10^(-10)) * (Sheet3!BZ22 + 273)^2)
- (3.367 * (10^(-14)) * (BX22 + 273)^3)</f>
        <v>4.8402359122635189E-5</v>
      </c>
      <c r="M22" s="183">
        <f xml:space="preserve"> (6.057 * (10^(-6)))
+ (4.055 * (10^(-8)) * (Sheet3!CA22 + 273))
+ (1.25 * (10^(-10)) * (Sheet3!CA22 + 273)^2)
- (3.367 * (10^(-14)) * (BY22 + 273)^3)</f>
        <v>4.7423997450110432E-5</v>
      </c>
      <c r="N22" s="183">
        <f xml:space="preserve"> (6.057 * (10^(-6)))
+ (4.055 * (10^(-8)) * (Sheet3!CB22 + 273))
+ (1.25 * (10^(-10)) * (Sheet3!CB22 + 273)^2)
- (3.367 * (10^(-14)) * (BZ22 + 273)^3)</f>
        <v>4.6616475328283484E-5</v>
      </c>
      <c r="O22" s="183">
        <f xml:space="preserve"> (6.057 * (10^(-6)))
+ (4.055 * (10^(-8)) * (Sheet3!CC22 + 273))
+ (1.25 * (10^(-10)) * (Sheet3!CC22 + 273)^2)
- (3.367 * (10^(-14)) * (CA22 + 273)^3)</f>
        <v>4.5592142357024558E-5</v>
      </c>
      <c r="P22" s="183">
        <f xml:space="preserve"> (6.057 * (10^(-6)))
+ (4.055 * (10^(-8)) * (Sheet3!CD22 + 273))
+ (1.25 * (10^(-10)) * (Sheet3!CD22 + 273)^2)
- (3.367 * (10^(-14)) * (CB22 + 273)^3)</f>
        <v>4.4968611750009475E-5</v>
      </c>
      <c r="Q22" s="183">
        <f xml:space="preserve"> (6.057 * (10^(-6)))
+ (4.055 * (10^(-8)) * (Sheet3!CE22 + 273))
+ (1.25 * (10^(-10)) * (Sheet3!CE22 + 273)^2)
- (3.367 * (10^(-14)) * (CC22 + 273)^3)</f>
        <v>4.4103361103282483E-5</v>
      </c>
      <c r="R22" s="183">
        <f xml:space="preserve"> (6.057 * (10^(-6)))
+ (4.055 * (10^(-8)) * (Sheet3!CF22 + 273))
+ (1.25 * (10^(-10)) * (Sheet3!CF22 + 273)^2)
- (3.367 * (10^(-14)) * (CD22 + 273)^3)</f>
        <v>4.3479794684868009E-5</v>
      </c>
      <c r="S22" s="183">
        <f xml:space="preserve"> (6.057 * (10^(-6)))
+ (4.055 * (10^(-8)) * (Sheet3!CG22 + 273))
+ (1.25 * (10^(-10)) * (Sheet3!CG22 + 273)^2)
- (3.367 * (10^(-14)) * (CE22 + 273)^3)</f>
        <v>4.2808529434228257E-5</v>
      </c>
      <c r="T22" s="188">
        <f t="shared" si="104"/>
        <v>4.8623149072623534E-5</v>
      </c>
      <c r="U22" s="165">
        <f t="shared" si="105"/>
        <v>4.8402359122635189E-5</v>
      </c>
      <c r="V22" s="165">
        <f t="shared" si="106"/>
        <v>4.7423997450110432E-5</v>
      </c>
      <c r="W22" s="165">
        <f t="shared" si="107"/>
        <v>4.6616475328283484E-5</v>
      </c>
      <c r="X22" s="165">
        <f t="shared" si="108"/>
        <v>4.5592142357024558E-5</v>
      </c>
      <c r="Y22" s="165">
        <f t="shared" si="109"/>
        <v>4.4968611750009475E-5</v>
      </c>
      <c r="Z22" s="165">
        <f t="shared" si="110"/>
        <v>4.4103361103282483E-5</v>
      </c>
      <c r="AA22" s="165">
        <f t="shared" si="111"/>
        <v>4.3479794684868009E-5</v>
      </c>
      <c r="AB22" s="165">
        <f t="shared" si="112"/>
        <v>4.2808529434228257E-5</v>
      </c>
      <c r="AC22" s="186">
        <f t="shared" si="8"/>
        <v>4.6508888690987203E-5</v>
      </c>
      <c r="AD22" s="183">
        <f t="shared" si="9"/>
        <v>4.6189121563051611E-5</v>
      </c>
      <c r="AE22" s="183">
        <f t="shared" si="10"/>
        <v>4.477205423234178E-5</v>
      </c>
      <c r="AF22" s="183">
        <f t="shared" si="11"/>
        <v>4.3573985826439298E-5</v>
      </c>
      <c r="AG22" s="183">
        <f t="shared" si="12"/>
        <v>4.2100163058610478E-5</v>
      </c>
      <c r="AH22" s="183">
        <f t="shared" si="13"/>
        <v>4.1179573197735214E-5</v>
      </c>
      <c r="AI22" s="183">
        <f t="shared" si="14"/>
        <v>3.9944646002576792E-5</v>
      </c>
      <c r="AJ22" s="183">
        <f t="shared" si="15"/>
        <v>3.9028121880300943E-5</v>
      </c>
      <c r="AK22" s="183">
        <f t="shared" si="16"/>
        <v>3.8090690791886451E-5</v>
      </c>
      <c r="AL22" s="186">
        <f t="shared" si="113"/>
        <v>3.9454517557305779E-2</v>
      </c>
      <c r="AM22" s="183">
        <f t="shared" si="114"/>
        <v>3.9295104367812743E-2</v>
      </c>
      <c r="AN22" s="183">
        <f t="shared" si="115"/>
        <v>3.8559826711539756E-2</v>
      </c>
      <c r="AO22" s="183">
        <f t="shared" si="116"/>
        <v>3.7950100382504265E-2</v>
      </c>
      <c r="AP22" s="183">
        <f t="shared" si="117"/>
        <v>3.7163670618767262E-2</v>
      </c>
      <c r="AQ22" s="183">
        <f t="shared" si="118"/>
        <v>3.6682539917281223E-2</v>
      </c>
      <c r="AR22" s="183">
        <f t="shared" si="119"/>
        <v>3.6005272459200176E-2</v>
      </c>
      <c r="AS22" s="183">
        <f t="shared" si="120"/>
        <v>3.5514746084369317E-2</v>
      </c>
      <c r="AT22" s="183">
        <f t="shared" si="121"/>
        <v>3.4984157722008816E-2</v>
      </c>
      <c r="AU22" s="186">
        <f>_xlfn.FORECAST.LINEAR(Sheet3!DF22,Sheet2!$AH$2:$AH$40,Sheet2!$AG$2:$AG$40)</f>
        <v>4.852675892229126E-2</v>
      </c>
      <c r="AV22" s="183">
        <f>_xlfn.FORECAST.LINEAR(Sheet3!BZ22,Sheet2!$AH$2:$AH$40,Sheet2!$AG$2:$AG$40)</f>
        <v>4.8168342441977055E-2</v>
      </c>
      <c r="AW22" s="183">
        <f>_xlfn.FORECAST.LINEAR(Sheet3!CA22,Sheet2!$AH$2:$AH$40,Sheet2!$AG$2:$AG$40)</f>
        <v>4.6525902682077756E-2</v>
      </c>
      <c r="AX22" s="183">
        <f>_xlfn.FORECAST.LINEAR(Sheet3!CB22,Sheet2!$AH$2:$AH$40,Sheet2!$AG$2:$AG$40)</f>
        <v>4.5156840313272731E-2</v>
      </c>
      <c r="AY22" s="183">
        <f>_xlfn.FORECAST.LINEAR(Sheet3!CC22,Sheet2!$AH$2:$AH$40,Sheet2!$AG$2:$AG$40)</f>
        <v>4.3402257212366076E-2</v>
      </c>
      <c r="AZ22" s="183">
        <f>_xlfn.FORECAST.LINEAR(Sheet3!CD22,Sheet2!$AH$2:$AH$40,Sheet2!$AG$2:$AG$40)</f>
        <v>4.232405468112295E-2</v>
      </c>
      <c r="BA22" s="183">
        <f>_xlfn.FORECAST.LINEAR(Sheet3!CE22,Sheet2!$AH$2:$AH$40,Sheet2!$AG$2:$AG$40)</f>
        <v>4.0814844953901405E-2</v>
      </c>
      <c r="BB22" s="183">
        <f>_xlfn.FORECAST.LINEAR(Sheet3!CF22,Sheet2!$AH$2:$AH$40,Sheet2!$AG$2:$AG$40)</f>
        <v>3.9717512105042284E-2</v>
      </c>
      <c r="BC22" s="183">
        <f>_xlfn.FORECAST.LINEAR(Sheet3!CG22,Sheet2!$AH$2:$AH$40,Sheet2!$AG$2:$AG$40)</f>
        <v>3.8536978185151241E-2</v>
      </c>
      <c r="BD22" s="186">
        <f>_xlfn.FORECAST.LINEAR(Sheet3!DF22,Sheet2!$AB$12:$AB$37,Sheet2!$AA$12:$AA$37)/1000</f>
        <v>3.5620234805423978E-2</v>
      </c>
      <c r="BE22" s="183">
        <f>_xlfn.FORECAST.LINEAR(Sheet3!BZ22,Sheet2!$AB$12:$AB$37,Sheet2!$AA$12:$AA$37)/1000</f>
        <v>3.5540101176523377E-2</v>
      </c>
      <c r="BF22" s="183">
        <f>_xlfn.FORECAST.LINEAR(Sheet3!CA22,Sheet2!$AB$12:$AB$37,Sheet2!$AA$12:$AA$37)/1000</f>
        <v>3.5172889662990342E-2</v>
      </c>
      <c r="BG22" s="183">
        <f>_xlfn.FORECAST.LINEAR(Sheet3!CB22,Sheet2!$AB$12:$AB$37,Sheet2!$AA$12:$AA$37)/1000</f>
        <v>3.4866799006368125E-2</v>
      </c>
      <c r="BH22" s="183">
        <f>_xlfn.FORECAST.LINEAR(Sheet3!CC22,Sheet2!$AB$12:$AB$37,Sheet2!$AA$12:$AA$37)/1000</f>
        <v>3.4474514837515E-2</v>
      </c>
      <c r="BI22" s="183">
        <f>_xlfn.FORECAST.LINEAR(Sheet3!CD22,Sheet2!$AB$12:$AB$37,Sheet2!$AA$12:$AA$37)/1000</f>
        <v>3.4233453708175793E-2</v>
      </c>
      <c r="BJ22" s="183">
        <f>_xlfn.FORECAST.LINEAR(Sheet3!CE22,Sheet2!$AB$12:$AB$37,Sheet2!$AA$12:$AA$37)/1000</f>
        <v>3.3896029346136614E-2</v>
      </c>
      <c r="BK22" s="183">
        <f>_xlfn.FORECAST.LINEAR(Sheet3!CF22,Sheet2!$AB$12:$AB$37,Sheet2!$AA$12:$AA$37)/1000</f>
        <v>3.3650691120578932E-2</v>
      </c>
      <c r="BL22" s="183">
        <f>_xlfn.FORECAST.LINEAR(Sheet3!CG22,Sheet2!$AB$12:$AB$37,Sheet2!$AA$12:$AA$37)/1000</f>
        <v>3.3386751061354566E-2</v>
      </c>
      <c r="BM22" s="186">
        <f t="shared" si="122"/>
        <v>0.70395944965451918</v>
      </c>
      <c r="BN22" s="183">
        <f t="shared" si="123"/>
        <v>0.70618298365372456</v>
      </c>
      <c r="BO22" s="183">
        <f t="shared" si="124"/>
        <v>0.71666214621228119</v>
      </c>
      <c r="BP22" s="183">
        <f t="shared" si="125"/>
        <v>0.72554242159932925</v>
      </c>
      <c r="BQ22" s="183">
        <f t="shared" si="126"/>
        <v>0.73738191229015415</v>
      </c>
      <c r="BR22" s="183">
        <f t="shared" si="127"/>
        <v>0.74476781231123623</v>
      </c>
      <c r="BS22" s="183">
        <f t="shared" si="128"/>
        <v>0.75548949428553969</v>
      </c>
      <c r="BT22" s="183">
        <f t="shared" si="129"/>
        <v>0.7633824628334076</v>
      </c>
      <c r="BU22" s="183">
        <f t="shared" si="130"/>
        <v>0.77219556190849392</v>
      </c>
      <c r="BV22" s="186">
        <f t="shared" si="131"/>
        <v>1.2050723777528525</v>
      </c>
      <c r="BW22" s="183">
        <f t="shared" si="19"/>
        <v>1.2047071705145014</v>
      </c>
      <c r="BX22" s="183">
        <f t="shared" si="20"/>
        <v>1.2017484939407848</v>
      </c>
      <c r="BY22" s="183">
        <f t="shared" si="21"/>
        <v>1.2003912774368417</v>
      </c>
      <c r="BZ22" s="183">
        <f t="shared" si="22"/>
        <v>1.1971328384160231</v>
      </c>
      <c r="CA22" s="183">
        <f t="shared" si="23"/>
        <v>1.196070169014422</v>
      </c>
      <c r="CB22" s="183">
        <f t="shared" si="24"/>
        <v>1.1931061805955843</v>
      </c>
      <c r="CC22" s="183">
        <f t="shared" si="25"/>
        <v>1.1920346584962067</v>
      </c>
      <c r="CD22" s="183">
        <f t="shared" si="26"/>
        <v>1.1893927097261243</v>
      </c>
      <c r="CE22" s="187">
        <f xml:space="preserve"> -0.0000000019505*Sheet3!DF22^3 + 0.0000015497*Sheet3!DF22^2  + 0.00016911*Sheet3!DF22 + 1.8585</f>
        <v>1.9251003515625</v>
      </c>
      <c r="CF22" s="185">
        <f xml:space="preserve"> -0.0000000019505*Sheet3!BZ22^3 + 0.0000015497*Sheet3!BZ22^2  + 0.00016911*Sheet3!BZ22 + 1.8585</f>
        <v>1.9243507046086556</v>
      </c>
      <c r="CG22" s="185">
        <f xml:space="preserve"> -0.0000000019505*Sheet3!CA22^3 + 0.0000015497*Sheet3!CA22^2  + 0.00016911*Sheet3!CA22 + 1.8585</f>
        <v>1.9209431232623817</v>
      </c>
      <c r="CH22" s="185">
        <f xml:space="preserve"> -0.0000000019505*Sheet3!CB22^3 + 0.0000015497*Sheet3!CB22^2  + 0.00016911*Sheet3!CB22 + 1.8585</f>
        <v>1.918139082718419</v>
      </c>
      <c r="CI22" s="185">
        <f xml:space="preserve"> -0.0000000019505*Sheet3!CC22^3 + 0.0000015497*Sheet3!CC22^2  + 0.00016911*Sheet3!CC22 + 1.8585</f>
        <v>1.9145968807750007</v>
      </c>
      <c r="CJ22" s="185">
        <f xml:space="preserve"> -0.0000000019505*Sheet3!CD22^3 + 0.0000015497*Sheet3!CD22^2  + 0.00016911*Sheet3!CD22 + 1.8585</f>
        <v>1.9124503676931324</v>
      </c>
      <c r="CK22" s="185">
        <f xml:space="preserve"> -0.0000000019505*Sheet3!CE22^3 + 0.0000015497*Sheet3!CE22^2  + 0.00016911*Sheet3!CE22 + 1.8585</f>
        <v>1.9094864105275726</v>
      </c>
      <c r="CL22" s="185">
        <f xml:space="preserve"> -0.0000000019505*Sheet3!CF22^3 + 0.0000015497*Sheet3!CF22^2  + 0.00016911*Sheet3!CF22 + 1.8585</f>
        <v>1.907362346076503</v>
      </c>
      <c r="CM22" s="185">
        <f xml:space="preserve"> -0.0000000019505*Sheet3!CG22^3 + 0.0000015497*Sheet3!CG22^2  + 0.00016911*Sheet3!CG22 + 1.8585</f>
        <v>1.90510758978338</v>
      </c>
      <c r="CN22" s="186">
        <f>_xlfn.FORECAST.LINEAR(Sheet3!DF22,New!$LU$2:$LU$14,New!$LT$2:$LT$14)</f>
        <v>1.0294557987748898</v>
      </c>
      <c r="CO22" s="183">
        <f>_xlfn.FORECAST.LINEAR(Sheet3!BZ22,New!$LU$2:$LU$14,New!$LT$2:$LT$14)</f>
        <v>1.0291919995432128</v>
      </c>
      <c r="CP22" s="183">
        <f>_xlfn.FORECAST.LINEAR(Sheet3!CA22,New!$LU$2:$LU$14,New!$LT$2:$LT$14)</f>
        <v>1.0279831423323018</v>
      </c>
      <c r="CQ22" s="183">
        <f>_xlfn.FORECAST.LINEAR(Sheet3!CB22,New!$LU$2:$LU$14,New!$LT$2:$LT$14)</f>
        <v>1.0269754944677503</v>
      </c>
      <c r="CR22" s="183">
        <f>_xlfn.FORECAST.LINEAR(Sheet3!CC22,New!$LU$2:$LU$14,New!$LT$2:$LT$14)</f>
        <v>1.025684098286618</v>
      </c>
      <c r="CS22" s="183">
        <f>_xlfn.FORECAST.LINEAR(Sheet3!CD22,New!$LU$2:$LU$14,New!$LT$2:$LT$14)</f>
        <v>1.0248905270783835</v>
      </c>
      <c r="CT22" s="183">
        <f>_xlfn.FORECAST.LINEAR(Sheet3!CE22,New!$LU$2:$LU$14,New!$LT$2:$LT$14)</f>
        <v>1.0237797289194053</v>
      </c>
      <c r="CU22" s="183">
        <f>_xlfn.FORECAST.LINEAR(Sheet3!CF22,New!$LU$2:$LU$14,New!$LT$2:$LT$14)</f>
        <v>1.0229720775464293</v>
      </c>
      <c r="CV22" s="183">
        <f>_xlfn.FORECAST.LINEAR(Sheet3!CG22,New!$LU$2:$LU$14,New!$LT$2:$LT$14)</f>
        <v>1.0221031890936358</v>
      </c>
      <c r="CW22" s="186">
        <f>EXP((17.625*Sheet3!BA22)/(243.04+Sheet3!BA22)) / EXP((17.625*Sheet3!DF22)/(243.04+Sheet3!DF22))</f>
        <v>0.10590885593117005</v>
      </c>
      <c r="CX22" s="183">
        <f>EXP((17.625*(Sheet3!BC22+273))/(243.04+(Sheet3!BC22+273)))/EXP((17.625*(Sheet3!BZ22+273))/(243.04+(Sheet3!BZ22+273)))</f>
        <v>0.31018849111445729</v>
      </c>
      <c r="CY22" s="183">
        <f>EXP((17.625*(Sheet3!BE22+273))/(243.04+(Sheet3!BE22+273))) / EXP((17.625*(Sheet3!CA22+273))/(243.04+(Sheet3!CA22+273)))</f>
        <v>0.32883534269821091</v>
      </c>
      <c r="CZ22" s="183">
        <f>EXP((17.625*(Sheet3!BG22+273))/(243.04+(Sheet3!BG22+273))) / EXP((17.625*(Sheet3!CB22+273))/(243.04+(Sheet3!CB22+273)))</f>
        <v>0.34523359244064544</v>
      </c>
      <c r="DA22" s="183">
        <f>EXP((17.625*(Sheet3!BI22+273))/(243.04+(Sheet3!BI22+273))) / EXP((17.625*(Sheet3!CC22+273))/(243.04+(Sheet3!CC22+273)))</f>
        <v>0.36776310534057732</v>
      </c>
      <c r="DB22" s="183">
        <f>EXP((17.625*(Sheet3!BK22+273))/(243.04+(Sheet3!BK22+273)))/EXP((17.625*(Sheet3!CD22+273))/(243.04+(Sheet3!CD22+273)))</f>
        <v>0.38300990747168329</v>
      </c>
      <c r="DC22" s="183">
        <f>EXP((17.625*(Sheet3!BM22+273))/(243.04+(Sheet3!BM22+273))) / EXP((17.625*(Sheet3!CE22+273))/(243.04+(Sheet3!CE22+273)))</f>
        <v>0.40505367877366177</v>
      </c>
      <c r="DD22" s="183">
        <f>EXP((17.625*(Sheet3!BO22+273))/(243.04+(Sheet3!BO22+273))) / EXP((17.625*(Sheet3!CF22+273))/(243.04+(Sheet3!CF22+273)))</f>
        <v>0.42269709588640025</v>
      </c>
      <c r="DE22" s="183">
        <f>EXP((17.625*(Sheet3!BQ22+273))/(243.04+(Sheet3!BQ22+273))) / EXP((17.625*(Sheet3!CG22+273))/(243.04+(Sheet3!CG22+273)))</f>
        <v>0.44201091044592772</v>
      </c>
      <c r="DF22" s="186">
        <f>((Sheet3!DA22-Sheet3!DB22)/New!$LQ$3)/(((Sheet3!DA22-Sheet3!DB22)/New!$LQ$3)+(Sheet3!DB22/New!$LP$3))</f>
        <v>0.7183468438021231</v>
      </c>
      <c r="DG22" s="183">
        <f>((Sheet3!DA22-Sheet3!DB22)/New!$LQ$3)/(((Sheet3!DA22-Sheet3!DB22)/New!$LQ$3)+((Sheet3!DB22-(Sheet3!B22*0.004))/New!$LP$3))</f>
        <v>0.71837382143600803</v>
      </c>
      <c r="DH22" s="183" cm="1">
        <f t="array" ref="DH22">((Sheet3!DA22-Sheet3!DB22)/New!$LQ$3)/(((Sheet3!DA22-Sheet3!DB22)/New!$LQ$3)+((Sheet3!DB22-(SUM(Sheet3!B22:C22*0.004)))/New!$LP$3))</f>
        <v>0.7242214463795017</v>
      </c>
      <c r="DI22" s="183" cm="1">
        <f t="array" ref="DI22">((Sheet3!DA22-Sheet3!DB22)/New!$LQ$3)/(((Sheet3!DA22-Sheet3!DB22)/New!$LQ$3)+((Sheet3!DB22-(SUM(Sheet3!B22:D22*0.004)))/New!$LP$3))</f>
        <v>0.7242214463795017</v>
      </c>
      <c r="DJ22" s="183" cm="1">
        <f t="array" ref="DJ22">((Sheet3!DA22-Sheet3!DB22)/New!$LQ$3)/(((Sheet3!DA22-Sheet3!DB22)/New!$LQ$3)+((Sheet3!DB22-(SUM(Sheet3!B22:E22*0.004)))/New!$LP$3))</f>
        <v>0.73114186254313229</v>
      </c>
      <c r="DK22" s="183" cm="1">
        <f t="array" ref="DK22">((Sheet3!DA22-Sheet3!DB22)/New!$LQ$3)/(((Sheet3!DA22-Sheet3!DB22)/New!$LQ$3)+((Sheet3!DB22-(SUM(Sheet3!B22:F22*0.004)))/New!$LP$3))</f>
        <v>0.7311791260172994</v>
      </c>
      <c r="DL22" s="183" cm="1">
        <f t="array" ref="DL22">((Sheet3!DA22-Sheet3!DB22)/New!$LQ$3)/(((Sheet3!DA22-Sheet3!DB22)/New!$LQ$3)+((Sheet3!DB22-(SUM(Sheet3!B22:G22*0.004)))/New!$LP$3))</f>
        <v>0.7380913717376405</v>
      </c>
      <c r="DM22" s="183" cm="1">
        <f t="array" ref="DM22">((Sheet3!DA22-Sheet3!DB22)/New!$LQ$3)/(((Sheet3!DA22-Sheet3!DB22)/New!$LQ$3)+((Sheet3!DB22-(SUM(Sheet3!B22:H22*0.004)))/New!$LP$3))</f>
        <v>0.73814833606062391</v>
      </c>
      <c r="DN22" s="183" cm="1">
        <f t="array" ref="DN22">((Sheet3!DA22-Sheet3!DB22)/New!$LQ$3)/(((Sheet3!DA22-Sheet3!DB22)/New!$LQ$3)+((Sheet3!DB22-(SUM(Sheet3!B22:I22*0.004)))/New!$LP$3))</f>
        <v>0.74526135670867222</v>
      </c>
      <c r="DO22" s="186">
        <f>(Sheet3!DB22/$LP$3) / ((Sheet3!DB22/$LP$3) + ((Sheet3!DA22-Sheet3!DB22)/$LQ$3))</f>
        <v>0.2816531561978769</v>
      </c>
      <c r="DP22" s="183">
        <f>((Sheet3!$DB22-(Sheet3!B22/4000)) / $LP$3) / (((Sheet3!$DA22-Sheet3!DB22) / $LQ$3) + (Sheet3!$DB22-((Sheet3!B22/4000)))/$LP$3)</f>
        <v>0.28165147015512121</v>
      </c>
      <c r="DQ22" s="183">
        <f>((Sheet3!$DB22-(SUM(Sheet3!B22:C22)/4000))/$LP$3)/(((Sheet3!$DA22-Sheet3!$DB22)/$LQ$3)+(Sheet3!$DB22-(SUM(Sheet3!B22:C22)/4000))/$LP$3)</f>
        <v>0.28128878709115784</v>
      </c>
      <c r="DR22" s="183">
        <f>((Sheet3!$DB22-(SUM(Sheet3!B22:D22)/4000))/$LP$3)/(((Sheet3!$DA22-Sheet3!$DB22)/$LQ$3)+(Sheet3!$DB22-(SUM(Sheet3!B22:D22)/4000))/$LP$3)</f>
        <v>0.28128878709115784</v>
      </c>
      <c r="DS22" s="183">
        <f>((Sheet3!$DB22-(SUM(Sheet3!B22:E22)/4000))/$LP$3)/(((Sheet3!$DA22-Sheet3!$DB22)/$LQ$3)+(Sheet3!$DB22-(SUM(Sheet3!B22:E22)/4000))/$LP$3)</f>
        <v>0.2808666018215677</v>
      </c>
      <c r="DT22" s="183">
        <f>((Sheet3!$DB22-(SUM(Sheet3!B22:F22)/4000))/$LP$3)/(((Sheet3!$DA22-Sheet3!$DB22)/$LQ$3)+(Sheet3!$DB22-(SUM(Sheet3!B22:F22)/4000))/$LP$3)</f>
        <v>0.28086434883707134</v>
      </c>
      <c r="DU22" s="183">
        <f>((Sheet3!$DB22-(SUM(Sheet3!B22:G22)/4000))/$LP$3)/(((Sheet3!$DA22-Sheet3!$DB22)/$LQ$3)+(Sheet3!$DB22-(SUM(Sheet3!B22:G22)/4000))/$LP$3)</f>
        <v>0.28045012318022872</v>
      </c>
      <c r="DV22" s="183">
        <f>((Sheet3!$DB22-(SUM(Sheet3!B22:H22)/4000))/$LP$3)/(((Sheet3!$DA22-Sheet3!$DB22)/$LQ$3)+(Sheet3!$DB22-(SUM(Sheet3!B22:H22)/4000))/$LP$3)</f>
        <v>0.28044673978266382</v>
      </c>
      <c r="DW22" s="183">
        <f>((Sheet3!$DB22-(SUM(Sheet3!B22:I22)/4000))/$LP$3)/(((Sheet3!$DA22-Sheet3!$DB22)/$LQ$3)+(Sheet3!$DB22-(SUM(Sheet3!B22:I22)/4000))/$LP$3)</f>
        <v>0.28002808086898634</v>
      </c>
      <c r="DX22" s="186">
        <f>($LR$2*($LP$3/1000))/($LP$2*(Sheet3!DF22+273))*DO22</f>
        <v>0.13803126463814103</v>
      </c>
      <c r="DY22" s="183">
        <f>(($LR$2*($LP$3/1000))/($LP$2*(Sheet3!BZ22+273)))*(DP22)</f>
        <v>0.13846632405520803</v>
      </c>
      <c r="DZ22" s="183">
        <f>(($LR$2*($LP$3/1000))/($LP$2*(Sheet3!CA22+273)))*(DQ22)</f>
        <v>0.14031857407498705</v>
      </c>
      <c r="EA22" s="183">
        <f>(($LR$2*($LP$3/1000))/($LP$2*(Sheet3!CB22+273)))*(DR22)</f>
        <v>0.14205728399051631</v>
      </c>
      <c r="EB22" s="183">
        <f>(($LR$2*($LP$3/1000))/($LP$2*(Sheet3!CC22+273)))*(DS22)</f>
        <v>0.14413296644780388</v>
      </c>
      <c r="EC22" s="183">
        <f>(($LR$2*($LP$3/1000))/($LP$2*(Sheet3!CD22+273)))*(DT22)</f>
        <v>0.14557535109009423</v>
      </c>
      <c r="ED22" s="183">
        <f>(($LR$2*($LP$3/1000))/($LP$2*(Sheet3!CE22+273)))*(DU22)</f>
        <v>0.14742744517638784</v>
      </c>
      <c r="EE22" s="183">
        <f>(($LR$2*($LP$3/1000))/($LP$2*(Sheet3!CF22+273)))*(DV22)</f>
        <v>0.14896568162194479</v>
      </c>
      <c r="EF22" s="183">
        <f>(($LR$2*($LP$3/1000))/($LP$2*(Sheet3!CG22+273)))*(DW22)</f>
        <v>0.15043388881273234</v>
      </c>
      <c r="EG22" s="186">
        <f>(($LR$2*($LQ$3/1000))/($LQ$2*(Sheet3!DF22+273)))*(1-DO22)</f>
        <v>0.5659281850163782</v>
      </c>
      <c r="EH22" s="183">
        <f>(($LR$2*($LQ$3/1000))/($LQ$2*(Sheet3!BZ22+273)))*(1-DP22)</f>
        <v>0.56771665959851647</v>
      </c>
      <c r="EI22" s="183">
        <f>(($LR$2*($LQ$3/1000))/($LQ$2*(Sheet3!CA22+273)))*(1-DQ22)</f>
        <v>0.57634357213729415</v>
      </c>
      <c r="EJ22" s="183">
        <f>(($LR$2*($LQ$3/1000))/($LQ$2*(Sheet3!CB22+273)))*(1-DR22)</f>
        <v>0.58348513760881293</v>
      </c>
      <c r="EK22" s="183">
        <f>(($LR$2*($LQ$3/1000))/($LQ$2*(Sheet3!CC22+273)))*(1-DS22)</f>
        <v>0.59324894584235033</v>
      </c>
      <c r="EL22" s="183">
        <f>(($LR$2*($LQ$3/1000))/($LQ$2*(Sheet3!CD22+273)))*(1-DT22)</f>
        <v>0.599192461221142</v>
      </c>
      <c r="EM22" s="183">
        <f>(($LR$2*($LQ$3/1000))/($LQ$2*(Sheet3!CE22+273)))*(1-DU22)</f>
        <v>0.60806204910915185</v>
      </c>
      <c r="EN22" s="183">
        <f>(($LR$2*($LQ$3/1000))/($LQ$2*(Sheet3!CF22+273)))*(1-DV22)</f>
        <v>0.61441678121146281</v>
      </c>
      <c r="EO22" s="183">
        <f>(($LR$2*($LQ$3/1000))/($LQ$2*(Sheet3!CG22+273)))*(1-DW22)</f>
        <v>0.62176167309576158</v>
      </c>
      <c r="EP22" s="186">
        <f t="shared" si="132"/>
        <v>9512.8911750956249</v>
      </c>
      <c r="EQ22" s="183">
        <f xml:space="preserve"> (($FV22-(Sheet3!B22/4000))*0.018)/(0.011*JO22*3600)</f>
        <v>9537.6429174967361</v>
      </c>
      <c r="ER22" s="183">
        <f>((($FV22-(SUM(Sheet3!B22:C22)/4000))*0.018)/(0.011*JP22*3600))</f>
        <v>9647.9312801758842</v>
      </c>
      <c r="ES22" s="183">
        <f>((($FV22-(SUM(Sheet3!B22:D22)/4000))*0.018)/(0.011*JQ22*3600))</f>
        <v>9746.1036479708891</v>
      </c>
      <c r="ET22" s="183">
        <f>((($FV22-(SUM(Sheet3!B22:E22)/4000))*0.018)/(0.011*JR22))/3600</f>
        <v>9869.022534345173</v>
      </c>
      <c r="EU22" s="183">
        <f>((($FV22-(SUM(Sheet3!B22:F22)/4000))*0.018)/(0.011*JS22))/3600</f>
        <v>9949.8320352017072</v>
      </c>
      <c r="EV22" s="183">
        <f>((($FV22-(SUM(Sheet3!B22:G22)/4000))*0.018)/(0.011*JT22))/3600</f>
        <v>10059.344086320527</v>
      </c>
      <c r="EW22" s="183">
        <f>((($FV22-(SUM(Sheet3!B22:H22)/4000))*0.018)/(0.011*JU22))/3600</f>
        <v>10144.903498568454</v>
      </c>
      <c r="EX22" s="183">
        <f>((($FV22-(SUM(Sheet3!B22:I22)/4000))*0.018)/(0.011*JV22))/3600</f>
        <v>10232.548069567049</v>
      </c>
      <c r="EY22" s="186">
        <f t="shared" si="133"/>
        <v>74.999514250360789</v>
      </c>
      <c r="EZ22" s="183">
        <f t="shared" si="134"/>
        <v>75.153375874294198</v>
      </c>
      <c r="FA22" s="183">
        <f t="shared" si="135"/>
        <v>75.824660462430614</v>
      </c>
      <c r="FB22" s="183">
        <f t="shared" si="136"/>
        <v>76.438633904624993</v>
      </c>
      <c r="FC22" s="183">
        <f t="shared" si="137"/>
        <v>77.191172501985235</v>
      </c>
      <c r="FD22" s="183">
        <f t="shared" si="138"/>
        <v>77.700175154171532</v>
      </c>
      <c r="FE22" s="183">
        <f t="shared" si="139"/>
        <v>78.373378556006912</v>
      </c>
      <c r="FF22" s="183">
        <f t="shared" si="140"/>
        <v>78.916055514142727</v>
      </c>
      <c r="FG22" s="183">
        <f t="shared" si="141"/>
        <v>79.454282177873168</v>
      </c>
      <c r="FH22" s="186">
        <f t="shared" si="28"/>
        <v>164.39275843223695</v>
      </c>
      <c r="FI22" s="183">
        <f t="shared" si="29"/>
        <v>164.06443047632504</v>
      </c>
      <c r="FJ22" s="183">
        <f t="shared" si="30"/>
        <v>162.4325426607036</v>
      </c>
      <c r="FK22" s="183">
        <f t="shared" si="31"/>
        <v>161.15854609900072</v>
      </c>
      <c r="FL22" s="183">
        <f t="shared" si="32"/>
        <v>159.37262830779025</v>
      </c>
      <c r="FM22" s="183">
        <f t="shared" si="33"/>
        <v>158.34665425959113</v>
      </c>
      <c r="FN22" s="183">
        <f t="shared" si="34"/>
        <v>156.7697138031703</v>
      </c>
      <c r="FO22" s="183">
        <f t="shared" si="35"/>
        <v>155.70464853137622</v>
      </c>
      <c r="FP22" s="183">
        <f t="shared" si="36"/>
        <v>154.4245077444283</v>
      </c>
      <c r="FQ22" s="314">
        <f>Sheet3!CV22</f>
        <v>2</v>
      </c>
      <c r="FR22" s="183">
        <v>10000</v>
      </c>
      <c r="FS22" s="183">
        <v>20</v>
      </c>
      <c r="FT22" s="183">
        <v>0.28849999999999998</v>
      </c>
      <c r="FU22" s="183">
        <v>19.23</v>
      </c>
      <c r="FV22" s="183">
        <v>459</v>
      </c>
      <c r="FW22" s="183">
        <v>90</v>
      </c>
      <c r="FX22" s="183">
        <v>931.5</v>
      </c>
      <c r="FY22" s="183">
        <v>9.56</v>
      </c>
      <c r="FZ22" s="183">
        <v>16.62</v>
      </c>
      <c r="GA22" s="183">
        <v>175</v>
      </c>
      <c r="GB22" s="186">
        <f>EXP($LP$6-($LQ$6/('Trial and Error method'!T22+$LP$8))) / ($LR$2/1000)</f>
        <v>6.1050715322435903E-2</v>
      </c>
      <c r="GC22" s="183">
        <f>EXP($LP$6-($LQ$6/('Trial and Error method'!U22+$LP$8))) / ($LR$2/1000)</f>
        <v>9.4652133674060321E-2</v>
      </c>
      <c r="GD22" s="183">
        <f>EXP($LP$6-($LQ$6/('Trial and Error method'!V22+$LP$8))) / ($LR$2/1000)</f>
        <v>8.9012149529554496E-2</v>
      </c>
      <c r="GE22" s="183">
        <f>EXP($LP$6-($LQ$6/('Trial and Error method'!W22+$LP$8))) / ($LR$2/1000)</f>
        <v>8.3865818317382365E-2</v>
      </c>
      <c r="GF22" s="183">
        <f>EXP($LP$6-($LQ$6/('Trial and Error method'!X22+$LP$8))) / ($LR$2/1000)</f>
        <v>7.8573821502873856E-2</v>
      </c>
      <c r="GG22" s="183">
        <f>EXP($LP$6-($LQ$6/('Trial and Error method'!Y22+$LP$8))) / ($LR$2/1000)</f>
        <v>7.4161683663116235E-2</v>
      </c>
      <c r="GH22" s="183">
        <f>EXP($LP$6-($LQ$6/('Trial and Error method'!Z22+$LP$8))) / ($LR$2/1000)</f>
        <v>6.9652715455207861E-2</v>
      </c>
      <c r="GI22" s="183">
        <f>EXP($LP$6-($LQ$6/('Trial and Error method'!AA22+$LP$8))) / ($LR$2/1000)</f>
        <v>6.5883177987058283E-2</v>
      </c>
      <c r="GJ22" s="183">
        <f>EXP($LP$6-($LQ$6/('Trial and Error method'!AB22+$LP$8))) / ($LR$2/1000)</f>
        <v>6.2273660897438431E-2</v>
      </c>
      <c r="GK22" s="188">
        <f t="shared" si="142"/>
        <v>0.82373066369848547</v>
      </c>
      <c r="GL22" s="165">
        <f t="shared" si="143"/>
        <v>0.80824599507260741</v>
      </c>
      <c r="GM22" s="165">
        <f t="shared" si="144"/>
        <v>0.81105450091946651</v>
      </c>
      <c r="GN22" s="165">
        <f t="shared" si="145"/>
        <v>0.81343367942940636</v>
      </c>
      <c r="GO22" s="165">
        <f t="shared" si="146"/>
        <v>0.81610543759940868</v>
      </c>
      <c r="GP22" s="165">
        <f t="shared" si="147"/>
        <v>0.81813966097971613</v>
      </c>
      <c r="GQ22" s="165">
        <f t="shared" si="148"/>
        <v>0.82044015370418411</v>
      </c>
      <c r="GR22" s="165">
        <f t="shared" si="149"/>
        <v>0.82217409095051908</v>
      </c>
      <c r="GS22" s="165">
        <f t="shared" si="150"/>
        <v>0.82405963993652642</v>
      </c>
      <c r="GT22" s="188">
        <f t="shared" si="38"/>
        <v>0.10611858250973094</v>
      </c>
      <c r="GU22" s="165">
        <f t="shared" si="39"/>
        <v>0.10813749512498537</v>
      </c>
      <c r="GV22" s="165">
        <f t="shared" si="40"/>
        <v>0.10772236624534297</v>
      </c>
      <c r="GW22" s="165">
        <f t="shared" si="41"/>
        <v>0.10739535528899172</v>
      </c>
      <c r="GX22" s="165">
        <f t="shared" si="42"/>
        <v>0.10701179354656055</v>
      </c>
      <c r="GY22" s="165">
        <f t="shared" si="43"/>
        <v>0.10674451983769331</v>
      </c>
      <c r="GZ22" s="165">
        <f t="shared" si="44"/>
        <v>0.10642588720483355</v>
      </c>
      <c r="HA22" s="165">
        <f t="shared" si="45"/>
        <v>0.10620814883256384</v>
      </c>
      <c r="HB22" s="165">
        <f t="shared" si="46"/>
        <v>0.10594382736543223</v>
      </c>
      <c r="HC22" s="188">
        <f>BV22*Sheet3!DF22</f>
        <v>210.88766610674918</v>
      </c>
      <c r="HD22" s="165">
        <f>BW22*Sheet3!BZ22</f>
        <v>209.12477598863089</v>
      </c>
      <c r="HE22" s="165">
        <f>BX22*Sheet3!CA22</f>
        <v>200.84474817679688</v>
      </c>
      <c r="HF22" s="165">
        <f>BY22*Sheet3!CB22</f>
        <v>194.15149065192244</v>
      </c>
      <c r="HG22" s="165">
        <f>BZ22*Sheet3!CC22</f>
        <v>185.35962364587937</v>
      </c>
      <c r="HH22" s="165">
        <f>CA22*Sheet3!CD22</f>
        <v>180.12079116936155</v>
      </c>
      <c r="HI22" s="165">
        <f>CB22*Sheet3!CE22</f>
        <v>172.58931299235431</v>
      </c>
      <c r="HJ22" s="165">
        <f>CC22*Sheet3!CF22</f>
        <v>167.2874110133564</v>
      </c>
      <c r="HK22" s="165">
        <f>CD22*Sheet3!CG22</f>
        <v>161.39177361944064</v>
      </c>
      <c r="HL22" s="188">
        <f>(CE22*Sheet3!DF22)+2501</f>
        <v>2837.8925615234375</v>
      </c>
      <c r="HM22" s="165">
        <f>(CF22*Sheet3!BZ22)+2501</f>
        <v>2835.0474929297393</v>
      </c>
      <c r="HN22" s="165">
        <f>(CG22*Sheet3!CA22)+2501</f>
        <v>2822.0416653724496</v>
      </c>
      <c r="HO22" s="165">
        <f>(CH22*Sheet3!CB22)+2501</f>
        <v>2811.24014351611</v>
      </c>
      <c r="HP22" s="165">
        <f>(CI22*Sheet3!CC22)+2501</f>
        <v>2797.4491039470586</v>
      </c>
      <c r="HQ22" s="165">
        <f>(CJ22*Sheet3!CD22)+2501</f>
        <v>2789.0032311021291</v>
      </c>
      <c r="HR22" s="165">
        <f>(CK22*Sheet3!CE22)+2501</f>
        <v>2777.2176184492478</v>
      </c>
      <c r="HS22" s="165">
        <f>(CL22*Sheet3!CF22)+2501</f>
        <v>2768.6748586673039</v>
      </c>
      <c r="HT22" s="165">
        <f>(CM22*Sheet3!CG22)+2501</f>
        <v>2759.5089771752482</v>
      </c>
      <c r="HU22" s="188">
        <f>-0.0021*(Sheet3!DF22^2) - 2.2115*(Sheet3!DF22) + 2499</f>
        <v>2047.675</v>
      </c>
      <c r="HV22" s="165">
        <f>-0.0021*(Sheet3!BZ22^2) - 2.2115*(Sheet3!BZ22) + 2499</f>
        <v>2051.8262241477378</v>
      </c>
      <c r="HW22" s="165">
        <f>-0.0021*(Sheet3!CA22^2) - 2.2115*(Sheet3!CA22) + 2499</f>
        <v>2070.7423184121089</v>
      </c>
      <c r="HX22" s="165">
        <f>-0.0021*(Sheet3!CB22^2) - 2.2115*(Sheet3!CB22) + 2499</f>
        <v>2086.3758572966431</v>
      </c>
      <c r="HY22" s="165">
        <f>-0.0021*(Sheet3!CC22^2) - 2.2115*(Sheet3!CC22) + 2499</f>
        <v>2106.2335246069056</v>
      </c>
      <c r="HZ22" s="165">
        <f>-0.0021*(Sheet3!CD22^2) - 2.2115*(Sheet3!CD22) + 2499</f>
        <v>2118.3368832755659</v>
      </c>
      <c r="IA22" s="165">
        <f>-0.0021*(Sheet3!CE22^2) - 2.2115*(Sheet3!CE22) + 2499</f>
        <v>2135.1515503342107</v>
      </c>
      <c r="IB22" s="165">
        <f>-0.0021*(Sheet3!CF22^2) - 2.2115*(Sheet3!CF22) + 2499</f>
        <v>2147.2843488746207</v>
      </c>
      <c r="IC22" s="165">
        <f>-0.0021*(Sheet3!CG22^2) - 2.2115*(Sheet3!CG22) + 2499</f>
        <v>2160.249639985173</v>
      </c>
      <c r="ID22" s="188">
        <f t="shared" si="47"/>
        <v>0.66987515523586627</v>
      </c>
      <c r="IE22" s="165">
        <f t="shared" si="48"/>
        <v>0.67064282885462856</v>
      </c>
      <c r="IF22" s="165">
        <f t="shared" si="49"/>
        <v>0.67372243378280183</v>
      </c>
      <c r="IG22" s="165">
        <f t="shared" si="50"/>
        <v>0.67688606521862105</v>
      </c>
      <c r="IH22" s="165">
        <f t="shared" si="51"/>
        <v>0.68046969992444362</v>
      </c>
      <c r="II22" s="165">
        <f t="shared" si="52"/>
        <v>0.68318725233708943</v>
      </c>
      <c r="IJ22" s="165">
        <f t="shared" si="53"/>
        <v>0.68647945821241407</v>
      </c>
      <c r="IK22" s="165">
        <f t="shared" si="54"/>
        <v>0.68946947556319105</v>
      </c>
      <c r="IL22" s="165">
        <f t="shared" si="55"/>
        <v>0.69211314136650759</v>
      </c>
      <c r="IM22" s="188">
        <f t="shared" si="56"/>
        <v>47.936109271368437</v>
      </c>
      <c r="IN22" s="165">
        <f t="shared" si="151"/>
        <v>41.491290913024613</v>
      </c>
      <c r="IO22" s="165">
        <f t="shared" si="152"/>
        <v>42.890238615629514</v>
      </c>
      <c r="IP22" s="165">
        <f t="shared" si="153"/>
        <v>44.235987439341343</v>
      </c>
      <c r="IQ22" s="165">
        <f t="shared" si="154"/>
        <v>45.595139364376088</v>
      </c>
      <c r="IR22" s="165">
        <f t="shared" si="155"/>
        <v>46.73978306153473</v>
      </c>
      <c r="IS22" s="165">
        <f t="shared" si="156"/>
        <v>47.900632854641891</v>
      </c>
      <c r="IT22" s="165">
        <f t="shared" si="157"/>
        <v>48.933171875660804</v>
      </c>
      <c r="IU22" s="165">
        <f t="shared" si="158"/>
        <v>49.836390352177197</v>
      </c>
      <c r="IV22" s="188">
        <f>_xlfn.FORECAST.LINEAR(Sheet3!DF22,Sheet2!$AK$2:$AK$69,Sheet2!$AJ$2:$AJ$69)</f>
        <v>1.4912542786997764E-5</v>
      </c>
      <c r="IW22" s="165">
        <f>_xlfn.FORECAST.LINEAR(Sheet3!BZ22,Sheet2!$AK$2:$AK$69,Sheet2!$AJ$2:$AJ$69)</f>
        <v>1.4863165495541821E-5</v>
      </c>
      <c r="IX22" s="165">
        <f>_xlfn.FORECAST.LINEAR(Sheet3!CA22,Sheet2!$AK$2:$AK$69,Sheet2!$AJ$2:$AJ$69)</f>
        <v>1.4636894575598963E-5</v>
      </c>
      <c r="IY22" s="165">
        <f>_xlfn.FORECAST.LINEAR(Sheet3!CB22,Sheet2!$AK$2:$AK$69,Sheet2!$AJ$2:$AJ$69)</f>
        <v>1.4448285526298029E-5</v>
      </c>
      <c r="IZ22" s="165">
        <f>_xlfn.FORECAST.LINEAR(Sheet3!CC22,Sheet2!$AK$2:$AK$69,Sheet2!$AJ$2:$AJ$69)</f>
        <v>1.4206565164887219E-5</v>
      </c>
      <c r="JA22" s="165">
        <f>_xlfn.FORECAST.LINEAR(Sheet3!CD22,Sheet2!$AK$2:$AK$69,Sheet2!$AJ$2:$AJ$69)</f>
        <v>1.4058026457662999E-5</v>
      </c>
      <c r="JB22" s="165">
        <f>_xlfn.FORECAST.LINEAR(Sheet3!CE22,Sheet2!$AK$2:$AK$69,Sheet2!$AJ$2:$AJ$69)</f>
        <v>1.3850109989916219E-5</v>
      </c>
      <c r="JC22" s="165">
        <f>_xlfn.FORECAST.LINEAR(Sheet3!CF22,Sheet2!$AK$2:$AK$69,Sheet2!$AJ$2:$AJ$69)</f>
        <v>1.369893579208135E-5</v>
      </c>
      <c r="JD22" s="165">
        <f>_xlfn.FORECAST.LINEAR(Sheet3!CG22,Sheet2!$AK$2:$AK$69,Sheet2!$AJ$2:$AJ$69)</f>
        <v>1.3536299388239132E-5</v>
      </c>
      <c r="JE22" s="188">
        <f>_xlfn.FORECAST.LINEAR(Sheet3!DF22,New!$MC$2:$MC$18,New!$MB$2:$MB$18)</f>
        <v>2.4612718230474119E-5</v>
      </c>
      <c r="JF22" s="165">
        <f>_xlfn.FORECAST.LINEAR(Sheet3!BZ22,New!$MC$2:$MC$18,New!$MB$2:$MB$18)</f>
        <v>2.455467403256162E-5</v>
      </c>
      <c r="JG22" s="165">
        <f>_xlfn.FORECAST.LINEAR(Sheet3!CA22,New!$MC$2:$MC$18,New!$MB$2:$MB$18)</f>
        <v>2.428868710473013E-5</v>
      </c>
      <c r="JH22" s="165">
        <f>_xlfn.FORECAST.LINEAR(Sheet3!CB22,New!$MC$2:$MC$18,New!$MB$2:$MB$18)</f>
        <v>2.4066972614872382E-5</v>
      </c>
      <c r="JI22" s="165">
        <f>_xlfn.FORECAST.LINEAR(Sheet3!CC22,New!$MC$2:$MC$18,New!$MB$2:$MB$18)</f>
        <v>2.3782824495696418E-5</v>
      </c>
      <c r="JJ22" s="165">
        <f>_xlfn.FORECAST.LINEAR(Sheet3!CD22,New!$MC$2:$MC$18,New!$MB$2:$MB$18)</f>
        <v>2.3608213660116622E-5</v>
      </c>
      <c r="JK22" s="165">
        <f>_xlfn.FORECAST.LINEAR(Sheet3!CE22,New!$MC$2:$MC$18,New!$MB$2:$MB$18)</f>
        <v>2.3363802833857963E-5</v>
      </c>
      <c r="JL22" s="165">
        <f>_xlfn.FORECAST.LINEAR(Sheet3!CF22,New!$MC$2:$MC$18,New!$MB$2:$MB$18)</f>
        <v>2.3186093915453239E-5</v>
      </c>
      <c r="JM22" s="165">
        <f>_xlfn.FORECAST.LINEAR(Sheet3!CG22,New!$MC$2:$MC$18,New!$MB$2:$MB$18)</f>
        <v>2.2994910897226784E-5</v>
      </c>
      <c r="JN22" s="188">
        <f t="shared" si="159"/>
        <v>2.1931961566276023E-5</v>
      </c>
      <c r="JO22" s="165">
        <f t="shared" si="160"/>
        <v>2.1875008797459953E-5</v>
      </c>
      <c r="JP22" s="165">
        <f t="shared" si="161"/>
        <v>2.1617352074353199E-5</v>
      </c>
      <c r="JQ22" s="165">
        <f t="shared" si="162"/>
        <v>2.1399600784683778E-5</v>
      </c>
      <c r="JR22" s="165">
        <f t="shared" si="163"/>
        <v>2.1124432462736577E-5</v>
      </c>
      <c r="JS22" s="165">
        <f t="shared" si="164"/>
        <v>2.0952820581992779E-5</v>
      </c>
      <c r="JT22" s="165">
        <f t="shared" si="165"/>
        <v>2.0716412614880363E-5</v>
      </c>
      <c r="JU22" s="165">
        <f t="shared" si="166"/>
        <v>2.0541628704353588E-5</v>
      </c>
      <c r="JV22" s="165">
        <f t="shared" si="167"/>
        <v>2.0357443845957568E-5</v>
      </c>
      <c r="JW22" s="188">
        <f t="shared" si="66"/>
        <v>1.0035703029941236</v>
      </c>
      <c r="JX22" s="165">
        <f t="shared" si="67"/>
        <v>1.0040815263689795</v>
      </c>
      <c r="JY22" s="165">
        <f t="shared" si="68"/>
        <v>1.006466814607555</v>
      </c>
      <c r="JZ22" s="165">
        <f t="shared" si="69"/>
        <v>1.0085102078769612</v>
      </c>
      <c r="KA22" s="165">
        <f t="shared" si="70"/>
        <v>1.0112055730304954</v>
      </c>
      <c r="KB22" s="165">
        <f t="shared" si="71"/>
        <v>1.0129062622297276</v>
      </c>
      <c r="KC22" s="165">
        <f t="shared" si="72"/>
        <v>1.0153458958900667</v>
      </c>
      <c r="KD22" s="165">
        <f t="shared" si="73"/>
        <v>1.0171645747143079</v>
      </c>
      <c r="KE22" s="165">
        <f t="shared" si="74"/>
        <v>1.0191648814162857</v>
      </c>
      <c r="KF22" s="188">
        <f t="shared" si="75"/>
        <v>0.97747175171162648</v>
      </c>
      <c r="KG22" s="165">
        <f t="shared" si="76"/>
        <v>0.97703564475599403</v>
      </c>
      <c r="KH22" s="165">
        <f t="shared" si="77"/>
        <v>0.97500906945017496</v>
      </c>
      <c r="KI22" s="165">
        <f t="shared" si="78"/>
        <v>0.97328368004701382</v>
      </c>
      <c r="KJ22" s="165">
        <f t="shared" si="79"/>
        <v>0.97102274372262765</v>
      </c>
      <c r="KK22" s="165">
        <f t="shared" si="80"/>
        <v>0.96960484414659409</v>
      </c>
      <c r="KL22" s="165">
        <f t="shared" si="81"/>
        <v>0.96758248561916782</v>
      </c>
      <c r="KM22" s="165">
        <f t="shared" si="82"/>
        <v>0.96608370502950303</v>
      </c>
      <c r="KN22" s="165">
        <f t="shared" si="83"/>
        <v>0.96444387990775471</v>
      </c>
      <c r="KO22" s="188">
        <f t="shared" si="84"/>
        <v>0.64074724952901241</v>
      </c>
      <c r="KP22" s="165">
        <f t="shared" si="85"/>
        <v>0.63997713559522018</v>
      </c>
      <c r="KQ22" s="165">
        <f t="shared" si="86"/>
        <v>0.63604797074732167</v>
      </c>
      <c r="KR22" s="165">
        <f t="shared" si="87"/>
        <v>0.63270814887317894</v>
      </c>
      <c r="KS22" s="165">
        <f t="shared" si="88"/>
        <v>0.62835137464973556</v>
      </c>
      <c r="KT22" s="165">
        <f t="shared" si="89"/>
        <v>0.62562214777219227</v>
      </c>
      <c r="KU22" s="165">
        <f t="shared" si="90"/>
        <v>0.62174805412494316</v>
      </c>
      <c r="KV22" s="165">
        <f t="shared" si="91"/>
        <v>0.61887823804265241</v>
      </c>
      <c r="KW22" s="165">
        <f t="shared" si="92"/>
        <v>0.61583679722746598</v>
      </c>
      <c r="KX22" s="188">
        <f>AVERAGE(Sheet3!J22:P22)*KO22^(1/3)/ID22^(1/3)</f>
        <v>151.25431544621412</v>
      </c>
      <c r="KY22" s="165">
        <f>Sheet3!J22*KP22^(1/3)/IE22^(1/3)</f>
        <v>121.96487909458308</v>
      </c>
      <c r="KZ22" s="165">
        <f>Sheet3!K22*KQ22^(1/3)/IF22^(1/3)</f>
        <v>128.94001777080959</v>
      </c>
      <c r="LA22" s="165">
        <f>Sheet3!L22*KR22^(1/3)/IG22^(1/3)</f>
        <v>139.34964043964379</v>
      </c>
      <c r="LB22" s="165">
        <f>Sheet3!M22*KS22^(1/3)/IH22^(1/3)</f>
        <v>149.91461600394172</v>
      </c>
      <c r="LC22" s="165">
        <f>Sheet3!N22*KT22^(1/3)/II22^(1/3)</f>
        <v>161.25998907947957</v>
      </c>
      <c r="LD22" s="165">
        <f>Sheet3!O22*KU22^(1/3)/IJ22^(1/3)</f>
        <v>170.25887207597739</v>
      </c>
      <c r="LE22" s="165">
        <f>Sheet3!P22*KV22^(1/3)/IK22^(1/3)</f>
        <v>174.36929698705063</v>
      </c>
      <c r="LF22" s="165">
        <f>Sheet3!Q22*KW22^(1/3)/IL22^(1/3)</f>
        <v>174.67317151426565</v>
      </c>
      <c r="LG22" s="186">
        <f t="shared" si="93"/>
        <v>25.877306205414239</v>
      </c>
      <c r="LH22" s="183">
        <f t="shared" si="94"/>
        <v>25.878057103631299</v>
      </c>
      <c r="LI22" s="183">
        <f t="shared" si="95"/>
        <v>26.040870586597581</v>
      </c>
      <c r="LJ22" s="183">
        <f t="shared" si="96"/>
        <v>26.040870586597581</v>
      </c>
      <c r="LK22" s="183">
        <f t="shared" si="97"/>
        <v>26.233680171064655</v>
      </c>
      <c r="LL22" s="183">
        <f t="shared" si="98"/>
        <v>26.234718733760829</v>
      </c>
      <c r="LM22" s="183">
        <f t="shared" si="99"/>
        <v>26.427435094613891</v>
      </c>
      <c r="LN22" s="183">
        <f t="shared" si="100"/>
        <v>26.429023829500355</v>
      </c>
      <c r="LO22" s="183">
        <f t="shared" si="101"/>
        <v>26.627474767137937</v>
      </c>
      <c r="LP22" s="220"/>
      <c r="LQ22" s="220"/>
      <c r="LR22" s="220"/>
      <c r="LS22" s="220"/>
      <c r="LT22" s="220"/>
      <c r="LU22" s="220"/>
      <c r="LV22" s="220"/>
      <c r="LW22" s="220"/>
      <c r="LX22" s="220"/>
      <c r="LY22" s="220"/>
      <c r="LZ22" s="222">
        <v>109.32</v>
      </c>
      <c r="MA22" s="220">
        <v>1.2999999999999999E-5</v>
      </c>
      <c r="MB22" s="220"/>
      <c r="MC22" s="220"/>
      <c r="MD22" s="188">
        <f>Sheet3!DP22</f>
        <v>284.76723063450709</v>
      </c>
      <c r="ME22" s="264">
        <v>210</v>
      </c>
      <c r="MF22" s="264">
        <v>19.079999999999998</v>
      </c>
      <c r="MG22" s="264">
        <v>3.1989999999999998</v>
      </c>
      <c r="MH22" s="264">
        <v>9.5879999999999992</v>
      </c>
      <c r="MI22" s="264">
        <v>16.38</v>
      </c>
      <c r="MJ22" s="264">
        <v>1.71</v>
      </c>
      <c r="MK22" s="273">
        <v>200</v>
      </c>
      <c r="ML22" s="267">
        <v>15.55</v>
      </c>
      <c r="MM22" s="267">
        <v>7.8620000000000001</v>
      </c>
      <c r="MN22" s="267">
        <v>3.0230000000000001</v>
      </c>
      <c r="MO22" s="267">
        <v>15.99</v>
      </c>
      <c r="MP22" s="274">
        <v>2.0299999999999998</v>
      </c>
      <c r="MQ22"/>
      <c r="MR22"/>
      <c r="MS22"/>
    </row>
    <row r="23" spans="1:357" ht="15" thickBot="1" x14ac:dyDescent="0.35">
      <c r="A23" s="184" t="str">
        <f>Sheet3!A23</f>
        <v>13.12.2022</v>
      </c>
      <c r="B23" s="186">
        <f t="shared" si="102"/>
        <v>1.006689876262149</v>
      </c>
      <c r="C23" s="183">
        <f t="shared" si="103"/>
        <v>1.006890118873695</v>
      </c>
      <c r="D23" s="183">
        <f t="shared" si="0"/>
        <v>0.99543099056317885</v>
      </c>
      <c r="E23" s="183">
        <f t="shared" si="1"/>
        <v>0.98494090461821182</v>
      </c>
      <c r="F23" s="183">
        <f t="shared" si="2"/>
        <v>0.97184321105258631</v>
      </c>
      <c r="G23" s="183">
        <f t="shared" si="3"/>
        <v>0.95787670088204546</v>
      </c>
      <c r="H23" s="183">
        <f t="shared" si="4"/>
        <v>0.95339585696537477</v>
      </c>
      <c r="I23" s="183">
        <f t="shared" si="5"/>
        <v>0.94325392083085224</v>
      </c>
      <c r="J23" s="183">
        <f t="shared" si="6"/>
        <v>0.93338351444293643</v>
      </c>
      <c r="K23" s="186">
        <f xml:space="preserve"> (6.057 * (10^(-6)))
+ (4.055 * (10^(-8)) * (Sheet3!DF23 + 273))
+ (1.25 * (10^(-10)) * (Sheet3!DF23 + 273)^2)
- (3.367 * (10^(-14)) * (DD23 + 273)^3)</f>
        <v>5.3312799004032242E-5</v>
      </c>
      <c r="L23" s="183">
        <f xml:space="preserve"> (6.057 * (10^(-6)))
+ (4.055 * (10^(-8)) * (Sheet3!BZ23 + 273))
+ (1.25 * (10^(-10)) * (Sheet3!BZ23 + 273)^2)
- (3.367 * (10^(-14)) * (BX23 + 273)^3)</f>
        <v>5.331364151650149E-5</v>
      </c>
      <c r="M23" s="183">
        <f xml:space="preserve"> (6.057 * (10^(-6)))
+ (4.055 * (10^(-8)) * (Sheet3!CA23 + 273))
+ (1.25 * (10^(-10)) * (Sheet3!CA23 + 273)^2)
- (3.367 * (10^(-14)) * (BY23 + 273)^3)</f>
        <v>5.2064325767876997E-5</v>
      </c>
      <c r="N23" s="183">
        <f xml:space="preserve"> (6.057 * (10^(-6)))
+ (4.055 * (10^(-8)) * (Sheet3!CB23 + 273))
+ (1.25 * (10^(-10)) * (Sheet3!CB23 + 273)^2)
- (3.367 * (10^(-14)) * (BZ23 + 273)^3)</f>
        <v>5.1032488554142199E-5</v>
      </c>
      <c r="O23" s="183">
        <f xml:space="preserve"> (6.057 * (10^(-6)))
+ (4.055 * (10^(-8)) * (Sheet3!CC23 + 273))
+ (1.25 * (10^(-10)) * (Sheet3!CC23 + 273)^2)
- (3.367 * (10^(-14)) * (CA23 + 273)^3)</f>
        <v>4.9707880877787776E-5</v>
      </c>
      <c r="P23" s="183">
        <f xml:space="preserve"> (6.057 * (10^(-6)))
+ (4.055 * (10^(-8)) * (Sheet3!CD23 + 273))
+ (1.25 * (10^(-10)) * (Sheet3!CD23 + 273)^2)
- (3.367 * (10^(-14)) * (CB23 + 273)^3)</f>
        <v>4.8441052544769194E-5</v>
      </c>
      <c r="Q23" s="183">
        <f xml:space="preserve"> (6.057 * (10^(-6)))
+ (4.055 * (10^(-8)) * (Sheet3!CE23 + 273))
+ (1.25 * (10^(-10)) * (Sheet3!CE23 + 273)^2)
- (3.367 * (10^(-14)) * (CC23 + 273)^3)</f>
        <v>4.7965052060271288E-5</v>
      </c>
      <c r="R23" s="183">
        <f xml:space="preserve"> (6.057 * (10^(-6)))
+ (4.055 * (10^(-8)) * (Sheet3!CF23 + 273))
+ (1.25 * (10^(-10)) * (Sheet3!CF23 + 273)^2)
- (3.367 * (10^(-14)) * (CD23 + 273)^3)</f>
        <v>4.7091852103729583E-5</v>
      </c>
      <c r="S23" s="183">
        <f xml:space="preserve"> (6.057 * (10^(-6)))
+ (4.055 * (10^(-8)) * (Sheet3!CG23 + 273))
+ (1.25 * (10^(-10)) * (Sheet3!CG23 + 273)^2)
- (3.367 * (10^(-14)) * (CE23 + 273)^3)</f>
        <v>4.6174599985165726E-5</v>
      </c>
      <c r="T23" s="188">
        <f t="shared" si="104"/>
        <v>5.3312799004032242E-5</v>
      </c>
      <c r="U23" s="165">
        <f t="shared" si="105"/>
        <v>5.331364151650149E-5</v>
      </c>
      <c r="V23" s="165">
        <f t="shared" si="106"/>
        <v>5.2064325767876997E-5</v>
      </c>
      <c r="W23" s="165">
        <f t="shared" si="107"/>
        <v>5.1032488554142199E-5</v>
      </c>
      <c r="X23" s="165">
        <f t="shared" si="108"/>
        <v>4.9707880877787776E-5</v>
      </c>
      <c r="Y23" s="165">
        <f t="shared" si="109"/>
        <v>4.8441052544769194E-5</v>
      </c>
      <c r="Z23" s="165">
        <f t="shared" si="110"/>
        <v>4.7965052060271288E-5</v>
      </c>
      <c r="AA23" s="165">
        <f t="shared" si="111"/>
        <v>4.7091852103729583E-5</v>
      </c>
      <c r="AB23" s="165">
        <f t="shared" si="112"/>
        <v>4.6174599985165726E-5</v>
      </c>
      <c r="AC23" s="186">
        <f t="shared" si="8"/>
        <v>5.3669455032558038E-5</v>
      </c>
      <c r="AD23" s="183">
        <f t="shared" si="9"/>
        <v>5.3680978844139743E-5</v>
      </c>
      <c r="AE23" s="183">
        <f t="shared" si="10"/>
        <v>5.1826443372121835E-5</v>
      </c>
      <c r="AF23" s="183">
        <f t="shared" si="11"/>
        <v>5.0263985441435358E-5</v>
      </c>
      <c r="AG23" s="183">
        <f t="shared" si="12"/>
        <v>4.8308266566888726E-5</v>
      </c>
      <c r="AH23" s="183">
        <f t="shared" si="13"/>
        <v>4.6400555598837326E-5</v>
      </c>
      <c r="AI23" s="183">
        <f t="shared" si="14"/>
        <v>4.572968191339116E-5</v>
      </c>
      <c r="AJ23" s="183">
        <f t="shared" si="15"/>
        <v>4.4419574136029547E-5</v>
      </c>
      <c r="AK23" s="183">
        <f t="shared" si="16"/>
        <v>4.3098610412150743E-5</v>
      </c>
      <c r="AL23" s="186">
        <f t="shared" si="113"/>
        <v>4.3005823711352822E-2</v>
      </c>
      <c r="AM23" s="183">
        <f t="shared" si="114"/>
        <v>4.3011148761331733E-2</v>
      </c>
      <c r="AN23" s="183">
        <f t="shared" si="115"/>
        <v>4.2108197828673574E-2</v>
      </c>
      <c r="AO23" s="183">
        <f t="shared" si="116"/>
        <v>4.1358461908192978E-2</v>
      </c>
      <c r="AP23" s="183">
        <f t="shared" si="117"/>
        <v>4.0377124274724806E-2</v>
      </c>
      <c r="AQ23" s="183">
        <f t="shared" si="118"/>
        <v>3.9430420243473339E-2</v>
      </c>
      <c r="AR23" s="183">
        <f t="shared" si="119"/>
        <v>3.9065870368469847E-2</v>
      </c>
      <c r="AS23" s="183">
        <f t="shared" si="120"/>
        <v>3.8401362903340973E-2</v>
      </c>
      <c r="AT23" s="183">
        <f t="shared" si="121"/>
        <v>3.7695660906191954E-2</v>
      </c>
      <c r="AU23" s="186">
        <f>_xlfn.FORECAST.LINEAR(Sheet3!DF23,Sheet2!$AH$2:$AH$40,Sheet2!$AG$2:$AG$40)</f>
        <v>5.615110757455756E-2</v>
      </c>
      <c r="AV23" s="183">
        <f>_xlfn.FORECAST.LINEAR(Sheet3!BZ23,Sheet2!$AH$2:$AH$40,Sheet2!$AG$2:$AG$40)</f>
        <v>5.6163013934742032E-2</v>
      </c>
      <c r="AW23" s="183">
        <f>_xlfn.FORECAST.LINEAR(Sheet3!CA23,Sheet2!$AH$2:$AH$40,Sheet2!$AG$2:$AG$40)</f>
        <v>5.4167096589602018E-2</v>
      </c>
      <c r="AX23" s="183">
        <f>_xlfn.FORECAST.LINEAR(Sheet3!CB23,Sheet2!$AH$2:$AH$40,Sheet2!$AG$2:$AG$40)</f>
        <v>5.2499711803832873E-2</v>
      </c>
      <c r="AY23" s="183">
        <f>_xlfn.FORECAST.LINEAR(Sheet3!CC23,Sheet2!$AH$2:$AH$40,Sheet2!$AG$2:$AG$40)</f>
        <v>5.0333286590969119E-2</v>
      </c>
      <c r="AZ23" s="183">
        <f>_xlfn.FORECAST.LINEAR(Sheet3!CD23,Sheet2!$AH$2:$AH$40,Sheet2!$AG$2:$AG$40)</f>
        <v>4.8232992721779805E-2</v>
      </c>
      <c r="BA23" s="183">
        <f>_xlfn.FORECAST.LINEAR(Sheet3!CE23,Sheet2!$AH$2:$AH$40,Sheet2!$AG$2:$AG$40)</f>
        <v>4.7436412770346076E-2</v>
      </c>
      <c r="BB23" s="183">
        <f>_xlfn.FORECAST.LINEAR(Sheet3!CF23,Sheet2!$AH$2:$AH$40,Sheet2!$AG$2:$AG$40)</f>
        <v>4.5964304209502913E-2</v>
      </c>
      <c r="BC23" s="183">
        <f>_xlfn.FORECAST.LINEAR(Sheet3!CG23,Sheet2!$AH$2:$AH$40,Sheet2!$AG$2:$AG$40)</f>
        <v>4.4412158769281028E-2</v>
      </c>
      <c r="BD23" s="186">
        <f>_xlfn.FORECAST.LINEAR(Sheet3!DF23,Sheet2!$AB$12:$AB$37,Sheet2!$AA$12:$AA$37)/1000</f>
        <v>3.7324862686859299E-2</v>
      </c>
      <c r="BE23" s="183">
        <f>_xlfn.FORECAST.LINEAR(Sheet3!BZ23,Sheet2!$AB$12:$AB$37,Sheet2!$AA$12:$AA$37)/1000</f>
        <v>3.7327524673405624E-2</v>
      </c>
      <c r="BF23" s="183">
        <f>_xlfn.FORECAST.LINEAR(Sheet3!CA23,Sheet2!$AB$12:$AB$37,Sheet2!$AA$12:$AA$37)/1000</f>
        <v>3.6881283753592141E-2</v>
      </c>
      <c r="BG23" s="183">
        <f>_xlfn.FORECAST.LINEAR(Sheet3!CB23,Sheet2!$AB$12:$AB$37,Sheet2!$AA$12:$AA$37)/1000</f>
        <v>3.6508495109665383E-2</v>
      </c>
      <c r="BH23" s="183">
        <f>_xlfn.FORECAST.LINEAR(Sheet3!CC23,Sheet2!$AB$12:$AB$37,Sheet2!$AA$12:$AA$37)/1000</f>
        <v>3.6024132577294268E-2</v>
      </c>
      <c r="BI23" s="183">
        <f>_xlfn.FORECAST.LINEAR(Sheet3!CD23,Sheet2!$AB$12:$AB$37,Sheet2!$AA$12:$AA$37)/1000</f>
        <v>3.5554555482657665E-2</v>
      </c>
      <c r="BJ23" s="183">
        <f>_xlfn.FORECAST.LINEAR(Sheet3!CE23,Sheet2!$AB$12:$AB$37,Sheet2!$AA$12:$AA$37)/1000</f>
        <v>3.5376458643578468E-2</v>
      </c>
      <c r="BK23" s="183">
        <f>_xlfn.FORECAST.LINEAR(Sheet3!CF23,Sheet2!$AB$12:$AB$37,Sheet2!$AA$12:$AA$37)/1000</f>
        <v>3.5047329243578257E-2</v>
      </c>
      <c r="BL23" s="183">
        <f>_xlfn.FORECAST.LINEAR(Sheet3!CG23,Sheet2!$AB$12:$AB$37,Sheet2!$AA$12:$AA$37)/1000</f>
        <v>3.4700305449924945E-2</v>
      </c>
      <c r="BM23" s="186">
        <f t="shared" si="122"/>
        <v>0.65729957050162524</v>
      </c>
      <c r="BN23" s="183">
        <f t="shared" si="123"/>
        <v>0.65723546092814544</v>
      </c>
      <c r="BO23" s="183">
        <f t="shared" si="124"/>
        <v>0.66831119498235259</v>
      </c>
      <c r="BP23" s="183">
        <f t="shared" si="125"/>
        <v>0.67776831908401092</v>
      </c>
      <c r="BQ23" s="183">
        <f t="shared" si="126"/>
        <v>0.69057890648870568</v>
      </c>
      <c r="BR23" s="183">
        <f t="shared" si="127"/>
        <v>0.70335147253551522</v>
      </c>
      <c r="BS23" s="183">
        <f t="shared" si="128"/>
        <v>0.70844253757645126</v>
      </c>
      <c r="BT23" s="183">
        <f t="shared" si="129"/>
        <v>0.71781421660681444</v>
      </c>
      <c r="BU23" s="183">
        <f t="shared" si="130"/>
        <v>0.72809499910979059</v>
      </c>
      <c r="BV23" s="186">
        <f t="shared" si="131"/>
        <v>1.2190927160551064</v>
      </c>
      <c r="BW23" s="183">
        <f t="shared" si="19"/>
        <v>1.2191008331386768</v>
      </c>
      <c r="BX23" s="183">
        <f t="shared" si="20"/>
        <v>1.2157282608284037</v>
      </c>
      <c r="BY23" s="183">
        <f t="shared" si="21"/>
        <v>1.2140209844269694</v>
      </c>
      <c r="BZ23" s="183">
        <f t="shared" si="22"/>
        <v>1.2103211474950386</v>
      </c>
      <c r="CA23" s="183">
        <f t="shared" si="23"/>
        <v>1.2081916332167733</v>
      </c>
      <c r="CB23" s="183">
        <f t="shared" si="24"/>
        <v>1.2058539049512276</v>
      </c>
      <c r="CC23" s="183">
        <f t="shared" si="25"/>
        <v>1.2043707299003636</v>
      </c>
      <c r="CD23" s="183">
        <f t="shared" si="26"/>
        <v>1.2012683812415259</v>
      </c>
      <c r="CE23" s="187">
        <f xml:space="preserve"> -0.0000000019505*Sheet3!DF23^3 + 0.0000015497*Sheet3!DF23^2  + 0.00016911*Sheet3!DF23 + 1.8585</f>
        <v>1.9414898911875</v>
      </c>
      <c r="CF23" s="185">
        <f xml:space="preserve"> -0.0000000019505*Sheet3!BZ23^3 + 0.0000015497*Sheet3!BZ23^2  + 0.00016911*Sheet3!BZ23 + 1.8585</f>
        <v>1.9415160605942141</v>
      </c>
      <c r="CG23" s="185">
        <f xml:space="preserve"> -0.0000000019505*Sheet3!CA23^3 + 0.0000015497*Sheet3!CA23^2  + 0.00016911*Sheet3!CA23 + 1.8585</f>
        <v>1.9371515586395587</v>
      </c>
      <c r="CH23" s="185">
        <f xml:space="preserve"> -0.0000000019505*Sheet3!CB23^3 + 0.0000015497*Sheet3!CB23^2  + 0.00016911*Sheet3!CB23 + 1.8585</f>
        <v>1.9335426575405299</v>
      </c>
      <c r="CI23" s="185">
        <f xml:space="preserve"> -0.0000000019505*Sheet3!CC23^3 + 0.0000015497*Sheet3!CC23^2  + 0.00016911*Sheet3!CC23 + 1.8585</f>
        <v>1.9289099578180511</v>
      </c>
      <c r="CJ23" s="185">
        <f xml:space="preserve"> -0.0000000019505*Sheet3!CD23^3 + 0.0000015497*Sheet3!CD23^2  + 0.00016911*Sheet3!CD23 + 1.8585</f>
        <v>1.9244857680293992</v>
      </c>
      <c r="CK23" s="185">
        <f xml:space="preserve"> -0.0000000019505*Sheet3!CE23^3 + 0.0000015497*Sheet3!CE23^2  + 0.00016911*Sheet3!CE23 + 1.8585</f>
        <v>1.9228264678052802</v>
      </c>
      <c r="CL23" s="185">
        <f xml:space="preserve"> -0.0000000019505*Sheet3!CF23^3 + 0.0000015497*Sheet3!CF23^2  + 0.00016911*Sheet3!CF23 + 1.8585</f>
        <v>1.9197887690088316</v>
      </c>
      <c r="CM23" s="185">
        <f xml:space="preserve"> -0.0000000019505*Sheet3!CG23^3 + 0.0000015497*Sheet3!CG23^2  + 0.00016911*Sheet3!CG23 + 1.8585</f>
        <v>1.9166284509261553</v>
      </c>
      <c r="CN23" s="186">
        <f>_xlfn.FORECAST.LINEAR(Sheet3!DF23,New!$LU$2:$LU$14,New!$LT$2:$LT$14)</f>
        <v>1.0350674194089138</v>
      </c>
      <c r="CO23" s="183">
        <f>_xlfn.FORECAST.LINEAR(Sheet3!BZ23,New!$LU$2:$LU$14,New!$LT$2:$LT$14)</f>
        <v>1.0350761826462125</v>
      </c>
      <c r="CP23" s="183">
        <f>_xlfn.FORECAST.LINEAR(Sheet3!CA23,New!$LU$2:$LU$14,New!$LT$2:$LT$14)</f>
        <v>1.0336071612951931</v>
      </c>
      <c r="CQ23" s="183">
        <f>_xlfn.FORECAST.LINEAR(Sheet3!CB23,New!$LU$2:$LU$14,New!$LT$2:$LT$14)</f>
        <v>1.0323799442179813</v>
      </c>
      <c r="CR23" s="183">
        <f>_xlfn.FORECAST.LINEAR(Sheet3!CC23,New!$LU$2:$LU$14,New!$LT$2:$LT$14)</f>
        <v>1.030785426839377</v>
      </c>
      <c r="CS23" s="183">
        <f>_xlfn.FORECAST.LINEAR(Sheet3!CD23,New!$LU$2:$LU$14,New!$LT$2:$LT$14)</f>
        <v>1.0292395829973127</v>
      </c>
      <c r="CT23" s="183">
        <f>_xlfn.FORECAST.LINEAR(Sheet3!CE23,New!$LU$2:$LU$14,New!$LT$2:$LT$14)</f>
        <v>1.0286532897025031</v>
      </c>
      <c r="CU23" s="183">
        <f>_xlfn.FORECAST.LINEAR(Sheet3!CF23,New!$LU$2:$LU$14,New!$LT$2:$LT$14)</f>
        <v>1.0275697984887198</v>
      </c>
      <c r="CV23" s="183">
        <f>_xlfn.FORECAST.LINEAR(Sheet3!CG23,New!$LU$2:$LU$14,New!$LT$2:$LT$14)</f>
        <v>1.0264273990816877</v>
      </c>
      <c r="CW23" s="186">
        <f>EXP((17.625*Sheet3!BA23)/(243.04+Sheet3!BA23)) / EXP((17.625*Sheet3!DF23)/(243.04+Sheet3!DF23))</f>
        <v>5.3328412332013783E-2</v>
      </c>
      <c r="CX23" s="183">
        <f>EXP((17.625*(Sheet3!BC23+273))/(243.04+(Sheet3!BC23+273)))/EXP((17.625*(Sheet3!BZ23+273))/(243.04+(Sheet3!BZ23+273)))</f>
        <v>0.23833312440492879</v>
      </c>
      <c r="CY23" s="183">
        <f>EXP((17.625*(Sheet3!BE23+273))/(243.04+(Sheet3!BE23+273))) / EXP((17.625*(Sheet3!CA23+273))/(243.04+(Sheet3!CA23+273)))</f>
        <v>0.25435338039402711</v>
      </c>
      <c r="CZ23" s="183">
        <f>EXP((17.625*(Sheet3!BG23+273))/(243.04+(Sheet3!BG23+273))) / EXP((17.625*(Sheet3!CB23+273))/(243.04+(Sheet3!CB23+273)))</f>
        <v>0.26864845798202142</v>
      </c>
      <c r="DA23" s="183">
        <f>EXP((17.625*(Sheet3!BI23+273))/(243.04+(Sheet3!BI23+273))) / EXP((17.625*(Sheet3!CC23+273))/(243.04+(Sheet3!CC23+273)))</f>
        <v>0.28880498565078128</v>
      </c>
      <c r="DB23" s="183">
        <f>EXP((17.625*(Sheet3!BK23+273))/(243.04+(Sheet3!BK23+273)))/EXP((17.625*(Sheet3!CD23+273))/(243.04+(Sheet3!CD23+273)))</f>
        <v>0.31083142054158452</v>
      </c>
      <c r="DC23" s="183">
        <f>EXP((17.625*(Sheet3!BM23+273))/(243.04+(Sheet3!BM23+273))) / EXP((17.625*(Sheet3!CE23+273))/(243.04+(Sheet3!CE23+273)))</f>
        <v>0.31921374552508347</v>
      </c>
      <c r="DD23" s="183">
        <f>EXP((17.625*(Sheet3!BO23+273))/(243.04+(Sheet3!BO23+273))) / EXP((17.625*(Sheet3!CF23+273))/(243.04+(Sheet3!CF23+273)))</f>
        <v>0.33660351271869993</v>
      </c>
      <c r="DE23" s="183">
        <f>EXP((17.625*(Sheet3!BQ23+273))/(243.04+(Sheet3!BQ23+273))) / EXP((17.625*(Sheet3!CG23+273))/(243.04+(Sheet3!CG23+273)))</f>
        <v>0.35568807323862861</v>
      </c>
      <c r="DF23" s="186">
        <f>((Sheet3!DA23-Sheet3!DB23)/New!$LQ$3)/(((Sheet3!DA23-Sheet3!DB23)/New!$LQ$3)+(Sheet3!DB23/New!$LP$3))</f>
        <v>0.70946580894418487</v>
      </c>
      <c r="DG23" s="183">
        <f>((Sheet3!DA23-Sheet3!DB23)/New!$LQ$3)/(((Sheet3!DA23-Sheet3!DB23)/New!$LQ$3)+((Sheet3!DB23-(Sheet3!B23*0.004))/New!$LP$3))</f>
        <v>0.7094833518524144</v>
      </c>
      <c r="DH23" s="183" cm="1">
        <f t="array" ref="DH23">((Sheet3!DA23-Sheet3!DB23)/New!$LQ$3)/(((Sheet3!DA23-Sheet3!DB23)/New!$LQ$3)+((Sheet3!DB23-(SUM(Sheet3!B23:C23*0.004)))/New!$LP$3))</f>
        <v>0.71506179562158556</v>
      </c>
      <c r="DI23" s="183" cm="1">
        <f t="array" ref="DI23">((Sheet3!DA23-Sheet3!DB23)/New!$LQ$3)/(((Sheet3!DA23-Sheet3!DB23)/New!$LQ$3)+((Sheet3!DB23-(SUM(Sheet3!B23:D23*0.004)))/New!$LP$3))</f>
        <v>0.71506179562158556</v>
      </c>
      <c r="DJ23" s="183" cm="1">
        <f t="array" ref="DJ23">((Sheet3!DA23-Sheet3!DB23)/New!$LQ$3)/(((Sheet3!DA23-Sheet3!DB23)/New!$LQ$3)+((Sheet3!DB23-(SUM(Sheet3!B23:E23*0.004)))/New!$LP$3))</f>
        <v>0.72152610946057105</v>
      </c>
      <c r="DK23" s="183" cm="1">
        <f t="array" ref="DK23">((Sheet3!DA23-Sheet3!DB23)/New!$LQ$3)/(((Sheet3!DA23-Sheet3!DB23)/New!$LQ$3)+((Sheet3!DB23-(SUM(Sheet3!B23:F23*0.004)))/New!$LP$3))</f>
        <v>0.72156239920024445</v>
      </c>
      <c r="DL23" s="183" cm="1">
        <f t="array" ref="DL23">((Sheet3!DA23-Sheet3!DB23)/New!$LQ$3)/(((Sheet3!DA23-Sheet3!DB23)/New!$LQ$3)+((Sheet3!DB23-(SUM(Sheet3!B23:G23*0.004)))/New!$LP$3))</f>
        <v>0.72835788551014558</v>
      </c>
      <c r="DM23" s="183" cm="1">
        <f t="array" ref="DM23">((Sheet3!DA23-Sheet3!DB23)/New!$LQ$3)/(((Sheet3!DA23-Sheet3!DB23)/New!$LQ$3)+((Sheet3!DB23-(SUM(Sheet3!B23:H23*0.004)))/New!$LP$3))</f>
        <v>0.72841335726360512</v>
      </c>
      <c r="DN23" s="183" cm="1">
        <f t="array" ref="DN23">((Sheet3!DA23-Sheet3!DB23)/New!$LQ$3)/(((Sheet3!DA23-Sheet3!DB23)/New!$LQ$3)+((Sheet3!DB23-(SUM(Sheet3!B23:I23*0.004)))/New!$LP$3))</f>
        <v>0.73546163144031806</v>
      </c>
      <c r="DO23" s="186">
        <f>(Sheet3!DB23/$LP$3) / ((Sheet3!DB23/$LP$3) + ((Sheet3!DA23-Sheet3!DB23)/$LQ$3))</f>
        <v>0.29053419105581507</v>
      </c>
      <c r="DP23" s="183">
        <f>((Sheet3!$DB23-(Sheet3!B23/4000)) / $LP$3) / (((Sheet3!$DA23-Sheet3!DB23) / $LQ$3) + (Sheet3!$DB23-((Sheet3!B23/4000)))/$LP$3)</f>
        <v>0.29053309464946708</v>
      </c>
      <c r="DQ23" s="183">
        <f>((Sheet3!$DB23-(SUM(Sheet3!B23:C23)/4000))/$LP$3)/(((Sheet3!$DA23-Sheet3!$DB23)/$LQ$3)+(Sheet3!$DB23-(SUM(Sheet3!B23:C23)/4000))/$LP$3)</f>
        <v>0.29018700917023799</v>
      </c>
      <c r="DR23" s="183">
        <f>((Sheet3!$DB23-(SUM(Sheet3!B23:D23)/4000))/$LP$3)/(((Sheet3!$DA23-Sheet3!$DB23)/$LQ$3)+(Sheet3!$DB23-(SUM(Sheet3!B23:D23)/4000))/$LP$3)</f>
        <v>0.29018700917023799</v>
      </c>
      <c r="DS23" s="183">
        <f>((Sheet3!$DB23-(SUM(Sheet3!B23:E23)/4000))/$LP$3)/(((Sheet3!$DA23-Sheet3!$DB23)/$LQ$3)+(Sheet3!$DB23-(SUM(Sheet3!B23:E23)/4000))/$LP$3)</f>
        <v>0.28979224641020107</v>
      </c>
      <c r="DT23" s="183">
        <f>((Sheet3!$DB23-(SUM(Sheet3!B23:F23)/4000))/$LP$3)/(((Sheet3!$DA23-Sheet3!$DB23)/$LQ$3)+(Sheet3!$DB23-(SUM(Sheet3!B23:F23)/4000))/$LP$3)</f>
        <v>0.28979004900530769</v>
      </c>
      <c r="DU23" s="183">
        <f>((Sheet3!$DB23-(SUM(Sheet3!B23:G23)/4000))/$LP$3)/(((Sheet3!$DA23-Sheet3!$DB23)/$LQ$3)+(Sheet3!$DB23-(SUM(Sheet3!B23:G23)/4000))/$LP$3)</f>
        <v>0.28938219505157586</v>
      </c>
      <c r="DV23" s="183">
        <f>((Sheet3!$DB23-(SUM(Sheet3!B23:H23)/4000))/$LP$3)/(((Sheet3!$DA23-Sheet3!$DB23)/$LQ$3)+(Sheet3!$DB23-(SUM(Sheet3!B23:H23)/4000))/$LP$3)</f>
        <v>0.2893788951318883</v>
      </c>
      <c r="DW23" s="183">
        <f>((Sheet3!$DB23-(SUM(Sheet3!B23:I23)/4000))/$LP$3)/(((Sheet3!$DA23-Sheet3!$DB23)/$LQ$3)+(Sheet3!$DB23-(SUM(Sheet3!B23:I23)/4000))/$LP$3)</f>
        <v>0.28896341052678848</v>
      </c>
      <c r="DX23" s="186">
        <f>($LR$2*($LP$3/1000))/($LP$2*(Sheet3!DF23+273))*DO23</f>
        <v>0.13344742900032994</v>
      </c>
      <c r="DY23" s="183">
        <f>(($LR$2*($LP$3/1000))/($LP$2*(Sheet3!BZ23+273)))*(DP23)</f>
        <v>0.13343384757330234</v>
      </c>
      <c r="DZ23" s="183">
        <f>(($LR$2*($LP$3/1000))/($LP$2*(Sheet3!CA23+273)))*(DQ23)</f>
        <v>0.13550093975259403</v>
      </c>
      <c r="EA23" s="183">
        <f>(($LR$2*($LP$3/1000))/($LP$2*(Sheet3!CB23+273)))*(DR23)</f>
        <v>0.13741838362118799</v>
      </c>
      <c r="EB23" s="183">
        <f>(($LR$2*($LP$3/1000))/($LP$2*(Sheet3!CC23+273)))*(DS23)</f>
        <v>0.13980184570927626</v>
      </c>
      <c r="EC23" s="183">
        <f>(($LR$2*($LP$3/1000))/($LP$2*(Sheet3!CD23+273)))*(DT23)</f>
        <v>0.14238633096186817</v>
      </c>
      <c r="ED23" s="183">
        <f>(($LR$2*($LP$3/1000))/($LP$2*(Sheet3!CE23+273)))*(DU23)</f>
        <v>0.14319033207429918</v>
      </c>
      <c r="EE23" s="183">
        <f>(($LR$2*($LP$3/1000))/($LP$2*(Sheet3!CF23+273)))*(DV23)</f>
        <v>0.14508267725992249</v>
      </c>
      <c r="EF23" s="183">
        <f>(($LR$2*($LP$3/1000))/($LP$2*(Sheet3!CG23+273)))*(DW23)</f>
        <v>0.14692340717275013</v>
      </c>
      <c r="EG23" s="186">
        <f>(($LR$2*($LQ$3/1000))/($LQ$2*(Sheet3!DF23+273)))*(1-DO23)</f>
        <v>0.52385214150129533</v>
      </c>
      <c r="EH23" s="183">
        <f>(($LR$2*($LQ$3/1000))/($LQ$2*(Sheet3!BZ23+273)))*(1-DP23)</f>
        <v>0.5238016133548431</v>
      </c>
      <c r="EI23" s="183">
        <f>(($LR$2*($LQ$3/1000))/($LQ$2*(Sheet3!CA23+273)))*(1-DQ23)</f>
        <v>0.53281025522975856</v>
      </c>
      <c r="EJ23" s="183">
        <f>(($LR$2*($LQ$3/1000))/($LQ$2*(Sheet3!CB23+273)))*(1-DR23)</f>
        <v>0.54034993546282295</v>
      </c>
      <c r="EK23" s="183">
        <f>(($LR$2*($LQ$3/1000))/($LQ$2*(Sheet3!CC23+273)))*(1-DS23)</f>
        <v>0.55077706077942945</v>
      </c>
      <c r="EL23" s="183">
        <f>(($LR$2*($LQ$3/1000))/($LQ$2*(Sheet3!CD23+273)))*(1-DT23)</f>
        <v>0.56096514157364707</v>
      </c>
      <c r="EM23" s="183">
        <f>(($LR$2*($LQ$3/1000))/($LQ$2*(Sheet3!CE23+273)))*(1-DU23)</f>
        <v>0.56525220550215205</v>
      </c>
      <c r="EN23" s="183">
        <f>(($LR$2*($LQ$3/1000))/($LQ$2*(Sheet3!CF23+273)))*(1-DV23)</f>
        <v>0.57273153934689192</v>
      </c>
      <c r="EO23" s="183">
        <f>(($LR$2*($LQ$3/1000))/($LQ$2*(Sheet3!CG23+273)))*(1-DW23)</f>
        <v>0.58117159193704049</v>
      </c>
      <c r="EP23" s="186">
        <f t="shared" si="132"/>
        <v>9127.8046175318614</v>
      </c>
      <c r="EQ23" s="183">
        <f xml:space="preserve"> (($FV23-(Sheet3!B23/4000))*0.018)/(0.011*JO23*3600)</f>
        <v>9127.0433719695448</v>
      </c>
      <c r="ER23" s="183">
        <f>((($FV23-(SUM(Sheet3!B23:C23)/4000))*0.018)/(0.011*JP23*3600))</f>
        <v>9249.5367365723359</v>
      </c>
      <c r="ES23" s="183">
        <f>((($FV23-(SUM(Sheet3!B23:D23)/4000))*0.018)/(0.011*JQ23*3600))</f>
        <v>9358.3600082496723</v>
      </c>
      <c r="ET23" s="183">
        <f>((($FV23-(SUM(Sheet3!B23:E23)/4000))*0.018)/(0.011*JR23))/3600</f>
        <v>9498.3798752911971</v>
      </c>
      <c r="EU23" s="183">
        <f>((($FV23-(SUM(Sheet3!B23:F23)/4000))*0.018)/(0.011*JS23))/3600</f>
        <v>9643.6026922556794</v>
      </c>
      <c r="EV23" s="183">
        <f>((($FV23-(SUM(Sheet3!B23:G23)/4000))*0.018)/(0.011*JT23))/3600</f>
        <v>9694.2457273684104</v>
      </c>
      <c r="EW23" s="183">
        <f>((($FV23-(SUM(Sheet3!B23:H23)/4000))*0.018)/(0.011*JU23))/3600</f>
        <v>9799.9064631062174</v>
      </c>
      <c r="EX23" s="183">
        <f>((($FV23-(SUM(Sheet3!B23:I23)/4000))*0.018)/(0.011*JV23))/3600</f>
        <v>9908.0349112041185</v>
      </c>
      <c r="EY23" s="186">
        <f t="shared" si="133"/>
        <v>72.427429850657958</v>
      </c>
      <c r="EZ23" s="183">
        <f t="shared" si="134"/>
        <v>72.422716184210003</v>
      </c>
      <c r="FA23" s="183">
        <f t="shared" si="135"/>
        <v>73.159183967633751</v>
      </c>
      <c r="FB23" s="183">
        <f t="shared" si="136"/>
        <v>73.829426338400168</v>
      </c>
      <c r="FC23" s="183">
        <f t="shared" si="137"/>
        <v>74.677098900923369</v>
      </c>
      <c r="FD23" s="183">
        <f t="shared" si="138"/>
        <v>75.578878698991275</v>
      </c>
      <c r="FE23" s="183">
        <f t="shared" si="139"/>
        <v>75.87545645685347</v>
      </c>
      <c r="FF23" s="183">
        <f t="shared" si="140"/>
        <v>76.535308247054587</v>
      </c>
      <c r="FG23" s="183">
        <f t="shared" si="141"/>
        <v>77.193613507572536</v>
      </c>
      <c r="FH23" s="186">
        <f t="shared" si="28"/>
        <v>173.04451555687609</v>
      </c>
      <c r="FI23" s="183">
        <f t="shared" si="29"/>
        <v>173.05467886104245</v>
      </c>
      <c r="FJ23" s="183">
        <f t="shared" si="30"/>
        <v>171.14452174963591</v>
      </c>
      <c r="FK23" s="183">
        <f t="shared" si="31"/>
        <v>169.6373064955813</v>
      </c>
      <c r="FL23" s="183">
        <f t="shared" si="32"/>
        <v>167.51369459991659</v>
      </c>
      <c r="FM23" s="183">
        <f t="shared" si="33"/>
        <v>165.56149714620679</v>
      </c>
      <c r="FN23" s="183">
        <f t="shared" si="34"/>
        <v>164.67448589399535</v>
      </c>
      <c r="FO23" s="183">
        <f t="shared" si="35"/>
        <v>163.2811192730116</v>
      </c>
      <c r="FP23" s="183">
        <f t="shared" si="36"/>
        <v>161.65912660583851</v>
      </c>
      <c r="FQ23" s="314">
        <f>Sheet3!CV23</f>
        <v>2</v>
      </c>
      <c r="FR23" s="183">
        <v>10000</v>
      </c>
      <c r="FS23" s="183">
        <v>20</v>
      </c>
      <c r="FT23" s="183">
        <v>0.28589999999999999</v>
      </c>
      <c r="FU23" s="183">
        <v>18.25</v>
      </c>
      <c r="FV23" s="183">
        <v>463</v>
      </c>
      <c r="FW23" s="183">
        <v>94</v>
      </c>
      <c r="FX23" s="183">
        <v>930</v>
      </c>
      <c r="FY23" s="183">
        <v>9.5</v>
      </c>
      <c r="FZ23" s="183">
        <v>18.07</v>
      </c>
      <c r="GA23" s="183">
        <v>205</v>
      </c>
      <c r="GB23" s="186">
        <f>EXP($LP$6-($LQ$6/('Trial and Error method'!T23+$LP$8))) / ($LR$2/1000)</f>
        <v>6.8111724919747804E-2</v>
      </c>
      <c r="GC23" s="183">
        <f>EXP($LP$6-($LQ$6/('Trial and Error method'!U23+$LP$8))) / ($LR$2/1000)</f>
        <v>0.10679745118611118</v>
      </c>
      <c r="GD23" s="183">
        <f>EXP($LP$6-($LQ$6/('Trial and Error method'!V23+$LP$8))) / ($LR$2/1000)</f>
        <v>9.994169264877456E-2</v>
      </c>
      <c r="GE23" s="183">
        <f>EXP($LP$6-($LQ$6/('Trial and Error method'!W23+$LP$8))) / ($LR$2/1000)</f>
        <v>9.3789622452783661E-2</v>
      </c>
      <c r="GF23" s="183">
        <f>EXP($LP$6-($LQ$6/('Trial and Error method'!X23+$LP$8))) / ($LR$2/1000)</f>
        <v>8.7492300749087634E-2</v>
      </c>
      <c r="GG23" s="183">
        <f>EXP($LP$6-($LQ$6/('Trial and Error method'!Y23+$LP$8))) / ($LR$2/1000)</f>
        <v>8.170765844760973E-2</v>
      </c>
      <c r="GH23" s="183">
        <f>EXP($LP$6-($LQ$6/('Trial and Error method'!Z23+$LP$8))) / ($LR$2/1000)</f>
        <v>7.7033571632680056E-2</v>
      </c>
      <c r="GI23" s="183">
        <f>EXP($LP$6-($LQ$6/('Trial and Error method'!AA23+$LP$8))) / ($LR$2/1000)</f>
        <v>7.247753549747428E-2</v>
      </c>
      <c r="GJ23" s="183">
        <f>EXP($LP$6-($LQ$6/('Trial and Error method'!AB23+$LP$8))) / ($LR$2/1000)</f>
        <v>6.8226862734408186E-2</v>
      </c>
      <c r="GK23" s="188">
        <f t="shared" si="142"/>
        <v>0.81562873355813992</v>
      </c>
      <c r="GL23" s="165">
        <f t="shared" si="143"/>
        <v>0.79781165425291278</v>
      </c>
      <c r="GM23" s="165">
        <f t="shared" si="144"/>
        <v>0.80117457610730847</v>
      </c>
      <c r="GN23" s="165">
        <f t="shared" si="145"/>
        <v>0.80401782272828481</v>
      </c>
      <c r="GO23" s="165">
        <f t="shared" si="146"/>
        <v>0.80713678933182165</v>
      </c>
      <c r="GP23" s="165">
        <f t="shared" si="147"/>
        <v>0.80980038801261156</v>
      </c>
      <c r="GQ23" s="165">
        <f t="shared" si="148"/>
        <v>0.81217069010278908</v>
      </c>
      <c r="GR23" s="165">
        <f t="shared" si="149"/>
        <v>0.81426266328552865</v>
      </c>
      <c r="GS23" s="165">
        <f t="shared" si="150"/>
        <v>0.81643761654897296</v>
      </c>
      <c r="GT23" s="188">
        <f t="shared" si="38"/>
        <v>0.10777892000597676</v>
      </c>
      <c r="GU23" s="165">
        <f t="shared" si="39"/>
        <v>0.1101770139747885</v>
      </c>
      <c r="GV23" s="165">
        <f t="shared" si="40"/>
        <v>0.10963795704401112</v>
      </c>
      <c r="GW23" s="165">
        <f t="shared" si="41"/>
        <v>0.10920899859572154</v>
      </c>
      <c r="GX23" s="165">
        <f t="shared" si="42"/>
        <v>0.10871950296359066</v>
      </c>
      <c r="GY23" s="165">
        <f t="shared" si="43"/>
        <v>0.10832819571011226</v>
      </c>
      <c r="GZ23" s="165">
        <f t="shared" si="44"/>
        <v>0.10797863797846267</v>
      </c>
      <c r="HA23" s="165">
        <f t="shared" si="45"/>
        <v>0.1076864891337328</v>
      </c>
      <c r="HB23" s="165">
        <f t="shared" si="46"/>
        <v>0.10735760161471913</v>
      </c>
      <c r="HC23" s="188">
        <f>BV23*Sheet3!DF23</f>
        <v>249.9140067912968</v>
      </c>
      <c r="HD23" s="165">
        <f>BW23*Sheet3!BZ23</f>
        <v>249.97278407988458</v>
      </c>
      <c r="HE23" s="165">
        <f>BX23*Sheet3!CA23</f>
        <v>239.73357498010304</v>
      </c>
      <c r="HF23" s="165">
        <f>BY23*Sheet3!CB23</f>
        <v>231.43200755938986</v>
      </c>
      <c r="HG23" s="165">
        <f>BZ23*Sheet3!CC23</f>
        <v>220.40947464126887</v>
      </c>
      <c r="HH23" s="165">
        <f>CA23*Sheet3!CD23</f>
        <v>210.03698688095153</v>
      </c>
      <c r="HI23" s="165">
        <f>CB23*Sheet3!CE23</f>
        <v>205.8510150521771</v>
      </c>
      <c r="HJ23" s="165">
        <f>CC23*Sheet3!CF23</f>
        <v>198.62162880653167</v>
      </c>
      <c r="HK23" s="165">
        <f>CD23*Sheet3!CG23</f>
        <v>190.77346315049928</v>
      </c>
      <c r="HL23" s="188">
        <f>(CE23*Sheet3!DF23)+2501</f>
        <v>2899.0054276934375</v>
      </c>
      <c r="HM23" s="165">
        <f>(CF23*Sheet3!BZ23)+2501</f>
        <v>2899.1017499209092</v>
      </c>
      <c r="HN23" s="165">
        <f>(CG23*Sheet3!CA23)+2501</f>
        <v>2882.9934794593778</v>
      </c>
      <c r="HO23" s="165">
        <f>(CH23*Sheet3!CB23)+2501</f>
        <v>2869.5963131416047</v>
      </c>
      <c r="HP23" s="165">
        <f>(CI23*Sheet3!CC23)+2501</f>
        <v>2852.2704304249391</v>
      </c>
      <c r="HQ23" s="165">
        <f>(CJ23*Sheet3!CD23)+2501</f>
        <v>2835.5604959504344</v>
      </c>
      <c r="HR23" s="165">
        <f>(CK23*Sheet3!CE23)+2501</f>
        <v>2829.2452198742258</v>
      </c>
      <c r="HS23" s="165">
        <f>(CL23*Sheet3!CF23)+2501</f>
        <v>2817.6064757290856</v>
      </c>
      <c r="HT23" s="165">
        <f>(CM23*Sheet3!CG23)+2501</f>
        <v>2805.3798145906944</v>
      </c>
      <c r="HU23" s="188">
        <f>-0.0021*(Sheet3!DF23^2) - 2.2115*(Sheet3!DF23) + 2499</f>
        <v>1957.3899999999999</v>
      </c>
      <c r="HV23" s="165">
        <f>-0.0021*(Sheet3!BZ23^2) - 2.2115*(Sheet3!BZ23) + 2499</f>
        <v>1957.2460527670887</v>
      </c>
      <c r="HW23" s="165">
        <f>-0.0021*(Sheet3!CA23^2) - 2.2115*(Sheet3!CA23) + 2499</f>
        <v>1981.2478338189553</v>
      </c>
      <c r="HX23" s="165">
        <f>-0.0021*(Sheet3!CB23^2) - 2.2115*(Sheet3!CB23) + 2499</f>
        <v>2001.1002733890957</v>
      </c>
      <c r="HY23" s="165">
        <f>-0.0021*(Sheet3!CC23^2) - 2.2115*(Sheet3!CC23) + 2499</f>
        <v>2026.6244132332977</v>
      </c>
      <c r="HZ23" s="165">
        <f>-0.0021*(Sheet3!CD23^2) - 2.2115*(Sheet3!CD23) + 2499</f>
        <v>2051.0780540732098</v>
      </c>
      <c r="IA23" s="165">
        <f>-0.0021*(Sheet3!CE23^2) - 2.2115*(Sheet3!CE23) + 2499</f>
        <v>2060.2775772496907</v>
      </c>
      <c r="IB23" s="165">
        <f>-0.0021*(Sheet3!CF23^2) - 2.2115*(Sheet3!CF23) + 2499</f>
        <v>2077.1700435111188</v>
      </c>
      <c r="IC23" s="165">
        <f>-0.0021*(Sheet3!CG23^2) - 2.2115*(Sheet3!CG23) + 2499</f>
        <v>2094.8283156479215</v>
      </c>
      <c r="ID23" s="188">
        <f t="shared" si="47"/>
        <v>0.65358404360554423</v>
      </c>
      <c r="IE23" s="165">
        <f t="shared" si="48"/>
        <v>0.65356127734435687</v>
      </c>
      <c r="IF23" s="165">
        <f t="shared" si="49"/>
        <v>0.65668897084401079</v>
      </c>
      <c r="IG23" s="165">
        <f t="shared" si="50"/>
        <v>0.65989055500807026</v>
      </c>
      <c r="IH23" s="165">
        <f t="shared" si="51"/>
        <v>0.66367713029453934</v>
      </c>
      <c r="II23" s="165">
        <f t="shared" si="52"/>
        <v>0.66819822861506084</v>
      </c>
      <c r="IJ23" s="165">
        <f t="shared" si="53"/>
        <v>0.66934375435709736</v>
      </c>
      <c r="IK23" s="165">
        <f t="shared" si="54"/>
        <v>0.67275396289176992</v>
      </c>
      <c r="IL23" s="165">
        <f t="shared" si="55"/>
        <v>0.67584718899033336</v>
      </c>
      <c r="IM23" s="188">
        <f t="shared" si="56"/>
        <v>46.923440140200682</v>
      </c>
      <c r="IN23" s="165">
        <f t="shared" si="151"/>
        <v>39.621401954632887</v>
      </c>
      <c r="IO23" s="165">
        <f t="shared" si="152"/>
        <v>41.32508097675985</v>
      </c>
      <c r="IP23" s="165">
        <f t="shared" si="153"/>
        <v>42.920322922331223</v>
      </c>
      <c r="IQ23" s="165">
        <f t="shared" si="154"/>
        <v>44.573475084909482</v>
      </c>
      <c r="IR23" s="165">
        <f t="shared" si="155"/>
        <v>46.23373997434981</v>
      </c>
      <c r="IS23" s="165">
        <f t="shared" si="156"/>
        <v>47.240341775466696</v>
      </c>
      <c r="IT23" s="165">
        <f t="shared" si="157"/>
        <v>48.517179214701862</v>
      </c>
      <c r="IU23" s="165">
        <f t="shared" si="158"/>
        <v>49.642710091347823</v>
      </c>
      <c r="IV23" s="188">
        <f>_xlfn.FORECAST.LINEAR(Sheet3!DF23,Sheet2!$AK$2:$AK$69,Sheet2!$AJ$2:$AJ$69)</f>
        <v>1.5962912137298422E-5</v>
      </c>
      <c r="IW23" s="165">
        <f>_xlfn.FORECAST.LINEAR(Sheet3!BZ23,Sheet2!$AK$2:$AK$69,Sheet2!$AJ$2:$AJ$69)</f>
        <v>1.5964552418505615E-5</v>
      </c>
      <c r="IX23" s="165">
        <f>_xlfn.FORECAST.LINEAR(Sheet3!CA23,Sheet2!$AK$2:$AK$69,Sheet2!$AJ$2:$AJ$69)</f>
        <v>1.5689584614607329E-5</v>
      </c>
      <c r="IY23" s="165">
        <f>_xlfn.FORECAST.LINEAR(Sheet3!CB23,Sheet2!$AK$2:$AK$69,Sheet2!$AJ$2:$AJ$69)</f>
        <v>1.5459877140040443E-5</v>
      </c>
      <c r="IZ23" s="165">
        <f>_xlfn.FORECAST.LINEAR(Sheet3!CC23,Sheet2!$AK$2:$AK$69,Sheet2!$AJ$2:$AJ$69)</f>
        <v>1.5161419298315921E-5</v>
      </c>
      <c r="JA23" s="165">
        <f>_xlfn.FORECAST.LINEAR(Sheet3!CD23,Sheet2!$AK$2:$AK$69,Sheet2!$AJ$2:$AJ$69)</f>
        <v>1.4872072049464037E-5</v>
      </c>
      <c r="JB23" s="165">
        <f>_xlfn.FORECAST.LINEAR(Sheet3!CE23,Sheet2!$AK$2:$AK$69,Sheet2!$AJ$2:$AJ$69)</f>
        <v>1.4762331112341327E-5</v>
      </c>
      <c r="JC23" s="165">
        <f>_xlfn.FORECAST.LINEAR(Sheet3!CF23,Sheet2!$AK$2:$AK$69,Sheet2!$AJ$2:$AJ$69)</f>
        <v>1.4559525891443505E-5</v>
      </c>
      <c r="JD23" s="165">
        <f>_xlfn.FORECAST.LINEAR(Sheet3!CG23,Sheet2!$AK$2:$AK$69,Sheet2!$AJ$2:$AJ$69)</f>
        <v>1.4345694379799114E-5</v>
      </c>
      <c r="JE23" s="188">
        <f>_xlfn.FORECAST.LINEAR(Sheet3!DF23,New!$MC$2:$MC$18,New!$MB$2:$MB$18)</f>
        <v>2.5847452754227255E-5</v>
      </c>
      <c r="JF23" s="165">
        <f>_xlfn.FORECAST.LINEAR(Sheet3!BZ23,New!$MC$2:$MC$18,New!$MB$2:$MB$18)</f>
        <v>2.5849380944377327E-5</v>
      </c>
      <c r="JG23" s="165">
        <f>_xlfn.FORECAST.LINEAR(Sheet3!CA23,New!$MC$2:$MC$18,New!$MB$2:$MB$18)</f>
        <v>2.5526149654073001E-5</v>
      </c>
      <c r="JH23" s="165">
        <f>_xlfn.FORECAST.LINEAR(Sheet3!CB23,New!$MC$2:$MC$18,New!$MB$2:$MB$18)</f>
        <v>2.5256122973333797E-5</v>
      </c>
      <c r="JI23" s="165">
        <f>_xlfn.FORECAST.LINEAR(Sheet3!CC23,New!$MC$2:$MC$18,New!$MB$2:$MB$18)</f>
        <v>2.4905278576592183E-5</v>
      </c>
      <c r="JJ23" s="165">
        <f>_xlfn.FORECAST.LINEAR(Sheet3!CD23,New!$MC$2:$MC$18,New!$MB$2:$MB$18)</f>
        <v>2.4565143901672214E-5</v>
      </c>
      <c r="JK23" s="165">
        <f>_xlfn.FORECAST.LINEAR(Sheet3!CE23,New!$MC$2:$MC$18,New!$MB$2:$MB$18)</f>
        <v>2.4436140781297797E-5</v>
      </c>
      <c r="JL23" s="165">
        <f>_xlfn.FORECAST.LINEAR(Sheet3!CF23,New!$MC$2:$MC$18,New!$MB$2:$MB$18)</f>
        <v>2.4197738349078843E-5</v>
      </c>
      <c r="JM23" s="165">
        <f>_xlfn.FORECAST.LINEAR(Sheet3!CG23,New!$MC$2:$MC$18,New!$MB$2:$MB$18)</f>
        <v>2.394637424594876E-5</v>
      </c>
      <c r="JN23" s="188">
        <f t="shared" si="159"/>
        <v>2.3056425315055867E-5</v>
      </c>
      <c r="JO23" s="165">
        <f t="shared" si="160"/>
        <v>2.3058323446577832E-5</v>
      </c>
      <c r="JP23" s="165">
        <f t="shared" si="161"/>
        <v>2.2745205476563854E-5</v>
      </c>
      <c r="JQ23" s="165">
        <f t="shared" si="162"/>
        <v>2.2480713869834575E-5</v>
      </c>
      <c r="JR23" s="165">
        <f t="shared" si="163"/>
        <v>2.214071366401965E-5</v>
      </c>
      <c r="JS23" s="165">
        <f t="shared" si="164"/>
        <v>2.1807249972495953E-5</v>
      </c>
      <c r="JT23" s="165">
        <f t="shared" si="165"/>
        <v>2.1684630478280787E-5</v>
      </c>
      <c r="JU23" s="165">
        <f t="shared" si="166"/>
        <v>2.1450761324799813E-5</v>
      </c>
      <c r="JV23" s="165">
        <f t="shared" si="167"/>
        <v>2.1208005520175555E-5</v>
      </c>
      <c r="JW23" s="188">
        <f t="shared" si="66"/>
        <v>0.99342087640971777</v>
      </c>
      <c r="JX23" s="165">
        <f t="shared" si="67"/>
        <v>0.99340603792151072</v>
      </c>
      <c r="JY23" s="165">
        <f t="shared" si="68"/>
        <v>0.99593540031865835</v>
      </c>
      <c r="JZ23" s="165">
        <f t="shared" si="69"/>
        <v>0.99811512557657323</v>
      </c>
      <c r="KA23" s="165">
        <f t="shared" si="70"/>
        <v>1.0010425925712851</v>
      </c>
      <c r="KB23" s="165">
        <f t="shared" si="71"/>
        <v>1.0039890706715591</v>
      </c>
      <c r="KC23" s="165">
        <f t="shared" si="72"/>
        <v>1.0051357690614766</v>
      </c>
      <c r="KD23" s="165">
        <f t="shared" si="73"/>
        <v>1.0072988422457696</v>
      </c>
      <c r="KE23" s="165">
        <f t="shared" si="74"/>
        <v>1.0096434642083369</v>
      </c>
      <c r="KF23" s="188">
        <f t="shared" si="75"/>
        <v>0.98626119619886909</v>
      </c>
      <c r="KG23" s="165">
        <f t="shared" si="76"/>
        <v>0.98627423224083155</v>
      </c>
      <c r="KH23" s="165">
        <f t="shared" si="77"/>
        <v>0.98406003679243792</v>
      </c>
      <c r="KI23" s="165">
        <f t="shared" si="78"/>
        <v>0.98216461345699724</v>
      </c>
      <c r="KJ23" s="165">
        <f t="shared" si="79"/>
        <v>0.97963727618601204</v>
      </c>
      <c r="KK23" s="165">
        <f t="shared" si="80"/>
        <v>0.97711446921961487</v>
      </c>
      <c r="KL23" s="165">
        <f t="shared" si="81"/>
        <v>0.97613827679920739</v>
      </c>
      <c r="KM23" s="165">
        <f t="shared" si="82"/>
        <v>0.97430533933658248</v>
      </c>
      <c r="KN23" s="165">
        <f t="shared" si="83"/>
        <v>0.97233101329366012</v>
      </c>
      <c r="KO23" s="188">
        <f t="shared" si="84"/>
        <v>0.6579564399841803</v>
      </c>
      <c r="KP23" s="165">
        <f t="shared" si="85"/>
        <v>0.65806439223650326</v>
      </c>
      <c r="KQ23" s="165">
        <f t="shared" si="86"/>
        <v>0.65368855273916804</v>
      </c>
      <c r="KR23" s="165">
        <f t="shared" si="87"/>
        <v>0.64995320019866254</v>
      </c>
      <c r="KS23" s="165">
        <f t="shared" si="88"/>
        <v>0.64499011340761092</v>
      </c>
      <c r="KT23" s="165">
        <f t="shared" si="89"/>
        <v>0.64005151476102107</v>
      </c>
      <c r="KU23" s="165">
        <f t="shared" si="90"/>
        <v>0.63814956228970621</v>
      </c>
      <c r="KV23" s="165">
        <f t="shared" si="91"/>
        <v>0.63457781325215556</v>
      </c>
      <c r="KW23" s="165">
        <f t="shared" si="92"/>
        <v>0.63082462448617682</v>
      </c>
      <c r="KX23" s="188">
        <f>AVERAGE(Sheet3!J23:P23)*KO23^(1/3)/ID23^(1/3)</f>
        <v>129.81771430446213</v>
      </c>
      <c r="KY23" s="165">
        <f>Sheet3!J23*KP23^(1/3)/IE23^(1/3)</f>
        <v>102.16989932013283</v>
      </c>
      <c r="KZ23" s="165">
        <f>Sheet3!K23*KQ23^(1/3)/IF23^(1/3)</f>
        <v>108.79195622067481</v>
      </c>
      <c r="LA23" s="165">
        <f>Sheet3!L23*KR23^(1/3)/IG23^(1/3)</f>
        <v>118.31677348077882</v>
      </c>
      <c r="LB23" s="165">
        <f>Sheet3!M23*KS23^(1/3)/IH23^(1/3)</f>
        <v>130.27326874158831</v>
      </c>
      <c r="LC23" s="165">
        <f>Sheet3!N23*KT23^(1/3)/II23^(1/3)</f>
        <v>138.81892315850484</v>
      </c>
      <c r="LD23" s="165">
        <f>Sheet3!O23*KU23^(1/3)/IJ23^(1/3)</f>
        <v>146.48598594521152</v>
      </c>
      <c r="LE23" s="165">
        <f>Sheet3!P23*KV23^(1/3)/IK23^(1/3)</f>
        <v>152.71332411828351</v>
      </c>
      <c r="LF23" s="165">
        <f>Sheet3!Q23*KW23^(1/3)/IL23^(1/3)</f>
        <v>153.94602684406041</v>
      </c>
      <c r="LG23" s="186">
        <f t="shared" si="93"/>
        <v>25.780103278894103</v>
      </c>
      <c r="LH23" s="183">
        <f t="shared" si="94"/>
        <v>25.780591569756069</v>
      </c>
      <c r="LI23" s="183">
        <f t="shared" si="95"/>
        <v>25.935908571402958</v>
      </c>
      <c r="LJ23" s="183">
        <f t="shared" si="96"/>
        <v>25.935908571402958</v>
      </c>
      <c r="LK23" s="183">
        <f t="shared" si="97"/>
        <v>26.11600344905791</v>
      </c>
      <c r="LL23" s="183">
        <f t="shared" si="98"/>
        <v>26.117014813669698</v>
      </c>
      <c r="LM23" s="183">
        <f t="shared" si="99"/>
        <v>26.306464608227955</v>
      </c>
      <c r="LN23" s="183">
        <f t="shared" si="100"/>
        <v>26.308011622154972</v>
      </c>
      <c r="LO23" s="183">
        <f t="shared" si="101"/>
        <v>26.504644687151707</v>
      </c>
      <c r="LP23" s="220"/>
      <c r="LQ23" s="220"/>
      <c r="LR23" s="220"/>
      <c r="LS23" s="220"/>
      <c r="LT23" s="220"/>
      <c r="LU23" s="220"/>
      <c r="LV23" s="220"/>
      <c r="LW23" s="220"/>
      <c r="LX23" s="220"/>
      <c r="LY23" s="220"/>
      <c r="LZ23" s="222">
        <v>111.37</v>
      </c>
      <c r="MA23" s="220">
        <v>1.2999999999999999E-5</v>
      </c>
      <c r="MB23" s="220"/>
      <c r="MC23" s="220"/>
      <c r="MD23" s="188">
        <f>Sheet3!DP23</f>
        <v>256.97544588850428</v>
      </c>
      <c r="ME23" s="263">
        <v>220</v>
      </c>
      <c r="MF23" s="263">
        <v>23.2</v>
      </c>
      <c r="MG23" s="263">
        <v>3.4079999999999999</v>
      </c>
      <c r="MH23" s="263">
        <v>11.62</v>
      </c>
      <c r="MI23" s="263">
        <v>16.87</v>
      </c>
      <c r="MJ23" s="263">
        <v>1.45</v>
      </c>
      <c r="MK23" s="273">
        <v>210</v>
      </c>
      <c r="ML23" s="267">
        <v>19.079999999999998</v>
      </c>
      <c r="MM23" s="267">
        <v>9.5879999999999992</v>
      </c>
      <c r="MN23" s="267">
        <v>3.1989999999999998</v>
      </c>
      <c r="MO23" s="267">
        <v>16.38</v>
      </c>
      <c r="MP23" s="274">
        <v>1.71</v>
      </c>
      <c r="MQ23"/>
      <c r="MR23"/>
      <c r="MS23"/>
    </row>
    <row r="24" spans="1:357" ht="15" thickBot="1" x14ac:dyDescent="0.35">
      <c r="A24" s="184" t="str">
        <f>Sheet3!A24</f>
        <v>14.12.2022</v>
      </c>
      <c r="B24" s="186">
        <f t="shared" si="102"/>
        <v>0.78031114832338144</v>
      </c>
      <c r="C24" s="183">
        <f t="shared" si="103"/>
        <v>0.7805537326153682</v>
      </c>
      <c r="D24" s="183">
        <f t="shared" si="0"/>
        <v>0.7730612543824289</v>
      </c>
      <c r="E24" s="183">
        <f t="shared" si="1"/>
        <v>0.76764265304704427</v>
      </c>
      <c r="F24" s="183">
        <f t="shared" si="2"/>
        <v>0.76204481542388502</v>
      </c>
      <c r="G24" s="183">
        <f t="shared" si="3"/>
        <v>0.75681075255845287</v>
      </c>
      <c r="H24" s="183">
        <f t="shared" si="4"/>
        <v>0.75162037421398342</v>
      </c>
      <c r="I24" s="183">
        <f t="shared" si="5"/>
        <v>0.74595712159460659</v>
      </c>
      <c r="J24" s="183">
        <f t="shared" si="6"/>
        <v>0.74274167104132327</v>
      </c>
      <c r="K24" s="186">
        <f xml:space="preserve"> (6.057 * (10^(-6)))
+ (4.055 * (10^(-8)) * (Sheet3!DF24 + 273))
+ (1.25 * (10^(-10)) * (Sheet3!DF24 + 273)^2)
- (3.367 * (10^(-14)) * (DD24 + 273)^3)</f>
        <v>3.5902196229275704E-5</v>
      </c>
      <c r="L24" s="183">
        <f xml:space="preserve"> (6.057 * (10^(-6)))
+ (4.055 * (10^(-8)) * (Sheet3!BZ24 + 273))
+ (1.25 * (10^(-10)) * (Sheet3!BZ24 + 273)^2)
- (3.367 * (10^(-14)) * (BX24 + 273)^3)</f>
        <v>3.5774230162066123E-5</v>
      </c>
      <c r="M24" s="183">
        <f xml:space="preserve"> (6.057 * (10^(-6)))
+ (4.055 * (10^(-8)) * (Sheet3!CA24 + 273))
+ (1.25 * (10^(-10)) * (Sheet3!CA24 + 273)^2)
- (3.367 * (10^(-14)) * (BY24 + 273)^3)</f>
        <v>3.5325462828160818E-5</v>
      </c>
      <c r="N24" s="183">
        <f xml:space="preserve"> (6.057 * (10^(-6)))
+ (4.055 * (10^(-8)) * (Sheet3!CB24 + 273))
+ (1.25 * (10^(-10)) * (Sheet3!CB24 + 273)^2)
- (3.367 * (10^(-14)) * (BZ24 + 273)^3)</f>
        <v>3.5004511848030268E-5</v>
      </c>
      <c r="O24" s="183">
        <f xml:space="preserve"> (6.057 * (10^(-6)))
+ (4.055 * (10^(-8)) * (Sheet3!CC24 + 273))
+ (1.25 * (10^(-10)) * (Sheet3!CC24 + 273)^2)
- (3.367 * (10^(-14)) * (CA24 + 273)^3)</f>
        <v>3.4586391257414776E-5</v>
      </c>
      <c r="P24" s="183">
        <f xml:space="preserve"> (6.057 * (10^(-6)))
+ (4.055 * (10^(-8)) * (Sheet3!CD24 + 273))
+ (1.25 * (10^(-10)) * (Sheet3!CD24 + 273)^2)
- (3.367 * (10^(-14)) * (CB24 + 273)^3)</f>
        <v>3.4257656798994086E-5</v>
      </c>
      <c r="Q24" s="183">
        <f xml:space="preserve"> (6.057 * (10^(-6)))
+ (4.055 * (10^(-8)) * (Sheet3!CE24 + 273))
+ (1.25 * (10^(-10)) * (Sheet3!CE24 + 273)^2)
- (3.367 * (10^(-14)) * (CC24 + 273)^3)</f>
        <v>3.3927950152838823E-5</v>
      </c>
      <c r="R24" s="183">
        <f xml:space="preserve"> (6.057 * (10^(-6)))
+ (4.055 * (10^(-8)) * (Sheet3!CF24 + 273))
+ (1.25 * (10^(-10)) * (Sheet3!CF24 + 273)^2)
- (3.367 * (10^(-14)) * (CD24 + 273)^3)</f>
        <v>3.3625382573253253E-5</v>
      </c>
      <c r="S24" s="183">
        <f xml:space="preserve"> (6.057 * (10^(-6)))
+ (4.055 * (10^(-8)) * (Sheet3!CG24 + 273))
+ (1.25 * (10^(-10)) * (Sheet3!CG24 + 273)^2)
- (3.367 * (10^(-14)) * (CE24 + 273)^3)</f>
        <v>3.3269717443496853E-5</v>
      </c>
      <c r="T24" s="188">
        <f t="shared" si="104"/>
        <v>3.5902196229275704E-5</v>
      </c>
      <c r="U24" s="165">
        <f t="shared" si="105"/>
        <v>3.5774230162066123E-5</v>
      </c>
      <c r="V24" s="165">
        <f t="shared" si="106"/>
        <v>3.5325462828160818E-5</v>
      </c>
      <c r="W24" s="165">
        <f t="shared" si="107"/>
        <v>3.5004511848030268E-5</v>
      </c>
      <c r="X24" s="165">
        <f t="shared" si="108"/>
        <v>3.4586391257414776E-5</v>
      </c>
      <c r="Y24" s="165">
        <f t="shared" si="109"/>
        <v>3.4257656798994086E-5</v>
      </c>
      <c r="Z24" s="165">
        <f t="shared" si="110"/>
        <v>3.3927950152838823E-5</v>
      </c>
      <c r="AA24" s="165">
        <f t="shared" si="111"/>
        <v>3.3625382573253253E-5</v>
      </c>
      <c r="AB24" s="165">
        <f t="shared" si="112"/>
        <v>3.3269717443496853E-5</v>
      </c>
      <c r="AC24" s="186">
        <f t="shared" si="8"/>
        <v>2.80148839669975E-5</v>
      </c>
      <c r="AD24" s="183">
        <f t="shared" si="9"/>
        <v>2.7923708884442002E-5</v>
      </c>
      <c r="AE24" s="183">
        <f t="shared" si="10"/>
        <v>2.7308746605577865E-5</v>
      </c>
      <c r="AF24" s="183">
        <f t="shared" si="11"/>
        <v>2.6870956343638648E-5</v>
      </c>
      <c r="AG24" s="183">
        <f t="shared" si="12"/>
        <v>2.6356380141934915E-5</v>
      </c>
      <c r="AH24" s="183">
        <f t="shared" si="13"/>
        <v>2.5926563022935913E-5</v>
      </c>
      <c r="AI24" s="183">
        <f t="shared" si="14"/>
        <v>2.550093859019009E-5</v>
      </c>
      <c r="AJ24" s="183">
        <f t="shared" si="15"/>
        <v>2.5083093596861442E-5</v>
      </c>
      <c r="AK24" s="183">
        <f t="shared" si="16"/>
        <v>2.4710805529055513E-5</v>
      </c>
      <c r="AL24" s="186">
        <f t="shared" si="113"/>
        <v>2.9186123831148391E-2</v>
      </c>
      <c r="AM24" s="183">
        <f t="shared" si="114"/>
        <v>2.9079992110667773E-2</v>
      </c>
      <c r="AN24" s="183">
        <f t="shared" si="115"/>
        <v>2.8682434275359388E-2</v>
      </c>
      <c r="AO24" s="183">
        <f t="shared" si="116"/>
        <v>2.8396417025402243E-2</v>
      </c>
      <c r="AP24" s="183">
        <f t="shared" si="117"/>
        <v>2.8026678258370588E-2</v>
      </c>
      <c r="AQ24" s="183">
        <f t="shared" si="118"/>
        <v>2.7732301317042834E-2</v>
      </c>
      <c r="AR24" s="183">
        <f t="shared" si="119"/>
        <v>2.7436215461582765E-2</v>
      </c>
      <c r="AS24" s="183">
        <f t="shared" si="120"/>
        <v>2.7160068506481477E-2</v>
      </c>
      <c r="AT24" s="183">
        <f t="shared" si="121"/>
        <v>2.685240456523362E-2</v>
      </c>
      <c r="AU24" s="186">
        <f>_xlfn.FORECAST.LINEAR(Sheet3!DF24,Sheet2!$AH$2:$AH$40,Sheet2!$AG$2:$AG$40)</f>
        <v>2.5653712965492358E-2</v>
      </c>
      <c r="AV24" s="183">
        <f>_xlfn.FORECAST.LINEAR(Sheet3!BZ24,Sheet2!$AH$2:$AH$40,Sheet2!$AG$2:$AG$40)</f>
        <v>2.5406817688633905E-2</v>
      </c>
      <c r="AW24" s="183">
        <f>_xlfn.FORECAST.LINEAR(Sheet3!CA24,Sheet2!$AH$2:$AH$40,Sheet2!$AG$2:$AG$40)</f>
        <v>2.4525228752821118E-2</v>
      </c>
      <c r="AX24" s="183">
        <f>_xlfn.FORECAST.LINEAR(Sheet3!CB24,Sheet2!$AH$2:$AH$40,Sheet2!$AG$2:$AG$40)</f>
        <v>2.3891027183231484E-2</v>
      </c>
      <c r="AY24" s="183">
        <f>_xlfn.FORECAST.LINEAR(Sheet3!CC24,Sheet2!$AH$2:$AH$40,Sheet2!$AG$2:$AG$40)</f>
        <v>2.306021385326746E-2</v>
      </c>
      <c r="AZ24" s="183">
        <f>_xlfn.FORECAST.LINEAR(Sheet3!CD24,Sheet2!$AH$2:$AH$40,Sheet2!$AG$2:$AG$40)</f>
        <v>2.2403243622850264E-2</v>
      </c>
      <c r="BA24" s="183">
        <f>_xlfn.FORECAST.LINEAR(Sheet3!CE24,Sheet2!$AH$2:$AH$40,Sheet2!$AG$2:$AG$40)</f>
        <v>2.174097467286534E-2</v>
      </c>
      <c r="BB24" s="183">
        <f>_xlfn.FORECAST.LINEAR(Sheet3!CF24,Sheet2!$AH$2:$AH$40,Sheet2!$AG$2:$AG$40)</f>
        <v>2.1130111498995997E-2</v>
      </c>
      <c r="BC24" s="183">
        <f>_xlfn.FORECAST.LINEAR(Sheet3!CG24,Sheet2!$AH$2:$AH$40,Sheet2!$AG$2:$AG$40)</f>
        <v>2.0419626883844268E-2</v>
      </c>
      <c r="BD24" s="186">
        <f>_xlfn.FORECAST.LINEAR(Sheet3!DF24,Sheet2!$AB$12:$AB$37,Sheet2!$AA$12:$AA$37)/1000</f>
        <v>3.0506351161118033E-2</v>
      </c>
      <c r="BE24" s="183">
        <f>_xlfn.FORECAST.LINEAR(Sheet3!BZ24,Sheet2!$AB$12:$AB$37,Sheet2!$AA$12:$AA$37)/1000</f>
        <v>3.0451151091981307E-2</v>
      </c>
      <c r="BF24" s="183">
        <f>_xlfn.FORECAST.LINEAR(Sheet3!CA24,Sheet2!$AB$12:$AB$37,Sheet2!$AA$12:$AA$37)/1000</f>
        <v>3.0254048211657922E-2</v>
      </c>
      <c r="BG24" s="183">
        <f>_xlfn.FORECAST.LINEAR(Sheet3!CB24,Sheet2!$AB$12:$AB$37,Sheet2!$AA$12:$AA$37)/1000</f>
        <v>3.0112255420263058E-2</v>
      </c>
      <c r="BH24" s="183">
        <f>_xlfn.FORECAST.LINEAR(Sheet3!CC24,Sheet2!$AB$12:$AB$37,Sheet2!$AA$12:$AA$37)/1000</f>
        <v>2.99265047901284E-2</v>
      </c>
      <c r="BI24" s="183">
        <f>_xlfn.FORECAST.LINEAR(Sheet3!CD24,Sheet2!$AB$12:$AB$37,Sheet2!$AA$12:$AA$37)/1000</f>
        <v>2.9779621453187972E-2</v>
      </c>
      <c r="BJ24" s="183">
        <f>_xlfn.FORECAST.LINEAR(Sheet3!CE24,Sheet2!$AB$12:$AB$37,Sheet2!$AA$12:$AA$37)/1000</f>
        <v>2.9631553445199167E-2</v>
      </c>
      <c r="BK24" s="183">
        <f>_xlfn.FORECAST.LINEAR(Sheet3!CF24,Sheet2!$AB$12:$AB$37,Sheet2!$AA$12:$AA$37)/1000</f>
        <v>2.9494978578884491E-2</v>
      </c>
      <c r="BL24" s="183">
        <f>_xlfn.FORECAST.LINEAR(Sheet3!CG24,Sheet2!$AB$12:$AB$37,Sheet2!$AA$12:$AA$37)/1000</f>
        <v>2.9336130664189709E-2</v>
      </c>
      <c r="BM24" s="186">
        <f t="shared" si="122"/>
        <v>0.88227413980459513</v>
      </c>
      <c r="BN24" s="183">
        <f t="shared" si="123"/>
        <v>0.88510264890872059</v>
      </c>
      <c r="BO24" s="183">
        <f t="shared" si="124"/>
        <v>0.89387495391235283</v>
      </c>
      <c r="BP24" s="183">
        <f t="shared" si="125"/>
        <v>0.900298713911582</v>
      </c>
      <c r="BQ24" s="183">
        <f t="shared" si="126"/>
        <v>0.90913630425920633</v>
      </c>
      <c r="BR24" s="183">
        <f t="shared" si="127"/>
        <v>0.91610811228234512</v>
      </c>
      <c r="BS24" s="183">
        <f t="shared" si="128"/>
        <v>0.92326808119144488</v>
      </c>
      <c r="BT24" s="183">
        <f t="shared" si="129"/>
        <v>0.92981970299231387</v>
      </c>
      <c r="BU24" s="183">
        <f t="shared" si="130"/>
        <v>0.9381601951726698</v>
      </c>
      <c r="BV24" s="186">
        <f t="shared" si="131"/>
        <v>1.180820931248765</v>
      </c>
      <c r="BW24" s="183">
        <f t="shared" si="19"/>
        <v>1.1765964730054526</v>
      </c>
      <c r="BX24" s="183">
        <f t="shared" si="20"/>
        <v>1.1749989289301741</v>
      </c>
      <c r="BY24" s="183">
        <f t="shared" si="21"/>
        <v>1.1737991547153452</v>
      </c>
      <c r="BZ24" s="183">
        <f t="shared" si="22"/>
        <v>1.1696525297241891</v>
      </c>
      <c r="CA24" s="183">
        <f t="shared" si="23"/>
        <v>1.1676003953815357</v>
      </c>
      <c r="CB24" s="183">
        <f t="shared" si="24"/>
        <v>1.1653066311152775</v>
      </c>
      <c r="CC24" s="183">
        <f t="shared" si="25"/>
        <v>1.1645309024435564</v>
      </c>
      <c r="CD24" s="183">
        <f t="shared" si="26"/>
        <v>1.1582952527162835</v>
      </c>
      <c r="CE24" s="191">
        <f xml:space="preserve"> -0.0000000019505*Sheet3!DF24^3 + 0.0000015497*Sheet3!DF24^2  + 0.00016911*Sheet3!DF24 + 1.8585</f>
        <v>1.8828730816875001</v>
      </c>
      <c r="CF24" s="185">
        <f xml:space="preserve"> -0.0000000019505*Sheet3!BZ24^3 + 0.0000015497*Sheet3!BZ24^2  + 0.00016911*Sheet3!BZ24 + 1.8585</f>
        <v>1.882494927794004</v>
      </c>
      <c r="CG24" s="185">
        <f xml:space="preserve"> -0.0000000019505*Sheet3!CA24^3 + 0.0000015497*Sheet3!CA24^2  + 0.00016911*Sheet3!CA24 + 1.8585</f>
        <v>1.8811610249923016</v>
      </c>
      <c r="CH24" s="185">
        <f xml:space="preserve"> -0.0000000019505*Sheet3!CB24^3 + 0.0000015497*Sheet3!CB24^2  + 0.00016911*Sheet3!CB24 + 1.8585</f>
        <v>1.8802174563962275</v>
      </c>
      <c r="CI24" s="185">
        <f xml:space="preserve"> -0.0000000019505*Sheet3!CC24^3 + 0.0000015497*Sheet3!CC24^2  + 0.00016911*Sheet3!CC24 + 1.8585</f>
        <v>1.8790019913597213</v>
      </c>
      <c r="CJ24" s="185">
        <f xml:space="preserve"> -0.0000000019505*Sheet3!CD24^3 + 0.0000015497*Sheet3!CD24^2  + 0.00016911*Sheet3!CD24 + 1.8585</f>
        <v>1.8780576638166588</v>
      </c>
      <c r="CK24" s="185">
        <f xml:space="preserve"> -0.0000000019505*Sheet3!CE24^3 + 0.0000015497*Sheet3!CE24^2  + 0.00016911*Sheet3!CE24 + 1.8585</f>
        <v>1.8771209673488538</v>
      </c>
      <c r="CL24" s="185">
        <f xml:space="preserve"> -0.0000000019505*Sheet3!CF24^3 + 0.0000015497*Sheet3!CF24^2  + 0.00016911*Sheet3!CF24 + 1.8585</f>
        <v>1.8762707286679048</v>
      </c>
      <c r="CM24" s="185">
        <f xml:space="preserve"> -0.0000000019505*Sheet3!CG24^3 + 0.0000015497*Sheet3!CG24^2  + 0.00016911*Sheet3!CG24 + 1.8585</f>
        <v>1.8752986506914597</v>
      </c>
      <c r="CN24" s="183">
        <f>_xlfn.FORECAST.LINEAR(Sheet3!DF24,New!$LU$2:$LU$14,New!$LT$2:$LT$14)</f>
        <v>1.0126209368728181</v>
      </c>
      <c r="CO24" s="183">
        <f>_xlfn.FORECAST.LINEAR(Sheet3!BZ24,New!$LU$2:$LU$14,New!$LT$2:$LT$14)</f>
        <v>1.0124392187099622</v>
      </c>
      <c r="CP24" s="183">
        <f>_xlfn.FORECAST.LINEAR(Sheet3!CA24,New!$LU$2:$LU$14,New!$LT$2:$LT$14)</f>
        <v>1.011790357687393</v>
      </c>
      <c r="CQ24" s="183">
        <f>_xlfn.FORECAST.LINEAR(Sheet3!CB24,New!$LU$2:$LU$14,New!$LT$2:$LT$14)</f>
        <v>1.0113235770119078</v>
      </c>
      <c r="CR24" s="183">
        <f>_xlfn.FORECAST.LINEAR(Sheet3!CC24,New!$LU$2:$LU$14,New!$LT$2:$LT$14)</f>
        <v>1.0107120875013824</v>
      </c>
      <c r="CS24" s="183">
        <f>_xlfn.FORECAST.LINEAR(Sheet3!CD24,New!$LU$2:$LU$14,New!$LT$2:$LT$14)</f>
        <v>1.0102285487928198</v>
      </c>
      <c r="CT24" s="183">
        <f>_xlfn.FORECAST.LINEAR(Sheet3!CE24,New!$LU$2:$LU$14,New!$LT$2:$LT$14)</f>
        <v>1.0097411101571399</v>
      </c>
      <c r="CU24" s="183">
        <f>_xlfn.FORECAST.LINEAR(Sheet3!CF24,New!$LU$2:$LU$14,New!$LT$2:$LT$14)</f>
        <v>1.0092915068470878</v>
      </c>
      <c r="CV24" s="183">
        <f>_xlfn.FORECAST.LINEAR(Sheet3!CG24,New!$LU$2:$LU$14,New!$LT$2:$LT$14)</f>
        <v>1.0087685808492903</v>
      </c>
      <c r="CW24" s="186">
        <f>EXP((17.625*Sheet3!BA24)/(243.04+Sheet3!BA24)) / EXP((17.625*Sheet3!DF24)/(243.04+Sheet3!DF24))</f>
        <v>1.0001194253410901</v>
      </c>
      <c r="CX24" s="183">
        <f>EXP((17.625*(Sheet3!BC24+273))/(243.04+(Sheet3!BC24+273)))/EXP((17.625*(Sheet3!BZ24+273))/(243.04+(Sheet3!BZ24+273)))</f>
        <v>0.77756737562715383</v>
      </c>
      <c r="CY24" s="183">
        <f>EXP((17.625*(Sheet3!BE24+273))/(243.04+(Sheet3!BE24+273))) / EXP((17.625*(Sheet3!CA24+273))/(243.04+(Sheet3!CA24+273)))</f>
        <v>0.80968326617437458</v>
      </c>
      <c r="CZ24" s="183">
        <f>EXP((17.625*(Sheet3!BG24+273))/(243.04+(Sheet3!BG24+273))) / EXP((17.625*(Sheet3!CB24+273))/(243.04+(Sheet3!CB24+273)))</f>
        <v>0.83379300216791985</v>
      </c>
      <c r="DA24" s="183">
        <f>EXP((17.625*(Sheet3!BI24+273))/(243.04+(Sheet3!BI24+273))) / EXP((17.625*(Sheet3!CC24+273))/(243.04+(Sheet3!CC24+273)))</f>
        <v>0.8639156093882302</v>
      </c>
      <c r="DB24" s="183">
        <f>EXP((17.625*(Sheet3!BK24+273))/(243.04+(Sheet3!BK24+273)))/EXP((17.625*(Sheet3!CD24+273))/(243.04+(Sheet3!CD24+273)))</f>
        <v>0.89023244515064259</v>
      </c>
      <c r="DC24" s="183">
        <f>EXP((17.625*(Sheet3!BM24+273))/(243.04+(Sheet3!BM24+273))) / EXP((17.625*(Sheet3!CE24+273))/(243.04+(Sheet3!CE24+273)))</f>
        <v>0.91740130263505903</v>
      </c>
      <c r="DD24" s="183">
        <f>EXP((17.625*(Sheet3!BO24+273))/(243.04+(Sheet3!BO24+273))) / EXP((17.625*(Sheet3!CF24+273))/(243.04+(Sheet3!CF24+273)))</f>
        <v>0.94514925354014767</v>
      </c>
      <c r="DE24" s="183">
        <f>EXP((17.625*(Sheet3!BQ24+273))/(243.04+(Sheet3!BQ24+273))) / EXP((17.625*(Sheet3!CG24+273))/(243.04+(Sheet3!CG24+273)))</f>
        <v>0.97918029608903778</v>
      </c>
      <c r="DF24" s="186">
        <f>((Sheet3!DA24-Sheet3!DB24)/New!$LQ$3)/(((Sheet3!DA24-Sheet3!DB24)/New!$LQ$3)+(Sheet3!DB24/New!$LP$3))</f>
        <v>0.72194763558642794</v>
      </c>
      <c r="DG24" s="183">
        <f>((Sheet3!DA24-Sheet3!DB24)/New!$LQ$3)/(((Sheet3!DA24-Sheet3!DB24)/New!$LQ$3)+((Sheet3!DB24-(Sheet3!B24*0.004))/New!$LP$3))</f>
        <v>0.74071667987882095</v>
      </c>
      <c r="DH24" s="183" cm="1">
        <f t="array" ref="DH24">((Sheet3!DA24-Sheet3!DB24)/New!$LQ$3)/(((Sheet3!DA24-Sheet3!DB24)/New!$LQ$3)+((Sheet3!DB24-(SUM(Sheet3!B24:C24*0.004)))/New!$LP$3))</f>
        <v>0.74466991605188404</v>
      </c>
      <c r="DI24" s="183" cm="1">
        <f t="array" ref="DI24">((Sheet3!DA24-Sheet3!DB24)/New!$LQ$3)/(((Sheet3!DA24-Sheet3!DB24)/New!$LQ$3)+((Sheet3!DB24-(SUM(Sheet3!B24:D24*0.004)))/New!$LP$3))</f>
        <v>0.74780308198091372</v>
      </c>
      <c r="DJ24" s="183" cm="1">
        <f t="array" ref="DJ24">((Sheet3!DA24-Sheet3!DB24)/New!$LQ$3)/(((Sheet3!DA24-Sheet3!DB24)/New!$LQ$3)+((Sheet3!DB24-(SUM(Sheet3!B24:E24*0.004)))/New!$LP$3))</f>
        <v>0.76489041877980402</v>
      </c>
      <c r="DK24" s="183" cm="1">
        <f t="array" ref="DK24">((Sheet3!DA24-Sheet3!DB24)/New!$LQ$3)/(((Sheet3!DA24-Sheet3!DB24)/New!$LQ$3)+((Sheet3!DB24-(SUM(Sheet3!B24:F24*0.004)))/New!$LP$3))</f>
        <v>0.77252920730741581</v>
      </c>
      <c r="DL24" s="183" cm="1">
        <f t="array" ref="DL24">((Sheet3!DA24-Sheet3!DB24)/New!$LQ$3)/(((Sheet3!DA24-Sheet3!DB24)/New!$LQ$3)+((Sheet3!DB24-(SUM(Sheet3!B24:G24*0.004)))/New!$LP$3))</f>
        <v>0.7815884967296064</v>
      </c>
      <c r="DM24" s="183" cm="1">
        <f t="array" ref="DM24">((Sheet3!DA24-Sheet3!DB24)/New!$LQ$3)/(((Sheet3!DA24-Sheet3!DB24)/New!$LQ$3)+((Sheet3!DB24-(SUM(Sheet3!B24:H24*0.004)))/New!$LP$3))</f>
        <v>0.78294111187633808</v>
      </c>
      <c r="DN24" s="183" cm="1">
        <f t="array" ref="DN24">((Sheet3!DA24-Sheet3!DB24)/New!$LQ$3)/(((Sheet3!DA24-Sheet3!DB24)/New!$LQ$3)+((Sheet3!DB24-(SUM(Sheet3!B24:I24*0.004)))/New!$LP$3))</f>
        <v>0.81406313075018222</v>
      </c>
      <c r="DO24" s="186">
        <f>(Sheet3!DB24/$LP$3) / ((Sheet3!DB24/$LP$3) + ((Sheet3!DA24-Sheet3!DB24)/$LQ$3))</f>
        <v>0.27805236441357195</v>
      </c>
      <c r="DP24" s="183">
        <f>((Sheet3!$DB24-(Sheet3!B24/4000)) / $LP$3) / (((Sheet3!$DA24-Sheet3!DB24) / $LQ$3) + (Sheet3!$DB24-((Sheet3!B24/4000)))/$LP$3)</f>
        <v>0.27690720991546253</v>
      </c>
      <c r="DQ24" s="183">
        <f>((Sheet3!$DB24-(SUM(Sheet3!B24:C24)/4000))/$LP$3)/(((Sheet3!$DA24-Sheet3!$DB24)/$LQ$3)+(Sheet3!$DB24-(SUM(Sheet3!B24:C24)/4000))/$LP$3)</f>
        <v>0.27667292431470258</v>
      </c>
      <c r="DR24" s="183">
        <f>((Sheet3!$DB24-(SUM(Sheet3!B24:D24)/4000))/$LP$3)/(((Sheet3!$DA24-Sheet3!$DB24)/$LQ$3)+(Sheet3!$DB24-(SUM(Sheet3!B24:D24)/4000))/$LP$3)</f>
        <v>0.27648889276745758</v>
      </c>
      <c r="DS24" s="183">
        <f>((Sheet3!$DB24-(SUM(Sheet3!B24:E24)/4000))/$LP$3)/(((Sheet3!$DA24-Sheet3!$DB24)/$LQ$3)+(Sheet3!$DB24-(SUM(Sheet3!B24:E24)/4000))/$LP$3)</f>
        <v>0.27551020220078604</v>
      </c>
      <c r="DT24" s="183">
        <f>((Sheet3!$DB24-(SUM(Sheet3!B24:F24)/4000))/$LP$3)/(((Sheet3!$DA24-Sheet3!$DB24)/$LQ$3)+(Sheet3!$DB24-(SUM(Sheet3!B24:F24)/4000))/$LP$3)</f>
        <v>0.27508586684697528</v>
      </c>
      <c r="DU24" s="183">
        <f>((Sheet3!$DB24-(SUM(Sheet3!B24:G24)/4000))/$LP$3)/(((Sheet3!$DA24-Sheet3!$DB24)/$LQ$3)+(Sheet3!$DB24-(SUM(Sheet3!B24:G24)/4000))/$LP$3)</f>
        <v>0.27459275033672309</v>
      </c>
      <c r="DV24" s="183">
        <f>((Sheet3!$DB24-(SUM(Sheet3!B24:H24)/4000))/$LP$3)/(((Sheet3!$DA24-Sheet3!$DB24)/$LQ$3)+(Sheet3!$DB24-(SUM(Sheet3!B24:H24)/4000))/$LP$3)</f>
        <v>0.2745200470048455</v>
      </c>
      <c r="DW24" s="183">
        <f>((Sheet3!$DB24-(SUM(Sheet3!B24:I24)/4000))/$LP$3)/(((Sheet3!$DA24-Sheet3!$DB24)/$LQ$3)+(Sheet3!$DB24-(SUM(Sheet3!B24:I24)/4000))/$LP$3)</f>
        <v>0.27291023915797769</v>
      </c>
      <c r="DX24" s="186">
        <f>($LR$2*($LP$3/1000))/($LP$2*(Sheet3!DF24+273))*DO24</f>
        <v>0.17052357323954356</v>
      </c>
      <c r="DY24" s="183">
        <f>(($LR$2*($LP$3/1000))/($LP$2*(Sheet3!BZ24+273)))*(DP24)</f>
        <v>0.17028335796459571</v>
      </c>
      <c r="DZ24" s="183">
        <f>(($LR$2*($LP$3/1000))/($LP$2*(Sheet3!CA24+273)))*(DQ24)</f>
        <v>0.17180855433151462</v>
      </c>
      <c r="EA24" s="183">
        <f>(($LR$2*($LP$3/1000))/($LP$2*(Sheet3!CB24+273)))*(DR24)</f>
        <v>0.17291471033047279</v>
      </c>
      <c r="EB24" s="183">
        <f>(($LR$2*($LP$3/1000))/($LP$2*(Sheet3!CC24+273)))*(DS24)</f>
        <v>0.1739221772908334</v>
      </c>
      <c r="EC24" s="183">
        <f>(($LR$2*($LP$3/1000))/($LP$2*(Sheet3!CD24+273)))*(DT24)</f>
        <v>0.17495467347443244</v>
      </c>
      <c r="ED24" s="183">
        <f>(($LR$2*($LP$3/1000))/($LP$2*(Sheet3!CE24+273)))*(DU24)</f>
        <v>0.17596938261187894</v>
      </c>
      <c r="EE24" s="183">
        <f>(($LR$2*($LP$3/1000))/($LP$2*(Sheet3!CF24+273)))*(DV24)</f>
        <v>0.17716572925125212</v>
      </c>
      <c r="EF24" s="183">
        <f>(($LR$2*($LP$3/1000))/($LP$2*(Sheet3!CG24+273)))*(DW24)</f>
        <v>0.17758612316678957</v>
      </c>
      <c r="EG24" s="186">
        <f>(($LR$2*($LQ$3/1000))/($LQ$2*(Sheet3!DF24+273)))*(1-DO24)</f>
        <v>0.71175056656505153</v>
      </c>
      <c r="EH24" s="183">
        <f>(($LR$2*($LQ$3/1000))/($LQ$2*(Sheet3!BZ24+273)))*(1-DP24)</f>
        <v>0.71481929094412489</v>
      </c>
      <c r="EI24" s="183">
        <f>(($LR$2*($LQ$3/1000))/($LQ$2*(Sheet3!CA24+273)))*(1-DQ24)</f>
        <v>0.72206639958083818</v>
      </c>
      <c r="EJ24" s="183">
        <f>(($LR$2*($LQ$3/1000))/($LQ$2*(Sheet3!CB24+273)))*(1-DR24)</f>
        <v>0.72738400358110922</v>
      </c>
      <c r="EK24" s="183">
        <f>(($LR$2*($LQ$3/1000))/($LQ$2*(Sheet3!CC24+273)))*(1-DS24)</f>
        <v>0.73521412696837296</v>
      </c>
      <c r="EL24" s="183">
        <f>(($LR$2*($LQ$3/1000))/($LQ$2*(Sheet3!CD24+273)))*(1-DT24)</f>
        <v>0.74115343880791262</v>
      </c>
      <c r="EM24" s="183">
        <f>(($LR$2*($LQ$3/1000))/($LQ$2*(Sheet3!CE24+273)))*(1-DU24)</f>
        <v>0.74729869857956599</v>
      </c>
      <c r="EN24" s="183">
        <f>(($LR$2*($LQ$3/1000))/($LQ$2*(Sheet3!CF24+273)))*(1-DV24)</f>
        <v>0.75265397374106169</v>
      </c>
      <c r="EO24" s="183">
        <f>(($LR$2*($LQ$3/1000))/($LQ$2*(Sheet3!CG24+273)))*(1-DW24)</f>
        <v>0.76057407200588023</v>
      </c>
      <c r="EP24" s="186">
        <f t="shared" si="132"/>
        <v>2952.9693656292143</v>
      </c>
      <c r="EQ24" s="183">
        <f xml:space="preserve"> (($FV24-(Sheet3!B24/4000))*0.018)/(0.011*JO24*3600)</f>
        <v>2954.390000179088</v>
      </c>
      <c r="ER24" s="183">
        <f>((($FV24-(SUM(Sheet3!B24:C24)/4000))*0.018)/(0.011*JP24*3600))</f>
        <v>2976.3669233597448</v>
      </c>
      <c r="ES24" s="183">
        <f>((($FV24-(SUM(Sheet3!B24:D24)/4000))*0.018)/(0.011*JQ24*3600))</f>
        <v>2992.3248630618182</v>
      </c>
      <c r="ET24" s="183">
        <f>((($FV24-(SUM(Sheet3!B24:E24)/4000))*0.018)/(0.011*JR24))/3600</f>
        <v>3010.2350217181661</v>
      </c>
      <c r="EU24" s="183">
        <f>((($FV24-(SUM(Sheet3!B24:F24)/4000))*0.018)/(0.011*JS24))/3600</f>
        <v>3026.1476821307601</v>
      </c>
      <c r="EV24" s="183">
        <f>((($FV24-(SUM(Sheet3!B24:G24)/4000))*0.018)/(0.011*JT24))/3600</f>
        <v>3042.0883282095792</v>
      </c>
      <c r="EW24" s="183">
        <f>((($FV24-(SUM(Sheet3!B24:H24)/4000))*0.018)/(0.011*JU24))/3600</f>
        <v>3058.6904285494011</v>
      </c>
      <c r="EX24" s="183">
        <f>((($FV24-(SUM(Sheet3!B24:I24)/4000))*0.018)/(0.011*JV24))/3600</f>
        <v>3071.3002163626375</v>
      </c>
      <c r="EY24" s="186">
        <f t="shared" si="133"/>
        <v>37.220410905695203</v>
      </c>
      <c r="EZ24" s="183">
        <f t="shared" si="134"/>
        <v>37.211277826398025</v>
      </c>
      <c r="FA24" s="183">
        <f t="shared" si="135"/>
        <v>37.449686317020728</v>
      </c>
      <c r="FB24" s="183">
        <f t="shared" si="136"/>
        <v>37.62311327314724</v>
      </c>
      <c r="FC24" s="183">
        <f t="shared" si="137"/>
        <v>37.801017834596855</v>
      </c>
      <c r="FD24" s="183">
        <f t="shared" si="138"/>
        <v>37.96946410761872</v>
      </c>
      <c r="FE24" s="183">
        <f t="shared" si="139"/>
        <v>38.137084881257785</v>
      </c>
      <c r="FF24" s="183">
        <f t="shared" si="140"/>
        <v>38.322365594201798</v>
      </c>
      <c r="FG24" s="183">
        <f t="shared" si="141"/>
        <v>38.426959715096864</v>
      </c>
      <c r="FH24" s="186">
        <f t="shared" si="28"/>
        <v>60.351084541102573</v>
      </c>
      <c r="FI24" s="183">
        <f t="shared" si="29"/>
        <v>60.116870312195623</v>
      </c>
      <c r="FJ24" s="183">
        <f t="shared" si="30"/>
        <v>59.674898134487385</v>
      </c>
      <c r="FK24" s="183">
        <f t="shared" si="31"/>
        <v>59.353423016568634</v>
      </c>
      <c r="FL24" s="183">
        <f t="shared" si="32"/>
        <v>58.857609149398591</v>
      </c>
      <c r="FM24" s="183">
        <f t="shared" si="33"/>
        <v>58.498923304395845</v>
      </c>
      <c r="FN24" s="183">
        <f t="shared" si="34"/>
        <v>58.129848771047733</v>
      </c>
      <c r="FO24" s="183">
        <f t="shared" si="35"/>
        <v>57.82433749271943</v>
      </c>
      <c r="FP24" s="183">
        <f t="shared" si="36"/>
        <v>57.325348248984191</v>
      </c>
      <c r="FQ24" s="314">
        <f>Sheet3!CV24</f>
        <v>2</v>
      </c>
      <c r="FR24" s="183">
        <v>3000</v>
      </c>
      <c r="FS24" s="183">
        <v>20</v>
      </c>
      <c r="FT24" s="183">
        <v>0.15426666666666666</v>
      </c>
      <c r="FU24" s="183">
        <v>40.24</v>
      </c>
      <c r="FV24" s="183">
        <v>119</v>
      </c>
      <c r="FW24" s="183">
        <v>23</v>
      </c>
      <c r="FX24" s="183">
        <v>241.5</v>
      </c>
      <c r="FY24" s="183">
        <v>10.1</v>
      </c>
      <c r="FZ24" s="183">
        <v>24.69</v>
      </c>
      <c r="GA24" s="183">
        <v>85</v>
      </c>
      <c r="GB24" s="186">
        <f>EXP($LP$6-($LQ$6/('Trial and Error method'!T24+$LP$8))) / ($LR$2/1000)</f>
        <v>0.11736198995513773</v>
      </c>
      <c r="GC24" s="183">
        <f>EXP($LP$6-($LQ$6/('Trial and Error method'!U24+$LP$8))) / ($LR$2/1000)</f>
        <v>0.21614366437693508</v>
      </c>
      <c r="GD24" s="183">
        <f>EXP($LP$6-($LQ$6/('Trial and Error method'!V24+$LP$8))) / ($LR$2/1000)</f>
        <v>0.20976575457415816</v>
      </c>
      <c r="GE24" s="183">
        <f>EXP($LP$6-($LQ$6/('Trial and Error method'!W24+$LP$8))) / ($LR$2/1000)</f>
        <v>0.20408237364154075</v>
      </c>
      <c r="GF24" s="183">
        <f>EXP($LP$6-($LQ$6/('Trial and Error method'!X24+$LP$8))) / ($LR$2/1000)</f>
        <v>0.19640084781501121</v>
      </c>
      <c r="GG24" s="183">
        <f>EXP($LP$6-($LQ$6/('Trial and Error method'!Y24+$LP$8))) / ($LR$2/1000)</f>
        <v>0.19009069447601173</v>
      </c>
      <c r="GH24" s="183">
        <f>EXP($LP$6-($LQ$6/('Trial and Error method'!Z24+$LP$8))) / ($LR$2/1000)</f>
        <v>0.18316277625498584</v>
      </c>
      <c r="GI24" s="183">
        <f>EXP($LP$6-($LQ$6/('Trial and Error method'!AA24+$LP$8))) / ($LR$2/1000)</f>
        <v>0.17659108993803707</v>
      </c>
      <c r="GJ24" s="183">
        <f>EXP($LP$6-($LQ$6/('Trial and Error method'!AB24+$LP$8))) / ($LR$2/1000)</f>
        <v>0.16607942332844325</v>
      </c>
      <c r="GK24" s="188">
        <f t="shared" si="142"/>
        <v>0.7996035701092189</v>
      </c>
      <c r="GL24" s="165">
        <f t="shared" si="143"/>
        <v>0.75306603206869438</v>
      </c>
      <c r="GM24" s="165">
        <f t="shared" si="144"/>
        <v>0.75628746344122166</v>
      </c>
      <c r="GN24" s="165">
        <f t="shared" si="145"/>
        <v>0.759138944105894</v>
      </c>
      <c r="GO24" s="165">
        <f t="shared" si="146"/>
        <v>0.76336140294579136</v>
      </c>
      <c r="GP24" s="165">
        <f t="shared" si="147"/>
        <v>0.76662660224773338</v>
      </c>
      <c r="GQ24" s="165">
        <f t="shared" si="148"/>
        <v>0.77021800379790617</v>
      </c>
      <c r="GR24" s="165">
        <f t="shared" si="149"/>
        <v>0.77341139797893577</v>
      </c>
      <c r="GS24" s="165">
        <f t="shared" si="150"/>
        <v>0.77928511357526353</v>
      </c>
      <c r="GT24" s="188">
        <f t="shared" si="38"/>
        <v>4.6911949316601857E-2</v>
      </c>
      <c r="GU24" s="165">
        <f t="shared" si="39"/>
        <v>4.9785507043114123E-2</v>
      </c>
      <c r="GV24" s="165">
        <f t="shared" si="40"/>
        <v>4.9593765604190286E-2</v>
      </c>
      <c r="GW24" s="165">
        <f t="shared" si="41"/>
        <v>4.9422762537558021E-2</v>
      </c>
      <c r="GX24" s="165">
        <f t="shared" si="42"/>
        <v>4.915083745836174E-2</v>
      </c>
      <c r="GY24" s="165">
        <f t="shared" si="43"/>
        <v>4.8953145240286981E-2</v>
      </c>
      <c r="GZ24" s="165">
        <f t="shared" si="44"/>
        <v>4.8735862408383311E-2</v>
      </c>
      <c r="HA24" s="165">
        <f t="shared" si="45"/>
        <v>4.8555922831033299E-2</v>
      </c>
      <c r="HB24" s="165">
        <f t="shared" si="46"/>
        <v>4.8169805626802814E-2</v>
      </c>
      <c r="HC24" s="188">
        <f>BV24*Sheet3!DF24</f>
        <v>100.36977915614503</v>
      </c>
      <c r="HD24" s="165">
        <f>BW24*Sheet3!BZ24</f>
        <v>98.867667042098034</v>
      </c>
      <c r="HE24" s="165">
        <f>BX24*Sheet3!CA24</f>
        <v>94.657541017178318</v>
      </c>
      <c r="HF24" s="165">
        <f>BY24*Sheet3!CB24</f>
        <v>91.631751078721351</v>
      </c>
      <c r="HG24" s="165">
        <f>BZ24*Sheet3!CC24</f>
        <v>87.484391786189747</v>
      </c>
      <c r="HH24" s="165">
        <f>CA24*Sheet3!CD24</f>
        <v>84.312629603733711</v>
      </c>
      <c r="HI24" s="165">
        <f>CB24*Sheet3!CE24</f>
        <v>81.11035781075347</v>
      </c>
      <c r="HJ24" s="165">
        <f>CC24*Sheet3!CF24</f>
        <v>78.257295629929558</v>
      </c>
      <c r="HK24" s="165">
        <f>CD24*Sheet3!CG24</f>
        <v>74.600139144118259</v>
      </c>
      <c r="HL24" s="188">
        <f>(CE24*Sheet3!DF24)+2501</f>
        <v>2661.0442119434374</v>
      </c>
      <c r="HM24" s="165">
        <f>(CF24*Sheet3!BZ24)+2501</f>
        <v>2659.1832735348626</v>
      </c>
      <c r="HN24" s="165">
        <f>(CG24*Sheet3!CA24)+2501</f>
        <v>2652.545735488673</v>
      </c>
      <c r="HO24" s="165">
        <f>(CH24*Sheet3!CB24)+2501</f>
        <v>2647.7777662356102</v>
      </c>
      <c r="HP24" s="165">
        <f>(CI24*Sheet3!CC24)+2501</f>
        <v>2641.5403247560257</v>
      </c>
      <c r="HQ24" s="165">
        <f>(CJ24*Sheet3!CD24)+2501</f>
        <v>2636.6148737274839</v>
      </c>
      <c r="HR24" s="165">
        <f>(CK24*Sheet3!CE24)+2501</f>
        <v>2631.6556997534767</v>
      </c>
      <c r="HS24" s="165">
        <f>(CL24*Sheet3!CF24)+2501</f>
        <v>2627.086712501186</v>
      </c>
      <c r="HT24" s="165">
        <f>(CM24*Sheet3!CG24)+2501</f>
        <v>2621.7788255630771</v>
      </c>
      <c r="HU24" s="188">
        <f>-0.0021*(Sheet3!DF24^2) - 2.2115*(Sheet3!DF24) + 2499</f>
        <v>2295.85</v>
      </c>
      <c r="HV24" s="165">
        <f>-0.0021*(Sheet3!BZ24^2) - 2.2115*(Sheet3!BZ24) + 2499</f>
        <v>2298.3432496825681</v>
      </c>
      <c r="HW24" s="165">
        <f>-0.0021*(Sheet3!CA24^2) - 2.2115*(Sheet3!CA24) + 2499</f>
        <v>2307.2135502263163</v>
      </c>
      <c r="HX24" s="165">
        <f>-0.0021*(Sheet3!CB24^2) - 2.2115*(Sheet3!CB24) + 2499</f>
        <v>2313.563453257761</v>
      </c>
      <c r="HY24" s="165">
        <f>-0.0021*(Sheet3!CC24^2) - 2.2115*(Sheet3!CC24) + 2499</f>
        <v>2321.8423458243465</v>
      </c>
      <c r="HZ24" s="165">
        <f>-0.0021*(Sheet3!CD24^2) - 2.2115*(Sheet3!CD24) + 2499</f>
        <v>2328.3571467455322</v>
      </c>
      <c r="IA24" s="165">
        <f>-0.0021*(Sheet3!CE24^2) - 2.2115*(Sheet3!CE24) + 2499</f>
        <v>2334.8960857893167</v>
      </c>
      <c r="IB24" s="165">
        <f>-0.0021*(Sheet3!CF24^2) - 2.2115*(Sheet3!CF24) + 2499</f>
        <v>2340.9021822134227</v>
      </c>
      <c r="IC24" s="165">
        <f>-0.0021*(Sheet3!CG24^2) - 2.2115*(Sheet3!CG24) + 2499</f>
        <v>2347.8572482124273</v>
      </c>
      <c r="ID24" s="188">
        <f t="shared" si="47"/>
        <v>0.74109342648604815</v>
      </c>
      <c r="IE24" s="165">
        <f t="shared" si="48"/>
        <v>0.73996531217086448</v>
      </c>
      <c r="IF24" s="165">
        <f t="shared" si="49"/>
        <v>0.74350377658390143</v>
      </c>
      <c r="IG24" s="165">
        <f t="shared" si="50"/>
        <v>0.74609295951042298</v>
      </c>
      <c r="IH24" s="165">
        <f t="shared" si="51"/>
        <v>0.74808085776947364</v>
      </c>
      <c r="II24" s="165">
        <f t="shared" si="52"/>
        <v>0.75042165425997942</v>
      </c>
      <c r="IJ24" s="165">
        <f t="shared" si="53"/>
        <v>0.75270766929857891</v>
      </c>
      <c r="IK24" s="165">
        <f t="shared" si="54"/>
        <v>0.75567763760509477</v>
      </c>
      <c r="IL24" s="165">
        <f t="shared" si="55"/>
        <v>0.75595834016336017</v>
      </c>
      <c r="IM24" s="188">
        <f t="shared" si="56"/>
        <v>17.30680307558325</v>
      </c>
      <c r="IN24" s="165">
        <f t="shared" si="151"/>
        <v>6.9528191179007885</v>
      </c>
      <c r="IO24" s="165">
        <f t="shared" si="152"/>
        <v>7.6557463819320457</v>
      </c>
      <c r="IP24" s="165">
        <f t="shared" si="153"/>
        <v>8.2791566892539024</v>
      </c>
      <c r="IQ24" s="165">
        <f t="shared" si="154"/>
        <v>9.027998740457102</v>
      </c>
      <c r="IR24" s="165">
        <f t="shared" si="155"/>
        <v>9.6877842188354641</v>
      </c>
      <c r="IS24" s="165">
        <f t="shared" si="156"/>
        <v>10.404106983775796</v>
      </c>
      <c r="IT24" s="165">
        <f t="shared" si="157"/>
        <v>11.131062168773534</v>
      </c>
      <c r="IU24" s="165">
        <f t="shared" si="158"/>
        <v>12.082119495865909</v>
      </c>
      <c r="IV24" s="188">
        <f>_xlfn.FORECAST.LINEAR(Sheet3!DF24,Sheet2!$AK$2:$AK$69,Sheet2!$AJ$2:$AJ$69)</f>
        <v>1.1761434736095797E-5</v>
      </c>
      <c r="IW24" s="165">
        <f>_xlfn.FORECAST.LINEAR(Sheet3!BZ24,Sheet2!$AK$2:$AK$69,Sheet2!$AJ$2:$AJ$69)</f>
        <v>1.1727421177249819E-5</v>
      </c>
      <c r="IX24" s="165">
        <f>_xlfn.FORECAST.LINEAR(Sheet3!CA24,Sheet2!$AK$2:$AK$69,Sheet2!$AJ$2:$AJ$69)</f>
        <v>1.1605968966710276E-5</v>
      </c>
      <c r="IY24" s="165">
        <f>_xlfn.FORECAST.LINEAR(Sheet3!CB24,Sheet2!$AK$2:$AK$69,Sheet2!$AJ$2:$AJ$69)</f>
        <v>1.1518598107769885E-5</v>
      </c>
      <c r="IZ24" s="165">
        <f>_xlfn.FORECAST.LINEAR(Sheet3!CC24,Sheet2!$AK$2:$AK$69,Sheet2!$AJ$2:$AJ$69)</f>
        <v>1.140414100495153E-5</v>
      </c>
      <c r="JA24" s="165">
        <f>_xlfn.FORECAST.LINEAR(Sheet3!CD24,Sheet2!$AK$2:$AK$69,Sheet2!$AJ$2:$AJ$69)</f>
        <v>1.1313633418590685E-5</v>
      </c>
      <c r="JB24" s="165">
        <f>_xlfn.FORECAST.LINEAR(Sheet3!CE24,Sheet2!$AK$2:$AK$69,Sheet2!$AJ$2:$AJ$69)</f>
        <v>1.1222395853462655E-5</v>
      </c>
      <c r="JC24" s="165">
        <f>_xlfn.FORECAST.LINEAR(Sheet3!CF24,Sheet2!$AK$2:$AK$69,Sheet2!$AJ$2:$AJ$69)</f>
        <v>1.1138240211541817E-5</v>
      </c>
      <c r="JD24" s="165">
        <f>_xlfn.FORECAST.LINEAR(Sheet3!CG24,Sheet2!$AK$2:$AK$69,Sheet2!$AJ$2:$AJ$69)</f>
        <v>1.104036020924238E-5</v>
      </c>
      <c r="JE24" s="188">
        <f>_xlfn.FORECAST.LINEAR(Sheet3!DF24,New!$MC$2:$MC$18,New!$MB$2:$MB$18)</f>
        <v>2.0908514659214704E-5</v>
      </c>
      <c r="JF24" s="165">
        <f>_xlfn.FORECAST.LINEAR(Sheet3!BZ24,New!$MC$2:$MC$18,New!$MB$2:$MB$18)</f>
        <v>2.0868530899815386E-5</v>
      </c>
      <c r="JG24" s="165">
        <f>_xlfn.FORECAST.LINEAR(Sheet3!CA24,New!$MC$2:$MC$18,New!$MB$2:$MB$18)</f>
        <v>2.0725760894867715E-5</v>
      </c>
      <c r="JH24" s="165">
        <f>_xlfn.FORECAST.LINEAR(Sheet3!CB24,New!$MC$2:$MC$18,New!$MB$2:$MB$18)</f>
        <v>2.0623054341337008E-5</v>
      </c>
      <c r="JI24" s="165">
        <f>_xlfn.FORECAST.LINEAR(Sheet3!CC24,New!$MC$2:$MC$18,New!$MB$2:$MB$18)</f>
        <v>2.0488507254354573E-5</v>
      </c>
      <c r="JJ24" s="165">
        <f>_xlfn.FORECAST.LINEAR(Sheet3!CD24,New!$MC$2:$MC$18,New!$MB$2:$MB$18)</f>
        <v>2.0382113402030803E-5</v>
      </c>
      <c r="JK24" s="165">
        <f>_xlfn.FORECAST.LINEAR(Sheet3!CE24,New!$MC$2:$MC$18,New!$MB$2:$MB$18)</f>
        <v>2.0274861442046906E-5</v>
      </c>
      <c r="JL24" s="165">
        <f>_xlfn.FORECAST.LINEAR(Sheet3!CF24,New!$MC$2:$MC$18,New!$MB$2:$MB$18)</f>
        <v>2.0175934453727493E-5</v>
      </c>
      <c r="JM24" s="165">
        <f>_xlfn.FORECAST.LINEAR(Sheet3!CG24,New!$MC$2:$MC$18,New!$MB$2:$MB$18)</f>
        <v>2.006087414852194E-5</v>
      </c>
      <c r="JN24" s="188">
        <f t="shared" si="159"/>
        <v>1.8317463675883236E-5</v>
      </c>
      <c r="JO24" s="165">
        <f t="shared" si="160"/>
        <v>1.8288500716929174E-5</v>
      </c>
      <c r="JP24" s="165">
        <f t="shared" si="161"/>
        <v>1.8149376718807664E-5</v>
      </c>
      <c r="JQ24" s="165">
        <f t="shared" si="162"/>
        <v>1.804939689457552E-5</v>
      </c>
      <c r="JR24" s="165">
        <f t="shared" si="163"/>
        <v>1.7925170919687476E-5</v>
      </c>
      <c r="JS24" s="165">
        <f t="shared" si="164"/>
        <v>1.7823665967474366E-5</v>
      </c>
      <c r="JT24" s="165">
        <f t="shared" si="165"/>
        <v>1.7721901895209125E-5</v>
      </c>
      <c r="JU24" s="165">
        <f t="shared" si="166"/>
        <v>1.7624484127560753E-5</v>
      </c>
      <c r="JV24" s="165">
        <f t="shared" si="167"/>
        <v>1.7525150981086871E-5</v>
      </c>
      <c r="JW24" s="188">
        <f t="shared" si="66"/>
        <v>1.0444458673781256</v>
      </c>
      <c r="JX24" s="165">
        <f t="shared" si="67"/>
        <v>1.0450021262022213</v>
      </c>
      <c r="JY24" s="165">
        <f t="shared" si="68"/>
        <v>1.0470139230795179</v>
      </c>
      <c r="JZ24" s="165">
        <f t="shared" si="69"/>
        <v>1.0484863836292926</v>
      </c>
      <c r="KA24" s="165">
        <f t="shared" si="70"/>
        <v>1.0504481146556108</v>
      </c>
      <c r="KB24" s="165">
        <f t="shared" si="71"/>
        <v>1.0520263500429976</v>
      </c>
      <c r="KC24" s="165">
        <f t="shared" si="72"/>
        <v>1.0536420508844624</v>
      </c>
      <c r="KD24" s="165">
        <f t="shared" si="73"/>
        <v>1.0551548662932229</v>
      </c>
      <c r="KE24" s="165">
        <f t="shared" si="74"/>
        <v>1.0569422383042379</v>
      </c>
      <c r="KF24" s="188">
        <f t="shared" si="75"/>
        <v>0.94446821821306282</v>
      </c>
      <c r="KG24" s="165">
        <f t="shared" si="76"/>
        <v>0.94404372758960953</v>
      </c>
      <c r="KH24" s="165">
        <f t="shared" si="77"/>
        <v>0.94251369509457228</v>
      </c>
      <c r="KI24" s="165">
        <f t="shared" si="78"/>
        <v>0.94139898433081659</v>
      </c>
      <c r="KJ24" s="165">
        <f t="shared" si="79"/>
        <v>0.93992057741352542</v>
      </c>
      <c r="KK24" s="165">
        <f t="shared" si="80"/>
        <v>0.93873670201977299</v>
      </c>
      <c r="KL24" s="165">
        <f t="shared" si="81"/>
        <v>0.93752978686955823</v>
      </c>
      <c r="KM24" s="165">
        <f t="shared" si="82"/>
        <v>0.93640434193050981</v>
      </c>
      <c r="KN24" s="165">
        <f t="shared" si="83"/>
        <v>0.93508035853508886</v>
      </c>
      <c r="KO24" s="188">
        <f t="shared" si="84"/>
        <v>0.57828346263623764</v>
      </c>
      <c r="KP24" s="165">
        <f t="shared" si="85"/>
        <v>0.57758268642086441</v>
      </c>
      <c r="KQ24" s="165">
        <f t="shared" si="86"/>
        <v>0.5747739621640241</v>
      </c>
      <c r="KR24" s="165">
        <f t="shared" si="87"/>
        <v>0.57273277885830209</v>
      </c>
      <c r="KS24" s="165">
        <f t="shared" si="88"/>
        <v>0.57007113918108021</v>
      </c>
      <c r="KT24" s="165">
        <f t="shared" si="89"/>
        <v>0.56792717689665417</v>
      </c>
      <c r="KU24" s="165">
        <f t="shared" si="90"/>
        <v>0.56575042007193321</v>
      </c>
      <c r="KV24" s="165">
        <f t="shared" si="91"/>
        <v>0.56370311540130891</v>
      </c>
      <c r="KW24" s="165">
        <f t="shared" si="92"/>
        <v>0.56148176081055923</v>
      </c>
      <c r="KX24" s="188">
        <f>AVERAGE(Sheet3!J24:P24)*KO24^(1/3)/ID24^(1/3)</f>
        <v>224.57782219871243</v>
      </c>
      <c r="KY24" s="165">
        <f>Sheet3!J24*KP24^(1/3)/IE24^(1/3)</f>
        <v>226.24310359791389</v>
      </c>
      <c r="KZ24" s="165">
        <f>Sheet3!K24*KQ24^(1/3)/IF24^(1/3)</f>
        <v>217.25926315468996</v>
      </c>
      <c r="LA24" s="165">
        <f>Sheet3!L24*KR24^(1/3)/IG24^(1/3)</f>
        <v>214.76810996708394</v>
      </c>
      <c r="LB24" s="165">
        <f>Sheet3!M24*KS24^(1/3)/IH24^(1/3)</f>
        <v>216.64133108752577</v>
      </c>
      <c r="LC24" s="165">
        <f>Sheet3!N24*KT24^(1/3)/II24^(1/3)</f>
        <v>220.87743420028596</v>
      </c>
      <c r="LD24" s="165">
        <f>Sheet3!O24*KU24^(1/3)/IJ24^(1/3)</f>
        <v>227.30311595839953</v>
      </c>
      <c r="LE24" s="165">
        <f>Sheet3!P24*KV24^(1/3)/IK24^(1/3)</f>
        <v>236.70798254082879</v>
      </c>
      <c r="LF24" s="165">
        <f>Sheet3!Q24*KW24^(1/3)/IL24^(1/3)</f>
        <v>266.18475964322414</v>
      </c>
      <c r="LG24" s="186">
        <f t="shared" si="93"/>
        <v>25.916716871493453</v>
      </c>
      <c r="LH24" s="183">
        <f t="shared" si="94"/>
        <v>26.439638435917715</v>
      </c>
      <c r="LI24" s="183">
        <f t="shared" si="95"/>
        <v>26.549903500391927</v>
      </c>
      <c r="LJ24" s="183">
        <f t="shared" si="96"/>
        <v>26.637324657373007</v>
      </c>
      <c r="LK24" s="183">
        <f t="shared" si="97"/>
        <v>27.114542820510284</v>
      </c>
      <c r="LL24" s="183">
        <f t="shared" si="98"/>
        <v>27.328117734871022</v>
      </c>
      <c r="LM24" s="183">
        <f t="shared" si="99"/>
        <v>27.581591262605468</v>
      </c>
      <c r="LN24" s="183">
        <f t="shared" si="100"/>
        <v>27.619453246731045</v>
      </c>
      <c r="LO24" s="183">
        <f t="shared" si="101"/>
        <v>28.491746224956245</v>
      </c>
      <c r="LP24" s="220"/>
      <c r="LQ24" s="220"/>
      <c r="LR24" s="220"/>
      <c r="LS24" s="220"/>
      <c r="LT24" s="220"/>
      <c r="LU24" s="220"/>
      <c r="LV24" s="220"/>
      <c r="LW24" s="220"/>
      <c r="LX24" s="220"/>
      <c r="LY24" s="220"/>
      <c r="LZ24" s="222">
        <v>111.37</v>
      </c>
      <c r="MA24" s="220">
        <v>1.2999999999999999E-5</v>
      </c>
      <c r="MB24" s="220"/>
      <c r="MC24" s="220"/>
      <c r="MD24" s="188">
        <f>Sheet3!DP24</f>
        <v>374.13260434876327</v>
      </c>
      <c r="ME24" s="264">
        <v>230</v>
      </c>
      <c r="MF24" s="264">
        <v>27.98</v>
      </c>
      <c r="MG24" s="264">
        <v>3.6339999999999999</v>
      </c>
      <c r="MH24" s="264">
        <v>13.99</v>
      </c>
      <c r="MI24" s="264">
        <v>17.36</v>
      </c>
      <c r="MJ24" s="264">
        <v>1.24</v>
      </c>
      <c r="MK24" s="273">
        <v>220</v>
      </c>
      <c r="ML24" s="267">
        <v>23.2</v>
      </c>
      <c r="MM24" s="267">
        <v>11.62</v>
      </c>
      <c r="MN24" s="267">
        <v>3.4079999999999999</v>
      </c>
      <c r="MO24" s="267">
        <v>16.87</v>
      </c>
      <c r="MP24" s="274">
        <v>1.45</v>
      </c>
      <c r="MQ24"/>
      <c r="MR24"/>
      <c r="MS24"/>
    </row>
    <row r="25" spans="1:357" ht="15" thickBot="1" x14ac:dyDescent="0.35">
      <c r="A25" s="184" t="str">
        <f>Sheet3!A25</f>
        <v>15.12.2022</v>
      </c>
      <c r="B25" s="186">
        <f t="shared" si="102"/>
        <v>0.84493785432837987</v>
      </c>
      <c r="C25" s="183">
        <f t="shared" si="103"/>
        <v>0.84545092955597956</v>
      </c>
      <c r="D25" s="183">
        <f t="shared" si="0"/>
        <v>0.83578879094775516</v>
      </c>
      <c r="E25" s="183">
        <f t="shared" si="1"/>
        <v>0.82416255916862691</v>
      </c>
      <c r="F25" s="183">
        <f t="shared" si="2"/>
        <v>0.81245893201872366</v>
      </c>
      <c r="G25" s="183">
        <f t="shared" si="3"/>
        <v>0.8080449842835431</v>
      </c>
      <c r="H25" s="183">
        <f t="shared" si="4"/>
        <v>0.80169657507194214</v>
      </c>
      <c r="I25" s="183">
        <f t="shared" si="5"/>
        <v>0.79015196084313033</v>
      </c>
      <c r="J25" s="183">
        <f t="shared" si="6"/>
        <v>0.7827793265368469</v>
      </c>
      <c r="K25" s="186">
        <f xml:space="preserve"> (6.057 * (10^(-6)))
+ (4.055 * (10^(-8)) * (Sheet3!DF25 + 273))
+ (1.25 * (10^(-10)) * (Sheet3!DF25 + 273)^2)
- (3.367 * (10^(-14)) * (DD25 + 273)^3)</f>
        <v>3.9917656317960134E-5</v>
      </c>
      <c r="L25" s="183">
        <f xml:space="preserve"> (6.057 * (10^(-6)))
+ (4.055 * (10^(-8)) * (Sheet3!BZ25 + 273))
+ (1.25 * (10^(-10)) * (Sheet3!BZ25 + 273)^2)
- (3.367 * (10^(-14)) * (BX25 + 273)^3)</f>
        <v>3.9939978064866962E-5</v>
      </c>
      <c r="M25" s="183">
        <f xml:space="preserve"> (6.057 * (10^(-6)))
+ (4.055 * (10^(-8)) * (Sheet3!CA25 + 273))
+ (1.25 * (10^(-10)) * (Sheet3!CA25 + 273)^2)
- (3.367 * (10^(-14)) * (BY25 + 273)^3)</f>
        <v>3.9119976048844791E-5</v>
      </c>
      <c r="N25" s="183">
        <f xml:space="preserve"> (6.057 * (10^(-6)))
+ (4.055 * (10^(-8)) * (Sheet3!CB25 + 273))
+ (1.25 * (10^(-10)) * (Sheet3!CB25 + 273)^2)
- (3.367 * (10^(-14)) * (BZ25 + 273)^3)</f>
        <v>3.8375368184005817E-5</v>
      </c>
      <c r="O25" s="183">
        <f xml:space="preserve"> (6.057 * (10^(-6)))
+ (4.055 * (10^(-8)) * (Sheet3!CC25 + 273))
+ (1.25 * (10^(-10)) * (Sheet3!CC25 + 273)^2)
- (3.367 * (10^(-14)) * (CA25 + 273)^3)</f>
        <v>3.7538915333135363E-5</v>
      </c>
      <c r="P25" s="183">
        <f xml:space="preserve"> (6.057 * (10^(-6)))
+ (4.055 * (10^(-8)) * (Sheet3!CD25 + 273))
+ (1.25 * (10^(-10)) * (Sheet3!CD25 + 273)^2)
- (3.367 * (10^(-14)) * (CB25 + 273)^3)</f>
        <v>3.7269952976584396E-5</v>
      </c>
      <c r="Q25" s="183">
        <f xml:space="preserve"> (6.057 * (10^(-6)))
+ (4.055 * (10^(-8)) * (Sheet3!CE25 + 273))
+ (1.25 * (10^(-10)) * (Sheet3!CE25 + 273)^2)
- (3.367 * (10^(-14)) * (CC25 + 273)^3)</f>
        <v>3.6698769354420978E-5</v>
      </c>
      <c r="R25" s="183">
        <f xml:space="preserve"> (6.057 * (10^(-6)))
+ (4.055 * (10^(-8)) * (Sheet3!CF25 + 273))
+ (1.25 * (10^(-10)) * (Sheet3!CF25 + 273)^2)
- (3.367 * (10^(-14)) * (CD25 + 273)^3)</f>
        <v>3.6030179336892334E-5</v>
      </c>
      <c r="S25" s="183">
        <f xml:space="preserve"> (6.057 * (10^(-6)))
+ (4.055 * (10^(-8)) * (Sheet3!CG25 + 273))
+ (1.25 * (10^(-10)) * (Sheet3!CG25 + 273)^2)
- (3.367 * (10^(-14)) * (CE25 + 273)^3)</f>
        <v>3.5458199643800439E-5</v>
      </c>
      <c r="T25" s="188">
        <f t="shared" si="104"/>
        <v>3.9917656317960134E-5</v>
      </c>
      <c r="U25" s="165">
        <f t="shared" si="105"/>
        <v>3.9939978064866962E-5</v>
      </c>
      <c r="V25" s="165">
        <f t="shared" si="106"/>
        <v>3.9119976048844791E-5</v>
      </c>
      <c r="W25" s="165">
        <f t="shared" si="107"/>
        <v>3.8375368184005817E-5</v>
      </c>
      <c r="X25" s="165">
        <f t="shared" si="108"/>
        <v>3.7538915333135363E-5</v>
      </c>
      <c r="Y25" s="165">
        <f t="shared" si="109"/>
        <v>3.7269952976584396E-5</v>
      </c>
      <c r="Z25" s="165">
        <f t="shared" si="110"/>
        <v>3.6698769354420978E-5</v>
      </c>
      <c r="AA25" s="165">
        <f t="shared" si="111"/>
        <v>3.6030179336892334E-5</v>
      </c>
      <c r="AB25" s="165">
        <f t="shared" si="112"/>
        <v>3.5458199643800439E-5</v>
      </c>
      <c r="AC25" s="186">
        <f t="shared" si="8"/>
        <v>3.3727938879114933E-5</v>
      </c>
      <c r="AD25" s="183">
        <f t="shared" si="9"/>
        <v>3.3767291581387206E-5</v>
      </c>
      <c r="AE25" s="183">
        <f t="shared" si="10"/>
        <v>3.2696037483769127E-5</v>
      </c>
      <c r="AF25" s="183">
        <f t="shared" si="11"/>
        <v>3.1627541651568535E-5</v>
      </c>
      <c r="AG25" s="183">
        <f t="shared" si="12"/>
        <v>3.0498827060700445E-5</v>
      </c>
      <c r="AH25" s="183">
        <f t="shared" si="13"/>
        <v>3.0115798567212528E-5</v>
      </c>
      <c r="AI25" s="183">
        <f t="shared" si="14"/>
        <v>2.9421277700794446E-5</v>
      </c>
      <c r="AJ25" s="183">
        <f t="shared" si="15"/>
        <v>2.8469316852575113E-5</v>
      </c>
      <c r="AK25" s="183">
        <f t="shared" si="16"/>
        <v>2.7755945637383171E-5</v>
      </c>
      <c r="AL25" s="186">
        <f t="shared" si="113"/>
        <v>3.2625265201757139E-2</v>
      </c>
      <c r="AM25" s="183">
        <f t="shared" si="114"/>
        <v>3.264652527668338E-2</v>
      </c>
      <c r="AN25" s="183">
        <f t="shared" si="115"/>
        <v>3.1959667631753008E-2</v>
      </c>
      <c r="AO25" s="183">
        <f t="shared" si="116"/>
        <v>3.1329860836806445E-2</v>
      </c>
      <c r="AP25" s="183">
        <f t="shared" si="117"/>
        <v>3.0615230330646327E-2</v>
      </c>
      <c r="AQ25" s="183">
        <f t="shared" si="118"/>
        <v>3.0383079171161405E-2</v>
      </c>
      <c r="AR25" s="183">
        <f t="shared" si="119"/>
        <v>2.989189939842507E-2</v>
      </c>
      <c r="AS25" s="183">
        <f t="shared" si="120"/>
        <v>2.9306108146847875E-2</v>
      </c>
      <c r="AT25" s="183">
        <f t="shared" si="121"/>
        <v>2.8810850625617567E-2</v>
      </c>
      <c r="AU25" s="186">
        <f>_xlfn.FORECAST.LINEAR(Sheet3!DF25,Sheet2!$AH$2:$AH$40,Sheet2!$AG$2:$AG$40)</f>
        <v>3.3278061617758661E-2</v>
      </c>
      <c r="AV25" s="183">
        <f>_xlfn.FORECAST.LINEAR(Sheet3!BZ25,Sheet2!$AH$2:$AH$40,Sheet2!$AG$2:$AG$40)</f>
        <v>3.3325334332768131E-2</v>
      </c>
      <c r="AW25" s="183">
        <f>_xlfn.FORECAST.LINEAR(Sheet3!CA25,Sheet2!$AH$2:$AH$40,Sheet2!$AG$2:$AG$40)</f>
        <v>3.1802455897186228E-2</v>
      </c>
      <c r="AX25" s="183">
        <f>_xlfn.FORECAST.LINEAR(Sheet3!CB25,Sheet2!$AH$2:$AH$40,Sheet2!$AG$2:$AG$40)</f>
        <v>3.0404881707159149E-2</v>
      </c>
      <c r="AY25" s="183">
        <f>_xlfn.FORECAST.LINEAR(Sheet3!CC25,Sheet2!$AH$2:$AH$40,Sheet2!$AG$2:$AG$40)</f>
        <v>2.8817779674631935E-2</v>
      </c>
      <c r="AZ25" s="183">
        <f>_xlfn.FORECAST.LINEAR(Sheet3!CD25,Sheet2!$AH$2:$AH$40,Sheet2!$AG$2:$AG$40)</f>
        <v>2.8303386818158333E-2</v>
      </c>
      <c r="BA25" s="183">
        <f>_xlfn.FORECAST.LINEAR(Sheet3!CE25,Sheet2!$AH$2:$AH$40,Sheet2!$AG$2:$AG$40)</f>
        <v>2.7204612034393304E-2</v>
      </c>
      <c r="BB25" s="183">
        <f>_xlfn.FORECAST.LINEAR(Sheet3!CF25,Sheet2!$AH$2:$AH$40,Sheet2!$AG$2:$AG$40)</f>
        <v>2.5906825353387765E-2</v>
      </c>
      <c r="BC25" s="183">
        <f>_xlfn.FORECAST.LINEAR(Sheet3!CG25,Sheet2!$AH$2:$AH$40,Sheet2!$AG$2:$AG$40)</f>
        <v>2.4797404122923517E-2</v>
      </c>
      <c r="BD25" s="186">
        <f>_xlfn.FORECAST.LINEAR(Sheet3!DF25,Sheet2!$AB$12:$AB$37,Sheet2!$AA$12:$AA$37)/1000</f>
        <v>3.221097904255335E-2</v>
      </c>
      <c r="BE25" s="183">
        <f>_xlfn.FORECAST.LINEAR(Sheet3!BZ25,Sheet2!$AB$12:$AB$37,Sheet2!$AA$12:$AA$37)/1000</f>
        <v>3.2221548127430166E-2</v>
      </c>
      <c r="BF25" s="183">
        <f>_xlfn.FORECAST.LINEAR(Sheet3!CA25,Sheet2!$AB$12:$AB$37,Sheet2!$AA$12:$AA$37)/1000</f>
        <v>3.1881067758584777E-2</v>
      </c>
      <c r="BG25" s="183">
        <f>_xlfn.FORECAST.LINEAR(Sheet3!CB25,Sheet2!$AB$12:$AB$37,Sheet2!$AA$12:$AA$37)/1000</f>
        <v>3.1568602518687018E-2</v>
      </c>
      <c r="BH25" s="183">
        <f>_xlfn.FORECAST.LINEAR(Sheet3!CC25,Sheet2!$AB$12:$AB$37,Sheet2!$AA$12:$AA$37)/1000</f>
        <v>3.1213763240118042E-2</v>
      </c>
      <c r="BI25" s="183">
        <f>_xlfn.FORECAST.LINEAR(Sheet3!CD25,Sheet2!$AB$12:$AB$37,Sheet2!$AA$12:$AA$37)/1000</f>
        <v>3.1098756903819996E-2</v>
      </c>
      <c r="BJ25" s="183">
        <f>_xlfn.FORECAST.LINEAR(Sheet3!CE25,Sheet2!$AB$12:$AB$37,Sheet2!$AA$12:$AA$37)/1000</f>
        <v>3.0853096294993148E-2</v>
      </c>
      <c r="BK25" s="183">
        <f>_xlfn.FORECAST.LINEAR(Sheet3!CF25,Sheet2!$AB$12:$AB$37,Sheet2!$AA$12:$AA$37)/1000</f>
        <v>3.0562941232378075E-2</v>
      </c>
      <c r="BL25" s="183">
        <f>_xlfn.FORECAST.LINEAR(Sheet3!CG25,Sheet2!$AB$12:$AB$37,Sheet2!$AA$12:$AA$37)/1000</f>
        <v>3.031490032449757E-2</v>
      </c>
      <c r="BM25" s="186">
        <f t="shared" si="122"/>
        <v>0.81315727490476064</v>
      </c>
      <c r="BN25" s="183">
        <f t="shared" si="123"/>
        <v>0.81277734768707988</v>
      </c>
      <c r="BO25" s="183">
        <f t="shared" si="124"/>
        <v>0.8259792308569065</v>
      </c>
      <c r="BP25" s="183">
        <f t="shared" si="125"/>
        <v>0.83804864878652241</v>
      </c>
      <c r="BQ25" s="183">
        <f t="shared" si="126"/>
        <v>0.85248586347358435</v>
      </c>
      <c r="BR25" s="183">
        <f t="shared" si="127"/>
        <v>0.85717723891150499</v>
      </c>
      <c r="BS25" s="183">
        <f t="shared" si="128"/>
        <v>0.86790893876589714</v>
      </c>
      <c r="BT25" s="183">
        <f t="shared" si="129"/>
        <v>0.8802604396978343</v>
      </c>
      <c r="BU25" s="183">
        <f t="shared" si="130"/>
        <v>0.89153640286240476</v>
      </c>
      <c r="BV25" s="186">
        <f t="shared" si="131"/>
        <v>1.1895691606915408</v>
      </c>
      <c r="BW25" s="183">
        <f t="shared" si="19"/>
        <v>1.189512868886355</v>
      </c>
      <c r="BX25" s="183">
        <f t="shared" si="20"/>
        <v>1.1834175468759147</v>
      </c>
      <c r="BY25" s="183">
        <f t="shared" si="21"/>
        <v>1.1820172084052003</v>
      </c>
      <c r="BZ25" s="183">
        <f t="shared" si="22"/>
        <v>1.1775170597441567</v>
      </c>
      <c r="CA25" s="183">
        <f t="shared" si="23"/>
        <v>1.1769737345094851</v>
      </c>
      <c r="CB25" s="183">
        <f t="shared" si="24"/>
        <v>1.1706250720269185</v>
      </c>
      <c r="CC25" s="183">
        <f t="shared" si="25"/>
        <v>1.1694183856238145</v>
      </c>
      <c r="CD25" s="183">
        <f t="shared" si="26"/>
        <v>1.1642894756535467</v>
      </c>
      <c r="CE25" s="191">
        <f xml:space="preserve"> -0.0000000019505*Sheet3!DF25^3 + 0.0000015497*Sheet3!DF25^2  + 0.00016911*Sheet3!DF25 + 1.8585</f>
        <v>1.8954759658125</v>
      </c>
      <c r="CF25" s="185">
        <f xml:space="preserve"> -0.0000000019505*Sheet3!BZ25^3 + 0.0000015497*Sheet3!BZ25^2  + 0.00016911*Sheet3!BZ25 + 1.8585</f>
        <v>1.895559356040772</v>
      </c>
      <c r="CG25" s="185">
        <f xml:space="preserve"> -0.0000000019505*Sheet3!CA25^3 + 0.0000015497*Sheet3!CA25^2  + 0.00016911*Sheet3!CA25 + 1.8585</f>
        <v>1.8929038468954096</v>
      </c>
      <c r="CH25" s="185">
        <f xml:space="preserve"> -0.0000000019505*Sheet3!CB25^3 + 0.0000015497*Sheet3!CB25^2  + 0.00016911*Sheet3!CB25 + 1.8585</f>
        <v>1.8905243276730543</v>
      </c>
      <c r="CI25" s="185">
        <f xml:space="preserve"> -0.0000000019505*Sheet3!CC25^3 + 0.0000015497*Sheet3!CC25^2  + 0.00016911*Sheet3!CC25 + 1.8585</f>
        <v>1.8878913779709494</v>
      </c>
      <c r="CJ25" s="185">
        <f xml:space="preserve"> -0.0000000019505*Sheet3!CD25^3 + 0.0000015497*Sheet3!CD25^2  + 0.00016911*Sheet3!CD25 + 1.8585</f>
        <v>1.8870542722457107</v>
      </c>
      <c r="CK25" s="185">
        <f xml:space="preserve"> -0.0000000019505*Sheet3!CE25^3 + 0.0000015497*Sheet3!CE25^2  + 0.00016911*Sheet3!CE25 + 1.8585</f>
        <v>1.88529349027976</v>
      </c>
      <c r="CL25" s="185">
        <f xml:space="preserve"> -0.0000000019505*Sheet3!CF25^3 + 0.0000015497*Sheet3!CF25^2  + 0.00016911*Sheet3!CF25 + 1.8585</f>
        <v>1.8832628197831687</v>
      </c>
      <c r="CM25" s="185">
        <f xml:space="preserve"> -0.0000000019505*Sheet3!CG25^3 + 0.0000015497*Sheet3!CG25^2  + 0.00016911*Sheet3!CG25 + 1.8585</f>
        <v>1.8815700980962273</v>
      </c>
      <c r="CN25" s="183">
        <f>_xlfn.FORECAST.LINEAR(Sheet3!DF25,New!$LU$2:$LU$14,New!$LT$2:$LT$14)</f>
        <v>1.0182325575068421</v>
      </c>
      <c r="CO25" s="183">
        <f>_xlfn.FORECAST.LINEAR(Sheet3!BZ25,New!$LU$2:$LU$14,New!$LT$2:$LT$14)</f>
        <v>1.0182673508452729</v>
      </c>
      <c r="CP25" s="183">
        <f>_xlfn.FORECAST.LINEAR(Sheet3!CA25,New!$LU$2:$LU$14,New!$LT$2:$LT$14)</f>
        <v>1.0171464923376177</v>
      </c>
      <c r="CQ25" s="183">
        <f>_xlfn.FORECAST.LINEAR(Sheet3!CB25,New!$LU$2:$LU$14,New!$LT$2:$LT$14)</f>
        <v>1.0161178593985922</v>
      </c>
      <c r="CR25" s="183">
        <f>_xlfn.FORECAST.LINEAR(Sheet3!CC25,New!$LU$2:$LU$14,New!$LT$2:$LT$14)</f>
        <v>1.0149497314810183</v>
      </c>
      <c r="CS25" s="183">
        <f>_xlfn.FORECAST.LINEAR(Sheet3!CD25,New!$LU$2:$LU$14,New!$LT$2:$LT$14)</f>
        <v>1.0145711315901904</v>
      </c>
      <c r="CT25" s="183">
        <f>_xlfn.FORECAST.LINEAR(Sheet3!CE25,New!$LU$2:$LU$14,New!$LT$2:$LT$14)</f>
        <v>1.0137624189342065</v>
      </c>
      <c r="CU25" s="183">
        <f>_xlfn.FORECAST.LINEAR(Sheet3!CF25,New!$LU$2:$LU$14,New!$LT$2:$LT$14)</f>
        <v>1.012807230910961</v>
      </c>
      <c r="CV25" s="183">
        <f>_xlfn.FORECAST.LINEAR(Sheet3!CG25,New!$LU$2:$LU$14,New!$LT$2:$LT$14)</f>
        <v>1.0119906823305329</v>
      </c>
      <c r="CW25" s="186">
        <f>EXP((17.625*Sheet3!BA25)/(243.04+Sheet3!BA25)) / EXP((17.625*Sheet3!DF25)/(243.04+Sheet3!DF25))</f>
        <v>0.13812286107062693</v>
      </c>
      <c r="CX25" s="183">
        <f>EXP((17.625*(Sheet3!BC25+273))/(243.04+(Sheet3!BC25+273)))/EXP((17.625*(Sheet3!BZ25+273))/(243.04+(Sheet3!BZ25+273)))</f>
        <v>0.55055130611578262</v>
      </c>
      <c r="CY25" s="183">
        <f>EXP((17.625*(Sheet3!BE25+273))/(243.04+(Sheet3!BE25+273))) / EXP((17.625*(Sheet3!CA25+273))/(243.04+(Sheet3!CA25+273)))</f>
        <v>0.58422015702108754</v>
      </c>
      <c r="CZ25" s="183">
        <f>EXP((17.625*(Sheet3!BG25+273))/(243.04+(Sheet3!BG25+273))) / EXP((17.625*(Sheet3!CB25+273))/(243.04+(Sheet3!CB25+273)))</f>
        <v>0.62075127246682649</v>
      </c>
      <c r="DA25" s="183">
        <f>EXP((17.625*(Sheet3!BI25+273))/(243.04+(Sheet3!BI25+273))) / EXP((17.625*(Sheet3!CC25+273))/(243.04+(Sheet3!CC25+273)))</f>
        <v>0.6634651548817142</v>
      </c>
      <c r="DB25" s="183">
        <f>EXP((17.625*(Sheet3!BK25+273))/(243.04+(Sheet3!BK25+273)))/EXP((17.625*(Sheet3!CD25+273))/(243.04+(Sheet3!CD25+273)))</f>
        <v>0.67890855304114495</v>
      </c>
      <c r="DC25" s="183">
        <f>EXP((17.625*(Sheet3!BM25+273))/(243.04+(Sheet3!BM25+273))) / EXP((17.625*(Sheet3!CE25+273))/(243.04+(Sheet3!CE25+273)))</f>
        <v>0.70874879166651661</v>
      </c>
      <c r="DD25" s="183">
        <f>EXP((17.625*(Sheet3!BO25+273))/(243.04+(Sheet3!BO25+273))) / EXP((17.625*(Sheet3!CF25+273))/(243.04+(Sheet3!CF25+273)))</f>
        <v>0.75239976130596231</v>
      </c>
      <c r="DE25" s="183">
        <f>EXP((17.625*(Sheet3!BQ25+273))/(243.04+(Sheet3!BQ25+273))) / EXP((17.625*(Sheet3!CG25+273))/(243.04+(Sheet3!CG25+273)))</f>
        <v>0.78820721461531928</v>
      </c>
      <c r="DF25" s="186">
        <f>((Sheet3!DA25-Sheet3!DB25)/New!$LQ$3)/(((Sheet3!DA25-Sheet3!DB25)/New!$LQ$3)+(Sheet3!DB25/New!$LP$3))</f>
        <v>0.71933034701856335</v>
      </c>
      <c r="DG25" s="183">
        <f>((Sheet3!DA25-Sheet3!DB25)/New!$LQ$3)/(((Sheet3!DA25-Sheet3!DB25)/New!$LQ$3)+((Sheet3!DB25-(Sheet3!B25*0.004))/New!$LP$3))</f>
        <v>0.71978287452810275</v>
      </c>
      <c r="DH25" s="183" cm="1">
        <f t="array" ref="DH25">((Sheet3!DA25-Sheet3!DB25)/New!$LQ$3)/(((Sheet3!DA25-Sheet3!DB25)/New!$LQ$3)+((Sheet3!DB25-(SUM(Sheet3!B25:C25*0.004)))/New!$LP$3))</f>
        <v>0.74143882490466306</v>
      </c>
      <c r="DI25" s="183" cm="1">
        <f t="array" ref="DI25">((Sheet3!DA25-Sheet3!DB25)/New!$LQ$3)/(((Sheet3!DA25-Sheet3!DB25)/New!$LQ$3)+((Sheet3!DB25-(SUM(Sheet3!B25:D25*0.004)))/New!$LP$3))</f>
        <v>0.74198833976907463</v>
      </c>
      <c r="DJ25" s="183" cm="1">
        <f t="array" ref="DJ25">((Sheet3!DA25-Sheet3!DB25)/New!$LQ$3)/(((Sheet3!DA25-Sheet3!DB25)/New!$LQ$3)+((Sheet3!DB25-(SUM(Sheet3!B25:E25*0.004)))/New!$LP$3))</f>
        <v>0.7568532284956393</v>
      </c>
      <c r="DK25" s="183" cm="1">
        <f t="array" ref="DK25">((Sheet3!DA25-Sheet3!DB25)/New!$LQ$3)/(((Sheet3!DA25-Sheet3!DB25)/New!$LQ$3)+((Sheet3!DB25-(SUM(Sheet3!B25:F25*0.004)))/New!$LP$3))</f>
        <v>0.75724680472451789</v>
      </c>
      <c r="DL25" s="183" cm="1">
        <f t="array" ref="DL25">((Sheet3!DA25-Sheet3!DB25)/New!$LQ$3)/(((Sheet3!DA25-Sheet3!DB25)/New!$LQ$3)+((Sheet3!DB25-(SUM(Sheet3!B25:G25*0.004)))/New!$LP$3))</f>
        <v>0.78477472618222266</v>
      </c>
      <c r="DM25" s="183" cm="1">
        <f t="array" ref="DM25">((Sheet3!DA25-Sheet3!DB25)/New!$LQ$3)/(((Sheet3!DA25-Sheet3!DB25)/New!$LQ$3)+((Sheet3!DB25-(SUM(Sheet3!B25:H25*0.004)))/New!$LP$3))</f>
        <v>0.78508243313718107</v>
      </c>
      <c r="DN25" s="183" cm="1">
        <f t="array" ref="DN25">((Sheet3!DA25-Sheet3!DB25)/New!$LQ$3)/(((Sheet3!DA25-Sheet3!DB25)/New!$LQ$3)+((Sheet3!DB25-(SUM(Sheet3!B25:I25*0.004)))/New!$LP$3))</f>
        <v>0.80776767474266165</v>
      </c>
      <c r="DO25" s="186">
        <f>(Sheet3!DB25/$LP$3) / ((Sheet3!DB25/$LP$3) + ((Sheet3!DA25-Sheet3!DB25)/$LQ$3))</f>
        <v>0.28066965298143665</v>
      </c>
      <c r="DP25" s="183">
        <f>((Sheet3!$DB25-(Sheet3!B25/4000)) / $LP$3) / (((Sheet3!$DA25-Sheet3!DB25) / $LQ$3) + (Sheet3!$DB25-((Sheet3!B25/4000)))/$LP$3)</f>
        <v>0.280641386682905</v>
      </c>
      <c r="DQ25" s="183">
        <f>((Sheet3!$DB25-(SUM(Sheet3!B25:C25)/4000))/$LP$3)/(((Sheet3!$DA25-Sheet3!$DB25)/$LQ$3)+(Sheet3!$DB25-(SUM(Sheet3!B25:C25)/4000))/$LP$3)</f>
        <v>0.27932657247361325</v>
      </c>
      <c r="DR25" s="183">
        <f>((Sheet3!$DB25-(SUM(Sheet3!B25:D25)/4000))/$LP$3)/(((Sheet3!$DA25-Sheet3!$DB25)/$LQ$3)+(Sheet3!$DB25-(SUM(Sheet3!B25:D25)/4000))/$LP$3)</f>
        <v>0.27929414720251339</v>
      </c>
      <c r="DS25" s="183">
        <f>((Sheet3!$DB25-(SUM(Sheet3!B25:E25)/4000))/$LP$3)/(((Sheet3!$DA25-Sheet3!$DB25)/$LQ$3)+(Sheet3!$DB25-(SUM(Sheet3!B25:E25)/4000))/$LP$3)</f>
        <v>0.2784338130680023</v>
      </c>
      <c r="DT25" s="183">
        <f>((Sheet3!$DB25-(SUM(Sheet3!B25:F25)/4000))/$LP$3)/(((Sheet3!$DA25-Sheet3!$DB25)/$LQ$3)+(Sheet3!$DB25-(SUM(Sheet3!B25:F25)/4000))/$LP$3)</f>
        <v>0.27841146574235054</v>
      </c>
      <c r="DU25" s="183">
        <f>((Sheet3!$DB25-(SUM(Sheet3!B25:G25)/4000))/$LP$3)/(((Sheet3!$DA25-Sheet3!$DB25)/$LQ$3)+(Sheet3!$DB25-(SUM(Sheet3!B25:G25)/4000))/$LP$3)</f>
        <v>0.27690083449270603</v>
      </c>
      <c r="DV25" s="183">
        <f>((Sheet3!$DB25-(SUM(Sheet3!B25:H25)/4000))/$LP$3)/(((Sheet3!$DA25-Sheet3!$DB25)/$LQ$3)+(Sheet3!$DB25-(SUM(Sheet3!B25:H25)/4000))/$LP$3)</f>
        <v>0.27688451289815014</v>
      </c>
      <c r="DW25" s="183">
        <f>((Sheet3!$DB25-(SUM(Sheet3!B25:I25)/4000))/$LP$3)/(((Sheet3!$DA25-Sheet3!$DB25)/$LQ$3)+(Sheet3!$DB25-(SUM(Sheet3!B25:I25)/4000))/$LP$3)</f>
        <v>0.27571355922049351</v>
      </c>
      <c r="DX25" s="186">
        <f>($LR$2*($LP$3/1000))/($LP$2*(Sheet3!DF25+273))*DO25</f>
        <v>0.15881978025483606</v>
      </c>
      <c r="DY25" s="183">
        <f>(($LR$2*($LP$3/1000))/($LP$2*(Sheet3!BZ25+273)))*(DP25)</f>
        <v>0.15872769154984775</v>
      </c>
      <c r="DZ25" s="183">
        <f>(($LR$2*($LP$3/1000))/($LP$2*(Sheet3!CA25+273)))*(DQ25)</f>
        <v>0.16046097453807606</v>
      </c>
      <c r="EA25" s="183">
        <f>(($LR$2*($LP$3/1000))/($LP$2*(Sheet3!CB25+273)))*(DR25)</f>
        <v>0.16278454157372566</v>
      </c>
      <c r="EB25" s="183">
        <f>(($LR$2*($LP$3/1000))/($LP$2*(Sheet3!CC25+273)))*(DS25)</f>
        <v>0.16501879434186917</v>
      </c>
      <c r="EC25" s="183">
        <f>(($LR$2*($LP$3/1000))/($LP$2*(Sheet3!CD25+273)))*(DT25)</f>
        <v>0.16591203748351227</v>
      </c>
      <c r="ED25" s="183">
        <f>(($LR$2*($LP$3/1000))/($LP$2*(Sheet3!CE25+273)))*(DU25)</f>
        <v>0.16697119626712792</v>
      </c>
      <c r="EE25" s="183">
        <f>(($LR$2*($LP$3/1000))/($LP$2*(Sheet3!CF25+273)))*(DV25)</f>
        <v>0.16933627030050277</v>
      </c>
      <c r="EF25" s="183">
        <f>(($LR$2*($LP$3/1000))/($LP$2*(Sheet3!CG25+273)))*(DW25)</f>
        <v>0.17069576329487271</v>
      </c>
      <c r="EG25" s="186">
        <f>(($LR$2*($LQ$3/1000))/($LQ$2*(Sheet3!DF25+273)))*(1-DO25)</f>
        <v>0.65433749464992463</v>
      </c>
      <c r="EH25" s="183">
        <f>(($LR$2*($LQ$3/1000))/($LQ$2*(Sheet3!BZ25+273)))*(1-DP25)</f>
        <v>0.65404965613723209</v>
      </c>
      <c r="EI25" s="183">
        <f>(($LR$2*($LQ$3/1000))/($LQ$2*(Sheet3!CA25+273)))*(1-DQ25)</f>
        <v>0.66551825631883044</v>
      </c>
      <c r="EJ25" s="183">
        <f>(($LR$2*($LQ$3/1000))/($LQ$2*(Sheet3!CB25+273)))*(1-DR25)</f>
        <v>0.67526410721279673</v>
      </c>
      <c r="EK25" s="183">
        <f>(($LR$2*($LQ$3/1000))/($LQ$2*(Sheet3!CC25+273)))*(1-DS25)</f>
        <v>0.68746706913171518</v>
      </c>
      <c r="EL25" s="183">
        <f>(($LR$2*($LQ$3/1000))/($LQ$2*(Sheet3!CD25+273)))*(1-DT25)</f>
        <v>0.69126520142799275</v>
      </c>
      <c r="EM25" s="183">
        <f>(($LR$2*($LQ$3/1000))/($LQ$2*(Sheet3!CE25+273)))*(1-DU25)</f>
        <v>0.70093774249876917</v>
      </c>
      <c r="EN25" s="183">
        <f>(($LR$2*($LQ$3/1000))/($LQ$2*(Sheet3!CF25+273)))*(1-DV25)</f>
        <v>0.7109241693973315</v>
      </c>
      <c r="EO25" s="183">
        <f>(($LR$2*($LQ$3/1000))/($LQ$2*(Sheet3!CG25+273)))*(1-DW25)</f>
        <v>0.72084063956753208</v>
      </c>
      <c r="EP25" s="186">
        <f t="shared" si="132"/>
        <v>2981.7795016262071</v>
      </c>
      <c r="EQ25" s="183">
        <f xml:space="preserve"> (($FV25-(Sheet3!B25/4000))*0.018)/(0.011*JO25*3600)</f>
        <v>2980.5046033912326</v>
      </c>
      <c r="ER25" s="183">
        <f>((($FV25-(SUM(Sheet3!B25:C25)/4000))*0.018)/(0.011*JP25*3600))</f>
        <v>3012.3604405393444</v>
      </c>
      <c r="ES25" s="183">
        <f>((($FV25-(SUM(Sheet3!B25:D25)/4000))*0.018)/(0.011*JQ25*3600))</f>
        <v>3047.5070490953917</v>
      </c>
      <c r="ET25" s="183">
        <f>((($FV25-(SUM(Sheet3!B25:E25)/4000))*0.018)/(0.011*JR25))/3600</f>
        <v>3084.748667541875</v>
      </c>
      <c r="EU25" s="183">
        <f>((($FV25-(SUM(Sheet3!B25:F25)/4000))*0.018)/(0.011*JS25))/3600</f>
        <v>3098.196172206272</v>
      </c>
      <c r="EV25" s="183">
        <f>((($FV25-(SUM(Sheet3!B25:G25)/4000))*0.018)/(0.011*JT25))/3600</f>
        <v>3120.6503105343181</v>
      </c>
      <c r="EW25" s="183">
        <f>((($FV25-(SUM(Sheet3!B25:H25)/4000))*0.018)/(0.011*JU25))/3600</f>
        <v>3155.8852185503015</v>
      </c>
      <c r="EX25" s="183">
        <f>((($FV25-(SUM(Sheet3!B25:I25)/4000))*0.018)/(0.011*JV25))/3600</f>
        <v>3181.2540108031335</v>
      </c>
      <c r="EY25" s="186">
        <f t="shared" si="133"/>
        <v>36.902552980855795</v>
      </c>
      <c r="EZ25" s="183">
        <f t="shared" si="134"/>
        <v>36.888648423969677</v>
      </c>
      <c r="FA25" s="183">
        <f t="shared" si="135"/>
        <v>37.193070901745415</v>
      </c>
      <c r="FB25" s="183">
        <f t="shared" si="136"/>
        <v>37.561592537059397</v>
      </c>
      <c r="FC25" s="183">
        <f t="shared" si="137"/>
        <v>37.935842076510056</v>
      </c>
      <c r="FD25" s="183">
        <f t="shared" si="138"/>
        <v>38.078018296563506</v>
      </c>
      <c r="FE25" s="183">
        <f t="shared" si="139"/>
        <v>38.282159432228312</v>
      </c>
      <c r="FF25" s="183">
        <f t="shared" si="140"/>
        <v>38.658376078448825</v>
      </c>
      <c r="FG25" s="183">
        <f t="shared" si="141"/>
        <v>38.903103513343538</v>
      </c>
      <c r="FH25" s="186">
        <f t="shared" si="28"/>
        <v>66.88642097901743</v>
      </c>
      <c r="FI25" s="183">
        <f t="shared" si="29"/>
        <v>66.90478851087849</v>
      </c>
      <c r="FJ25" s="183">
        <f t="shared" si="30"/>
        <v>66.037676901333754</v>
      </c>
      <c r="FK25" s="183">
        <f t="shared" si="31"/>
        <v>65.377748166383256</v>
      </c>
      <c r="FL25" s="183">
        <f t="shared" si="32"/>
        <v>64.523030164410002</v>
      </c>
      <c r="FM25" s="183">
        <f t="shared" si="33"/>
        <v>64.273746921412311</v>
      </c>
      <c r="FN25" s="183">
        <f t="shared" si="34"/>
        <v>63.573692139035451</v>
      </c>
      <c r="FO25" s="183">
        <f t="shared" si="35"/>
        <v>62.940363896474352</v>
      </c>
      <c r="FP25" s="183">
        <f t="shared" si="36"/>
        <v>62.268416899771047</v>
      </c>
      <c r="FQ25" s="314">
        <f>Sheet3!CV25</f>
        <v>2</v>
      </c>
      <c r="FR25" s="183">
        <v>3000</v>
      </c>
      <c r="FS25" s="183">
        <v>20</v>
      </c>
      <c r="FT25" s="183">
        <v>0.16253333333333334</v>
      </c>
      <c r="FU25" s="183">
        <v>39.01</v>
      </c>
      <c r="FV25" s="183">
        <v>128</v>
      </c>
      <c r="FW25" s="183">
        <v>25</v>
      </c>
      <c r="FX25" s="183">
        <v>261</v>
      </c>
      <c r="FY25" s="183">
        <v>9.75</v>
      </c>
      <c r="FZ25" s="183">
        <v>35.79</v>
      </c>
      <c r="GA25" s="183">
        <v>115</v>
      </c>
      <c r="GB25" s="186">
        <f>EXP($LP$6-($LQ$6/('Trial and Error method'!T25+$LP$8))) / ($LR$2/1000)</f>
        <v>0.13809502767902548</v>
      </c>
      <c r="GC25" s="183">
        <f>EXP($LP$6-($LQ$6/('Trial and Error method'!U25+$LP$8))) / ($LR$2/1000)</f>
        <v>0.15047117428081047</v>
      </c>
      <c r="GD25" s="183">
        <f>EXP($LP$6-($LQ$6/('Trial and Error method'!V25+$LP$8))) / ($LR$2/1000)</f>
        <v>0.13053539642729217</v>
      </c>
      <c r="GE25" s="183">
        <f>EXP($LP$6-($LQ$6/('Trial and Error method'!W25+$LP$8))) / ($LR$2/1000)</f>
        <v>0.23546889363283066</v>
      </c>
      <c r="GF25" s="183">
        <f>EXP($LP$6-($LQ$6/('Trial and Error method'!X25+$LP$8))) / ($LR$2/1000)</f>
        <v>0.22517847982706454</v>
      </c>
      <c r="GG25" s="183">
        <f>EXP($LP$6-($LQ$6/('Trial and Error method'!Y25+$LP$8))) / ($LR$2/1000)</f>
        <v>0.21939839544414844</v>
      </c>
      <c r="GH25" s="183">
        <f>EXP($LP$6-($LQ$6/('Trial and Error method'!Z25+$LP$8))) / ($LR$2/1000)</f>
        <v>0.20792329214387334</v>
      </c>
      <c r="GI25" s="183">
        <f>EXP($LP$6-($LQ$6/('Trial and Error method'!AA25+$LP$8))) / ($LR$2/1000)</f>
        <v>0.19868646017733865</v>
      </c>
      <c r="GJ25" s="183">
        <f>EXP($LP$6-($LQ$6/('Trial and Error method'!AB25+$LP$8))) / ($LR$2/1000)</f>
        <v>0.18661385961376434</v>
      </c>
      <c r="GK25" s="188">
        <f t="shared" si="142"/>
        <v>0.78847041627010261</v>
      </c>
      <c r="GL25" s="165">
        <f t="shared" si="143"/>
        <v>0.78264037132584474</v>
      </c>
      <c r="GM25" s="165">
        <f t="shared" si="144"/>
        <v>0.79274314381141875</v>
      </c>
      <c r="GN25" s="165">
        <f t="shared" si="145"/>
        <v>0.74240290242244622</v>
      </c>
      <c r="GO25" s="165">
        <f t="shared" si="146"/>
        <v>0.74787786045909288</v>
      </c>
      <c r="GP25" s="165">
        <f t="shared" si="147"/>
        <v>0.75070852525896159</v>
      </c>
      <c r="GQ25" s="165">
        <f t="shared" si="148"/>
        <v>0.75706428639215595</v>
      </c>
      <c r="GR25" s="165">
        <f t="shared" si="149"/>
        <v>0.76154549443245945</v>
      </c>
      <c r="GS25" s="165">
        <f t="shared" si="150"/>
        <v>0.76797504557840068</v>
      </c>
      <c r="GT25" s="188">
        <f t="shared" si="38"/>
        <v>4.9634317614006801E-2</v>
      </c>
      <c r="GU25" s="165">
        <f t="shared" si="39"/>
        <v>4.999991304626749E-2</v>
      </c>
      <c r="GV25" s="165">
        <f t="shared" si="40"/>
        <v>4.9350622527570241E-2</v>
      </c>
      <c r="GW25" s="165">
        <f t="shared" si="41"/>
        <v>5.2722211510699647E-2</v>
      </c>
      <c r="GX25" s="165">
        <f t="shared" si="42"/>
        <v>5.2346176740665232E-2</v>
      </c>
      <c r="GY25" s="165">
        <f t="shared" si="43"/>
        <v>5.216039229800077E-2</v>
      </c>
      <c r="GZ25" s="165">
        <f t="shared" si="44"/>
        <v>5.1707778186717512E-2</v>
      </c>
      <c r="HA25" s="165">
        <f t="shared" si="45"/>
        <v>5.1438951356796284E-2</v>
      </c>
      <c r="HB25" s="165">
        <f t="shared" si="46"/>
        <v>5.1003802460640506E-2</v>
      </c>
      <c r="HC25" s="188">
        <f>BV25*Sheet3!DF25</f>
        <v>136.80045347952719</v>
      </c>
      <c r="HD25" s="165">
        <f>BW25*Sheet3!BZ25</f>
        <v>137.01523752208365</v>
      </c>
      <c r="HE25" s="165">
        <f>BX25*Sheet3!CA25</f>
        <v>129.22190883614823</v>
      </c>
      <c r="HF25" s="165">
        <f>BY25*Sheet3!CB25</f>
        <v>122.56894330782114</v>
      </c>
      <c r="HG25" s="165">
        <f>BZ25*Sheet3!CC25</f>
        <v>114.74886149405515</v>
      </c>
      <c r="HH25" s="165">
        <f>CA25*Sheet3!CD25</f>
        <v>112.31370363456752</v>
      </c>
      <c r="HI25" s="165">
        <f>CB25*Sheet3!CE25</f>
        <v>106.64677610905947</v>
      </c>
      <c r="HJ25" s="165">
        <f>CC25*Sheet3!CF25</f>
        <v>100.56522992613289</v>
      </c>
      <c r="HK25" s="165">
        <f>CD25*Sheet3!CG25</f>
        <v>95.041681314211559</v>
      </c>
      <c r="HL25" s="188">
        <f>(CE25*Sheet3!DF25)+2501</f>
        <v>2718.9797360684374</v>
      </c>
      <c r="HM25" s="165">
        <f>(CF25*Sheet3!BZ25)+2501</f>
        <v>2719.3419130625207</v>
      </c>
      <c r="HN25" s="165">
        <f>(CG25*Sheet3!CA25)+2501</f>
        <v>2707.6934439030761</v>
      </c>
      <c r="HO25" s="165">
        <f>(CH25*Sheet3!CB25)+2501</f>
        <v>2697.0373905666361</v>
      </c>
      <c r="HP25" s="165">
        <f>(CI25*Sheet3!CC25)+2501</f>
        <v>2684.9747326409674</v>
      </c>
      <c r="HQ25" s="165">
        <f>(CJ25*Sheet3!CD25)+2501</f>
        <v>2681.0737332202898</v>
      </c>
      <c r="HR25" s="165">
        <f>(CK25*Sheet3!CE25)+2501</f>
        <v>2672.7547979812184</v>
      </c>
      <c r="HS25" s="165">
        <f>(CL25*Sheet3!CF25)+2501</f>
        <v>2662.9529509806734</v>
      </c>
      <c r="HT25" s="165">
        <f>(CM25*Sheet3!CG25)+2501</f>
        <v>2654.5937491260329</v>
      </c>
      <c r="HU25" s="188">
        <f>-0.0021*(Sheet3!DF25^2) - 2.2115*(Sheet3!DF25) + 2499</f>
        <v>2216.9050000000002</v>
      </c>
      <c r="HV25" s="165">
        <f>-0.0021*(Sheet3!BZ25^2) - 2.2115*(Sheet3!BZ25) + 2499</f>
        <v>2216.4037317534494</v>
      </c>
      <c r="HW25" s="165">
        <f>-0.0021*(Sheet3!CA25^2) - 2.2115*(Sheet3!CA25) + 2499</f>
        <v>2232.4788981854731</v>
      </c>
      <c r="HX25" s="165">
        <f>-0.0021*(Sheet3!CB25^2) - 2.2115*(Sheet3!CB25) + 2499</f>
        <v>2247.0986776551454</v>
      </c>
      <c r="HY25" s="165">
        <f>-0.0021*(Sheet3!CC25^2) - 2.2115*(Sheet3!CC25) + 2499</f>
        <v>2263.5470614227638</v>
      </c>
      <c r="HZ25" s="165">
        <f>-0.0021*(Sheet3!CD25^2) - 2.2115*(Sheet3!CD25) + 2499</f>
        <v>2268.8429719432247</v>
      </c>
      <c r="IA25" s="165">
        <f>-0.0021*(Sheet3!CE25^2) - 2.2115*(Sheet3!CE25) + 2499</f>
        <v>2280.0977331347522</v>
      </c>
      <c r="IB25" s="165">
        <f>-0.0021*(Sheet3!CF25^2) - 2.2115*(Sheet3!CF25) + 2499</f>
        <v>2293.2898526047884</v>
      </c>
      <c r="IC25" s="165">
        <f>-0.0021*(Sheet3!CG25^2) - 2.2115*(Sheet3!CG25) + 2499</f>
        <v>2304.480390847154</v>
      </c>
      <c r="ID25" s="188">
        <f t="shared" si="47"/>
        <v>0.71145495767336953</v>
      </c>
      <c r="IE25" s="165">
        <f t="shared" si="48"/>
        <v>0.71124265961879607</v>
      </c>
      <c r="IF25" s="165">
        <f t="shared" si="49"/>
        <v>0.71425372205846882</v>
      </c>
      <c r="IG25" s="165">
        <f t="shared" si="50"/>
        <v>0.71933422293026994</v>
      </c>
      <c r="IH25" s="165">
        <f t="shared" si="51"/>
        <v>0.72386857248253755</v>
      </c>
      <c r="II25" s="165">
        <f t="shared" si="52"/>
        <v>0.72588287776469984</v>
      </c>
      <c r="IJ25" s="165">
        <f t="shared" si="53"/>
        <v>0.72749240438912155</v>
      </c>
      <c r="IK25" s="165">
        <f t="shared" si="54"/>
        <v>0.7329815099980862</v>
      </c>
      <c r="IL25" s="165">
        <f t="shared" si="55"/>
        <v>0.73556474403113703</v>
      </c>
      <c r="IM25" s="188">
        <f t="shared" si="56"/>
        <v>15.68813714466622</v>
      </c>
      <c r="IN25" s="165">
        <f t="shared" si="151"/>
        <v>14.42546213955792</v>
      </c>
      <c r="IO25" s="165">
        <f t="shared" si="152"/>
        <v>16.392952270437501</v>
      </c>
      <c r="IP25" s="165">
        <f t="shared" si="153"/>
        <v>5.1920659566758198</v>
      </c>
      <c r="IQ25" s="165">
        <f t="shared" si="154"/>
        <v>6.3101197643875642</v>
      </c>
      <c r="IR25" s="165">
        <f t="shared" si="155"/>
        <v>6.9838274172334573</v>
      </c>
      <c r="IS25" s="165">
        <f t="shared" si="156"/>
        <v>8.132368630348763</v>
      </c>
      <c r="IT25" s="165">
        <f t="shared" si="157"/>
        <v>9.2245883390283385</v>
      </c>
      <c r="IU25" s="165">
        <f t="shared" si="158"/>
        <v>10.472534792857873</v>
      </c>
      <c r="IV25" s="188">
        <f>_xlfn.FORECAST.LINEAR(Sheet3!DF25,Sheet2!$AK$2:$AK$69,Sheet2!$AJ$2:$AJ$69)</f>
        <v>1.2811804086396453E-5</v>
      </c>
      <c r="IW25" s="165">
        <f>_xlfn.FORECAST.LINEAR(Sheet3!BZ25,Sheet2!$AK$2:$AK$69,Sheet2!$AJ$2:$AJ$69)</f>
        <v>1.2818316617920926E-5</v>
      </c>
      <c r="IX25" s="165">
        <f>_xlfn.FORECAST.LINEAR(Sheet3!CA25,Sheet2!$AK$2:$AK$69,Sheet2!$AJ$2:$AJ$69)</f>
        <v>1.2608517078849011E-5</v>
      </c>
      <c r="IY25" s="165">
        <f>_xlfn.FORECAST.LINEAR(Sheet3!CB25,Sheet2!$AK$2:$AK$69,Sheet2!$AJ$2:$AJ$69)</f>
        <v>1.241598009491408E-5</v>
      </c>
      <c r="IZ25" s="165">
        <f>_xlfn.FORECAST.LINEAR(Sheet3!CC25,Sheet2!$AK$2:$AK$69,Sheet2!$AJ$2:$AJ$69)</f>
        <v>1.2197332783937431E-5</v>
      </c>
      <c r="JA25" s="165">
        <f>_xlfn.FORECAST.LINEAR(Sheet3!CD25,Sheet2!$AK$2:$AK$69,Sheet2!$AJ$2:$AJ$69)</f>
        <v>1.212646738741692E-5</v>
      </c>
      <c r="JB25" s="165">
        <f>_xlfn.FORECAST.LINEAR(Sheet3!CE25,Sheet2!$AK$2:$AK$69,Sheet2!$AJ$2:$AJ$69)</f>
        <v>1.1975094541238517E-5</v>
      </c>
      <c r="JC25" s="165">
        <f>_xlfn.FORECAST.LINEAR(Sheet3!CF25,Sheet2!$AK$2:$AK$69,Sheet2!$AJ$2:$AJ$69)</f>
        <v>1.1796304796025143E-5</v>
      </c>
      <c r="JD25" s="165">
        <f>_xlfn.FORECAST.LINEAR(Sheet3!CG25,Sheet2!$AK$2:$AK$69,Sheet2!$AJ$2:$AJ$69)</f>
        <v>1.1643465240779187E-5</v>
      </c>
      <c r="JE25" s="188">
        <f>_xlfn.FORECAST.LINEAR(Sheet3!DF25,New!$MC$2:$MC$18,New!$MB$2:$MB$18)</f>
        <v>2.214324918296784E-5</v>
      </c>
      <c r="JF25" s="165">
        <f>_xlfn.FORECAST.LINEAR(Sheet3!BZ25,New!$MC$2:$MC$18,New!$MB$2:$MB$18)</f>
        <v>2.2150904820966033E-5</v>
      </c>
      <c r="JG25" s="165">
        <f>_xlfn.FORECAST.LINEAR(Sheet3!CA25,New!$MC$2:$MC$18,New!$MB$2:$MB$18)</f>
        <v>2.1904280398913505E-5</v>
      </c>
      <c r="JH25" s="165">
        <f>_xlfn.FORECAST.LINEAR(Sheet3!CB25,New!$MC$2:$MC$18,New!$MB$2:$MB$18)</f>
        <v>2.1677948527086024E-5</v>
      </c>
      <c r="JI25" s="165">
        <f>_xlfn.FORECAST.LINEAR(Sheet3!CC25,New!$MC$2:$MC$18,New!$MB$2:$MB$18)</f>
        <v>2.1420923335603256E-5</v>
      </c>
      <c r="JJ25" s="165">
        <f>_xlfn.FORECAST.LINEAR(Sheet3!CD25,New!$MC$2:$MC$18,New!$MB$2:$MB$18)</f>
        <v>2.1337619351534905E-5</v>
      </c>
      <c r="JK25" s="165">
        <f>_xlfn.FORECAST.LINEAR(Sheet3!CE25,New!$MC$2:$MC$18,New!$MB$2:$MB$18)</f>
        <v>2.1159676917207639E-5</v>
      </c>
      <c r="JL25" s="165">
        <f>_xlfn.FORECAST.LINEAR(Sheet3!CF25,New!$MC$2:$MC$18,New!$MB$2:$MB$18)</f>
        <v>2.0949505256310649E-5</v>
      </c>
      <c r="JM25" s="165">
        <f>_xlfn.FORECAST.LINEAR(Sheet3!CG25,New!$MC$2:$MC$18,New!$MB$2:$MB$18)</f>
        <v>2.0769838670072921E-5</v>
      </c>
      <c r="JN25" s="188">
        <f t="shared" si="159"/>
        <v>1.9512448237734177E-5</v>
      </c>
      <c r="JO25" s="165">
        <f t="shared" si="160"/>
        <v>1.9520260833192314E-5</v>
      </c>
      <c r="JP25" s="165">
        <f t="shared" si="161"/>
        <v>1.9289313076346224E-5</v>
      </c>
      <c r="JQ25" s="165">
        <f t="shared" si="162"/>
        <v>1.9066254652895044E-5</v>
      </c>
      <c r="JR25" s="165">
        <f t="shared" si="163"/>
        <v>1.8820451807708104E-5</v>
      </c>
      <c r="JS25" s="165">
        <f t="shared" si="164"/>
        <v>1.873835948710172E-5</v>
      </c>
      <c r="JT25" s="165">
        <f t="shared" si="165"/>
        <v>1.8576511203083079E-5</v>
      </c>
      <c r="JU25" s="165">
        <f t="shared" si="166"/>
        <v>1.8368819633518104E-5</v>
      </c>
      <c r="JV25" s="165">
        <f t="shared" si="167"/>
        <v>1.8201870246964088E-5</v>
      </c>
      <c r="JW25" s="188">
        <f t="shared" si="66"/>
        <v>1.0286695457519455</v>
      </c>
      <c r="JX25" s="165">
        <f t="shared" si="67"/>
        <v>1.0285794998272877</v>
      </c>
      <c r="JY25" s="165">
        <f t="shared" si="68"/>
        <v>1.0315253271323446</v>
      </c>
      <c r="JZ25" s="165">
        <f t="shared" si="69"/>
        <v>1.0343130609109494</v>
      </c>
      <c r="KA25" s="165">
        <f t="shared" si="70"/>
        <v>1.0375814881457701</v>
      </c>
      <c r="KB25" s="165">
        <f t="shared" si="71"/>
        <v>1.0386651359683834</v>
      </c>
      <c r="KC25" s="165">
        <f t="shared" si="72"/>
        <v>1.0410211770192699</v>
      </c>
      <c r="KD25" s="165">
        <f t="shared" si="73"/>
        <v>1.0438788025808792</v>
      </c>
      <c r="KE25" s="165">
        <f t="shared" si="74"/>
        <v>1.046388511714645</v>
      </c>
      <c r="KF25" s="188">
        <f t="shared" si="75"/>
        <v>0.95677344983303514</v>
      </c>
      <c r="KG25" s="165">
        <f t="shared" si="76"/>
        <v>0.95684519221219422</v>
      </c>
      <c r="KH25" s="165">
        <f t="shared" si="77"/>
        <v>0.95450719749387247</v>
      </c>
      <c r="KI25" s="165">
        <f t="shared" si="78"/>
        <v>0.95231171478972576</v>
      </c>
      <c r="KJ25" s="165">
        <f t="shared" si="79"/>
        <v>0.94975850628734837</v>
      </c>
      <c r="KK25" s="165">
        <f t="shared" si="80"/>
        <v>0.94891690809924945</v>
      </c>
      <c r="KL25" s="165">
        <f t="shared" si="81"/>
        <v>0.94709550156120892</v>
      </c>
      <c r="KM25" s="165">
        <f t="shared" si="82"/>
        <v>0.94490159939739526</v>
      </c>
      <c r="KN25" s="165">
        <f t="shared" si="83"/>
        <v>0.94298846826436344</v>
      </c>
      <c r="KO25" s="188">
        <f t="shared" si="84"/>
        <v>0.60113522538782516</v>
      </c>
      <c r="KP25" s="165">
        <f t="shared" si="85"/>
        <v>0.60132076771457832</v>
      </c>
      <c r="KQ25" s="165">
        <f t="shared" si="86"/>
        <v>0.5969652547891815</v>
      </c>
      <c r="KR25" s="165">
        <f t="shared" si="87"/>
        <v>0.59284833406778692</v>
      </c>
      <c r="KS25" s="165">
        <f t="shared" si="88"/>
        <v>0.5881134873210806</v>
      </c>
      <c r="KT25" s="165">
        <f t="shared" si="89"/>
        <v>0.58654601855506994</v>
      </c>
      <c r="KU25" s="165">
        <f t="shared" si="90"/>
        <v>0.58322816898961094</v>
      </c>
      <c r="KV25" s="165">
        <f t="shared" si="91"/>
        <v>0.57916677738674627</v>
      </c>
      <c r="KW25" s="165">
        <f t="shared" si="92"/>
        <v>0.57578487495694175</v>
      </c>
      <c r="KX25" s="188">
        <f>AVERAGE(Sheet3!J25:P25)*KO25^(1/3)/ID25^(1/3)</f>
        <v>157.30354506292471</v>
      </c>
      <c r="KY25" s="165">
        <f>Sheet3!J25*KP25^(1/3)/IE25^(1/3)</f>
        <v>117.59681019255449</v>
      </c>
      <c r="KZ25" s="165">
        <f>Sheet3!K25*KQ25^(1/3)/IF25^(1/3)</f>
        <v>132.7670849847137</v>
      </c>
      <c r="LA25" s="165">
        <f>Sheet3!L25*KR25^(1/3)/IG25^(1/3)</f>
        <v>149.48523570815263</v>
      </c>
      <c r="LB25" s="165">
        <f>Sheet3!M25*KS25^(1/3)/IH25^(1/3)</f>
        <v>159.63864165386897</v>
      </c>
      <c r="LC25" s="165">
        <f>Sheet3!N25*KT25^(1/3)/II25^(1/3)</f>
        <v>167.32544307390862</v>
      </c>
      <c r="LD25" s="165">
        <f>Sheet3!O25*KU25^(1/3)/IJ25^(1/3)</f>
        <v>177.03544796665531</v>
      </c>
      <c r="LE25" s="165">
        <f>Sheet3!P25*KV25^(1/3)/IK25^(1/3)</f>
        <v>183.68518364906186</v>
      </c>
      <c r="LF25" s="165">
        <f>Sheet3!Q25*KW25^(1/3)/IL25^(1/3)</f>
        <v>199.69128481208912</v>
      </c>
      <c r="LG25" s="186">
        <f t="shared" si="93"/>
        <v>25.888070648118177</v>
      </c>
      <c r="LH25" s="183">
        <f t="shared" si="94"/>
        <v>25.900666627426389</v>
      </c>
      <c r="LI25" s="183">
        <f t="shared" si="95"/>
        <v>26.504136572351186</v>
      </c>
      <c r="LJ25" s="183">
        <f t="shared" si="96"/>
        <v>26.519466381565678</v>
      </c>
      <c r="LK25" s="183">
        <f t="shared" si="97"/>
        <v>26.934454639653776</v>
      </c>
      <c r="LL25" s="183">
        <f t="shared" si="98"/>
        <v>26.945450020170483</v>
      </c>
      <c r="LM25" s="183">
        <f t="shared" si="99"/>
        <v>27.715444603623268</v>
      </c>
      <c r="LN25" s="183">
        <f t="shared" si="100"/>
        <v>27.724061763512939</v>
      </c>
      <c r="LO25" s="183">
        <f t="shared" si="101"/>
        <v>28.359931629904672</v>
      </c>
      <c r="LP25" s="220"/>
      <c r="LQ25" s="220"/>
      <c r="LR25" s="220"/>
      <c r="LS25" s="220"/>
      <c r="LT25" s="220"/>
      <c r="LU25" s="220"/>
      <c r="LV25" s="220"/>
      <c r="LW25" s="220"/>
      <c r="LX25" s="220"/>
      <c r="LY25" s="220"/>
      <c r="LZ25" s="222">
        <v>113.32</v>
      </c>
      <c r="MA25" s="220">
        <v>1.2999999999999999E-5</v>
      </c>
      <c r="MB25" s="220"/>
      <c r="MC25" s="220"/>
      <c r="MD25" s="188">
        <f>Sheet3!DP25</f>
        <v>274.38258535995629</v>
      </c>
      <c r="ME25" s="263">
        <v>240</v>
      </c>
      <c r="MF25" s="263">
        <v>33.479999999999997</v>
      </c>
      <c r="MG25" s="263">
        <v>3.8809999999999998</v>
      </c>
      <c r="MH25" s="263">
        <v>16.760000000000002</v>
      </c>
      <c r="MI25" s="263">
        <v>17.75</v>
      </c>
      <c r="MJ25" s="263">
        <v>1.06</v>
      </c>
      <c r="MK25" s="273">
        <v>230</v>
      </c>
      <c r="ML25" s="267">
        <v>27.98</v>
      </c>
      <c r="MM25" s="267">
        <v>13.99</v>
      </c>
      <c r="MN25" s="267">
        <v>3.6339999999999999</v>
      </c>
      <c r="MO25" s="267">
        <v>17.36</v>
      </c>
      <c r="MP25" s="274">
        <v>1.24</v>
      </c>
      <c r="MQ25"/>
      <c r="MR25"/>
      <c r="MS25"/>
    </row>
    <row r="26" spans="1:357" ht="15" thickBot="1" x14ac:dyDescent="0.35">
      <c r="A26" s="184" t="str">
        <f>Sheet3!A26</f>
        <v>15.12.2022</v>
      </c>
      <c r="B26" s="186">
        <f t="shared" si="102"/>
        <v>0.90370832577877136</v>
      </c>
      <c r="C26" s="183">
        <f t="shared" si="103"/>
        <v>0.90393723117914304</v>
      </c>
      <c r="D26" s="183">
        <f t="shared" si="0"/>
        <v>0.89005925695303456</v>
      </c>
      <c r="E26" s="183">
        <f t="shared" si="1"/>
        <v>0.87696202026555814</v>
      </c>
      <c r="F26" s="183">
        <f t="shared" si="2"/>
        <v>0.8622024495980527</v>
      </c>
      <c r="G26" s="183">
        <f t="shared" si="3"/>
        <v>0.85388324322902409</v>
      </c>
      <c r="H26" s="183">
        <f t="shared" si="4"/>
        <v>0.84218960817573807</v>
      </c>
      <c r="I26" s="183">
        <f t="shared" si="5"/>
        <v>0.83197735741951229</v>
      </c>
      <c r="J26" s="183">
        <f t="shared" si="6"/>
        <v>0.82428786088743555</v>
      </c>
      <c r="K26" s="186">
        <f xml:space="preserve"> (6.057 * (10^(-6)))
+ (4.055 * (10^(-8)) * (Sheet3!DF26 + 273))
+ (1.25 * (10^(-10)) * (Sheet3!DF26 + 273)^2)
- (3.367 * (10^(-14)) * (DD26 + 273)^3)</f>
        <v>4.4157771116367331E-5</v>
      </c>
      <c r="L26" s="183">
        <f xml:space="preserve"> (6.057 * (10^(-6)))
+ (4.055 * (10^(-8)) * (Sheet3!BZ26 + 273))
+ (1.25 * (10^(-10)) * (Sheet3!BZ26 + 273)^2)
- (3.367 * (10^(-14)) * (BX26 + 273)^3)</f>
        <v>4.416088897754356E-5</v>
      </c>
      <c r="M26" s="183">
        <f xml:space="preserve"> (6.057 * (10^(-6)))
+ (4.055 * (10^(-8)) * (Sheet3!CA26 + 273))
+ (1.25 * (10^(-10)) * (Sheet3!CA26 + 273)^2)
- (3.367 * (10^(-14)) * (BY26 + 273)^3)</f>
        <v>4.2906771366096694E-5</v>
      </c>
      <c r="N26" s="183">
        <f xml:space="preserve"> (6.057 * (10^(-6)))
+ (4.055 * (10^(-8)) * (Sheet3!CB26 + 273))
+ (1.25 * (10^(-10)) * (Sheet3!CB26 + 273)^2)
- (3.367 * (10^(-14)) * (BZ26 + 273)^3)</f>
        <v>4.1946014472162897E-5</v>
      </c>
      <c r="O26" s="183">
        <f xml:space="preserve"> (6.057 * (10^(-6)))
+ (4.055 * (10^(-8)) * (Sheet3!CC26 + 273))
+ (1.25 * (10^(-10)) * (Sheet3!CC26 + 273)^2)
- (3.367 * (10^(-14)) * (CA26 + 273)^3)</f>
        <v>4.079905249443227E-5</v>
      </c>
      <c r="P26" s="183">
        <f xml:space="preserve"> (6.057 * (10^(-6)))
+ (4.055 * (10^(-8)) * (Sheet3!CD26 + 273))
+ (1.25 * (10^(-10)) * (Sheet3!CD26 + 273)^2)
- (3.367 * (10^(-14)) * (CB26 + 273)^3)</f>
        <v>4.0231431025866022E-5</v>
      </c>
      <c r="Q26" s="183">
        <f xml:space="preserve"> (6.057 * (10^(-6)))
+ (4.055 * (10^(-8)) * (Sheet3!CE26 + 273))
+ (1.25 * (10^(-10)) * (Sheet3!CE26 + 273)^2)
- (3.367 * (10^(-14)) * (CC26 + 273)^3)</f>
        <v>3.924946283946441E-5</v>
      </c>
      <c r="R26" s="183">
        <f xml:space="preserve"> (6.057 * (10^(-6)))
+ (4.055 * (10^(-8)) * (Sheet3!CF26 + 273))
+ (1.25 * (10^(-10)) * (Sheet3!CF26 + 273)^2)
- (3.367 * (10^(-14)) * (CD26 + 273)^3)</f>
        <v>3.85964237660111E-5</v>
      </c>
      <c r="S26" s="183">
        <f xml:space="preserve"> (6.057 * (10^(-6)))
+ (4.055 * (10^(-8)) * (Sheet3!CG26 + 273))
+ (1.25 * (10^(-10)) * (Sheet3!CG26 + 273)^2)
- (3.367 * (10^(-14)) * (CE26 + 273)^3)</f>
        <v>3.7947788455570968E-5</v>
      </c>
      <c r="T26" s="188">
        <f t="shared" si="104"/>
        <v>4.4157771116367331E-5</v>
      </c>
      <c r="U26" s="165">
        <f t="shared" si="105"/>
        <v>4.416088897754356E-5</v>
      </c>
      <c r="V26" s="165">
        <f t="shared" si="106"/>
        <v>4.2906771366096694E-5</v>
      </c>
      <c r="W26" s="165">
        <f t="shared" si="107"/>
        <v>4.1946014472162897E-5</v>
      </c>
      <c r="X26" s="165">
        <f t="shared" si="108"/>
        <v>4.079905249443227E-5</v>
      </c>
      <c r="Y26" s="165">
        <f t="shared" si="109"/>
        <v>4.0231431025866022E-5</v>
      </c>
      <c r="Z26" s="165">
        <f t="shared" si="110"/>
        <v>3.924946283946441E-5</v>
      </c>
      <c r="AA26" s="165">
        <f t="shared" si="111"/>
        <v>3.85964237660111E-5</v>
      </c>
      <c r="AB26" s="165">
        <f t="shared" si="112"/>
        <v>3.7947788455570968E-5</v>
      </c>
      <c r="AC26" s="186">
        <f t="shared" si="8"/>
        <v>3.990574540569451E-5</v>
      </c>
      <c r="AD26" s="183">
        <f t="shared" si="9"/>
        <v>3.9918671708770264E-5</v>
      </c>
      <c r="AE26" s="183">
        <f t="shared" si="10"/>
        <v>3.8189569040361763E-5</v>
      </c>
      <c r="AF26" s="183">
        <f t="shared" si="11"/>
        <v>3.6785061593596313E-5</v>
      </c>
      <c r="AG26" s="183">
        <f t="shared" si="12"/>
        <v>3.5177043001979045E-5</v>
      </c>
      <c r="AH26" s="183">
        <f t="shared" si="13"/>
        <v>3.4352944804111262E-5</v>
      </c>
      <c r="AI26" s="183">
        <f t="shared" si="14"/>
        <v>3.3055489729876722E-5</v>
      </c>
      <c r="AJ26" s="183">
        <f t="shared" si="15"/>
        <v>3.2111350650689574E-5</v>
      </c>
      <c r="AK26" s="183">
        <f t="shared" si="16"/>
        <v>3.1279901371451514E-5</v>
      </c>
      <c r="AL26" s="186">
        <f t="shared" si="113"/>
        <v>3.6062669044330337E-2</v>
      </c>
      <c r="AM26" s="183">
        <f t="shared" si="114"/>
        <v>3.6068477518442374E-2</v>
      </c>
      <c r="AN26" s="183">
        <f t="shared" si="115"/>
        <v>3.5067411333990467E-2</v>
      </c>
      <c r="AO26" s="183">
        <f t="shared" si="116"/>
        <v>3.4295228087722625E-2</v>
      </c>
      <c r="AP26" s="183">
        <f t="shared" si="117"/>
        <v>3.3357531638361554E-2</v>
      </c>
      <c r="AQ26" s="183">
        <f t="shared" si="118"/>
        <v>3.2888991825062872E-2</v>
      </c>
      <c r="AR26" s="183">
        <f t="shared" si="119"/>
        <v>3.2068445658333784E-2</v>
      </c>
      <c r="AS26" s="183">
        <f t="shared" si="120"/>
        <v>3.151745887358029E-2</v>
      </c>
      <c r="AT26" s="183">
        <f t="shared" si="121"/>
        <v>3.0971154623943419E-2</v>
      </c>
      <c r="AU26" s="186">
        <f>_xlfn.FORECAST.LINEAR(Sheet3!DF26,Sheet2!$AH$2:$AH$40,Sheet2!$AG$2:$AG$40)</f>
        <v>4.0902410270024961E-2</v>
      </c>
      <c r="AV26" s="183">
        <f>_xlfn.FORECAST.LINEAR(Sheet3!BZ26,Sheet2!$AH$2:$AH$40,Sheet2!$AG$2:$AG$40)</f>
        <v>4.0915663963456431E-2</v>
      </c>
      <c r="AW26" s="183">
        <f>_xlfn.FORECAST.LINEAR(Sheet3!CA26,Sheet2!$AH$2:$AH$40,Sheet2!$AG$2:$AG$40)</f>
        <v>3.8701857088072812E-2</v>
      </c>
      <c r="AX26" s="183">
        <f>_xlfn.FORECAST.LINEAR(Sheet3!CB26,Sheet2!$AH$2:$AH$40,Sheet2!$AG$2:$AG$40)</f>
        <v>3.6982758827657593E-2</v>
      </c>
      <c r="AY26" s="183">
        <f>_xlfn.FORECAST.LINEAR(Sheet3!CC26,Sheet2!$AH$2:$AH$40,Sheet2!$AG$2:$AG$40)</f>
        <v>3.4903186788711266E-2</v>
      </c>
      <c r="AZ26" s="183">
        <f>_xlfn.FORECAST.LINEAR(Sheet3!CD26,Sheet2!$AH$2:$AH$40,Sheet2!$AG$2:$AG$40)</f>
        <v>3.3862542688613398E-2</v>
      </c>
      <c r="BA26" s="183">
        <f>_xlfn.FORECAST.LINEAR(Sheet3!CE26,Sheet2!$AH$2:$AH$40,Sheet2!$AG$2:$AG$40)</f>
        <v>3.2043963406272413E-2</v>
      </c>
      <c r="BB26" s="183">
        <f>_xlfn.FORECAST.LINEAR(Sheet3!CF26,Sheet2!$AH$2:$AH$40,Sheet2!$AG$2:$AG$40)</f>
        <v>3.0821160495789531E-2</v>
      </c>
      <c r="BC26" s="183">
        <f>_xlfn.FORECAST.LINEAR(Sheet3!CG26,Sheet2!$AH$2:$AH$40,Sheet2!$AG$2:$AG$40)</f>
        <v>2.9606476354251812E-2</v>
      </c>
      <c r="BD26" s="186">
        <f>_xlfn.FORECAST.LINEAR(Sheet3!DF26,Sheet2!$AB$12:$AB$37,Sheet2!$AA$12:$AA$37)/1000</f>
        <v>3.3915606923988664E-2</v>
      </c>
      <c r="BE26" s="183">
        <f>_xlfn.FORECAST.LINEAR(Sheet3!BZ26,Sheet2!$AB$12:$AB$37,Sheet2!$AA$12:$AA$37)/1000</f>
        <v>3.3918570143062939E-2</v>
      </c>
      <c r="BF26" s="183">
        <f>_xlfn.FORECAST.LINEAR(Sheet3!CA26,Sheet2!$AB$12:$AB$37,Sheet2!$AA$12:$AA$37)/1000</f>
        <v>3.3423614167673435E-2</v>
      </c>
      <c r="BG26" s="183">
        <f>_xlfn.FORECAST.LINEAR(Sheet3!CB26,Sheet2!$AB$12:$AB$37,Sheet2!$AA$12:$AA$37)/1000</f>
        <v>3.3039263587803284E-2</v>
      </c>
      <c r="BH26" s="183">
        <f>_xlfn.FORECAST.LINEAR(Sheet3!CC26,Sheet2!$AB$12:$AB$37,Sheet2!$AA$12:$AA$37)/1000</f>
        <v>3.2574319414770549E-2</v>
      </c>
      <c r="BI26" s="183">
        <f>_xlfn.FORECAST.LINEAR(Sheet3!CD26,Sheet2!$AB$12:$AB$37,Sheet2!$AA$12:$AA$37)/1000</f>
        <v>3.2341655481288083E-2</v>
      </c>
      <c r="BJ26" s="183">
        <f>_xlfn.FORECAST.LINEAR(Sheet3!CE26,Sheet2!$AB$12:$AB$37,Sheet2!$AA$12:$AA$37)/1000</f>
        <v>3.1935063247555746E-2</v>
      </c>
      <c r="BK26" s="183">
        <f>_xlfn.FORECAST.LINEAR(Sheet3!CF26,Sheet2!$AB$12:$AB$37,Sheet2!$AA$12:$AA$37)/1000</f>
        <v>3.1661672820415487E-2</v>
      </c>
      <c r="BL26" s="183">
        <f>_xlfn.FORECAST.LINEAR(Sheet3!CG26,Sheet2!$AB$12:$AB$37,Sheet2!$AA$12:$AA$37)/1000</f>
        <v>3.139009756209004E-2</v>
      </c>
      <c r="BM26" s="186">
        <f t="shared" si="122"/>
        <v>0.75407272419004956</v>
      </c>
      <c r="BN26" s="183">
        <f t="shared" si="123"/>
        <v>0.75398465114751168</v>
      </c>
      <c r="BO26" s="183">
        <f t="shared" si="124"/>
        <v>0.77042071074423257</v>
      </c>
      <c r="BP26" s="183">
        <f t="shared" si="125"/>
        <v>0.78337558582990219</v>
      </c>
      <c r="BQ26" s="183">
        <f t="shared" si="126"/>
        <v>0.79987486823548215</v>
      </c>
      <c r="BR26" s="183">
        <f t="shared" si="127"/>
        <v>0.80827356365476699</v>
      </c>
      <c r="BS26" s="183">
        <f t="shared" si="128"/>
        <v>0.82387845165243001</v>
      </c>
      <c r="BT26" s="183">
        <f t="shared" si="129"/>
        <v>0.83436146067981554</v>
      </c>
      <c r="BU26" s="183">
        <f t="shared" si="130"/>
        <v>0.84544592395092599</v>
      </c>
      <c r="BV26" s="186">
        <f t="shared" si="131"/>
        <v>1.1984204374475018</v>
      </c>
      <c r="BW26" s="183">
        <f t="shared" si="19"/>
        <v>1.1983652970567371</v>
      </c>
      <c r="BX26" s="183">
        <f t="shared" si="20"/>
        <v>1.1918757973626197</v>
      </c>
      <c r="BY26" s="183">
        <f t="shared" si="21"/>
        <v>1.1901238965973138</v>
      </c>
      <c r="BZ26" s="183">
        <f t="shared" si="22"/>
        <v>1.1855299371388068</v>
      </c>
      <c r="CA26" s="183">
        <f t="shared" si="23"/>
        <v>1.1844813166665056</v>
      </c>
      <c r="CB26" s="183">
        <f t="shared" si="24"/>
        <v>1.177527803774274</v>
      </c>
      <c r="CC26" s="183">
        <f t="shared" si="25"/>
        <v>1.1763549547610865</v>
      </c>
      <c r="CD26" s="183">
        <f t="shared" si="26"/>
        <v>1.1711329140174898</v>
      </c>
      <c r="CE26" s="187">
        <f xml:space="preserve"> -0.0000000019505*Sheet3!DF26^3 + 0.0000015497*Sheet3!DF26^2  + 0.00016911*Sheet3!DF26 + 1.8585</f>
        <v>1.9096570494375</v>
      </c>
      <c r="CF26" s="185">
        <f xml:space="preserve"> -0.0000000019505*Sheet3!BZ26^3 + 0.0000015497*Sheet3!BZ26^2  + 0.00016911*Sheet3!BZ26 + 1.8585</f>
        <v>1.9096828914859885</v>
      </c>
      <c r="CG26" s="185">
        <f xml:space="preserve"> -0.0000000019505*Sheet3!CA26^3 + 0.0000015497*Sheet3!CA26^2  + 0.00016911*Sheet3!CA26 + 1.8585</f>
        <v>1.9054205671191655</v>
      </c>
      <c r="CH26" s="185">
        <f xml:space="preserve"> -0.0000000019505*Sheet3!CB26^3 + 0.0000015497*Sheet3!CB26^2  + 0.00016911*Sheet3!CB26 + 1.8585</f>
        <v>1.9021890326127382</v>
      </c>
      <c r="CI26" s="185">
        <f xml:space="preserve"> -0.0000000019505*Sheet3!CC26^3 + 0.0000015497*Sheet3!CC26^2  + 0.00016911*Sheet3!CC26 + 1.8585</f>
        <v>1.8983770249426546</v>
      </c>
      <c r="CJ26" s="185">
        <f xml:space="preserve"> -0.0000000019505*Sheet3!CD26^3 + 0.0000015497*Sheet3!CD26^2  + 0.00016911*Sheet3!CD26 + 1.8585</f>
        <v>1.8965112434380484</v>
      </c>
      <c r="CK26" s="185">
        <f xml:space="preserve"> -0.0000000019505*Sheet3!CE26^3 + 0.0000015497*Sheet3!CE26^2  + 0.00016911*Sheet3!CE26 + 1.8585</f>
        <v>1.8933206753086982</v>
      </c>
      <c r="CL26" s="185">
        <f xml:space="preserve"> -0.0000000019505*Sheet3!CF26^3 + 0.0000015497*Sheet3!CF26^2  + 0.00016911*Sheet3!CF26 + 1.8585</f>
        <v>1.891227211289455</v>
      </c>
      <c r="CM26" s="185">
        <f xml:space="preserve"> -0.0000000019505*Sheet3!CG26^3 + 0.0000015497*Sheet3!CG26^2  + 0.00016911*Sheet3!CG26 + 1.8585</f>
        <v>1.8891904282995606</v>
      </c>
      <c r="CN26" s="186">
        <f>_xlfn.FORECAST.LINEAR(Sheet3!DF26,New!$LU$2:$LU$14,New!$LT$2:$LT$14)</f>
        <v>1.023844178140866</v>
      </c>
      <c r="CO26" s="183">
        <f>_xlfn.FORECAST.LINEAR(Sheet3!BZ26,New!$LU$2:$LU$14,New!$LT$2:$LT$14)</f>
        <v>1.0238539330331105</v>
      </c>
      <c r="CP26" s="183">
        <f>_xlfn.FORECAST.LINEAR(Sheet3!CA26,New!$LU$2:$LU$14,New!$LT$2:$LT$14)</f>
        <v>1.0222245421292784</v>
      </c>
      <c r="CQ26" s="183">
        <f>_xlfn.FORECAST.LINEAR(Sheet3!CB26,New!$LU$2:$LU$14,New!$LT$2:$LT$14)</f>
        <v>1.0209592632562834</v>
      </c>
      <c r="CR26" s="183">
        <f>_xlfn.FORECAST.LINEAR(Sheet3!CC26,New!$LU$2:$LU$14,New!$LT$2:$LT$14)</f>
        <v>1.0194286709531333</v>
      </c>
      <c r="CS26" s="183">
        <f>_xlfn.FORECAST.LINEAR(Sheet3!CD26,New!$LU$2:$LU$14,New!$LT$2:$LT$14)</f>
        <v>1.0186627432429611</v>
      </c>
      <c r="CT26" s="183">
        <f>_xlfn.FORECAST.LINEAR(Sheet3!CE26,New!$LU$2:$LU$14,New!$LT$2:$LT$14)</f>
        <v>1.0173242450327096</v>
      </c>
      <c r="CU26" s="183">
        <f>_xlfn.FORECAST.LINEAR(Sheet3!CF26,New!$LU$2:$LU$14,New!$LT$2:$LT$14)</f>
        <v>1.0164242460483017</v>
      </c>
      <c r="CV26" s="183">
        <f>_xlfn.FORECAST.LINEAR(Sheet3!CG26,New!$LU$2:$LU$14,New!$LT$2:$LT$14)</f>
        <v>1.0155302225843501</v>
      </c>
      <c r="CW26" s="186">
        <f>EXP((17.625*Sheet3!BA26)/(243.04+Sheet3!BA26)) / EXP((17.625*Sheet3!DF26)/(243.04+Sheet3!DF26))</f>
        <v>5.5151572236324095E-2</v>
      </c>
      <c r="CX26" s="183">
        <f>EXP((17.625*(Sheet3!BC26+273))/(243.04+(Sheet3!BC26+273)))/EXP((17.625*(Sheet3!BZ26+273))/(243.04+(Sheet3!BZ26+273)))</f>
        <v>0.40601560474255022</v>
      </c>
      <c r="CY26" s="183">
        <f>EXP((17.625*(Sheet3!BE26+273))/(243.04+(Sheet3!BE26+273))) / EXP((17.625*(Sheet3!CA26+273))/(243.04+(Sheet3!CA26+273)))</f>
        <v>0.44214444066747549</v>
      </c>
      <c r="CZ26" s="183">
        <f>EXP((17.625*(Sheet3!BG26+273))/(243.04+(Sheet3!BG26+273))) / EXP((17.625*(Sheet3!CB26+273))/(243.04+(Sheet3!CB26+273)))</f>
        <v>0.47170655893410968</v>
      </c>
      <c r="DA26" s="183">
        <f>EXP((17.625*(Sheet3!BI26+273))/(243.04+(Sheet3!BI26+273))) / EXP((17.625*(Sheet3!CC26+273))/(243.04+(Sheet3!CC26+273)))</f>
        <v>0.51200240652552931</v>
      </c>
      <c r="DB26" s="183">
        <f>EXP((17.625*(Sheet3!BK26+273))/(243.04+(Sheet3!BK26+273)))/EXP((17.625*(Sheet3!CD26+273))/(243.04+(Sheet3!CD26+273)))</f>
        <v>0.53468973396305319</v>
      </c>
      <c r="DC26" s="183">
        <f>EXP((17.625*(Sheet3!BM26+273))/(243.04+(Sheet3!BM26+273))) / EXP((17.625*(Sheet3!CE26+273))/(243.04+(Sheet3!CE26+273)))</f>
        <v>0.57387853042558157</v>
      </c>
      <c r="DD26" s="183">
        <f>EXP((17.625*(Sheet3!BO26+273))/(243.04+(Sheet3!BO26+273))) / EXP((17.625*(Sheet3!CF26+273))/(243.04+(Sheet3!CF26+273)))</f>
        <v>0.60504984865933398</v>
      </c>
      <c r="DE26" s="183">
        <f>EXP((17.625*(Sheet3!BQ26+273))/(243.04+(Sheet3!BQ26+273))) / EXP((17.625*(Sheet3!CG26+273))/(243.04+(Sheet3!CG26+273)))</f>
        <v>0.63489305033238996</v>
      </c>
      <c r="DF26" s="186">
        <f>((Sheet3!DA26-Sheet3!DB26)/New!$LQ$3)/(((Sheet3!DA26-Sheet3!DB26)/New!$LQ$3)+(Sheet3!DB26/New!$LP$3))</f>
        <v>0.7170616268088017</v>
      </c>
      <c r="DG26" s="183">
        <f>((Sheet3!DA26-Sheet3!DB26)/New!$LQ$3)/(((Sheet3!DA26-Sheet3!DB26)/New!$LQ$3)+((Sheet3!DB26-(Sheet3!B26*0.004))/New!$LP$3))</f>
        <v>0.71736232211014461</v>
      </c>
      <c r="DH26" s="183" cm="1">
        <f t="array" ref="DH26">((Sheet3!DA26-Sheet3!DB26)/New!$LQ$3)/(((Sheet3!DA26-Sheet3!DB26)/New!$LQ$3)+((Sheet3!DB26-(SUM(Sheet3!B26:C26*0.004)))/New!$LP$3))</f>
        <v>0.73708231853168338</v>
      </c>
      <c r="DI26" s="183" cm="1">
        <f t="array" ref="DI26">((Sheet3!DA26-Sheet3!DB26)/New!$LQ$3)/(((Sheet3!DA26-Sheet3!DB26)/New!$LQ$3)+((Sheet3!DB26-(SUM(Sheet3!B26:D26*0.004)))/New!$LP$3))</f>
        <v>0.73759080929655407</v>
      </c>
      <c r="DJ26" s="183" cm="1">
        <f t="array" ref="DJ26">((Sheet3!DA26-Sheet3!DB26)/New!$LQ$3)/(((Sheet3!DA26-Sheet3!DB26)/New!$LQ$3)+((Sheet3!DB26-(SUM(Sheet3!B26:E26*0.004)))/New!$LP$3))</f>
        <v>0.75007437721854187</v>
      </c>
      <c r="DK26" s="183" cm="1">
        <f t="array" ref="DK26">((Sheet3!DA26-Sheet3!DB26)/New!$LQ$3)/(((Sheet3!DA26-Sheet3!DB26)/New!$LQ$3)+((Sheet3!DB26-(SUM(Sheet3!B26:F26*0.004)))/New!$LP$3))</f>
        <v>0.75043632211622424</v>
      </c>
      <c r="DL26" s="183" cm="1">
        <f t="array" ref="DL26">((Sheet3!DA26-Sheet3!DB26)/New!$LQ$3)/(((Sheet3!DA26-Sheet3!DB26)/New!$LQ$3)+((Sheet3!DB26-(SUM(Sheet3!B26:G26*0.004)))/New!$LP$3))</f>
        <v>0.77677664515778222</v>
      </c>
      <c r="DM26" s="183" cm="1">
        <f t="array" ref="DM26">((Sheet3!DA26-Sheet3!DB26)/New!$LQ$3)/(((Sheet3!DA26-Sheet3!DB26)/New!$LQ$3)+((Sheet3!DB26-(SUM(Sheet3!B26:H26*0.004)))/New!$LP$3))</f>
        <v>0.77705891968823437</v>
      </c>
      <c r="DN26" s="183" cm="1">
        <f t="array" ref="DN26">((Sheet3!DA26-Sheet3!DB26)/New!$LQ$3)/(((Sheet3!DA26-Sheet3!DB26)/New!$LQ$3)+((Sheet3!DB26-(SUM(Sheet3!B26:I26*0.004)))/New!$LP$3))</f>
        <v>0.79894250033019654</v>
      </c>
      <c r="DO26" s="186">
        <f>(Sheet3!DB26/$LP$3) / ((Sheet3!DB26/$LP$3) + ((Sheet3!DA26-Sheet3!DB26)/$LQ$3))</f>
        <v>0.28293837319119836</v>
      </c>
      <c r="DP26" s="183">
        <f>((Sheet3!$DB26-(Sheet3!B26/4000)) / $LP$3) / (((Sheet3!$DA26-Sheet3!DB26) / $LQ$3) + (Sheet3!$DB26-((Sheet3!B26/4000)))/$LP$3)</f>
        <v>0.28291958712032172</v>
      </c>
      <c r="DQ26" s="183">
        <f>((Sheet3!$DB26-(SUM(Sheet3!B26:C26)/4000))/$LP$3)/(((Sheet3!$DA26-Sheet3!$DB26)/$LQ$3)+(Sheet3!$DB26-(SUM(Sheet3!B26:C26)/4000))/$LP$3)</f>
        <v>0.28171899764138941</v>
      </c>
      <c r="DR26" s="183">
        <f>((Sheet3!$DB26-(SUM(Sheet3!B26:D26)/4000))/$LP$3)/(((Sheet3!$DA26-Sheet3!$DB26)/$LQ$3)+(Sheet3!$DB26-(SUM(Sheet3!B26:D26)/4000))/$LP$3)</f>
        <v>0.28168883713750742</v>
      </c>
      <c r="DS26" s="183">
        <f>((Sheet3!$DB26-(SUM(Sheet3!B26:E26)/4000))/$LP$3)/(((Sheet3!$DA26-Sheet3!$DB26)/$LQ$3)+(Sheet3!$DB26-(SUM(Sheet3!B26:E26)/4000))/$LP$3)</f>
        <v>0.28096044656541735</v>
      </c>
      <c r="DT26" s="183">
        <f>((Sheet3!$DB26-(SUM(Sheet3!B26:F26)/4000))/$LP$3)/(((Sheet3!$DA26-Sheet3!$DB26)/$LQ$3)+(Sheet3!$DB26-(SUM(Sheet3!B26:F26)/4000))/$LP$3)</f>
        <v>0.28093966767216944</v>
      </c>
      <c r="DU26" s="183">
        <f>((Sheet3!$DB26-(SUM(Sheet3!B26:G26)/4000))/$LP$3)/(((Sheet3!$DA26-Sheet3!$DB26)/$LQ$3)+(Sheet3!$DB26-(SUM(Sheet3!B26:G26)/4000))/$LP$3)</f>
        <v>0.27947646457766462</v>
      </c>
      <c r="DV26" s="183">
        <f>((Sheet3!$DB26-(SUM(Sheet3!B26:H26)/4000))/$LP$3)/(((Sheet3!$DA26-Sheet3!$DB26)/$LQ$3)+(Sheet3!$DB26-(SUM(Sheet3!B26:H26)/4000))/$LP$3)</f>
        <v>0.27946129033271472</v>
      </c>
      <c r="DW26" s="183">
        <f>((Sheet3!$DB26-(SUM(Sheet3!B26:I26)/4000))/$LP$3)/(((Sheet3!$DA26-Sheet3!$DB26)/$LQ$3)+(Sheet3!$DB26-(SUM(Sheet3!B26:I26)/4000))/$LP$3)</f>
        <v>0.27831568900502945</v>
      </c>
      <c r="DX26" s="186">
        <f>($LR$2*($LP$3/1000))/($LP$2*(Sheet3!DF26+273))*DO26</f>
        <v>0.1486128726505937</v>
      </c>
      <c r="DY26" s="183">
        <f>(($LR$2*($LP$3/1000))/($LP$2*(Sheet3!BZ26+273)))*(DP26)</f>
        <v>0.1485844677410533</v>
      </c>
      <c r="DZ26" s="183">
        <f>(($LR$2*($LP$3/1000))/($LP$2*(Sheet3!CA26+273)))*(DQ26)</f>
        <v>0.15110240601991928</v>
      </c>
      <c r="EA26" s="183">
        <f>(($LR$2*($LP$3/1000))/($LP$2*(Sheet3!CB26+273)))*(DR26)</f>
        <v>0.1536248335220749</v>
      </c>
      <c r="EB26" s="183">
        <f>(($LR$2*($LP$3/1000))/($LP$2*(Sheet3!CC26+273)))*(DS26)</f>
        <v>0.15640664989082154</v>
      </c>
      <c r="EC26" s="183">
        <f>(($LR$2*($LP$3/1000))/($LP$2*(Sheet3!CD26+273)))*(DT26)</f>
        <v>0.15803584425992134</v>
      </c>
      <c r="ED26" s="183">
        <f>(($LR$2*($LP$3/1000))/($LP$2*(Sheet3!CE26+273)))*(DU26)</f>
        <v>0.16014889190856238</v>
      </c>
      <c r="EE26" s="183">
        <f>(($LR$2*($LP$3/1000))/($LP$2*(Sheet3!CF26+273)))*(DV26)</f>
        <v>0.16217677657902632</v>
      </c>
      <c r="EF26" s="183">
        <f>(($LR$2*($LP$3/1000))/($LP$2*(Sheet3!CG26+273)))*(DW26)</f>
        <v>0.16357845588921374</v>
      </c>
      <c r="EG26" s="186">
        <f>(($LR$2*($LQ$3/1000))/($LQ$2*(Sheet3!DF26+273)))*(1-DO26)</f>
        <v>0.60545985153945592</v>
      </c>
      <c r="EH26" s="183">
        <f>(($LR$2*($LQ$3/1000))/($LQ$2*(Sheet3!BZ26+273)))*(1-DP26)</f>
        <v>0.6054001834064584</v>
      </c>
      <c r="EI26" s="183">
        <f>(($LR$2*($LQ$3/1000))/($LQ$2*(Sheet3!CA26+273)))*(1-DQ26)</f>
        <v>0.61931830472431326</v>
      </c>
      <c r="EJ26" s="183">
        <f>(($LR$2*($LQ$3/1000))/($LQ$2*(Sheet3!CB26+273)))*(1-DR26)</f>
        <v>0.62975075230782729</v>
      </c>
      <c r="EK26" s="183">
        <f>(($LR$2*($LQ$3/1000))/($LQ$2*(Sheet3!CC26+273)))*(1-DS26)</f>
        <v>0.64346821834466061</v>
      </c>
      <c r="EL26" s="183">
        <f>(($LR$2*($LQ$3/1000))/($LQ$2*(Sheet3!CD26+273)))*(1-DT26)</f>
        <v>0.65023771939484565</v>
      </c>
      <c r="EM26" s="183">
        <f>(($LR$2*($LQ$3/1000))/($LQ$2*(Sheet3!CE26+273)))*(1-DU26)</f>
        <v>0.6637295597438676</v>
      </c>
      <c r="EN26" s="183">
        <f>(($LR$2*($LQ$3/1000))/($LQ$2*(Sheet3!CF26+273)))*(1-DV26)</f>
        <v>0.67218468410078924</v>
      </c>
      <c r="EO26" s="183">
        <f>(($LR$2*($LQ$3/1000))/($LQ$2*(Sheet3!CG26+273)))*(1-DW26)</f>
        <v>0.68186746806171228</v>
      </c>
      <c r="EP26" s="186">
        <f t="shared" si="132"/>
        <v>3007.3576891254611</v>
      </c>
      <c r="EQ26" s="183">
        <f xml:space="preserve"> (($FV26-(Sheet3!B26/4000))*0.018)/(0.011*JO26*3600)</f>
        <v>3006.9704830963506</v>
      </c>
      <c r="ER26" s="183">
        <f>((($FV26-(SUM(Sheet3!B26:C26)/4000))*0.018)/(0.011*JP26*3600))</f>
        <v>3053.8005232784053</v>
      </c>
      <c r="ES26" s="183">
        <f>((($FV26-(SUM(Sheet3!B26:D26)/4000))*0.018)/(0.011*JQ26*3600))</f>
        <v>3095.3144171055419</v>
      </c>
      <c r="ET26" s="183">
        <f>((($FV26-(SUM(Sheet3!B26:E26)/4000))*0.018)/(0.011*JR26))/3600</f>
        <v>3143.9625647802081</v>
      </c>
      <c r="EU26" s="183">
        <f>((($FV26-(SUM(Sheet3!B26:F26)/4000))*0.018)/(0.011*JS26))/3600</f>
        <v>3170.5053496351356</v>
      </c>
      <c r="EV26" s="183">
        <f>((($FV26-(SUM(Sheet3!B26:G26)/4000))*0.018)/(0.011*JT26))/3600</f>
        <v>3211.3586168513143</v>
      </c>
      <c r="EW26" s="183">
        <f>((($FV26-(SUM(Sheet3!B26:H26)/4000))*0.018)/(0.011*JU26))/3600</f>
        <v>3244.0873171025387</v>
      </c>
      <c r="EX26" s="183">
        <f>((($FV26-(SUM(Sheet3!B26:I26)/4000))*0.018)/(0.011*JV26))/3600</f>
        <v>3271.8942979897506</v>
      </c>
      <c r="EY26" s="186">
        <f t="shared" si="133"/>
        <v>36.658902499106716</v>
      </c>
      <c r="EZ26" s="183">
        <f t="shared" si="134"/>
        <v>36.65465477174061</v>
      </c>
      <c r="FA26" s="183">
        <f t="shared" si="135"/>
        <v>37.094611138441216</v>
      </c>
      <c r="FB26" s="183">
        <f t="shared" si="136"/>
        <v>37.509457936950646</v>
      </c>
      <c r="FC26" s="183">
        <f t="shared" si="137"/>
        <v>37.982954162339432</v>
      </c>
      <c r="FD26" s="183">
        <f t="shared" si="138"/>
        <v>38.251163623660943</v>
      </c>
      <c r="FE26" s="183">
        <f t="shared" si="139"/>
        <v>38.632643948899414</v>
      </c>
      <c r="FF26" s="183">
        <f t="shared" si="140"/>
        <v>38.966819814727295</v>
      </c>
      <c r="FG26" s="183">
        <f t="shared" si="141"/>
        <v>39.224845601299641</v>
      </c>
      <c r="FH26" s="186">
        <f t="shared" si="28"/>
        <v>73.44543713075889</v>
      </c>
      <c r="FI26" s="183">
        <f t="shared" si="29"/>
        <v>73.448755087821823</v>
      </c>
      <c r="FJ26" s="183">
        <f t="shared" si="30"/>
        <v>72.267332614785701</v>
      </c>
      <c r="FK26" s="183">
        <f t="shared" si="31"/>
        <v>71.466411966364447</v>
      </c>
      <c r="FL26" s="183">
        <f t="shared" si="32"/>
        <v>70.389866399370788</v>
      </c>
      <c r="FM26" s="183">
        <f t="shared" si="33"/>
        <v>69.891233762095951</v>
      </c>
      <c r="FN26" s="183">
        <f t="shared" si="34"/>
        <v>68.827157950724356</v>
      </c>
      <c r="FO26" s="183">
        <f t="shared" si="35"/>
        <v>68.229730052493395</v>
      </c>
      <c r="FP26" s="183">
        <f t="shared" si="36"/>
        <v>67.491042123231011</v>
      </c>
      <c r="FQ26" s="314">
        <f>Sheet3!CV26</f>
        <v>2</v>
      </c>
      <c r="FR26" s="183">
        <v>3000</v>
      </c>
      <c r="FS26" s="183">
        <v>20</v>
      </c>
      <c r="FT26" s="183">
        <v>0.16300000000000001</v>
      </c>
      <c r="FU26" s="183">
        <v>36.22</v>
      </c>
      <c r="FV26" s="183">
        <v>137</v>
      </c>
      <c r="FW26" s="183">
        <v>27</v>
      </c>
      <c r="FX26" s="183">
        <v>276</v>
      </c>
      <c r="FY26" s="183">
        <v>9.7200000000000006</v>
      </c>
      <c r="FZ26" s="183">
        <v>27.08</v>
      </c>
      <c r="GA26" s="183">
        <v>145</v>
      </c>
      <c r="GB26" s="186">
        <f>EXP($LP$6-($LQ$6/('Trial and Error method'!T26+$LP$8))) / ($LR$2/1000)</f>
        <v>0.16812649114146297</v>
      </c>
      <c r="GC26" s="183">
        <f>EXP($LP$6-($LQ$6/('Trial and Error method'!U26+$LP$8))) / ($LR$2/1000)</f>
        <v>0.15996206716145633</v>
      </c>
      <c r="GD26" s="183">
        <f>EXP($LP$6-($LQ$6/('Trial and Error method'!V26+$LP$8))) / ($LR$2/1000)</f>
        <v>0.14915241437183849</v>
      </c>
      <c r="GE26" s="183">
        <f>EXP($LP$6-($LQ$6/('Trial and Error method'!W26+$LP$8))) / ($LR$2/1000)</f>
        <v>0.12936676905603137</v>
      </c>
      <c r="GF26" s="183">
        <f>EXP($LP$6-($LQ$6/('Trial and Error method'!X26+$LP$8))) / ($LR$2/1000)</f>
        <v>0.25407909089804698</v>
      </c>
      <c r="GG26" s="183">
        <f>EXP($LP$6-($LQ$6/('Trial and Error method'!Y26+$LP$8))) / ($LR$2/1000)</f>
        <v>0.24744461875826007</v>
      </c>
      <c r="GH26" s="183">
        <f>EXP($LP$6-($LQ$6/('Trial and Error method'!Z26+$LP$8))) / ($LR$2/1000)</f>
        <v>0.23330201475163811</v>
      </c>
      <c r="GI26" s="183">
        <f>EXP($LP$6-($LQ$6/('Trial and Error method'!AA26+$LP$8))) / ($LR$2/1000)</f>
        <v>0.2233499493668745</v>
      </c>
      <c r="GJ26" s="183">
        <f>EXP($LP$6-($LQ$6/('Trial and Error method'!AB26+$LP$8))) / ($LR$2/1000)</f>
        <v>0.21082547300151655</v>
      </c>
      <c r="GK26" s="188">
        <f t="shared" si="142"/>
        <v>0.77304711486886368</v>
      </c>
      <c r="GL26" s="165">
        <f t="shared" si="143"/>
        <v>0.77693825420570162</v>
      </c>
      <c r="GM26" s="165">
        <f t="shared" si="144"/>
        <v>0.78269409736083895</v>
      </c>
      <c r="GN26" s="165">
        <f t="shared" si="145"/>
        <v>0.79203251144161579</v>
      </c>
      <c r="GO26" s="165">
        <f t="shared" si="146"/>
        <v>0.73239801378480807</v>
      </c>
      <c r="GP26" s="165">
        <f t="shared" si="147"/>
        <v>0.735680777262256</v>
      </c>
      <c r="GQ26" s="165">
        <f t="shared" si="148"/>
        <v>0.74337176565979446</v>
      </c>
      <c r="GR26" s="165">
        <f t="shared" si="149"/>
        <v>0.74824376050664421</v>
      </c>
      <c r="GS26" s="165">
        <f t="shared" si="150"/>
        <v>0.75492668556148479</v>
      </c>
      <c r="GT26" s="188">
        <f t="shared" si="38"/>
        <v>5.275939858315206E-2</v>
      </c>
      <c r="GU26" s="165">
        <f t="shared" si="39"/>
        <v>5.2491087334558387E-2</v>
      </c>
      <c r="GV26" s="165">
        <f t="shared" si="40"/>
        <v>5.2080529816743985E-2</v>
      </c>
      <c r="GW26" s="165">
        <f t="shared" si="41"/>
        <v>5.1477247005937907E-2</v>
      </c>
      <c r="GX26" s="165">
        <f t="shared" si="42"/>
        <v>5.5668988687649759E-2</v>
      </c>
      <c r="GY26" s="165">
        <f t="shared" si="43"/>
        <v>5.5433861450328775E-2</v>
      </c>
      <c r="GZ26" s="165">
        <f t="shared" si="44"/>
        <v>5.4846012851504006E-2</v>
      </c>
      <c r="HA26" s="165">
        <f t="shared" si="45"/>
        <v>5.4511341160050408E-2</v>
      </c>
      <c r="HB26" s="165">
        <f t="shared" si="46"/>
        <v>5.401548453689653E-2</v>
      </c>
      <c r="HC26" s="188">
        <f>BV26*Sheet3!DF26</f>
        <v>173.77096342988776</v>
      </c>
      <c r="HD26" s="165">
        <f>BW26*Sheet3!BZ26</f>
        <v>173.8254629839025</v>
      </c>
      <c r="HE26" s="165">
        <f>BX26*Sheet3!CA26</f>
        <v>162.50195071122621</v>
      </c>
      <c r="HF26" s="165">
        <f>BY26*Sheet3!CB26</f>
        <v>154.21280683907213</v>
      </c>
      <c r="HG26" s="165">
        <f>BZ26*Sheet3!CC26</f>
        <v>143.91679182299083</v>
      </c>
      <c r="HH26" s="165">
        <f>CA26*Sheet3!CD26</f>
        <v>138.93941457252265</v>
      </c>
      <c r="HI26" s="165">
        <f>CB26*Sheet3!CE26</f>
        <v>129.69775998302578</v>
      </c>
      <c r="HJ26" s="165">
        <f>CC26*Sheet3!CF26</f>
        <v>123.90861763310518</v>
      </c>
      <c r="HK26" s="165">
        <f>CD26*Sheet3!CG26</f>
        <v>117.7611440358632</v>
      </c>
      <c r="HL26" s="188">
        <f>(CE26*Sheet3!DF26)+2501</f>
        <v>2777.9002721684374</v>
      </c>
      <c r="HM26" s="165">
        <f>(CF26*Sheet3!BZ26)+2501</f>
        <v>2778.0036094839229</v>
      </c>
      <c r="HN26" s="165">
        <f>(CG26*Sheet3!CA26)+2501</f>
        <v>2760.7876051911735</v>
      </c>
      <c r="HO26" s="165">
        <f>(CH26*Sheet3!CB26)+2501</f>
        <v>2747.4801443752235</v>
      </c>
      <c r="HP26" s="165">
        <f>(CI26*Sheet3!CC26)+2501</f>
        <v>2731.4524943162464</v>
      </c>
      <c r="HQ26" s="165">
        <f>(CJ26*Sheet3!CD26)+2501</f>
        <v>2723.4603783832235</v>
      </c>
      <c r="HR26" s="165">
        <f>(CK26*Sheet3!CE26)+2501</f>
        <v>2709.538133647467</v>
      </c>
      <c r="HS26" s="165">
        <f>(CL26*Sheet3!CF26)+2501</f>
        <v>2700.2080268226373</v>
      </c>
      <c r="HT26" s="165">
        <f>(CM26*Sheet3!CG26)+2501</f>
        <v>2690.9641137870335</v>
      </c>
      <c r="HU26" s="188">
        <f>-0.0021*(Sheet3!DF26^2) - 2.2115*(Sheet3!DF26) + 2499</f>
        <v>2134.1799999999998</v>
      </c>
      <c r="HV26" s="165">
        <f>-0.0021*(Sheet3!BZ26^2) - 2.2115*(Sheet3!BZ26) + 2499</f>
        <v>2134.0329048361618</v>
      </c>
      <c r="HW26" s="165">
        <f>-0.0021*(Sheet3!CA26^2) - 2.2115*(Sheet3!CA26) + 2499</f>
        <v>2158.4442912533395</v>
      </c>
      <c r="HX26" s="165">
        <f>-0.0021*(Sheet3!CB26^2) - 2.2115*(Sheet3!CB26) + 2499</f>
        <v>2177.1807626619934</v>
      </c>
      <c r="HY26" s="165">
        <f>-0.0021*(Sheet3!CC26^2) - 2.2115*(Sheet3!CC26) + 2499</f>
        <v>2199.5892023276933</v>
      </c>
      <c r="HZ26" s="165">
        <f>-0.0021*(Sheet3!CD26^2) - 2.2115*(Sheet3!CD26) + 2499</f>
        <v>2210.6970977585006</v>
      </c>
      <c r="IA26" s="165">
        <f>-0.0021*(Sheet3!CE26^2) - 2.2115*(Sheet3!CE26) + 2499</f>
        <v>2229.9396600533805</v>
      </c>
      <c r="IB26" s="165">
        <f>-0.0021*(Sheet3!CF26^2) - 2.2115*(Sheet3!CF26) + 2499</f>
        <v>2242.7573392569252</v>
      </c>
      <c r="IC26" s="165">
        <f>-0.0021*(Sheet3!CG26^2) - 2.2115*(Sheet3!CG26) + 2499</f>
        <v>2255.3936522288805</v>
      </c>
      <c r="ID26" s="188">
        <f t="shared" si="47"/>
        <v>0.68811993794307236</v>
      </c>
      <c r="IE26" s="165">
        <f t="shared" si="48"/>
        <v>0.68805350162397572</v>
      </c>
      <c r="IF26" s="165">
        <f t="shared" si="49"/>
        <v>0.6922622751135904</v>
      </c>
      <c r="IG26" s="165">
        <f t="shared" si="50"/>
        <v>0.69730864783804536</v>
      </c>
      <c r="IH26" s="165">
        <f t="shared" si="51"/>
        <v>0.70259686393284781</v>
      </c>
      <c r="II26" s="165">
        <f t="shared" si="52"/>
        <v>0.70600110974817898</v>
      </c>
      <c r="IJ26" s="165">
        <f t="shared" si="53"/>
        <v>0.70965365234490063</v>
      </c>
      <c r="IK26" s="165">
        <f t="shared" si="54"/>
        <v>0.71405272935810615</v>
      </c>
      <c r="IL26" s="165">
        <f t="shared" si="55"/>
        <v>0.71648218067407565</v>
      </c>
      <c r="IM26" s="188">
        <f t="shared" si="56"/>
        <v>12.927594410857418</v>
      </c>
      <c r="IN26" s="165">
        <f t="shared" si="151"/>
        <v>13.773419515830971</v>
      </c>
      <c r="IO26" s="165">
        <f t="shared" si="152"/>
        <v>14.902197020467456</v>
      </c>
      <c r="IP26" s="165">
        <f t="shared" si="153"/>
        <v>17.071537196011903</v>
      </c>
      <c r="IQ26" s="165">
        <f t="shared" si="154"/>
        <v>3.2915926046064885</v>
      </c>
      <c r="IR26" s="165">
        <f t="shared" si="155"/>
        <v>4.1047337238569552</v>
      </c>
      <c r="IS26" s="165">
        <f t="shared" si="156"/>
        <v>5.6472875549320616</v>
      </c>
      <c r="IT26" s="165">
        <f t="shared" si="157"/>
        <v>6.8599318546107417</v>
      </c>
      <c r="IU26" s="165">
        <f t="shared" si="158"/>
        <v>8.2220752669679804</v>
      </c>
      <c r="IV26" s="188">
        <f>_xlfn.FORECAST.LINEAR(Sheet3!DF26,Sheet2!$AK$2:$AK$69,Sheet2!$AJ$2:$AJ$69)</f>
        <v>1.386217343669711E-5</v>
      </c>
      <c r="IW26" s="165">
        <f>_xlfn.FORECAST.LINEAR(Sheet3!BZ26,Sheet2!$AK$2:$AK$69,Sheet2!$AJ$2:$AJ$69)</f>
        <v>1.3863999333438408E-5</v>
      </c>
      <c r="IX26" s="165">
        <f>_xlfn.FORECAST.LINEAR(Sheet3!CA26,Sheet2!$AK$2:$AK$69,Sheet2!$AJ$2:$AJ$69)</f>
        <v>1.3559013951021955E-5</v>
      </c>
      <c r="IY26" s="165">
        <f>_xlfn.FORECAST.LINEAR(Sheet3!CB26,Sheet2!$AK$2:$AK$69,Sheet2!$AJ$2:$AJ$69)</f>
        <v>1.3322182163121148E-5</v>
      </c>
      <c r="IZ26" s="165">
        <f>_xlfn.FORECAST.LINEAR(Sheet3!CC26,Sheet2!$AK$2:$AK$69,Sheet2!$AJ$2:$AJ$69)</f>
        <v>1.303568965981699E-5</v>
      </c>
      <c r="JA26" s="165">
        <f>_xlfn.FORECAST.LINEAR(Sheet3!CD26,Sheet2!$AK$2:$AK$69,Sheet2!$AJ$2:$AJ$69)</f>
        <v>1.2892325194579806E-5</v>
      </c>
      <c r="JB26" s="165">
        <f>_xlfn.FORECAST.LINEAR(Sheet3!CE26,Sheet2!$AK$2:$AK$69,Sheet2!$AJ$2:$AJ$69)</f>
        <v>1.2641788391190712E-5</v>
      </c>
      <c r="JC26" s="165">
        <f>_xlfn.FORECAST.LINEAR(Sheet3!CF26,Sheet2!$AK$2:$AK$69,Sheet2!$AJ$2:$AJ$69)</f>
        <v>1.2473328794547282E-5</v>
      </c>
      <c r="JD26" s="165">
        <f>_xlfn.FORECAST.LINEAR(Sheet3!CG26,Sheet2!$AK$2:$AK$69,Sheet2!$AJ$2:$AJ$69)</f>
        <v>1.2305987681127943E-5</v>
      </c>
      <c r="JE26" s="188">
        <f>_xlfn.FORECAST.LINEAR(Sheet3!DF26,New!$MC$2:$MC$18,New!$MB$2:$MB$18)</f>
        <v>2.337798370672098E-5</v>
      </c>
      <c r="JF26" s="165">
        <f>_xlfn.FORECAST.LINEAR(Sheet3!BZ26,New!$MC$2:$MC$18,New!$MB$2:$MB$18)</f>
        <v>2.3380130092411541E-5</v>
      </c>
      <c r="JG26" s="165">
        <f>_xlfn.FORECAST.LINEAR(Sheet3!CA26,New!$MC$2:$MC$18,New!$MB$2:$MB$18)</f>
        <v>2.3021612414033113E-5</v>
      </c>
      <c r="JH26" s="165">
        <f>_xlfn.FORECAST.LINEAR(Sheet3!CB26,New!$MC$2:$MC$18,New!$MB$2:$MB$18)</f>
        <v>2.2743210931012307E-5</v>
      </c>
      <c r="JI26" s="165">
        <f>_xlfn.FORECAST.LINEAR(Sheet3!CC26,New!$MC$2:$MC$18,New!$MB$2:$MB$18)</f>
        <v>2.2406432078387892E-5</v>
      </c>
      <c r="JJ26" s="165">
        <f>_xlfn.FORECAST.LINEAR(Sheet3!CD26,New!$MC$2:$MC$18,New!$MB$2:$MB$18)</f>
        <v>2.2237903689153108E-5</v>
      </c>
      <c r="JK26" s="165">
        <f>_xlfn.FORECAST.LINEAR(Sheet3!CE26,New!$MC$2:$MC$18,New!$MB$2:$MB$18)</f>
        <v>2.1943391629631644E-5</v>
      </c>
      <c r="JL26" s="165">
        <f>_xlfn.FORECAST.LINEAR(Sheet3!CF26,New!$MC$2:$MC$18,New!$MB$2:$MB$18)</f>
        <v>2.1745363307714567E-5</v>
      </c>
      <c r="JM26" s="165">
        <f>_xlfn.FORECAST.LINEAR(Sheet3!CG26,New!$MC$2:$MC$18,New!$MB$2:$MB$18)</f>
        <v>2.1548649789823928E-5</v>
      </c>
      <c r="JN26" s="188">
        <f t="shared" si="159"/>
        <v>2.0706791047138846E-5</v>
      </c>
      <c r="JO26" s="165">
        <f t="shared" si="160"/>
        <v>2.0709079540071952E-5</v>
      </c>
      <c r="JP26" s="165">
        <f t="shared" si="161"/>
        <v>2.03677648343308E-5</v>
      </c>
      <c r="JQ26" s="165">
        <f t="shared" si="162"/>
        <v>2.009400802178733E-5</v>
      </c>
      <c r="JR26" s="165">
        <f t="shared" si="163"/>
        <v>1.9769131409888206E-5</v>
      </c>
      <c r="JS26" s="165">
        <f t="shared" si="164"/>
        <v>1.9603234259819688E-5</v>
      </c>
      <c r="JT26" s="165">
        <f t="shared" si="165"/>
        <v>1.9326498714949269E-5</v>
      </c>
      <c r="JU26" s="165">
        <f t="shared" si="166"/>
        <v>1.9131238781310337E-5</v>
      </c>
      <c r="JV26" s="165">
        <f t="shared" si="167"/>
        <v>1.894770451530967E-5</v>
      </c>
      <c r="JW26" s="188">
        <f t="shared" si="66"/>
        <v>1.0152024173422087</v>
      </c>
      <c r="JX26" s="165">
        <f t="shared" si="67"/>
        <v>1.015180721736344</v>
      </c>
      <c r="JY26" s="165">
        <f t="shared" si="68"/>
        <v>1.0188827291227456</v>
      </c>
      <c r="JZ26" s="165">
        <f t="shared" si="69"/>
        <v>1.0218701413364661</v>
      </c>
      <c r="KA26" s="165">
        <f t="shared" si="70"/>
        <v>1.0256237202636487</v>
      </c>
      <c r="KB26" s="165">
        <f t="shared" si="71"/>
        <v>1.0275623721449803</v>
      </c>
      <c r="KC26" s="165">
        <f t="shared" si="72"/>
        <v>1.0310518790079142</v>
      </c>
      <c r="KD26" s="165">
        <f t="shared" si="73"/>
        <v>1.0334740499047741</v>
      </c>
      <c r="KE26" s="165">
        <f t="shared" si="74"/>
        <v>1.0359433023588249</v>
      </c>
      <c r="KF26" s="188">
        <f t="shared" si="75"/>
        <v>0.9677010468805306</v>
      </c>
      <c r="KG26" s="165">
        <f t="shared" si="76"/>
        <v>0.96771897879084146</v>
      </c>
      <c r="KH26" s="165">
        <f t="shared" si="77"/>
        <v>0.96467463930230668</v>
      </c>
      <c r="KI26" s="165">
        <f t="shared" si="78"/>
        <v>0.96224040456879889</v>
      </c>
      <c r="KJ26" s="165">
        <f t="shared" si="79"/>
        <v>0.95920990281455187</v>
      </c>
      <c r="KK26" s="165">
        <f t="shared" si="80"/>
        <v>0.95765678566011081</v>
      </c>
      <c r="KL26" s="165">
        <f t="shared" si="81"/>
        <v>0.95488170247704962</v>
      </c>
      <c r="KM26" s="165">
        <f t="shared" si="82"/>
        <v>0.9529707474173873</v>
      </c>
      <c r="KN26" s="165">
        <f t="shared" si="83"/>
        <v>0.95103541788758839</v>
      </c>
      <c r="KO26" s="188">
        <f t="shared" si="84"/>
        <v>0.62185971705352605</v>
      </c>
      <c r="KP26" s="165">
        <f t="shared" si="85"/>
        <v>0.62195717716109056</v>
      </c>
      <c r="KQ26" s="165">
        <f t="shared" si="86"/>
        <v>0.61615444620421955</v>
      </c>
      <c r="KR26" s="165">
        <f t="shared" si="87"/>
        <v>0.61151320055669689</v>
      </c>
      <c r="KS26" s="165">
        <f t="shared" si="88"/>
        <v>0.60578073716281111</v>
      </c>
      <c r="KT26" s="165">
        <f t="shared" si="89"/>
        <v>0.60284251731506533</v>
      </c>
      <c r="KU26" s="165">
        <f t="shared" si="90"/>
        <v>0.59766293140883331</v>
      </c>
      <c r="KV26" s="165">
        <f t="shared" si="91"/>
        <v>0.59407570282954725</v>
      </c>
      <c r="KW26" s="165">
        <f t="shared" si="92"/>
        <v>0.59058756407179902</v>
      </c>
      <c r="KX26" s="188">
        <f>AVERAGE(Sheet3!J26:P26)*KO26^(1/3)/ID26^(1/3)</f>
        <v>120.98801838513077</v>
      </c>
      <c r="KY26" s="165">
        <f>Sheet3!J26*KP26^(1/3)/IE26^(1/3)</f>
        <v>91.96357890647927</v>
      </c>
      <c r="KZ26" s="165">
        <f>Sheet3!K26*KQ26^(1/3)/IF26^(1/3)</f>
        <v>100.63865381188066</v>
      </c>
      <c r="LA26" s="165">
        <f>Sheet3!L26*KR26^(1/3)/IG26^(1/3)</f>
        <v>111.04117878682486</v>
      </c>
      <c r="LB26" s="165">
        <f>Sheet3!M26*KS26^(1/3)/IH26^(1/3)</f>
        <v>119.38796494287993</v>
      </c>
      <c r="LC26" s="165">
        <f>Sheet3!N26*KT26^(1/3)/II26^(1/3)</f>
        <v>128.9213732879864</v>
      </c>
      <c r="LD26" s="165">
        <f>Sheet3!O26*KU26^(1/3)/IJ26^(1/3)</f>
        <v>137.78912027813848</v>
      </c>
      <c r="LE26" s="165">
        <f>Sheet3!P26*KV26^(1/3)/IK26^(1/3)</f>
        <v>143.90770740667358</v>
      </c>
      <c r="LF26" s="165">
        <f>Sheet3!Q26*KW26^(1/3)/IL26^(1/3)</f>
        <v>161.53320604205283</v>
      </c>
      <c r="LG26" s="186">
        <f t="shared" si="93"/>
        <v>25.863239505422335</v>
      </c>
      <c r="LH26" s="183">
        <f t="shared" si="94"/>
        <v>25.871609210282386</v>
      </c>
      <c r="LI26" s="183">
        <f t="shared" si="95"/>
        <v>26.421071687187183</v>
      </c>
      <c r="LJ26" s="183">
        <f t="shared" si="96"/>
        <v>26.435254238260402</v>
      </c>
      <c r="LK26" s="183">
        <f t="shared" si="97"/>
        <v>26.783656409124969</v>
      </c>
      <c r="LL26" s="183">
        <f t="shared" si="98"/>
        <v>26.793764001599989</v>
      </c>
      <c r="LM26" s="183">
        <f t="shared" si="99"/>
        <v>27.530220153136003</v>
      </c>
      <c r="LN26" s="183">
        <f t="shared" si="100"/>
        <v>27.538121459515125</v>
      </c>
      <c r="LO26" s="183">
        <f t="shared" si="101"/>
        <v>28.151231946988098</v>
      </c>
      <c r="LP26" s="220"/>
      <c r="LQ26" s="220"/>
      <c r="LR26" s="220"/>
      <c r="LS26" s="220"/>
      <c r="LT26" s="220"/>
      <c r="LU26" s="220"/>
      <c r="LV26" s="220"/>
      <c r="LW26" s="220"/>
      <c r="LX26" s="220"/>
      <c r="LY26" s="220"/>
      <c r="LZ26" s="222">
        <v>115.17</v>
      </c>
      <c r="MA26" s="220">
        <v>1.2999999999999999E-5</v>
      </c>
      <c r="MB26" s="220"/>
      <c r="MC26" s="220"/>
      <c r="MD26" s="188">
        <f>Sheet3!DP26</f>
        <v>217.45803852575648</v>
      </c>
      <c r="ME26" s="264">
        <v>250</v>
      </c>
      <c r="MF26" s="264">
        <v>39.78</v>
      </c>
      <c r="MG26" s="264">
        <v>4.157</v>
      </c>
      <c r="MH26" s="264">
        <v>19.98</v>
      </c>
      <c r="MI26" s="264">
        <v>18.239999999999998</v>
      </c>
      <c r="MJ26" s="264">
        <v>0.91300000000000003</v>
      </c>
      <c r="MK26" s="273">
        <v>240</v>
      </c>
      <c r="ML26" s="267">
        <v>33.479999999999997</v>
      </c>
      <c r="MM26" s="267">
        <v>16.760000000000002</v>
      </c>
      <c r="MN26" s="267">
        <v>3.8809999999999998</v>
      </c>
      <c r="MO26" s="267">
        <v>17.75</v>
      </c>
      <c r="MP26" s="274">
        <v>1.06</v>
      </c>
      <c r="MQ26"/>
      <c r="MR26"/>
      <c r="MS26"/>
    </row>
    <row r="27" spans="1:357" ht="15" thickBot="1" x14ac:dyDescent="0.35">
      <c r="A27" s="184" t="str">
        <f>Sheet3!A27</f>
        <v>16.12.2022</v>
      </c>
      <c r="B27" s="186">
        <f t="shared" si="102"/>
        <v>0.95677350341495715</v>
      </c>
      <c r="C27" s="183">
        <f t="shared" si="103"/>
        <v>0.95651411139036013</v>
      </c>
      <c r="D27" s="183">
        <f t="shared" si="0"/>
        <v>0.93799143876434077</v>
      </c>
      <c r="E27" s="183">
        <f t="shared" si="1"/>
        <v>0.92478987663254075</v>
      </c>
      <c r="F27" s="183">
        <f t="shared" si="2"/>
        <v>0.90964200353674551</v>
      </c>
      <c r="G27" s="183">
        <f t="shared" si="3"/>
        <v>0.89925089349033249</v>
      </c>
      <c r="H27" s="183">
        <f t="shared" si="4"/>
        <v>0.88699751425960172</v>
      </c>
      <c r="I27" s="183">
        <f t="shared" si="5"/>
        <v>0.87296369688103015</v>
      </c>
      <c r="J27" s="183">
        <f t="shared" si="6"/>
        <v>0.86164344763547285</v>
      </c>
      <c r="K27" s="186">
        <f xml:space="preserve"> (6.057 * (10^(-6)))
+ (4.055 * (10^(-8)) * (Sheet3!DF27 + 273))
+ (1.25 * (10^(-10)) * (Sheet3!DF27 + 273)^2)
- (3.367 * (10^(-14)) * (DD27 + 273)^3)</f>
        <v>4.8622651589867338E-5</v>
      </c>
      <c r="L27" s="183">
        <f xml:space="preserve"> (6.057 * (10^(-6)))
+ (4.055 * (10^(-8)) * (Sheet3!BZ27 + 273))
+ (1.25 * (10^(-10)) * (Sheet3!BZ27 + 273)^2)
- (3.367 * (10^(-14)) * (BX27 + 273)^3)</f>
        <v>4.8580464331980843E-5</v>
      </c>
      <c r="M27" s="183">
        <f xml:space="preserve"> (6.057 * (10^(-6)))
+ (4.055 * (10^(-8)) * (Sheet3!CA27 + 273))
+ (1.25 * (10^(-10)) * (Sheet3!CA27 + 273)^2)
- (3.367 * (10^(-14)) * (BY27 + 273)^3)</f>
        <v>4.6768959652260743E-5</v>
      </c>
      <c r="N27" s="183">
        <f xml:space="preserve"> (6.057 * (10^(-6)))
+ (4.055 * (10^(-8)) * (Sheet3!CB27 + 273))
+ (1.25 * (10^(-10)) * (Sheet3!CB27 + 273)^2)
- (3.367 * (10^(-14)) * (BZ27 + 273)^3)</f>
        <v>4.5661031947883658E-5</v>
      </c>
      <c r="O27" s="183">
        <f xml:space="preserve"> (6.057 * (10^(-6)))
+ (4.055 * (10^(-8)) * (Sheet3!CC27 + 273))
+ (1.25 * (10^(-10)) * (Sheet3!CC27 + 273)^2)
- (3.367 * (10^(-14)) * (CA27 + 273)^3)</f>
        <v>4.4254044964238672E-5</v>
      </c>
      <c r="P27" s="183">
        <f xml:space="preserve"> (6.057 * (10^(-6)))
+ (4.055 * (10^(-8)) * (Sheet3!CD27 + 273))
+ (1.25 * (10^(-10)) * (Sheet3!CD27 + 273)^2)
- (3.367 * (10^(-14)) * (CB27 + 273)^3)</f>
        <v>4.3451636539392764E-5</v>
      </c>
      <c r="Q27" s="183">
        <f xml:space="preserve"> (6.057 * (10^(-6)))
+ (4.055 * (10^(-8)) * (Sheet3!CE27 + 273))
+ (1.25 * (10^(-10)) * (Sheet3!CE27 + 273)^2)
- (3.367 * (10^(-14)) * (CC27 + 273)^3)</f>
        <v>4.2352132453688436E-5</v>
      </c>
      <c r="R27" s="183">
        <f xml:space="preserve"> (6.057 * (10^(-6)))
+ (4.055 * (10^(-8)) * (Sheet3!CF27 + 273))
+ (1.25 * (10^(-10)) * (Sheet3!CF27 + 273)^2)
- (3.367 * (10^(-14)) * (CD27 + 273)^3)</f>
        <v>4.1348245794266435E-5</v>
      </c>
      <c r="S27" s="183">
        <f xml:space="preserve"> (6.057 * (10^(-6)))
+ (4.055 * (10^(-8)) * (Sheet3!CG27 + 273))
+ (1.25 * (10^(-10)) * (Sheet3!CG27 + 273)^2)
- (3.367 * (10^(-14)) * (CE27 + 273)^3)</f>
        <v>4.0390794806312438E-5</v>
      </c>
      <c r="T27" s="188">
        <f t="shared" si="104"/>
        <v>4.8622651589867338E-5</v>
      </c>
      <c r="U27" s="165">
        <f t="shared" si="105"/>
        <v>4.8580464331980843E-5</v>
      </c>
      <c r="V27" s="165">
        <f t="shared" si="106"/>
        <v>4.6768959652260743E-5</v>
      </c>
      <c r="W27" s="165">
        <f t="shared" si="107"/>
        <v>4.5661031947883658E-5</v>
      </c>
      <c r="X27" s="165">
        <f t="shared" si="108"/>
        <v>4.4254044964238672E-5</v>
      </c>
      <c r="Y27" s="165">
        <f t="shared" si="109"/>
        <v>4.3451636539392764E-5</v>
      </c>
      <c r="Z27" s="165">
        <f t="shared" si="110"/>
        <v>4.2352132453688436E-5</v>
      </c>
      <c r="AA27" s="165">
        <f t="shared" si="111"/>
        <v>4.1348245794266435E-5</v>
      </c>
      <c r="AB27" s="165">
        <f t="shared" si="112"/>
        <v>4.0390794806312438E-5</v>
      </c>
      <c r="AC27" s="186">
        <f t="shared" si="8"/>
        <v>4.6520864706962211E-5</v>
      </c>
      <c r="AD27" s="183">
        <f t="shared" si="9"/>
        <v>4.646789967143574E-5</v>
      </c>
      <c r="AE27" s="183">
        <f t="shared" si="10"/>
        <v>4.3868883753735456E-5</v>
      </c>
      <c r="AF27" s="183">
        <f t="shared" si="11"/>
        <v>4.2226860101997828E-5</v>
      </c>
      <c r="AG27" s="183">
        <f t="shared" si="12"/>
        <v>4.0255338125875287E-5</v>
      </c>
      <c r="AH27" s="183">
        <f t="shared" si="13"/>
        <v>3.9073922981666123E-5</v>
      </c>
      <c r="AI27" s="183">
        <f t="shared" si="14"/>
        <v>3.7566236210015048E-5</v>
      </c>
      <c r="AJ27" s="183">
        <f t="shared" si="15"/>
        <v>3.6095517508108333E-5</v>
      </c>
      <c r="AK27" s="183">
        <f t="shared" si="16"/>
        <v>3.4802463689648001E-5</v>
      </c>
      <c r="AL27" s="186">
        <f t="shared" si="113"/>
        <v>3.9473406216428669E-2</v>
      </c>
      <c r="AM27" s="183">
        <f t="shared" si="114"/>
        <v>3.9445829581523775E-2</v>
      </c>
      <c r="AN27" s="183">
        <f t="shared" si="115"/>
        <v>3.8074700684456425E-2</v>
      </c>
      <c r="AO27" s="183">
        <f t="shared" si="116"/>
        <v>3.722813398607186E-2</v>
      </c>
      <c r="AP27" s="183">
        <f t="shared" si="117"/>
        <v>3.6127210065967294E-2</v>
      </c>
      <c r="AQ27" s="183">
        <f t="shared" si="118"/>
        <v>3.5495806016537165E-2</v>
      </c>
      <c r="AR27" s="183">
        <f t="shared" si="119"/>
        <v>3.4613779464893538E-2</v>
      </c>
      <c r="AS27" s="183">
        <f t="shared" si="120"/>
        <v>3.3803021886131296E-2</v>
      </c>
      <c r="AT27" s="183">
        <f t="shared" si="121"/>
        <v>3.3021153264725128E-2</v>
      </c>
      <c r="AU27" s="186">
        <f>_xlfn.FORECAST.LINEAR(Sheet3!DF27,Sheet2!$AH$2:$AH$40,Sheet2!$AG$2:$AG$40)</f>
        <v>4.852675892229126E-2</v>
      </c>
      <c r="AV27" s="183">
        <f>_xlfn.FORECAST.LINEAR(Sheet3!BZ27,Sheet2!$AH$2:$AH$40,Sheet2!$AG$2:$AG$40)</f>
        <v>4.8465434974597585E-2</v>
      </c>
      <c r="AW27" s="183">
        <f>_xlfn.FORECAST.LINEAR(Sheet3!CA27,Sheet2!$AH$2:$AH$40,Sheet2!$AG$2:$AG$40)</f>
        <v>4.5416302116690205E-2</v>
      </c>
      <c r="AX27" s="183">
        <f>_xlfn.FORECAST.LINEAR(Sheet3!CB27,Sheet2!$AH$2:$AH$40,Sheet2!$AG$2:$AG$40)</f>
        <v>4.3520836340585754E-2</v>
      </c>
      <c r="AY27" s="183">
        <f>_xlfn.FORECAST.LINEAR(Sheet3!CC27,Sheet2!$AH$2:$AH$40,Sheet2!$AG$2:$AG$40)</f>
        <v>4.1078750625574478E-2</v>
      </c>
      <c r="AZ27" s="183">
        <f>_xlfn.FORECAST.LINEAR(Sheet3!CD27,Sheet2!$AH$2:$AH$40,Sheet2!$AG$2:$AG$40)</f>
        <v>3.9667690414877992E-2</v>
      </c>
      <c r="BA27" s="183">
        <f>_xlfn.FORECAST.LINEAR(Sheet3!CE27,Sheet2!$AH$2:$AH$40,Sheet2!$AG$2:$AG$40)</f>
        <v>3.7711856024380812E-2</v>
      </c>
      <c r="BB27" s="183">
        <f>_xlfn.FORECAST.LINEAR(Sheet3!CF27,Sheet2!$AH$2:$AH$40,Sheet2!$AG$2:$AG$40)</f>
        <v>3.5902605787387597E-2</v>
      </c>
      <c r="BC27" s="183">
        <f>_xlfn.FORECAST.LINEAR(Sheet3!CG27,Sheet2!$AH$2:$AH$40,Sheet2!$AG$2:$AG$40)</f>
        <v>3.4165911695903481E-2</v>
      </c>
      <c r="BD27" s="186">
        <f>_xlfn.FORECAST.LINEAR(Sheet3!DF27,Sheet2!$AB$12:$AB$37,Sheet2!$AA$12:$AA$37)/1000</f>
        <v>3.5620234805423978E-2</v>
      </c>
      <c r="BE27" s="183">
        <f>_xlfn.FORECAST.LINEAR(Sheet3!BZ27,Sheet2!$AB$12:$AB$37,Sheet2!$AA$12:$AA$37)/1000</f>
        <v>3.5606524190156245E-2</v>
      </c>
      <c r="BF27" s="183">
        <f>_xlfn.FORECAST.LINEAR(Sheet3!CA27,Sheet2!$AB$12:$AB$37,Sheet2!$AA$12:$AA$37)/1000</f>
        <v>3.4924808659971975E-2</v>
      </c>
      <c r="BG27" s="183">
        <f>_xlfn.FORECAST.LINEAR(Sheet3!CB27,Sheet2!$AB$12:$AB$37,Sheet2!$AA$12:$AA$37)/1000</f>
        <v>3.4501026385889623E-2</v>
      </c>
      <c r="BH27" s="183">
        <f>_xlfn.FORECAST.LINEAR(Sheet3!CC27,Sheet2!$AB$12:$AB$37,Sheet2!$AA$12:$AA$37)/1000</f>
        <v>3.3955032545822286E-2</v>
      </c>
      <c r="BI27" s="183">
        <f>_xlfn.FORECAST.LINEAR(Sheet3!CD27,Sheet2!$AB$12:$AB$37,Sheet2!$AA$12:$AA$37)/1000</f>
        <v>3.3639552143857422E-2</v>
      </c>
      <c r="BJ27" s="183">
        <f>_xlfn.FORECAST.LINEAR(Sheet3!CE27,Sheet2!$AB$12:$AB$37,Sheet2!$AA$12:$AA$37)/1000</f>
        <v>3.3202272844920784E-2</v>
      </c>
      <c r="BK27" s="183">
        <f>_xlfn.FORECAST.LINEAR(Sheet3!CF27,Sheet2!$AB$12:$AB$37,Sheet2!$AA$12:$AA$37)/1000</f>
        <v>3.2797766369793181E-2</v>
      </c>
      <c r="BL27" s="183">
        <f>_xlfn.FORECAST.LINEAR(Sheet3!CG27,Sheet2!$AB$12:$AB$37,Sheet2!$AA$12:$AA$37)/1000</f>
        <v>3.2409481769378461E-2</v>
      </c>
      <c r="BM27" s="186">
        <f t="shared" si="122"/>
        <v>0.70353753875167746</v>
      </c>
      <c r="BN27" s="183">
        <f t="shared" si="123"/>
        <v>0.70392207009375518</v>
      </c>
      <c r="BO27" s="183">
        <f t="shared" si="124"/>
        <v>0.72358998706130184</v>
      </c>
      <c r="BP27" s="183">
        <f t="shared" si="125"/>
        <v>0.73619523796629638</v>
      </c>
      <c r="BQ27" s="183">
        <f t="shared" si="126"/>
        <v>0.75344339878497824</v>
      </c>
      <c r="BR27" s="183">
        <f t="shared" si="127"/>
        <v>0.76357535311199998</v>
      </c>
      <c r="BS27" s="183">
        <f t="shared" si="128"/>
        <v>0.77844890272372202</v>
      </c>
      <c r="BT27" s="183">
        <f t="shared" si="129"/>
        <v>0.79236637750456418</v>
      </c>
      <c r="BU27" s="183">
        <f t="shared" si="130"/>
        <v>0.80656455995022935</v>
      </c>
      <c r="BV27" s="186">
        <f t="shared" si="131"/>
        <v>1.2060617669301932</v>
      </c>
      <c r="BW27" s="183">
        <f t="shared" si="19"/>
        <v>1.2059338040550391</v>
      </c>
      <c r="BX27" s="183">
        <f t="shared" si="20"/>
        <v>1.1994644077965411</v>
      </c>
      <c r="BY27" s="183">
        <f t="shared" si="21"/>
        <v>1.1975384734949106</v>
      </c>
      <c r="BZ27" s="183">
        <f t="shared" si="22"/>
        <v>1.1911331548626829</v>
      </c>
      <c r="CA27" s="183">
        <f t="shared" si="23"/>
        <v>1.1897018159825081</v>
      </c>
      <c r="CB27" s="183">
        <f t="shared" si="24"/>
        <v>1.1836443423261649</v>
      </c>
      <c r="CC27" s="183">
        <f t="shared" si="25"/>
        <v>1.1818877056643846</v>
      </c>
      <c r="CD27" s="183">
        <f t="shared" si="26"/>
        <v>1.1763677571579225</v>
      </c>
      <c r="CE27" s="187">
        <f xml:space="preserve"> -0.0000000019505*Sheet3!DF27^3 + 0.0000015497*Sheet3!DF27^2  + 0.00016911*Sheet3!DF27 + 1.8585</f>
        <v>1.9251003515625</v>
      </c>
      <c r="CF27" s="185">
        <f xml:space="preserve"> -0.0000000019505*Sheet3!BZ27^3 + 0.0000015497*Sheet3!BZ27^2  + 0.00016911*Sheet3!BZ27 + 1.8585</f>
        <v>1.9249719401046816</v>
      </c>
      <c r="CG27" s="185">
        <f xml:space="preserve"> -0.0000000019505*Sheet3!CA27^3 + 0.0000015497*Sheet3!CA27^2  + 0.00016911*Sheet3!CA27 + 1.8585</f>
        <v>1.9186678652389331</v>
      </c>
      <c r="CH27" s="185">
        <f xml:space="preserve"> -0.0000000019505*Sheet3!CB27^3 + 0.0000015497*Sheet3!CB27^2  + 0.00016911*Sheet3!CB27 + 1.8585</f>
        <v>1.9148343815606299</v>
      </c>
      <c r="CI27" s="185">
        <f xml:space="preserve"> -0.0000000019505*Sheet3!CC27^3 + 0.0000015497*Sheet3!CC27^2  + 0.00016911*Sheet3!CC27 + 1.8585</f>
        <v>1.9100011894015287</v>
      </c>
      <c r="CJ27" s="185">
        <f xml:space="preserve"> -0.0000000019505*Sheet3!CD27^3 + 0.0000015497*Sheet3!CD27^2  + 0.00016911*Sheet3!CD27 + 1.8585</f>
        <v>1.9072665456947999</v>
      </c>
      <c r="CK27" s="185">
        <f xml:space="preserve"> -0.0000000019505*Sheet3!CE27^3 + 0.0000015497*Sheet3!CE27^2  + 0.00016911*Sheet3!CE27 + 1.8585</f>
        <v>1.9035509433008801</v>
      </c>
      <c r="CL27" s="185">
        <f xml:space="preserve"> -0.0000000019505*Sheet3!CF27^3 + 0.0000015497*Sheet3!CF27^2  + 0.00016911*Sheet3!CF27 + 1.8585</f>
        <v>1.9001953992989251</v>
      </c>
      <c r="CM27" s="185">
        <f xml:space="preserve"> -0.0000000019505*Sheet3!CG27^3 + 0.0000015497*Sheet3!CG27^2  + 0.00016911*Sheet3!CG27 + 1.8585</f>
        <v>1.8970522029924861</v>
      </c>
      <c r="CN27" s="186">
        <f>_xlfn.FORECAST.LINEAR(Sheet3!DF27,New!$LU$2:$LU$14,New!$LT$2:$LT$14)</f>
        <v>1.0294557987748898</v>
      </c>
      <c r="CO27" s="183">
        <f>_xlfn.FORECAST.LINEAR(Sheet3!BZ27,New!$LU$2:$LU$14,New!$LT$2:$LT$14)</f>
        <v>1.0294106635448614</v>
      </c>
      <c r="CP27" s="183">
        <f>_xlfn.FORECAST.LINEAR(Sheet3!CA27,New!$LU$2:$LU$14,New!$LT$2:$LT$14)</f>
        <v>1.0271664617590173</v>
      </c>
      <c r="CQ27" s="183">
        <f>_xlfn.FORECAST.LINEAR(Sheet3!CB27,New!$LU$2:$LU$14,New!$LT$2:$LT$14)</f>
        <v>1.0257713740806604</v>
      </c>
      <c r="CR27" s="183">
        <f>_xlfn.FORECAST.LINEAR(Sheet3!CC27,New!$LU$2:$LU$14,New!$LT$2:$LT$14)</f>
        <v>1.0239739669560086</v>
      </c>
      <c r="CS27" s="183">
        <f>_xlfn.FORECAST.LINEAR(Sheet3!CD27,New!$LU$2:$LU$14,New!$LT$2:$LT$14)</f>
        <v>1.0229354081288438</v>
      </c>
      <c r="CT27" s="183">
        <f>_xlfn.FORECAST.LINEAR(Sheet3!CE27,New!$LU$2:$LU$14,New!$LT$2:$LT$14)</f>
        <v>1.021495888358301</v>
      </c>
      <c r="CU27" s="183">
        <f>_xlfn.FORECAST.LINEAR(Sheet3!CF27,New!$LU$2:$LU$14,New!$LT$2:$LT$14)</f>
        <v>1.0201642564478157</v>
      </c>
      <c r="CV27" s="183">
        <f>_xlfn.FORECAST.LINEAR(Sheet3!CG27,New!$LU$2:$LU$14,New!$LT$2:$LT$14)</f>
        <v>1.0188860268123092</v>
      </c>
      <c r="CW27" s="186">
        <f>EXP((17.625*Sheet3!BA27)/(243.04+Sheet3!BA27)) / EXP((17.625*Sheet3!DF27)/(243.04+Sheet3!DF27))</f>
        <v>2.4985489105510718E-2</v>
      </c>
      <c r="CX27" s="183">
        <f>EXP((17.625*(Sheet3!BC27+273))/(243.04+(Sheet3!BC27+273)))/EXP((17.625*(Sheet3!BZ27+273))/(243.04+(Sheet3!BZ27+273)))</f>
        <v>0.3073123467803226</v>
      </c>
      <c r="CY27" s="183">
        <f>EXP((17.625*(Sheet3!BE27+273))/(243.04+(Sheet3!BE27+273))) / EXP((17.625*(Sheet3!CA27+273))/(243.04+(Sheet3!CA27+273)))</f>
        <v>0.34256420798938608</v>
      </c>
      <c r="CZ27" s="183">
        <f>EXP((17.625*(Sheet3!BG27+273))/(243.04+(Sheet3!BG27+273))) / EXP((17.625*(Sheet3!CB27+273))/(243.04+(Sheet3!CB27+273)))</f>
        <v>0.36628861227261938</v>
      </c>
      <c r="DA27" s="183">
        <f>EXP((17.625*(Sheet3!BI27+273))/(243.04+(Sheet3!BI27+273))) / EXP((17.625*(Sheet3!CC27+273))/(243.04+(Sheet3!CC27+273)))</f>
        <v>0.39990744982001386</v>
      </c>
      <c r="DB27" s="183">
        <f>EXP((17.625*(Sheet3!BK27+273))/(243.04+(Sheet3!BK27+273)))/EXP((17.625*(Sheet3!CD27+273))/(243.04+(Sheet3!CD27+273)))</f>
        <v>0.42238470446648119</v>
      </c>
      <c r="DC27" s="183">
        <f>EXP((17.625*(Sheet3!BM27+273))/(243.04+(Sheet3!BM27+273))) / EXP((17.625*(Sheet3!CE27+273))/(243.04+(Sheet3!CE27+273)))</f>
        <v>0.45405554381301977</v>
      </c>
      <c r="DD27" s="183">
        <f>EXP((17.625*(Sheet3!BO27+273))/(243.04+(Sheet3!BO27+273))) / EXP((17.625*(Sheet3!CF27+273))/(243.04+(Sheet3!CF27+273)))</f>
        <v>0.48855985573210248</v>
      </c>
      <c r="DE27" s="183">
        <f>EXP((17.625*(Sheet3!BQ27+273))/(243.04+(Sheet3!BQ27+273))) / EXP((17.625*(Sheet3!CG27+273))/(243.04+(Sheet3!CG27+273)))</f>
        <v>0.52240554791360205</v>
      </c>
      <c r="DF27" s="186">
        <f>((Sheet3!DA27-Sheet3!DB27)/New!$LQ$3)/(((Sheet3!DA27-Sheet3!DB27)/New!$LQ$3)+(Sheet3!DB27/New!$LP$3))</f>
        <v>0.71692982241786785</v>
      </c>
      <c r="DG27" s="183">
        <f>((Sheet3!DA27-Sheet3!DB27)/New!$LQ$3)/(((Sheet3!DA27-Sheet3!DB27)/New!$LQ$3)+((Sheet3!DB27-(Sheet3!B27*0.004))/New!$LP$3))</f>
        <v>0.7172198560636126</v>
      </c>
      <c r="DH27" s="183" cm="1">
        <f t="array" ref="DH27">((Sheet3!DA27-Sheet3!DB27)/New!$LQ$3)/(((Sheet3!DA27-Sheet3!DB27)/New!$LQ$3)+((Sheet3!DB27-(SUM(Sheet3!B27:C27*0.004)))/New!$LP$3))</f>
        <v>0.73254110892108804</v>
      </c>
      <c r="DI27" s="183" cm="1">
        <f t="array" ref="DI27">((Sheet3!DA27-Sheet3!DB27)/New!$LQ$3)/(((Sheet3!DA27-Sheet3!DB27)/New!$LQ$3)+((Sheet3!DB27-(SUM(Sheet3!B27:D27*0.004)))/New!$LP$3))</f>
        <v>0.73281362207859746</v>
      </c>
      <c r="DJ27" s="183" cm="1">
        <f t="array" ref="DJ27">((Sheet3!DA27-Sheet3!DB27)/New!$LQ$3)/(((Sheet3!DA27-Sheet3!DB27)/New!$LQ$3)+((Sheet3!DB27-(SUM(Sheet3!B27:E27*0.004)))/New!$LP$3))</f>
        <v>0.75170501547793966</v>
      </c>
      <c r="DK27" s="183" cm="1">
        <f t="array" ref="DK27">((Sheet3!DA27-Sheet3!DB27)/New!$LQ$3)/(((Sheet3!DA27-Sheet3!DB27)/New!$LQ$3)+((Sheet3!DB27-(SUM(Sheet3!B27:F27*0.004)))/New!$LP$3))</f>
        <v>0.7520557751171929</v>
      </c>
      <c r="DL27" s="183" cm="1">
        <f t="array" ref="DL27">((Sheet3!DA27-Sheet3!DB27)/New!$LQ$3)/(((Sheet3!DA27-Sheet3!DB27)/New!$LQ$3)+((Sheet3!DB27-(SUM(Sheet3!B27:G27*0.004)))/New!$LP$3))</f>
        <v>0.7728070246473101</v>
      </c>
      <c r="DM27" s="183" cm="1">
        <f t="array" ref="DM27">((Sheet3!DA27-Sheet3!DB27)/New!$LQ$3)/(((Sheet3!DA27-Sheet3!DB27)/New!$LQ$3)+((Sheet3!DB27-(SUM(Sheet3!B27:H27*0.004)))/New!$LP$3))</f>
        <v>0.7730766141732498</v>
      </c>
      <c r="DN27" s="183" cm="1">
        <f t="array" ref="DN27">((Sheet3!DA27-Sheet3!DB27)/New!$LQ$3)/(((Sheet3!DA27-Sheet3!DB27)/New!$LQ$3)+((Sheet3!DB27-(SUM(Sheet3!B27:I27*0.004)))/New!$LP$3))</f>
        <v>0.79345547112642845</v>
      </c>
      <c r="DO27" s="186">
        <f>(Sheet3!DB27/$LP$3) / ((Sheet3!DB27/$LP$3) + ((Sheet3!DA27-Sheet3!DB27)/$LQ$3))</f>
        <v>0.28307017758213215</v>
      </c>
      <c r="DP27" s="183">
        <f>((Sheet3!$DB27-(Sheet3!B27/4000)) / $LP$3) / (((Sheet3!$DA27-Sheet3!DB27) / $LQ$3) + (Sheet3!$DB27-((Sheet3!B27/4000)))/$LP$3)</f>
        <v>0.28305205735164624</v>
      </c>
      <c r="DQ27" s="183">
        <f>((Sheet3!$DB27-(SUM(Sheet3!B27:C27)/4000))/$LP$3)/(((Sheet3!$DA27-Sheet3!$DB27)/$LQ$3)+(Sheet3!$DB27-(SUM(Sheet3!B27:C27)/4000))/$LP$3)</f>
        <v>0.28211399198284248</v>
      </c>
      <c r="DR27" s="183">
        <f>((Sheet3!$DB27-(SUM(Sheet3!B27:D27)/4000))/$LP$3)/(((Sheet3!$DA27-Sheet3!$DB27)/$LQ$3)+(Sheet3!$DB27-(SUM(Sheet3!B27:D27)/4000))/$LP$3)</f>
        <v>0.28209764028597434</v>
      </c>
      <c r="DS27" s="183">
        <f>((Sheet3!$DB27-(SUM(Sheet3!B27:E27)/4000))/$LP$3)/(((Sheet3!$DA27-Sheet3!$DB27)/$LQ$3)+(Sheet3!$DB27-(SUM(Sheet3!B27:E27)/4000))/$LP$3)</f>
        <v>0.28099126472183955</v>
      </c>
      <c r="DT27" s="183">
        <f>((Sheet3!$DB27-(SUM(Sheet3!B27:F27)/4000))/$LP$3)/(((Sheet3!$DA27-Sheet3!$DB27)/$LQ$3)+(Sheet3!$DB27-(SUM(Sheet3!B27:F27)/4000))/$LP$3)</f>
        <v>0.280971216651557</v>
      </c>
      <c r="DU27" s="183">
        <f>((Sheet3!$DB27-(SUM(Sheet3!B27:G27)/4000))/$LP$3)/(((Sheet3!$DA27-Sheet3!$DB27)/$LQ$3)+(Sheet3!$DB27-(SUM(Sheet3!B27:G27)/4000))/$LP$3)</f>
        <v>0.27981565502644218</v>
      </c>
      <c r="DV27" s="183">
        <f>((Sheet3!$DB27-(SUM(Sheet3!B27:H27)/4000))/$LP$3)/(((Sheet3!$DA27-Sheet3!$DB27)/$LQ$3)+(Sheet3!$DB27-(SUM(Sheet3!B27:H27)/4000))/$LP$3)</f>
        <v>0.2798010270042755</v>
      </c>
      <c r="DW27" s="183">
        <f>((Sheet3!$DB27-(SUM(Sheet3!B27:I27)/4000))/$LP$3)/(((Sheet3!$DA27-Sheet3!$DB27)/$LQ$3)+(Sheet3!$DB27-(SUM(Sheet3!B27:I27)/4000))/$LP$3)</f>
        <v>0.27872240398752146</v>
      </c>
      <c r="DX27" s="186">
        <f>($LR$2*($LP$3/1000))/($LP$2*(Sheet3!DF27+273))*DO27</f>
        <v>0.13872571186652793</v>
      </c>
      <c r="DY27" s="183">
        <f>(($LR$2*($LP$3/1000))/($LP$2*(Sheet3!BZ27+273)))*(DP27)</f>
        <v>0.13879158546770126</v>
      </c>
      <c r="DZ27" s="183">
        <f>(($LR$2*($LP$3/1000))/($LP$2*(Sheet3!CA27+273)))*(DQ27)</f>
        <v>0.14214023685300359</v>
      </c>
      <c r="EA27" s="183">
        <f>(($LR$2*($LP$3/1000))/($LP$2*(Sheet3!CB27+273)))*(DR27)</f>
        <v>0.14460699886631617</v>
      </c>
      <c r="EB27" s="183">
        <f>(($LR$2*($LP$3/1000))/($LP$2*(Sheet3!CC27+273)))*(DS27)</f>
        <v>0.14734557174257223</v>
      </c>
      <c r="EC27" s="183">
        <f>(($LR$2*($LP$3/1000))/($LP$2*(Sheet3!CD27+273)))*(DT27)</f>
        <v>0.14931508616235414</v>
      </c>
      <c r="ED27" s="183">
        <f>(($LR$2*($LP$3/1000))/($LP$2*(Sheet3!CE27+273)))*(DU27)</f>
        <v>0.15152347613082531</v>
      </c>
      <c r="EE27" s="183">
        <f>(($LR$2*($LP$3/1000))/($LP$2*(Sheet3!CF27+273)))*(DV27)</f>
        <v>0.15422346763094744</v>
      </c>
      <c r="EF27" s="183">
        <f>(($LR$2*($LP$3/1000))/($LP$2*(Sheet3!CG27+273)))*(DW27)</f>
        <v>0.15631051906145413</v>
      </c>
      <c r="EG27" s="186">
        <f>(($LR$2*($LQ$3/1000))/($LQ$2*(Sheet3!DF27+273)))*(1-DO27)</f>
        <v>0.56481182688514953</v>
      </c>
      <c r="EH27" s="183">
        <f>(($LR$2*($LQ$3/1000))/($LQ$2*(Sheet3!BZ27+273)))*(1-DP27)</f>
        <v>0.56513048462605397</v>
      </c>
      <c r="EI27" s="183">
        <f>(($LR$2*($LQ$3/1000))/($LQ$2*(Sheet3!CA27+273)))*(1-DQ27)</f>
        <v>0.58144975020829825</v>
      </c>
      <c r="EJ27" s="183">
        <f>(($LR$2*($LQ$3/1000))/($LQ$2*(Sheet3!CB27+273)))*(1-DR27)</f>
        <v>0.59158823909998026</v>
      </c>
      <c r="EK27" s="183">
        <f>(($LR$2*($LQ$3/1000))/($LQ$2*(Sheet3!CC27+273)))*(1-DS27)</f>
        <v>0.606097827042406</v>
      </c>
      <c r="EL27" s="183">
        <f>(($LR$2*($LQ$3/1000))/($LQ$2*(Sheet3!CD27+273)))*(1-DT27)</f>
        <v>0.61426026694964586</v>
      </c>
      <c r="EM27" s="183">
        <f>(($LR$2*($LQ$3/1000))/($LQ$2*(Sheet3!CE27+273)))*(1-DU27)</f>
        <v>0.62692542659289674</v>
      </c>
      <c r="EN27" s="183">
        <f>(($LR$2*($LQ$3/1000))/($LQ$2*(Sheet3!CF27+273)))*(1-DV27)</f>
        <v>0.63814290987361677</v>
      </c>
      <c r="EO27" s="183">
        <f>(($LR$2*($LQ$3/1000))/($LQ$2*(Sheet3!CG27+273)))*(1-DW27)</f>
        <v>0.65025404088877525</v>
      </c>
      <c r="EP27" s="186">
        <f t="shared" si="132"/>
        <v>2944.810813425951</v>
      </c>
      <c r="EQ27" s="183">
        <f xml:space="preserve"> (($FV27-(Sheet3!B27/4000))*0.018)/(0.011*JO27*3600)</f>
        <v>2946.0454981159464</v>
      </c>
      <c r="ER27" s="183">
        <f>((($FV27-(SUM(Sheet3!B27:C27)/4000))*0.018)/(0.011*JP27*3600))</f>
        <v>3008.704659138315</v>
      </c>
      <c r="ES27" s="183">
        <f>((($FV27-(SUM(Sheet3!B27:D27)/4000))*0.018)/(0.011*JQ27*3600))</f>
        <v>3051.5701624362164</v>
      </c>
      <c r="ET27" s="183">
        <f>((($FV27-(SUM(Sheet3!B27:E27)/4000))*0.018)/(0.011*JR27))/3600</f>
        <v>3103.8626656461784</v>
      </c>
      <c r="EU27" s="183">
        <f>((($FV27-(SUM(Sheet3!B27:F27)/4000))*0.018)/(0.011*JS27))/3600</f>
        <v>3137.7585195584829</v>
      </c>
      <c r="EV27" s="183">
        <f>((($FV27-(SUM(Sheet3!B27:G27)/4000))*0.018)/(0.011*JT27))/3600</f>
        <v>3180.8669764663196</v>
      </c>
      <c r="EW27" s="183">
        <f>((($FV27-(SUM(Sheet3!B27:H27)/4000))*0.018)/(0.011*JU27))/3600</f>
        <v>3226.83219516182</v>
      </c>
      <c r="EX27" s="183">
        <f>((($FV27-(SUM(Sheet3!B27:I27)/4000))*0.018)/(0.011*JV27))/3600</f>
        <v>3267.2325204907006</v>
      </c>
      <c r="EY27" s="186">
        <f t="shared" si="133"/>
        <v>35.824841819323218</v>
      </c>
      <c r="EZ27" s="183">
        <f t="shared" si="134"/>
        <v>35.836315952691898</v>
      </c>
      <c r="FA27" s="183">
        <f t="shared" si="135"/>
        <v>36.419926782786789</v>
      </c>
      <c r="FB27" s="183">
        <f t="shared" si="136"/>
        <v>36.834913738489519</v>
      </c>
      <c r="FC27" s="183">
        <f t="shared" si="137"/>
        <v>37.319789515586407</v>
      </c>
      <c r="FD27" s="183">
        <f t="shared" si="138"/>
        <v>37.651164834465625</v>
      </c>
      <c r="FE27" s="183">
        <f t="shared" si="139"/>
        <v>38.048693404700764</v>
      </c>
      <c r="FF27" s="183">
        <f t="shared" si="140"/>
        <v>38.502890031223565</v>
      </c>
      <c r="FG27" s="183">
        <f t="shared" si="141"/>
        <v>38.879122974091544</v>
      </c>
      <c r="FH27" s="186">
        <f t="shared" si="28"/>
        <v>78.562696320747051</v>
      </c>
      <c r="FI27" s="183">
        <f t="shared" si="29"/>
        <v>78.532956216640372</v>
      </c>
      <c r="FJ27" s="183">
        <f t="shared" si="30"/>
        <v>77.037656178023624</v>
      </c>
      <c r="FK27" s="183">
        <f t="shared" si="31"/>
        <v>76.183061334549279</v>
      </c>
      <c r="FL27" s="183">
        <f t="shared" si="32"/>
        <v>74.903326413737446</v>
      </c>
      <c r="FM27" s="183">
        <f t="shared" si="33"/>
        <v>74.247691292269863</v>
      </c>
      <c r="FN27" s="183">
        <f t="shared" si="34"/>
        <v>73.167171246536753</v>
      </c>
      <c r="FO27" s="183">
        <f t="shared" si="35"/>
        <v>72.306335244708706</v>
      </c>
      <c r="FP27" s="183">
        <f t="shared" si="36"/>
        <v>71.324082140309599</v>
      </c>
      <c r="FQ27" s="314">
        <f>Sheet3!CV27</f>
        <v>2</v>
      </c>
      <c r="FR27" s="183">
        <v>3000</v>
      </c>
      <c r="FS27" s="183">
        <v>20</v>
      </c>
      <c r="FT27" s="183">
        <v>0.159</v>
      </c>
      <c r="FU27" s="183">
        <v>34.07</v>
      </c>
      <c r="FV27" s="183">
        <v>142</v>
      </c>
      <c r="FW27" s="183">
        <v>28</v>
      </c>
      <c r="FX27" s="183">
        <v>282</v>
      </c>
      <c r="FY27" s="183">
        <v>9.5500000000000007</v>
      </c>
      <c r="FZ27" s="183">
        <v>28.2</v>
      </c>
      <c r="GA27" s="183">
        <v>175</v>
      </c>
      <c r="GB27" s="186">
        <f>EXP($LP$6-($LQ$6/('Trial and Error method'!T27+$LP$8))) / ($LR$2/1000)</f>
        <v>0.19139027042563189</v>
      </c>
      <c r="GC27" s="183">
        <f>EXP($LP$6-($LQ$6/('Trial and Error method'!U27+$LP$8))) / ($LR$2/1000)</f>
        <v>0.17192909473662021</v>
      </c>
      <c r="GD27" s="183">
        <f>EXP($LP$6-($LQ$6/('Trial and Error method'!V27+$LP$8))) / ($LR$2/1000)</f>
        <v>0.15907287573155124</v>
      </c>
      <c r="GE27" s="183">
        <f>EXP($LP$6-($LQ$6/('Trial and Error method'!W27+$LP$8))) / ($LR$2/1000)</f>
        <v>0.13506995178404912</v>
      </c>
      <c r="GF27" s="183">
        <f>EXP($LP$6-($LQ$6/('Trial and Error method'!X27+$LP$8))) / ($LR$2/1000)</f>
        <v>0.27827794392720401</v>
      </c>
      <c r="GG27" s="183">
        <f>EXP($LP$6-($LQ$6/('Trial and Error method'!Y27+$LP$8))) / ($LR$2/1000)</f>
        <v>0.26941203097396327</v>
      </c>
      <c r="GH27" s="183">
        <f>EXP($LP$6-($LQ$6/('Trial and Error method'!Z27+$LP$8))) / ($LR$2/1000)</f>
        <v>0.2542754879807112</v>
      </c>
      <c r="GI27" s="183">
        <f>EXP($LP$6-($LQ$6/('Trial and Error method'!AA27+$LP$8))) / ($LR$2/1000)</f>
        <v>0.24256708724094955</v>
      </c>
      <c r="GJ27" s="183">
        <f>EXP($LP$6-($LQ$6/('Trial and Error method'!AB27+$LP$8))) / ($LR$2/1000)</f>
        <v>0.22754480587928186</v>
      </c>
      <c r="GK27" s="188">
        <f t="shared" si="142"/>
        <v>0.76185061313937785</v>
      </c>
      <c r="GL27" s="165">
        <f t="shared" si="143"/>
        <v>0.77117552511274534</v>
      </c>
      <c r="GM27" s="165">
        <f t="shared" si="144"/>
        <v>0.77778520959885911</v>
      </c>
      <c r="GN27" s="165">
        <f t="shared" si="145"/>
        <v>0.78913473416092494</v>
      </c>
      <c r="GO27" s="165">
        <f t="shared" si="146"/>
        <v>0.72036454401087213</v>
      </c>
      <c r="GP27" s="165">
        <f t="shared" si="147"/>
        <v>0.72479301384648231</v>
      </c>
      <c r="GQ27" s="165">
        <f t="shared" si="148"/>
        <v>0.73288025915773203</v>
      </c>
      <c r="GR27" s="165">
        <f t="shared" si="149"/>
        <v>0.73865954385535126</v>
      </c>
      <c r="GS27" s="165">
        <f t="shared" si="150"/>
        <v>0.74657406624053979</v>
      </c>
      <c r="GT27" s="188">
        <f t="shared" si="38"/>
        <v>5.4778057119829207E-2</v>
      </c>
      <c r="GU27" s="165">
        <f t="shared" si="39"/>
        <v>5.4110725900204125E-2</v>
      </c>
      <c r="GV27" s="165">
        <f t="shared" si="40"/>
        <v>5.3607531315707738E-2</v>
      </c>
      <c r="GW27" s="165">
        <f t="shared" si="41"/>
        <v>5.2831318587614855E-2</v>
      </c>
      <c r="GX27" s="165">
        <f t="shared" si="42"/>
        <v>5.7842071005032025E-2</v>
      </c>
      <c r="GY27" s="165">
        <f t="shared" si="43"/>
        <v>5.7492688938828376E-2</v>
      </c>
      <c r="GZ27" s="165">
        <f t="shared" si="44"/>
        <v>5.6835033680816341E-2</v>
      </c>
      <c r="HA27" s="165">
        <f t="shared" si="45"/>
        <v>5.6406273455334048E-2</v>
      </c>
      <c r="HB27" s="165">
        <f t="shared" si="46"/>
        <v>5.5791858467603032E-2</v>
      </c>
      <c r="HC27" s="188">
        <f>BV27*Sheet3!DF27</f>
        <v>211.06080921278379</v>
      </c>
      <c r="HD27" s="165">
        <f>BW27*Sheet3!BZ27</f>
        <v>210.7474297189797</v>
      </c>
      <c r="HE27" s="165">
        <f>BX27*Sheet3!CA27</f>
        <v>195.22613644218856</v>
      </c>
      <c r="HF27" s="165">
        <f>BY27*Sheet3!CB27</f>
        <v>185.98117900806193</v>
      </c>
      <c r="HG27" s="165">
        <f>BZ27*Sheet3!CC27</f>
        <v>173.54078399865395</v>
      </c>
      <c r="HH27" s="165">
        <f>CA27*Sheet3!CD27</f>
        <v>166.72680025086899</v>
      </c>
      <c r="HI27" s="165">
        <f>CB27*Sheet3!CE27</f>
        <v>156.76887249747628</v>
      </c>
      <c r="HJ27" s="165">
        <f>CC27*Sheet3!CF27</f>
        <v>148.12239034930008</v>
      </c>
      <c r="HK27" s="165">
        <f>CD27*Sheet3!CG27</f>
        <v>139.39190819679911</v>
      </c>
      <c r="HL27" s="188">
        <f>(CE27*Sheet3!DF27)+2501</f>
        <v>2837.8925615234375</v>
      </c>
      <c r="HM27" s="165">
        <f>(CF27*Sheet3!BZ27)+2501</f>
        <v>2837.4056031053128</v>
      </c>
      <c r="HN27" s="165">
        <f>(CG27*Sheet3!CA27)+2501</f>
        <v>2813.2844763142948</v>
      </c>
      <c r="HO27" s="165">
        <f>(CH27*Sheet3!CB27)+2501</f>
        <v>2798.3793024356914</v>
      </c>
      <c r="HP27" s="165">
        <f>(CI27*Sheet3!CC27)+2501</f>
        <v>2779.2754409059453</v>
      </c>
      <c r="HQ27" s="165">
        <f>(CJ27*Sheet3!CD27)+2501</f>
        <v>2768.2875203830881</v>
      </c>
      <c r="HR27" s="165">
        <f>(CK27*Sheet3!CE27)+2501</f>
        <v>2753.1175698236511</v>
      </c>
      <c r="HS27" s="165">
        <f>(CL27*Sheet3!CF27)+2501</f>
        <v>2739.1457081971075</v>
      </c>
      <c r="HT27" s="165">
        <f>(CM27*Sheet3!CG27)+2501</f>
        <v>2725.7883154864171</v>
      </c>
      <c r="HU27" s="188">
        <f>-0.0021*(Sheet3!DF27^2) - 2.2115*(Sheet3!DF27) + 2499</f>
        <v>2047.675</v>
      </c>
      <c r="HV27" s="165">
        <f>-0.0021*(Sheet3!BZ27^2) - 2.2115*(Sheet3!BZ27) + 2499</f>
        <v>2048.3858539210032</v>
      </c>
      <c r="HW27" s="165">
        <f>-0.0021*(Sheet3!CA27^2) - 2.2115*(Sheet3!CA27) + 2499</f>
        <v>2083.4223825284862</v>
      </c>
      <c r="HX27" s="165">
        <f>-0.0021*(Sheet3!CB27^2) - 2.2115*(Sheet3!CB27) + 2499</f>
        <v>2104.8978010058836</v>
      </c>
      <c r="HY27" s="165">
        <f>-0.0021*(Sheet3!CC27^2) - 2.2115*(Sheet3!CC27) + 2499</f>
        <v>2132.2219642077744</v>
      </c>
      <c r="HZ27" s="165">
        <f>-0.0021*(Sheet3!CD27^2) - 2.2115*(Sheet3!CD27) + 2499</f>
        <v>2147.8333504346656</v>
      </c>
      <c r="IA27" s="165">
        <f>-0.0021*(Sheet3!CE27^2) - 2.2115*(Sheet3!CE27) + 2499</f>
        <v>2169.2577921293037</v>
      </c>
      <c r="IB27" s="165">
        <f>-0.0021*(Sheet3!CF27^2) - 2.2115*(Sheet3!CF27) + 2499</f>
        <v>2188.8550560962271</v>
      </c>
      <c r="IC27" s="165">
        <f>-0.0021*(Sheet3!CG27^2) - 2.2115*(Sheet3!CG27) + 2499</f>
        <v>2207.4661914479193</v>
      </c>
      <c r="ID27" s="188">
        <f t="shared" si="47"/>
        <v>0.66968906972654474</v>
      </c>
      <c r="IE27" s="165">
        <f t="shared" si="48"/>
        <v>0.66979352199310871</v>
      </c>
      <c r="IF27" s="165">
        <f t="shared" si="49"/>
        <v>0.67520218616370098</v>
      </c>
      <c r="IG27" s="165">
        <f t="shared" si="50"/>
        <v>0.67975199322025337</v>
      </c>
      <c r="IH27" s="165">
        <f t="shared" si="51"/>
        <v>0.68424789109455786</v>
      </c>
      <c r="II27" s="165">
        <f t="shared" si="52"/>
        <v>0.68805509131149623</v>
      </c>
      <c r="IJ27" s="165">
        <f t="shared" si="53"/>
        <v>0.69170847067951857</v>
      </c>
      <c r="IK27" s="165">
        <f t="shared" si="54"/>
        <v>0.69716338198421113</v>
      </c>
      <c r="IL27" s="165">
        <f t="shared" si="55"/>
        <v>0.70082418164812565</v>
      </c>
      <c r="IM27" s="188">
        <f t="shared" si="56"/>
        <v>10.283520481747809</v>
      </c>
      <c r="IN27" s="165">
        <f t="shared" si="151"/>
        <v>12.316829780867323</v>
      </c>
      <c r="IO27" s="165">
        <f t="shared" si="152"/>
        <v>13.742109221803171</v>
      </c>
      <c r="IP27" s="165">
        <f t="shared" si="153"/>
        <v>16.350144455679914</v>
      </c>
      <c r="IQ27" s="165">
        <f t="shared" si="154"/>
        <v>0.33463964451326306</v>
      </c>
      <c r="IR27" s="165">
        <f t="shared" si="155"/>
        <v>1.4273827456658101</v>
      </c>
      <c r="IS27" s="165">
        <f t="shared" si="156"/>
        <v>3.1488431004185906</v>
      </c>
      <c r="IT27" s="165">
        <f t="shared" si="157"/>
        <v>4.5970942129574928</v>
      </c>
      <c r="IU27" s="165">
        <f t="shared" si="158"/>
        <v>6.3029634493020614</v>
      </c>
      <c r="IV27" s="188">
        <f>_xlfn.FORECAST.LINEAR(Sheet3!DF27,Sheet2!$AK$2:$AK$69,Sheet2!$AJ$2:$AJ$69)</f>
        <v>1.4912542786997764E-5</v>
      </c>
      <c r="IW27" s="165">
        <f>_xlfn.FORECAST.LINEAR(Sheet3!BZ27,Sheet2!$AK$2:$AK$69,Sheet2!$AJ$2:$AJ$69)</f>
        <v>1.4904094485636608E-5</v>
      </c>
      <c r="IX27" s="165">
        <f>_xlfn.FORECAST.LINEAR(Sheet3!CA27,Sheet2!$AK$2:$AK$69,Sheet2!$AJ$2:$AJ$69)</f>
        <v>1.4484030314254761E-5</v>
      </c>
      <c r="IY27" s="165">
        <f>_xlfn.FORECAST.LINEAR(Sheet3!CB27,Sheet2!$AK$2:$AK$69,Sheet2!$AJ$2:$AJ$69)</f>
        <v>1.4222901233389319E-5</v>
      </c>
      <c r="IZ27" s="165">
        <f>_xlfn.FORECAST.LINEAR(Sheet3!CC27,Sheet2!$AK$2:$AK$69,Sheet2!$AJ$2:$AJ$69)</f>
        <v>1.3886466987941683E-5</v>
      </c>
      <c r="JA27" s="165">
        <f>_xlfn.FORECAST.LINEAR(Sheet3!CD27,Sheet2!$AK$2:$AK$69,Sheet2!$AJ$2:$AJ$69)</f>
        <v>1.3692072100674322E-5</v>
      </c>
      <c r="JB27" s="165">
        <f>_xlfn.FORECAST.LINEAR(Sheet3!CE27,Sheet2!$AK$2:$AK$69,Sheet2!$AJ$2:$AJ$69)</f>
        <v>1.3422626330059995E-5</v>
      </c>
      <c r="JC27" s="165">
        <f>_xlfn.FORECAST.LINEAR(Sheet3!CF27,Sheet2!$AK$2:$AK$69,Sheet2!$AJ$2:$AJ$69)</f>
        <v>1.3173374743775703E-5</v>
      </c>
      <c r="JD27" s="165">
        <f>_xlfn.FORECAST.LINEAR(Sheet3!CG27,Sheet2!$AK$2:$AK$69,Sheet2!$AJ$2:$AJ$69)</f>
        <v>1.2934118863996264E-5</v>
      </c>
      <c r="JE27" s="188">
        <f>_xlfn.FORECAST.LINEAR(Sheet3!DF27,New!$MC$2:$MC$18,New!$MB$2:$MB$18)</f>
        <v>2.4612718230474119E-5</v>
      </c>
      <c r="JF27" s="165">
        <f>_xlfn.FORECAST.LINEAR(Sheet3!BZ27,New!$MC$2:$MC$18,New!$MB$2:$MB$18)</f>
        <v>2.4602787048309764E-5</v>
      </c>
      <c r="JG27" s="165">
        <f>_xlfn.FORECAST.LINEAR(Sheet3!CA27,New!$MC$2:$MC$18,New!$MB$2:$MB$18)</f>
        <v>2.4108991475877588E-5</v>
      </c>
      <c r="JH27" s="165">
        <f>_xlfn.FORECAST.LINEAR(Sheet3!CB27,New!$MC$2:$MC$18,New!$MB$2:$MB$18)</f>
        <v>2.3802027938519808E-5</v>
      </c>
      <c r="JI27" s="165">
        <f>_xlfn.FORECAST.LINEAR(Sheet3!CC27,New!$MC$2:$MC$18,New!$MB$2:$MB$18)</f>
        <v>2.3406541362575708E-5</v>
      </c>
      <c r="JJ27" s="165">
        <f>_xlfn.FORECAST.LINEAR(Sheet3!CD27,New!$MC$2:$MC$18,New!$MB$2:$MB$18)</f>
        <v>2.3178025480537257E-5</v>
      </c>
      <c r="JK27" s="165">
        <f>_xlfn.FORECAST.LINEAR(Sheet3!CE27,New!$MC$2:$MC$18,New!$MB$2:$MB$18)</f>
        <v>2.2861285473642016E-5</v>
      </c>
      <c r="JL27" s="165">
        <f>_xlfn.FORECAST.LINEAR(Sheet3!CF27,New!$MC$2:$MC$18,New!$MB$2:$MB$18)</f>
        <v>2.2568284217848178E-5</v>
      </c>
      <c r="JM27" s="165">
        <f>_xlfn.FORECAST.LINEAR(Sheet3!CG27,New!$MC$2:$MC$18,New!$MB$2:$MB$18)</f>
        <v>2.2287033156314403E-5</v>
      </c>
      <c r="JN27" s="188">
        <f t="shared" si="159"/>
        <v>2.1918370528653176E-5</v>
      </c>
      <c r="JO27" s="165">
        <f t="shared" si="160"/>
        <v>2.1908798836642384E-5</v>
      </c>
      <c r="JP27" s="165">
        <f t="shared" si="161"/>
        <v>2.1433000406323249E-5</v>
      </c>
      <c r="JQ27" s="165">
        <f t="shared" si="162"/>
        <v>2.1131595218857534E-5</v>
      </c>
      <c r="JR27" s="165">
        <f t="shared" si="163"/>
        <v>2.0753319809671478E-5</v>
      </c>
      <c r="JS27" s="165">
        <f t="shared" si="164"/>
        <v>2.0528732260288257E-5</v>
      </c>
      <c r="JT27" s="165">
        <f t="shared" si="165"/>
        <v>2.0227904279968249E-5</v>
      </c>
      <c r="JU27" s="165">
        <f t="shared" si="166"/>
        <v>1.9939482360698655E-5</v>
      </c>
      <c r="JV27" s="165">
        <f t="shared" si="167"/>
        <v>1.9672438804119316E-5</v>
      </c>
      <c r="JW27" s="188">
        <f t="shared" si="66"/>
        <v>1.0035703029941236</v>
      </c>
      <c r="JX27" s="165">
        <f t="shared" si="67"/>
        <v>1.0036575395968292</v>
      </c>
      <c r="JY27" s="165">
        <f t="shared" si="68"/>
        <v>1.0081190011926016</v>
      </c>
      <c r="JZ27" s="165">
        <f t="shared" si="69"/>
        <v>1.0110206269817361</v>
      </c>
      <c r="KA27" s="165">
        <f t="shared" si="70"/>
        <v>1.0149142079992259</v>
      </c>
      <c r="KB27" s="165">
        <f t="shared" si="71"/>
        <v>1.0172480665896499</v>
      </c>
      <c r="KC27" s="165">
        <f t="shared" si="72"/>
        <v>1.0205907196830108</v>
      </c>
      <c r="KD27" s="165">
        <f t="shared" si="73"/>
        <v>1.0238001544257576</v>
      </c>
      <c r="KE27" s="165">
        <f t="shared" si="74"/>
        <v>1.0269929402889535</v>
      </c>
      <c r="KF27" s="188">
        <f t="shared" si="75"/>
        <v>0.97747175171162648</v>
      </c>
      <c r="KG27" s="165">
        <f t="shared" si="76"/>
        <v>0.97739728894537703</v>
      </c>
      <c r="KH27" s="165">
        <f t="shared" si="77"/>
        <v>0.97361324464638244</v>
      </c>
      <c r="KI27" s="165">
        <f t="shared" si="78"/>
        <v>0.97117734046518023</v>
      </c>
      <c r="KJ27" s="165">
        <f t="shared" si="79"/>
        <v>0.96793934604347476</v>
      </c>
      <c r="KK27" s="165">
        <f t="shared" si="80"/>
        <v>0.96601507904853279</v>
      </c>
      <c r="KL27" s="165">
        <f t="shared" si="81"/>
        <v>0.9632804789195214</v>
      </c>
      <c r="KM27" s="165">
        <f t="shared" si="82"/>
        <v>0.96067831053015962</v>
      </c>
      <c r="KN27" s="165">
        <f t="shared" si="83"/>
        <v>0.95811212861191541</v>
      </c>
      <c r="KO27" s="188">
        <f t="shared" si="84"/>
        <v>0.64074075744096959</v>
      </c>
      <c r="KP27" s="165">
        <f t="shared" si="85"/>
        <v>0.64066695550425812</v>
      </c>
      <c r="KQ27" s="165">
        <f t="shared" si="86"/>
        <v>0.63333387005651809</v>
      </c>
      <c r="KR27" s="165">
        <f t="shared" si="87"/>
        <v>0.62862776195088177</v>
      </c>
      <c r="KS27" s="165">
        <f t="shared" si="88"/>
        <v>0.62242062257104647</v>
      </c>
      <c r="KT27" s="165">
        <f t="shared" si="89"/>
        <v>0.61873415563243528</v>
      </c>
      <c r="KU27" s="165">
        <f t="shared" si="90"/>
        <v>0.61354369408504361</v>
      </c>
      <c r="KV27" s="165">
        <f t="shared" si="91"/>
        <v>0.60859832326701868</v>
      </c>
      <c r="KW27" s="165">
        <f t="shared" si="92"/>
        <v>0.60386056406159994</v>
      </c>
      <c r="KX27" s="188">
        <f>AVERAGE(Sheet3!J27:P27)*KO27^(1/3)/ID27^(1/3)</f>
        <v>97.490404123686673</v>
      </c>
      <c r="KY27" s="165">
        <f>Sheet3!J27*KP27^(1/3)/IE27^(1/3)</f>
        <v>70.273959509325266</v>
      </c>
      <c r="KZ27" s="165">
        <f>Sheet3!K27*KQ27^(1/3)/IF27^(1/3)</f>
        <v>78.379163690244383</v>
      </c>
      <c r="LA27" s="165">
        <f>Sheet3!L27*KR27^(1/3)/IG27^(1/3)</f>
        <v>87.447164934452843</v>
      </c>
      <c r="LB27" s="165">
        <f>Sheet3!M27*KS27^(1/3)/IH27^(1/3)</f>
        <v>95.673402263968242</v>
      </c>
      <c r="LC27" s="165">
        <f>Sheet3!N27*KT27^(1/3)/II27^(1/3)</f>
        <v>104.21460982311237</v>
      </c>
      <c r="LD27" s="165">
        <f>Sheet3!O27*KU27^(1/3)/IJ27^(1/3)</f>
        <v>113.26479882257811</v>
      </c>
      <c r="LE27" s="165">
        <f>Sheet3!P27*KV27^(1/3)/IK27^(1/3)</f>
        <v>121.19989122222076</v>
      </c>
      <c r="LF27" s="165">
        <f>Sheet3!Q27*KW27^(1/3)/IL27^(1/3)</f>
        <v>137.7172847190383</v>
      </c>
      <c r="LG27" s="186">
        <f t="shared" si="93"/>
        <v>25.861796906363566</v>
      </c>
      <c r="LH27" s="183">
        <f t="shared" si="94"/>
        <v>25.869869844792127</v>
      </c>
      <c r="LI27" s="183">
        <f t="shared" si="95"/>
        <v>26.296674079925619</v>
      </c>
      <c r="LJ27" s="183">
        <f t="shared" si="96"/>
        <v>26.304271485148011</v>
      </c>
      <c r="LK27" s="183">
        <f t="shared" si="97"/>
        <v>26.831434882205073</v>
      </c>
      <c r="LL27" s="183">
        <f t="shared" si="98"/>
        <v>26.841231715371705</v>
      </c>
      <c r="LM27" s="183">
        <f t="shared" si="99"/>
        <v>27.421370459087456</v>
      </c>
      <c r="LN27" s="183">
        <f t="shared" si="100"/>
        <v>27.428914247939339</v>
      </c>
      <c r="LO27" s="183">
        <f t="shared" si="101"/>
        <v>27.999654551656569</v>
      </c>
      <c r="LP27" s="220"/>
      <c r="LQ27" s="220"/>
      <c r="LR27" s="220"/>
      <c r="LS27" s="220"/>
      <c r="LT27" s="220"/>
      <c r="LU27" s="220"/>
      <c r="LV27" s="220"/>
      <c r="LW27" s="220"/>
      <c r="LX27" s="220"/>
      <c r="LY27" s="220"/>
      <c r="LZ27" s="222">
        <v>116.93</v>
      </c>
      <c r="MA27" s="220">
        <v>1.2999999999999999E-5</v>
      </c>
      <c r="MB27" s="220"/>
      <c r="MC27" s="220"/>
      <c r="MD27" s="188">
        <f>Sheet3!DP27</f>
        <v>183.36939501729904</v>
      </c>
      <c r="ME27" s="263">
        <v>260</v>
      </c>
      <c r="MF27" s="263">
        <v>46.94</v>
      </c>
      <c r="MG27" s="263">
        <v>4.4669999999999996</v>
      </c>
      <c r="MH27" s="263">
        <v>23.72</v>
      </c>
      <c r="MI27" s="263">
        <v>18.829999999999998</v>
      </c>
      <c r="MJ27" s="263">
        <v>0.79400000000000004</v>
      </c>
      <c r="MK27" s="273">
        <v>250</v>
      </c>
      <c r="ML27" s="267">
        <v>39.78</v>
      </c>
      <c r="MM27" s="267">
        <v>19.98</v>
      </c>
      <c r="MN27" s="267">
        <v>4.157</v>
      </c>
      <c r="MO27" s="267">
        <v>18.239999999999998</v>
      </c>
      <c r="MP27" s="274">
        <v>0.91300000000000003</v>
      </c>
      <c r="MQ27"/>
      <c r="MR27"/>
      <c r="MS27"/>
    </row>
    <row r="28" spans="1:357" ht="15" thickBot="1" x14ac:dyDescent="0.35">
      <c r="A28" s="184" t="str">
        <f>Sheet3!A28</f>
        <v>16.12.2022</v>
      </c>
      <c r="B28" s="186">
        <f t="shared" si="102"/>
        <v>1.0055766611568082</v>
      </c>
      <c r="C28" s="183">
        <f t="shared" si="103"/>
        <v>1.0042567030411278</v>
      </c>
      <c r="D28" s="183">
        <f t="shared" si="0"/>
        <v>0.98477601538959736</v>
      </c>
      <c r="E28" s="183">
        <f t="shared" si="1"/>
        <v>0.96847032106046693</v>
      </c>
      <c r="F28" s="183">
        <f t="shared" si="2"/>
        <v>0.95132629656506718</v>
      </c>
      <c r="G28" s="183">
        <f t="shared" si="3"/>
        <v>0.94025575114410564</v>
      </c>
      <c r="H28" s="183">
        <f t="shared" si="4"/>
        <v>0.92654656848556283</v>
      </c>
      <c r="I28" s="183">
        <f t="shared" si="5"/>
        <v>0.91270466347809398</v>
      </c>
      <c r="J28" s="183">
        <f t="shared" si="6"/>
        <v>0.89814976712005201</v>
      </c>
      <c r="K28" s="186">
        <f xml:space="preserve"> (6.057 * (10^(-6)))
+ (4.055 * (10^(-8)) * (Sheet3!DF28 + 273))
+ (1.25 * (10^(-10)) * (Sheet3!DF28 + 273)^2)
- (3.367 * (10^(-14)) * (DD28 + 273)^3)</f>
        <v>5.3312333905047485E-5</v>
      </c>
      <c r="L28" s="183">
        <f xml:space="preserve"> (6.057 * (10^(-6)))
+ (4.055 * (10^(-8)) * (Sheet3!BZ28 + 273))
+ (1.25 * (10^(-10)) * (Sheet3!BZ28 + 273)^2)
- (3.367 * (10^(-14)) * (BX28 + 273)^3)</f>
        <v>5.3152550065454003E-5</v>
      </c>
      <c r="M28" s="183">
        <f xml:space="preserve"> (6.057 * (10^(-6)))
+ (4.055 * (10^(-8)) * (Sheet3!CA28 + 273))
+ (1.25 * (10^(-10)) * (Sheet3!CA28 + 273)^2)
- (3.367 * (10^(-14)) * (BY28 + 273)^3)</f>
        <v>5.0995112416838718E-5</v>
      </c>
      <c r="N28" s="183">
        <f xml:space="preserve"> (6.057 * (10^(-6)))
+ (4.055 * (10^(-8)) * (Sheet3!CB28 + 273))
+ (1.25 * (10^(-10)) * (Sheet3!CB28 + 273)^2)
- (3.367 * (10^(-14)) * (BZ28 + 273)^3)</f>
        <v>4.9442975408366272E-5</v>
      </c>
      <c r="O28" s="183">
        <f xml:space="preserve"> (6.057 * (10^(-6)))
+ (4.055 * (10^(-8)) * (Sheet3!CC28 + 273))
+ (1.25 * (10^(-10)) * (Sheet3!CC28 + 273)^2)
- (3.367 * (10^(-14)) * (CA28 + 273)^3)</f>
        <v>4.7688186944840896E-5</v>
      </c>
      <c r="P28" s="183">
        <f xml:space="preserve"> (6.057 * (10^(-6)))
+ (4.055 * (10^(-8)) * (Sheet3!CD28 + 273))
+ (1.25 * (10^(-10)) * (Sheet3!CD28 + 273)^2)
- (3.367 * (10^(-14)) * (CB28 + 273)^3)</f>
        <v>4.6734276794647068E-5</v>
      </c>
      <c r="Q28" s="183">
        <f xml:space="preserve"> (6.057 * (10^(-6)))
+ (4.055 * (10^(-8)) * (Sheet3!CE28 + 273))
+ (1.25 * (10^(-10)) * (Sheet3!CE28 + 273)^2)
- (3.367 * (10^(-14)) * (CC28 + 273)^3)</f>
        <v>4.5393422095732956E-5</v>
      </c>
      <c r="R28" s="183">
        <f xml:space="preserve"> (6.057 * (10^(-6)))
+ (4.055 * (10^(-8)) * (Sheet3!CF28 + 273))
+ (1.25 * (10^(-10)) * (Sheet3!CF28 + 273)^2)
- (3.367 * (10^(-14)) * (CD28 + 273)^3)</f>
        <v>4.429763817658757E-5</v>
      </c>
      <c r="S28" s="183">
        <f xml:space="preserve"> (6.057 * (10^(-6)))
+ (4.055 * (10^(-8)) * (Sheet3!CG28 + 273))
+ (1.25 * (10^(-10)) * (Sheet3!CG28 + 273)^2)
- (3.367 * (10^(-14)) * (CE28 + 273)^3)</f>
        <v>4.2997235392986741E-5</v>
      </c>
      <c r="T28" s="188">
        <f t="shared" si="104"/>
        <v>5.3312333905047485E-5</v>
      </c>
      <c r="U28" s="165">
        <f t="shared" si="105"/>
        <v>5.3152550065454003E-5</v>
      </c>
      <c r="V28" s="165">
        <f t="shared" si="106"/>
        <v>5.0995112416838718E-5</v>
      </c>
      <c r="W28" s="165">
        <f t="shared" si="107"/>
        <v>4.9442975408366272E-5</v>
      </c>
      <c r="X28" s="165">
        <f t="shared" si="108"/>
        <v>4.7688186944840896E-5</v>
      </c>
      <c r="Y28" s="165">
        <f t="shared" si="109"/>
        <v>4.6734276794647068E-5</v>
      </c>
      <c r="Z28" s="165">
        <f t="shared" si="110"/>
        <v>4.5393422095732956E-5</v>
      </c>
      <c r="AA28" s="165">
        <f t="shared" si="111"/>
        <v>4.429763817658757E-5</v>
      </c>
      <c r="AB28" s="165">
        <f t="shared" si="112"/>
        <v>4.2997235392986741E-5</v>
      </c>
      <c r="AC28" s="186">
        <f t="shared" si="8"/>
        <v>5.3609638726714553E-5</v>
      </c>
      <c r="AD28" s="183">
        <f t="shared" si="9"/>
        <v>5.337880468696132E-5</v>
      </c>
      <c r="AE28" s="183">
        <f t="shared" si="10"/>
        <v>5.0218763610199011E-5</v>
      </c>
      <c r="AF28" s="183">
        <f t="shared" si="11"/>
        <v>4.7884054267925254E-5</v>
      </c>
      <c r="AG28" s="183">
        <f t="shared" si="12"/>
        <v>4.5367026276138073E-5</v>
      </c>
      <c r="AH28" s="183">
        <f t="shared" si="13"/>
        <v>4.3942172531727424E-5</v>
      </c>
      <c r="AI28" s="183">
        <f t="shared" si="14"/>
        <v>4.2059119474618097E-5</v>
      </c>
      <c r="AJ28" s="183">
        <f t="shared" si="15"/>
        <v>4.0430660944836728E-5</v>
      </c>
      <c r="AK28" s="183">
        <f t="shared" si="16"/>
        <v>3.86179569550171E-5</v>
      </c>
      <c r="AL28" s="186">
        <f t="shared" si="113"/>
        <v>4.2931521784307272E-2</v>
      </c>
      <c r="AM28" s="183">
        <f t="shared" si="114"/>
        <v>4.2822355048012947E-2</v>
      </c>
      <c r="AN28" s="183">
        <f t="shared" si="115"/>
        <v>4.1259587325660853E-2</v>
      </c>
      <c r="AO28" s="183">
        <f t="shared" si="116"/>
        <v>4.0122965408695803E-2</v>
      </c>
      <c r="AP28" s="183">
        <f t="shared" si="117"/>
        <v>3.8799894912380048E-2</v>
      </c>
      <c r="AQ28" s="183">
        <f t="shared" si="118"/>
        <v>3.8076777612337201E-2</v>
      </c>
      <c r="AR28" s="183">
        <f t="shared" si="119"/>
        <v>3.703550597402569E-2</v>
      </c>
      <c r="AS28" s="183">
        <f t="shared" si="120"/>
        <v>3.6180888924583127E-2</v>
      </c>
      <c r="AT28" s="183">
        <f t="shared" si="121"/>
        <v>3.5148691304475788E-2</v>
      </c>
      <c r="AU28" s="186">
        <f>_xlfn.FORECAST.LINEAR(Sheet3!DF28,Sheet2!$AH$2:$AH$40,Sheet2!$AG$2:$AG$40)</f>
        <v>5.615110757455756E-2</v>
      </c>
      <c r="AV28" s="183">
        <f>_xlfn.FORECAST.LINEAR(Sheet3!BZ28,Sheet2!$AH$2:$AH$40,Sheet2!$AG$2:$AG$40)</f>
        <v>5.590695546614538E-2</v>
      </c>
      <c r="AW28" s="183">
        <f>_xlfn.FORECAST.LINEAR(Sheet3!CA28,Sheet2!$AH$2:$AH$40,Sheet2!$AG$2:$AG$40)</f>
        <v>5.243894348430559E-2</v>
      </c>
      <c r="AX28" s="183">
        <f>_xlfn.FORECAST.LINEAR(Sheet3!CB28,Sheet2!$AH$2:$AH$40,Sheet2!$AG$2:$AG$40)</f>
        <v>4.989632925841813E-2</v>
      </c>
      <c r="AY28" s="183">
        <f>_xlfn.FORECAST.LINEAR(Sheet3!CC28,Sheet2!$AH$2:$AH$40,Sheet2!$AG$2:$AG$40)</f>
        <v>4.6971114221675304E-2</v>
      </c>
      <c r="AZ28" s="183">
        <f>_xlfn.FORECAST.LINEAR(Sheet3!CD28,Sheet2!$AH$2:$AH$40,Sheet2!$AG$2:$AG$40)</f>
        <v>4.5357252817449754E-2</v>
      </c>
      <c r="BA28" s="183">
        <f>_xlfn.FORECAST.LINEAR(Sheet3!CE28,Sheet2!$AH$2:$AH$40,Sheet2!$AG$2:$AG$40)</f>
        <v>4.3059407147800662E-2</v>
      </c>
      <c r="BB28" s="183">
        <f>_xlfn.FORECAST.LINEAR(Sheet3!CF28,Sheet2!$AH$2:$AH$40,Sheet2!$AG$2:$AG$40)</f>
        <v>4.1154940841741469E-2</v>
      </c>
      <c r="BC28" s="183">
        <f>_xlfn.FORECAST.LINEAR(Sheet3!CG28,Sheet2!$AH$2:$AH$40,Sheet2!$AG$2:$AG$40)</f>
        <v>3.8872838137553524E-2</v>
      </c>
      <c r="BD28" s="186">
        <f>_xlfn.FORECAST.LINEAR(Sheet3!DF28,Sheet2!$AB$12:$AB$37,Sheet2!$AA$12:$AA$37)/1000</f>
        <v>3.7324862686859299E-2</v>
      </c>
      <c r="BE28" s="183">
        <f>_xlfn.FORECAST.LINEAR(Sheet3!BZ28,Sheet2!$AB$12:$AB$37,Sheet2!$AA$12:$AA$37)/1000</f>
        <v>3.7270275926692326E-2</v>
      </c>
      <c r="BF28" s="183">
        <f>_xlfn.FORECAST.LINEAR(Sheet3!CA28,Sheet2!$AB$12:$AB$37,Sheet2!$AA$12:$AA$37)/1000</f>
        <v>3.6494908719994792E-2</v>
      </c>
      <c r="BG28" s="183">
        <f>_xlfn.FORECAST.LINEAR(Sheet3!CB28,Sheet2!$AB$12:$AB$37,Sheet2!$AA$12:$AA$37)/1000</f>
        <v>3.5926439031781686E-2</v>
      </c>
      <c r="BH28" s="183">
        <f>_xlfn.FORECAST.LINEAR(Sheet3!CC28,Sheet2!$AB$12:$AB$37,Sheet2!$AA$12:$AA$37)/1000</f>
        <v>3.5272428658142299E-2</v>
      </c>
      <c r="BI28" s="183">
        <f>_xlfn.FORECAST.LINEAR(Sheet3!CD28,Sheet2!$AB$12:$AB$37,Sheet2!$AA$12:$AA$37)/1000</f>
        <v>3.4911606603448157E-2</v>
      </c>
      <c r="BJ28" s="183">
        <f>_xlfn.FORECAST.LINEAR(Sheet3!CE28,Sheet2!$AB$12:$AB$37,Sheet2!$AA$12:$AA$37)/1000</f>
        <v>3.4397861498867331E-2</v>
      </c>
      <c r="BK28" s="183">
        <f>_xlfn.FORECAST.LINEAR(Sheet3!CF28,Sheet2!$AB$12:$AB$37,Sheet2!$AA$12:$AA$37)/1000</f>
        <v>3.3972066914618133E-2</v>
      </c>
      <c r="BL28" s="183">
        <f>_xlfn.FORECAST.LINEAR(Sheet3!CG28,Sheet2!$AB$12:$AB$37,Sheet2!$AA$12:$AA$37)/1000</f>
        <v>3.3461841572719399E-2</v>
      </c>
      <c r="BM28" s="186">
        <f t="shared" si="122"/>
        <v>0.65837625584019954</v>
      </c>
      <c r="BN28" s="183">
        <f t="shared" si="123"/>
        <v>0.65970593190155469</v>
      </c>
      <c r="BO28" s="183">
        <f t="shared" si="124"/>
        <v>0.6793757653834942</v>
      </c>
      <c r="BP28" s="183">
        <f t="shared" si="125"/>
        <v>0.69437004005883241</v>
      </c>
      <c r="BQ28" s="183">
        <f t="shared" si="126"/>
        <v>0.71277557388466384</v>
      </c>
      <c r="BR28" s="183">
        <f t="shared" si="127"/>
        <v>0.72317333794544547</v>
      </c>
      <c r="BS28" s="183">
        <f t="shared" si="128"/>
        <v>0.73885769258147982</v>
      </c>
      <c r="BT28" s="183">
        <f t="shared" si="129"/>
        <v>0.75207640061323666</v>
      </c>
      <c r="BU28" s="183">
        <f t="shared" si="130"/>
        <v>0.76889786836281804</v>
      </c>
      <c r="BV28" s="186">
        <f t="shared" si="131"/>
        <v>1.2163519137646308</v>
      </c>
      <c r="BW28" s="183">
        <f t="shared" si="19"/>
        <v>1.216049670563174</v>
      </c>
      <c r="BX28" s="183">
        <f t="shared" si="20"/>
        <v>1.2093411006141217</v>
      </c>
      <c r="BY28" s="183">
        <f t="shared" si="21"/>
        <v>1.2067328488435727</v>
      </c>
      <c r="BZ28" s="183">
        <f t="shared" si="22"/>
        <v>1.1998789320450141</v>
      </c>
      <c r="CA28" s="183">
        <f t="shared" si="23"/>
        <v>1.1982191505464366</v>
      </c>
      <c r="CB28" s="183">
        <f t="shared" si="24"/>
        <v>1.1917833305827799</v>
      </c>
      <c r="CC28" s="183">
        <f t="shared" si="25"/>
        <v>1.1898889475709975</v>
      </c>
      <c r="CD28" s="183">
        <f t="shared" si="26"/>
        <v>1.1837260591268961</v>
      </c>
      <c r="CE28" s="187">
        <f xml:space="preserve"> -0.0000000019505*Sheet3!DF28^3 + 0.0000015497*Sheet3!DF28^2  + 0.00016911*Sheet3!DF28 + 1.8585</f>
        <v>1.9414898911875</v>
      </c>
      <c r="CF28" s="185">
        <f xml:space="preserve"> -0.0000000019505*Sheet3!BZ28^3 + 0.0000015497*Sheet3!BZ28^2  + 0.00016911*Sheet3!BZ28 + 1.8585</f>
        <v>1.9409536013367423</v>
      </c>
      <c r="CG28" s="185">
        <f xml:space="preserve"> -0.0000000019505*Sheet3!CA28^3 + 0.0000015497*Sheet3!CA28^2  + 0.00016911*Sheet3!CA28 + 1.8585</f>
        <v>1.9334118160422755</v>
      </c>
      <c r="CH28" s="185">
        <f xml:space="preserve"> -0.0000000019505*Sheet3!CB28^3 + 0.0000015497*Sheet3!CB28^2  + 0.00016911*Sheet3!CB28 + 1.8585</f>
        <v>1.9279838572107613</v>
      </c>
      <c r="CI28" s="185">
        <f xml:space="preserve"> -0.0000000019505*Sheet3!CC28^3 + 0.0000015497*Sheet3!CC28^2  + 0.00016911*Sheet3!CC28 + 1.8585</f>
        <v>1.9218622206451372</v>
      </c>
      <c r="CJ28" s="185">
        <f xml:space="preserve"> -0.0000000019505*Sheet3!CD28^3 + 0.0000015497*Sheet3!CD28^2  + 0.00016911*Sheet3!CD28 + 1.8585</f>
        <v>1.9185474130248048</v>
      </c>
      <c r="CK28" s="185">
        <f xml:space="preserve"> -0.0000000019505*Sheet3!CE28^3 + 0.0000015497*Sheet3!CE28^2  + 0.00016911*Sheet3!CE28 + 1.8585</f>
        <v>1.9139117710704308</v>
      </c>
      <c r="CL28" s="185">
        <f xml:space="preserve"> -0.0000000019505*Sheet3!CF28^3 + 0.0000015497*Sheet3!CF28^2  + 0.00016911*Sheet3!CF28 + 1.8585</f>
        <v>1.910150087596421</v>
      </c>
      <c r="CM28" s="185">
        <f xml:space="preserve"> -0.0000000019505*Sheet3!CG28^3 + 0.0000015497*Sheet3!CG28^2  + 0.00016911*Sheet3!CG28 + 1.8585</f>
        <v>1.9057457961651085</v>
      </c>
      <c r="CN28" s="186">
        <f>_xlfn.FORECAST.LINEAR(Sheet3!DF28,New!$LU$2:$LU$14,New!$LT$2:$LT$14)</f>
        <v>1.0350674194089138</v>
      </c>
      <c r="CO28" s="183">
        <f>_xlfn.FORECAST.LINEAR(Sheet3!BZ28,New!$LU$2:$LU$14,New!$LT$2:$LT$14)</f>
        <v>1.034887720254023</v>
      </c>
      <c r="CP28" s="183">
        <f>_xlfn.FORECAST.LINEAR(Sheet3!CA28,New!$LU$2:$LU$14,New!$LT$2:$LT$14)</f>
        <v>1.0323352179375727</v>
      </c>
      <c r="CQ28" s="183">
        <f>_xlfn.FORECAST.LINEAR(Sheet3!CB28,New!$LU$2:$LU$14,New!$LT$2:$LT$14)</f>
        <v>1.0304638205100545</v>
      </c>
      <c r="CR28" s="183">
        <f>_xlfn.FORECAST.LINEAR(Sheet3!CC28,New!$LU$2:$LU$14,New!$LT$2:$LT$14)</f>
        <v>1.0283108238662999</v>
      </c>
      <c r="CS28" s="183">
        <f>_xlfn.FORECAST.LINEAR(Sheet3!CD28,New!$LU$2:$LU$14,New!$LT$2:$LT$14)</f>
        <v>1.0271230007000922</v>
      </c>
      <c r="CT28" s="183">
        <f>_xlfn.FORECAST.LINEAR(Sheet3!CE28,New!$LU$2:$LU$14,New!$LT$2:$LT$14)</f>
        <v>1.0254317561411523</v>
      </c>
      <c r="CU28" s="183">
        <f>_xlfn.FORECAST.LINEAR(Sheet3!CF28,New!$LU$2:$LU$14,New!$LT$2:$LT$14)</f>
        <v>1.0240300439546683</v>
      </c>
      <c r="CV28" s="183">
        <f>_xlfn.FORECAST.LINEAR(Sheet3!CG28,New!$LU$2:$LU$14,New!$LT$2:$LT$14)</f>
        <v>1.0223503864248442</v>
      </c>
      <c r="CW28" s="186">
        <f>EXP((17.625*Sheet3!BA28)/(243.04+Sheet3!BA28)) / EXP((17.625*Sheet3!DF28)/(243.04+Sheet3!DF28))</f>
        <v>1.549053338025028E-2</v>
      </c>
      <c r="CX28" s="183">
        <f>EXP((17.625*(Sheet3!BC28+273))/(243.04+(Sheet3!BC28+273)))/EXP((17.625*(Sheet3!BZ28+273))/(243.04+(Sheet3!BZ28+273)))</f>
        <v>0.23954829486205317</v>
      </c>
      <c r="CY28" s="183">
        <f>EXP((17.625*(Sheet3!BE28+273))/(243.04+(Sheet3!BE28+273))) / EXP((17.625*(Sheet3!CA28+273))/(243.04+(Sheet3!CA28+273)))</f>
        <v>0.2684829036748993</v>
      </c>
      <c r="CZ28" s="183">
        <f>EXP((17.625*(Sheet3!BG28+273))/(243.04+(Sheet3!BG28+273))) / EXP((17.625*(Sheet3!CB28+273))/(243.04+(Sheet3!CB28+273)))</f>
        <v>0.29210793100209193</v>
      </c>
      <c r="DA28" s="183">
        <f>EXP((17.625*(Sheet3!BI28+273))/(243.04+(Sheet3!BI28+273))) / EXP((17.625*(Sheet3!CC28+273))/(243.04+(Sheet3!CC28+273)))</f>
        <v>0.32244431499879889</v>
      </c>
      <c r="DB28" s="183">
        <f>EXP((17.625*(Sheet3!BK28+273))/(243.04+(Sheet3!BK28+273)))/EXP((17.625*(Sheet3!CD28+273))/(243.04+(Sheet3!CD28+273)))</f>
        <v>0.34185318433813711</v>
      </c>
      <c r="DC28" s="183">
        <f>EXP((17.625*(Sheet3!BM28+273))/(243.04+(Sheet3!BM28+273))) / EXP((17.625*(Sheet3!CE28+273))/(243.04+(Sheet3!CE28+273)))</f>
        <v>0.37042329610091623</v>
      </c>
      <c r="DD28" s="183">
        <f>EXP((17.625*(Sheet3!BO28+273))/(243.04+(Sheet3!BO28+273))) / EXP((17.625*(Sheet3!CF28+273))/(243.04+(Sheet3!CF28+273)))</f>
        <v>0.39821866680553375</v>
      </c>
      <c r="DE28" s="183">
        <f>EXP((17.625*(Sheet3!BQ28+273))/(243.04+(Sheet3!BQ28+273))) / EXP((17.625*(Sheet3!CG28+273))/(243.04+(Sheet3!CG28+273)))</f>
        <v>0.43315426100203269</v>
      </c>
      <c r="DF28" s="186">
        <f>((Sheet3!DA28-Sheet3!DB28)/New!$LQ$3)/(((Sheet3!DA28-Sheet3!DB28)/New!$LQ$3)+(Sheet3!DB28/New!$LP$3))</f>
        <v>0.71332409423876464</v>
      </c>
      <c r="DG28" s="183">
        <f>((Sheet3!DA28-Sheet3!DB28)/New!$LQ$3)/(((Sheet3!DA28-Sheet3!DB28)/New!$LQ$3)+((Sheet3!DB28-(Sheet3!B28*0.004))/New!$LP$3))</f>
        <v>0.71354228664550923</v>
      </c>
      <c r="DH28" s="183" cm="1">
        <f t="array" ref="DH28">((Sheet3!DA28-Sheet3!DB28)/New!$LQ$3)/(((Sheet3!DA28-Sheet3!DB28)/New!$LQ$3)+((Sheet3!DB28-(SUM(Sheet3!B28:C28*0.004)))/New!$LP$3))</f>
        <v>0.72730759918217491</v>
      </c>
      <c r="DI28" s="183" cm="1">
        <f t="array" ref="DI28">((Sheet3!DA28-Sheet3!DB28)/New!$LQ$3)/(((Sheet3!DA28-Sheet3!DB28)/New!$LQ$3)+((Sheet3!DB28-(SUM(Sheet3!B28:D28*0.004)))/New!$LP$3))</f>
        <v>0.72747771006681083</v>
      </c>
      <c r="DJ28" s="183" cm="1">
        <f t="array" ref="DJ28">((Sheet3!DA28-Sheet3!DB28)/New!$LQ$3)/(((Sheet3!DA28-Sheet3!DB28)/New!$LQ$3)+((Sheet3!DB28-(SUM(Sheet3!B28:E28*0.004)))/New!$LP$3))</f>
        <v>0.74540608073716774</v>
      </c>
      <c r="DK28" s="183" cm="1">
        <f t="array" ref="DK28">((Sheet3!DA28-Sheet3!DB28)/New!$LQ$3)/(((Sheet3!DA28-Sheet3!DB28)/New!$LQ$3)+((Sheet3!DB28-(SUM(Sheet3!B28:F28*0.004)))/New!$LP$3))</f>
        <v>0.74570393402736812</v>
      </c>
      <c r="DL28" s="183" cm="1">
        <f t="array" ref="DL28">((Sheet3!DA28-Sheet3!DB28)/New!$LQ$3)/(((Sheet3!DA28-Sheet3!DB28)/New!$LQ$3)+((Sheet3!DB28-(SUM(Sheet3!B28:G28*0.004)))/New!$LP$3))</f>
        <v>0.76583994213030282</v>
      </c>
      <c r="DM28" s="183" cm="1">
        <f t="array" ref="DM28">((Sheet3!DA28-Sheet3!DB28)/New!$LQ$3)/(((Sheet3!DA28-Sheet3!DB28)/New!$LQ$3)+((Sheet3!DB28-(SUM(Sheet3!B28:H28*0.004)))/New!$LP$3))</f>
        <v>0.76609145004236079</v>
      </c>
      <c r="DN28" s="183" cm="1">
        <f t="array" ref="DN28">((Sheet3!DA28-Sheet3!DB28)/New!$LQ$3)/(((Sheet3!DA28-Sheet3!DB28)/New!$LQ$3)+((Sheet3!DB28-(SUM(Sheet3!B28:I28*0.004)))/New!$LP$3))</f>
        <v>0.78629766510403243</v>
      </c>
      <c r="DO28" s="186">
        <f>(Sheet3!DB28/$LP$3) / ((Sheet3!DB28/$LP$3) + ((Sheet3!DA28-Sheet3!DB28)/$LQ$3))</f>
        <v>0.28667590576123536</v>
      </c>
      <c r="DP28" s="183">
        <f>((Sheet3!$DB28-(Sheet3!B28/4000)) / $LP$3) / (((Sheet3!$DA28-Sheet3!DB28) / $LQ$3) + (Sheet3!$DB28-((Sheet3!B28/4000)))/$LP$3)</f>
        <v>0.28666227264529515</v>
      </c>
      <c r="DQ28" s="183">
        <f>((Sheet3!$DB28-(SUM(Sheet3!B28:C28)/4000))/$LP$3)/(((Sheet3!$DA28-Sheet3!$DB28)/$LQ$3)+(Sheet3!$DB28-(SUM(Sheet3!B28:C28)/4000))/$LP$3)</f>
        <v>0.28581770872639845</v>
      </c>
      <c r="DR28" s="183">
        <f>((Sheet3!$DB28-(SUM(Sheet3!B28:D28)/4000))/$LP$3)/(((Sheet3!$DA28-Sheet3!$DB28)/$LQ$3)+(Sheet3!$DB28-(SUM(Sheet3!B28:D28)/4000))/$LP$3)</f>
        <v>0.28580745932052715</v>
      </c>
      <c r="DS28" s="183">
        <f>((Sheet3!$DB28-(SUM(Sheet3!B28:E28)/4000))/$LP$3)/(((Sheet3!$DA28-Sheet3!$DB28)/$LQ$3)+(Sheet3!$DB28-(SUM(Sheet3!B28:E28)/4000))/$LP$3)</f>
        <v>0.28475190585262583</v>
      </c>
      <c r="DT28" s="183">
        <f>((Sheet3!$DB28-(SUM(Sheet3!B28:F28)/4000))/$LP$3)/(((Sheet3!$DA28-Sheet3!$DB28)/$LQ$3)+(Sheet3!$DB28-(SUM(Sheet3!B28:F28)/4000))/$LP$3)</f>
        <v>0.28473477232159539</v>
      </c>
      <c r="DU28" s="183">
        <f>((Sheet3!$DB28-(SUM(Sheet3!B28:G28)/4000))/$LP$3)/(((Sheet3!$DA28-Sheet3!$DB28)/$LQ$3)+(Sheet3!$DB28-(SUM(Sheet3!B28:G28)/4000))/$LP$3)</f>
        <v>0.28360557911988826</v>
      </c>
      <c r="DV28" s="183">
        <f>((Sheet3!$DB28-(SUM(Sheet3!B28:H28)/4000))/$LP$3)/(((Sheet3!$DA28-Sheet3!$DB28)/$LQ$3)+(Sheet3!$DB28-(SUM(Sheet3!B28:H28)/4000))/$LP$3)</f>
        <v>0.28359182838950936</v>
      </c>
      <c r="DW28" s="183">
        <f>((Sheet3!$DB28-(SUM(Sheet3!B28:I28)/4000))/$LP$3)/(((Sheet3!$DA28-Sheet3!$DB28)/$LQ$3)+(Sheet3!$DB28-(SUM(Sheet3!B28:I28)/4000))/$LP$3)</f>
        <v>0.28251419452304699</v>
      </c>
      <c r="DX28" s="186">
        <f>($LR$2*($LP$3/1000))/($LP$2*(Sheet3!DF28+273))*DO28</f>
        <v>0.13167525116803988</v>
      </c>
      <c r="DY28" s="183">
        <f>(($LR$2*($LP$3/1000))/($LP$2*(Sheet3!BZ28+273)))*(DP28)</f>
        <v>0.13193414942321122</v>
      </c>
      <c r="DZ28" s="183">
        <f>(($LR$2*($LP$3/1000))/($LP$2*(Sheet3!CA28+273)))*(DQ28)</f>
        <v>0.13541913610248493</v>
      </c>
      <c r="EA28" s="183">
        <f>(($LR$2*($LP$3/1000))/($LP$2*(Sheet3!CB28+273)))*(DR28)</f>
        <v>0.13840236209829659</v>
      </c>
      <c r="EB28" s="183">
        <f>(($LR$2*($LP$3/1000))/($LP$2*(Sheet3!CC28+273)))*(DS28)</f>
        <v>0.14148298902601467</v>
      </c>
      <c r="EC28" s="183">
        <f>(($LR$2*($LP$3/1000))/($LP$2*(Sheet3!CD28+273)))*(DT28)</f>
        <v>0.14353722321186019</v>
      </c>
      <c r="ED28" s="183">
        <f>(($LR$2*($LP$3/1000))/($LP$2*(Sheet3!CE28+273)))*(DU28)</f>
        <v>0.14599889069866634</v>
      </c>
      <c r="EE28" s="183">
        <f>(($LR$2*($LP$3/1000))/($LP$2*(Sheet3!CF28+273)))*(DV28)</f>
        <v>0.14860284788595637</v>
      </c>
      <c r="EF28" s="183">
        <f>(($LR$2*($LP$3/1000))/($LP$2*(Sheet3!CG28+273)))*(DW28)</f>
        <v>0.1512802811697222</v>
      </c>
      <c r="EG28" s="186">
        <f>(($LR$2*($LQ$3/1000))/($LQ$2*(Sheet3!DF28+273)))*(1-DO28)</f>
        <v>0.52670100467215963</v>
      </c>
      <c r="EH28" s="183">
        <f>(($LR$2*($LQ$3/1000))/($LQ$2*(Sheet3!BZ28+273)))*(1-DP28)</f>
        <v>0.52777178247834344</v>
      </c>
      <c r="EI28" s="183">
        <f>(($LR$2*($LQ$3/1000))/($LQ$2*(Sheet3!CA28+273)))*(1-DQ28)</f>
        <v>0.5439566292810093</v>
      </c>
      <c r="EJ28" s="183">
        <f>(($LR$2*($LQ$3/1000))/($LQ$2*(Sheet3!CB28+273)))*(1-DR28)</f>
        <v>0.55596767796053581</v>
      </c>
      <c r="EK28" s="183">
        <f>(($LR$2*($LQ$3/1000))/($LQ$2*(Sheet3!CC28+273)))*(1-DS28)</f>
        <v>0.5712925848586492</v>
      </c>
      <c r="EL28" s="183">
        <f>(($LR$2*($LQ$3/1000))/($LQ$2*(Sheet3!CD28+273)))*(1-DT28)</f>
        <v>0.57963611473358534</v>
      </c>
      <c r="EM28" s="183">
        <f>(($LR$2*($LQ$3/1000))/($LQ$2*(Sheet3!CE28+273)))*(1-DU28)</f>
        <v>0.59285880188281348</v>
      </c>
      <c r="EN28" s="183">
        <f>(($LR$2*($LQ$3/1000))/($LQ$2*(Sheet3!CF28+273)))*(1-DV28)</f>
        <v>0.60347355272728032</v>
      </c>
      <c r="EO28" s="183">
        <f>(($LR$2*($LQ$3/1000))/($LQ$2*(Sheet3!CG28+273)))*(1-DW28)</f>
        <v>0.61761758719309579</v>
      </c>
      <c r="EP28" s="186">
        <f t="shared" si="132"/>
        <v>2952.3702919853977</v>
      </c>
      <c r="EQ28" s="183">
        <f xml:space="preserve"> (($FV28-(Sheet3!B28/4000))*0.018)/(0.011*JO28*3600)</f>
        <v>2957.2723806810441</v>
      </c>
      <c r="ER28" s="183">
        <f>((($FV28-(SUM(Sheet3!B28:C28)/4000))*0.018)/(0.011*JP28*3600))</f>
        <v>3025.9780002162902</v>
      </c>
      <c r="ES28" s="183">
        <f>((($FV28-(SUM(Sheet3!B28:D28)/4000))*0.018)/(0.011*JQ28*3600))</f>
        <v>3081.1853134409207</v>
      </c>
      <c r="ET28" s="183">
        <f>((($FV28-(SUM(Sheet3!B28:E28)/4000))*0.018)/(0.011*JR28))/3600</f>
        <v>3142.637455254001</v>
      </c>
      <c r="EU28" s="183">
        <f>((($FV28-(SUM(Sheet3!B28:F28)/4000))*0.018)/(0.011*JS28))/3600</f>
        <v>3180.2418145053193</v>
      </c>
      <c r="EV28" s="183">
        <f>((($FV28-(SUM(Sheet3!B28:G28)/4000))*0.018)/(0.011*JT28))/3600</f>
        <v>3230.30391867873</v>
      </c>
      <c r="EW28" s="183">
        <f>((($FV28-(SUM(Sheet3!B28:H28)/4000))*0.018)/(0.011*JU28))/3600</f>
        <v>3277.4536510172916</v>
      </c>
      <c r="EX28" s="183">
        <f>((($FV28-(SUM(Sheet3!B28:I28)/4000))*0.018)/(0.011*JV28))/3600</f>
        <v>3330.7611339897148</v>
      </c>
      <c r="EY28" s="186">
        <f t="shared" si="133"/>
        <v>35.583809536484459</v>
      </c>
      <c r="EZ28" s="183">
        <f t="shared" si="134"/>
        <v>35.629038459754597</v>
      </c>
      <c r="FA28" s="183">
        <f t="shared" si="135"/>
        <v>36.250641812468636</v>
      </c>
      <c r="FB28" s="183">
        <f t="shared" si="136"/>
        <v>36.767499384990877</v>
      </c>
      <c r="FC28" s="183">
        <f t="shared" si="137"/>
        <v>37.322497688323843</v>
      </c>
      <c r="FD28" s="183">
        <f t="shared" si="138"/>
        <v>37.677994654993668</v>
      </c>
      <c r="FE28" s="183">
        <f t="shared" si="139"/>
        <v>38.127685262806175</v>
      </c>
      <c r="FF28" s="183">
        <f t="shared" si="140"/>
        <v>38.577923596624508</v>
      </c>
      <c r="FG28" s="183">
        <f t="shared" si="141"/>
        <v>39.064328917998374</v>
      </c>
      <c r="FH28" s="186">
        <f t="shared" si="28"/>
        <v>84.870394126901303</v>
      </c>
      <c r="FI28" s="183">
        <f t="shared" si="29"/>
        <v>84.762185274606651</v>
      </c>
      <c r="FJ28" s="183">
        <f t="shared" si="30"/>
        <v>83.09369563737792</v>
      </c>
      <c r="FK28" s="183">
        <f t="shared" si="31"/>
        <v>81.956728110457405</v>
      </c>
      <c r="FL28" s="183">
        <f t="shared" si="32"/>
        <v>80.450499343028469</v>
      </c>
      <c r="FM28" s="183">
        <f t="shared" si="33"/>
        <v>79.703145742056876</v>
      </c>
      <c r="FN28" s="183">
        <f t="shared" si="34"/>
        <v>78.448784184801625</v>
      </c>
      <c r="FO28" s="183">
        <f t="shared" si="35"/>
        <v>77.543531588362555</v>
      </c>
      <c r="FP28" s="183">
        <f t="shared" si="36"/>
        <v>76.281113230846202</v>
      </c>
      <c r="FQ28" s="314">
        <f>Sheet3!CV28</f>
        <v>2</v>
      </c>
      <c r="FR28" s="183">
        <v>3000</v>
      </c>
      <c r="FS28" s="183">
        <v>20</v>
      </c>
      <c r="FT28" s="183">
        <v>0.16186666666666669</v>
      </c>
      <c r="FU28" s="183">
        <v>32.369999999999997</v>
      </c>
      <c r="FV28" s="183">
        <v>150</v>
      </c>
      <c r="FW28" s="183">
        <v>30</v>
      </c>
      <c r="FX28" s="183">
        <v>297</v>
      </c>
      <c r="FY28" s="183">
        <v>9.51</v>
      </c>
      <c r="FZ28" s="183">
        <v>29.86</v>
      </c>
      <c r="GA28" s="183">
        <v>205</v>
      </c>
      <c r="GB28" s="186">
        <f>EXP($LP$6-($LQ$6/('Trial and Error method'!T28+$LP$8))) / ($LR$2/1000)</f>
        <v>0.23757336799734183</v>
      </c>
      <c r="GC28" s="183">
        <f>EXP($LP$6-($LQ$6/('Trial and Error method'!U28+$LP$8))) / ($LR$2/1000)</f>
        <v>0.18602038993677744</v>
      </c>
      <c r="GD28" s="183">
        <f>EXP($LP$6-($LQ$6/('Trial and Error method'!V28+$LP$8))) / ($LR$2/1000)</f>
        <v>0.17111286055882474</v>
      </c>
      <c r="GE28" s="183">
        <f>EXP($LP$6-($LQ$6/('Trial and Error method'!W28+$LP$8))) / ($LR$2/1000)</f>
        <v>0.15998752034723437</v>
      </c>
      <c r="GF28" s="183">
        <f>EXP($LP$6-($LQ$6/('Trial and Error method'!X28+$LP$8))) / ($LR$2/1000)</f>
        <v>0.13222384805772819</v>
      </c>
      <c r="GG28" s="183">
        <f>EXP($LP$6-($LQ$6/('Trial and Error method'!Y28+$LP$8))) / ($LR$2/1000)</f>
        <v>0.30792850042986902</v>
      </c>
      <c r="GH28" s="183">
        <f>EXP($LP$6-($LQ$6/('Trial and Error method'!Z28+$LP$8))) / ($LR$2/1000)</f>
        <v>0.29026490311382763</v>
      </c>
      <c r="GI28" s="183">
        <f>EXP($LP$6-($LQ$6/('Trial and Error method'!AA28+$LP$8))) / ($LR$2/1000)</f>
        <v>0.27750419726438424</v>
      </c>
      <c r="GJ28" s="183">
        <f>EXP($LP$6-($LQ$6/('Trial and Error method'!AB28+$LP$8))) / ($LR$2/1000)</f>
        <v>0.25784059247298075</v>
      </c>
      <c r="GK28" s="188">
        <f t="shared" si="142"/>
        <v>0.73760298520644685</v>
      </c>
      <c r="GL28" s="165">
        <f t="shared" si="143"/>
        <v>0.76255209411903957</v>
      </c>
      <c r="GM28" s="165">
        <f t="shared" si="144"/>
        <v>0.7701115080487434</v>
      </c>
      <c r="GN28" s="165">
        <f t="shared" si="145"/>
        <v>0.77540191742508136</v>
      </c>
      <c r="GO28" s="165">
        <f t="shared" si="146"/>
        <v>0.78905662409646626</v>
      </c>
      <c r="GP28" s="165">
        <f t="shared" si="147"/>
        <v>0.70360465132027428</v>
      </c>
      <c r="GQ28" s="165">
        <f t="shared" si="148"/>
        <v>0.71305957622460825</v>
      </c>
      <c r="GR28" s="165">
        <f t="shared" si="149"/>
        <v>0.7194476946200391</v>
      </c>
      <c r="GS28" s="165">
        <f t="shared" si="150"/>
        <v>0.72975308812090756</v>
      </c>
      <c r="GT28" s="188">
        <f t="shared" si="38"/>
        <v>5.8627300302105896E-2</v>
      </c>
      <c r="GU28" s="165">
        <f t="shared" si="39"/>
        <v>5.6700540020113627E-2</v>
      </c>
      <c r="GV28" s="165">
        <f t="shared" si="40"/>
        <v>5.6071612943688141E-2</v>
      </c>
      <c r="GW28" s="165">
        <f t="shared" si="41"/>
        <v>5.5661909985588495E-2</v>
      </c>
      <c r="GX28" s="165">
        <f t="shared" si="42"/>
        <v>5.4646940705578365E-2</v>
      </c>
      <c r="GY28" s="165">
        <f t="shared" si="43"/>
        <v>6.1274844005783605E-2</v>
      </c>
      <c r="GZ28" s="165">
        <f t="shared" si="44"/>
        <v>6.0420915496681875E-2</v>
      </c>
      <c r="HA28" s="165">
        <f t="shared" si="45"/>
        <v>5.988556018049241E-2</v>
      </c>
      <c r="HB28" s="165">
        <f t="shared" si="46"/>
        <v>5.9010107658557638E-2</v>
      </c>
      <c r="HC28" s="188">
        <f>BV28*Sheet3!DF28</f>
        <v>249.35214232174931</v>
      </c>
      <c r="HD28" s="165">
        <f>BW28*Sheet3!BZ28</f>
        <v>248.12194723168938</v>
      </c>
      <c r="HE28" s="165">
        <f>BX28*Sheet3!CA28</f>
        <v>230.25070480659471</v>
      </c>
      <c r="HF28" s="165">
        <f>BY28*Sheet3!CB28</f>
        <v>217.68125197303166</v>
      </c>
      <c r="HG28" s="165">
        <f>BZ28*Sheet3!CC28</f>
        <v>202.63424354338727</v>
      </c>
      <c r="HH28" s="165">
        <f>CA28*Sheet3!CD28</f>
        <v>194.74505683298864</v>
      </c>
      <c r="HI28" s="165">
        <f>CB28*Sheet3!CE28</f>
        <v>182.9235699594789</v>
      </c>
      <c r="HJ28" s="165">
        <f>CC28*Sheet3!CF28</f>
        <v>173.71622791511672</v>
      </c>
      <c r="HK28" s="165">
        <f>CD28*Sheet3!CG28</f>
        <v>162.18717956787347</v>
      </c>
      <c r="HL28" s="188">
        <f>(CE28*Sheet3!DF28)+2501</f>
        <v>2899.0054276934375</v>
      </c>
      <c r="HM28" s="165">
        <f>(CF28*Sheet3!BZ28)+2501</f>
        <v>2897.0308519527812</v>
      </c>
      <c r="HN28" s="165">
        <f>(CG28*Sheet3!CA28)+2501</f>
        <v>2869.1090745192305</v>
      </c>
      <c r="HO28" s="165">
        <f>(CH28*Sheet3!CB28)+2501</f>
        <v>2848.7869523678119</v>
      </c>
      <c r="HP28" s="165">
        <f>(CI28*Sheet3!CC28)+2501</f>
        <v>2825.5619927764778</v>
      </c>
      <c r="HQ28" s="165">
        <f>(CJ28*Sheet3!CD28)+2501</f>
        <v>2812.8191065598558</v>
      </c>
      <c r="HR28" s="165">
        <f>(CK28*Sheet3!CE28)+2501</f>
        <v>2794.7610929500702</v>
      </c>
      <c r="HS28" s="165">
        <f>(CL28*Sheet3!CF28)+2501</f>
        <v>2779.869779105315</v>
      </c>
      <c r="HT28" s="165">
        <f>(CM28*Sheet3!CG28)+2501</f>
        <v>2762.1140755668844</v>
      </c>
      <c r="HU28" s="188">
        <f>-0.0021*(Sheet3!DF28^2) - 2.2115*(Sheet3!DF28) + 2499</f>
        <v>1957.3899999999999</v>
      </c>
      <c r="HV28" s="165">
        <f>-0.0021*(Sheet3!BZ28^2) - 2.2115*(Sheet3!BZ28) + 2499</f>
        <v>1960.3397528027087</v>
      </c>
      <c r="HW28" s="165">
        <f>-0.0021*(Sheet3!CA28^2) - 2.2115*(Sheet3!CA28) + 2499</f>
        <v>2001.8203868656535</v>
      </c>
      <c r="HX28" s="165">
        <f>-0.0021*(Sheet3!CB28^2) - 2.2115*(Sheet3!CB28) + 2499</f>
        <v>2031.7355213103442</v>
      </c>
      <c r="HY28" s="165">
        <f>-0.0021*(Sheet3!CC28^2) - 2.2115*(Sheet3!CC28) + 2499</f>
        <v>2065.6321158328851</v>
      </c>
      <c r="HZ28" s="165">
        <f>-0.0021*(Sheet3!CD28^2) - 2.2115*(Sheet3!CD28) + 2499</f>
        <v>2084.0949302598979</v>
      </c>
      <c r="IA28" s="165">
        <f>-0.0021*(Sheet3!CE28^2) - 2.2115*(Sheet3!CE28) + 2499</f>
        <v>2110.0903838057247</v>
      </c>
      <c r="IB28" s="165">
        <f>-0.0021*(Sheet3!CF28^2) - 2.2115*(Sheet3!CF28) + 2499</f>
        <v>2131.3753430165652</v>
      </c>
      <c r="IC28" s="165">
        <f>-0.0021*(Sheet3!CG28^2) - 2.2115*(Sheet3!CG28) + 2499</f>
        <v>2156.5702597236636</v>
      </c>
      <c r="ID28" s="188">
        <f t="shared" si="47"/>
        <v>0.6543057114733688</v>
      </c>
      <c r="IE28" s="165">
        <f t="shared" si="48"/>
        <v>0.65471490319411507</v>
      </c>
      <c r="IF28" s="165">
        <f t="shared" si="49"/>
        <v>0.65987626702956803</v>
      </c>
      <c r="IG28" s="165">
        <f t="shared" si="50"/>
        <v>0.66496729786086817</v>
      </c>
      <c r="IH28" s="165">
        <f t="shared" si="51"/>
        <v>0.6696769990713124</v>
      </c>
      <c r="II28" s="165">
        <f t="shared" si="52"/>
        <v>0.67338193313545414</v>
      </c>
      <c r="IJ28" s="165">
        <f t="shared" si="53"/>
        <v>0.67717939125540916</v>
      </c>
      <c r="IK28" s="165">
        <f t="shared" si="54"/>
        <v>0.6821076551877735</v>
      </c>
      <c r="IL28" s="165">
        <f t="shared" si="55"/>
        <v>0.68660368249004122</v>
      </c>
      <c r="IM28" s="188">
        <f t="shared" si="56"/>
        <v>5.6348349495927144</v>
      </c>
      <c r="IN28" s="165">
        <f t="shared" si="151"/>
        <v>11.186579014573857</v>
      </c>
      <c r="IO28" s="165">
        <f t="shared" si="152"/>
        <v>12.87507985487734</v>
      </c>
      <c r="IP28" s="165">
        <f t="shared" si="153"/>
        <v>14.22901209054039</v>
      </c>
      <c r="IQ28" s="165">
        <f t="shared" si="154"/>
        <v>17.217439729638993</v>
      </c>
      <c r="IR28" s="165">
        <f t="shared" si="155"/>
        <v>-2.9618991916535369</v>
      </c>
      <c r="IS28" s="165">
        <f t="shared" si="156"/>
        <v>-0.84902114140870544</v>
      </c>
      <c r="IT28" s="165">
        <f t="shared" si="157"/>
        <v>0.77701675291434757</v>
      </c>
      <c r="IU28" s="165">
        <f t="shared" si="158"/>
        <v>3.1399488586183852</v>
      </c>
      <c r="IV28" s="188">
        <f>_xlfn.FORECAST.LINEAR(Sheet3!DF28,Sheet2!$AK$2:$AK$69,Sheet2!$AJ$2:$AJ$69)</f>
        <v>1.5962912137298422E-5</v>
      </c>
      <c r="IW28" s="165">
        <f>_xlfn.FORECAST.LINEAR(Sheet3!BZ28,Sheet2!$AK$2:$AK$69,Sheet2!$AJ$2:$AJ$69)</f>
        <v>1.5929276491398203E-5</v>
      </c>
      <c r="IX28" s="165">
        <f>_xlfn.FORECAST.LINEAR(Sheet3!CA28,Sheet2!$AK$2:$AK$69,Sheet2!$AJ$2:$AJ$69)</f>
        <v>1.545150538486346E-5</v>
      </c>
      <c r="IY28" s="165">
        <f>_xlfn.FORECAST.LINEAR(Sheet3!CB28,Sheet2!$AK$2:$AK$69,Sheet2!$AJ$2:$AJ$69)</f>
        <v>1.5101221816480636E-5</v>
      </c>
      <c r="IZ28" s="165">
        <f>_xlfn.FORECAST.LINEAR(Sheet3!CC28,Sheet2!$AK$2:$AK$69,Sheet2!$AJ$2:$AJ$69)</f>
        <v>1.4698229199305399E-5</v>
      </c>
      <c r="JA28" s="165">
        <f>_xlfn.FORECAST.LINEAR(Sheet3!CD28,Sheet2!$AK$2:$AK$69,Sheet2!$AJ$2:$AJ$69)</f>
        <v>1.4475895380123638E-5</v>
      </c>
      <c r="JB28" s="165">
        <f>_xlfn.FORECAST.LINEAR(Sheet3!CE28,Sheet2!$AK$2:$AK$69,Sheet2!$AJ$2:$AJ$69)</f>
        <v>1.4159332382653281E-5</v>
      </c>
      <c r="JC28" s="165">
        <f>_xlfn.FORECAST.LINEAR(Sheet3!CF28,Sheet2!$AK$2:$AK$69,Sheet2!$AJ$2:$AJ$69)</f>
        <v>1.3896963342647448E-5</v>
      </c>
      <c r="JD28" s="165">
        <f>_xlfn.FORECAST.LINEAR(Sheet3!CG28,Sheet2!$AK$2:$AK$69,Sheet2!$AJ$2:$AJ$69)</f>
        <v>1.3582569176792406E-5</v>
      </c>
      <c r="JE28" s="188">
        <f>_xlfn.FORECAST.LINEAR(Sheet3!DF28,New!$MC$2:$MC$18,New!$MB$2:$MB$18)</f>
        <v>2.5847452754227255E-5</v>
      </c>
      <c r="JF28" s="165">
        <f>_xlfn.FORECAST.LINEAR(Sheet3!BZ28,New!$MC$2:$MC$18,New!$MB$2:$MB$18)</f>
        <v>2.5807913240617262E-5</v>
      </c>
      <c r="JG28" s="165">
        <f>_xlfn.FORECAST.LINEAR(Sheet3!CA28,New!$MC$2:$MC$18,New!$MB$2:$MB$18)</f>
        <v>2.5246281773056512E-5</v>
      </c>
      <c r="JH28" s="165">
        <f>_xlfn.FORECAST.LINEAR(Sheet3!CB28,New!$MC$2:$MC$18,New!$MB$2:$MB$18)</f>
        <v>2.4834514983724819E-5</v>
      </c>
      <c r="JI28" s="165">
        <f>_xlfn.FORECAST.LINEAR(Sheet3!CC28,New!$MC$2:$MC$18,New!$MB$2:$MB$18)</f>
        <v>2.4360787435313905E-5</v>
      </c>
      <c r="JJ28" s="165">
        <f>_xlfn.FORECAST.LINEAR(Sheet3!CD28,New!$MC$2:$MC$18,New!$MB$2:$MB$18)</f>
        <v>2.4099428664455797E-5</v>
      </c>
      <c r="JK28" s="165">
        <f>_xlfn.FORECAST.LINEAR(Sheet3!CE28,New!$MC$2:$MC$18,New!$MB$2:$MB$18)</f>
        <v>2.3727301220135811E-5</v>
      </c>
      <c r="JL28" s="165">
        <f>_xlfn.FORECAST.LINEAR(Sheet3!CF28,New!$MC$2:$MC$18,New!$MB$2:$MB$18)</f>
        <v>2.3418880080879946E-5</v>
      </c>
      <c r="JM28" s="165">
        <f>_xlfn.FORECAST.LINEAR(Sheet3!CG28,New!$MC$2:$MC$18,New!$MB$2:$MB$18)</f>
        <v>2.3049302150472254E-5</v>
      </c>
      <c r="JN28" s="188">
        <f t="shared" si="159"/>
        <v>2.3093925029291481E-5</v>
      </c>
      <c r="JO28" s="165">
        <f t="shared" si="160"/>
        <v>2.3055336240352464E-5</v>
      </c>
      <c r="JP28" s="165">
        <f t="shared" si="161"/>
        <v>2.2513269787830476E-5</v>
      </c>
      <c r="JQ28" s="165">
        <f t="shared" si="162"/>
        <v>2.2109665710644865E-5</v>
      </c>
      <c r="JR28" s="165">
        <f t="shared" si="163"/>
        <v>2.1655015764732315E-5</v>
      </c>
      <c r="JS28" s="165">
        <f t="shared" si="164"/>
        <v>2.1398601503298813E-5</v>
      </c>
      <c r="JT28" s="165">
        <f t="shared" si="165"/>
        <v>2.1043826295223367E-5</v>
      </c>
      <c r="JU28" s="165">
        <f t="shared" si="166"/>
        <v>2.0740810608701054E-5</v>
      </c>
      <c r="JV28" s="165">
        <f t="shared" si="167"/>
        <v>2.0387504945324241E-5</v>
      </c>
      <c r="JW28" s="188">
        <f t="shared" si="66"/>
        <v>0.99342087640971777</v>
      </c>
      <c r="JX28" s="165">
        <f t="shared" si="67"/>
        <v>0.99372580693029422</v>
      </c>
      <c r="JY28" s="165">
        <f t="shared" si="68"/>
        <v>0.99819575005309347</v>
      </c>
      <c r="JZ28" s="165">
        <f t="shared" si="69"/>
        <v>1.0016466028165432</v>
      </c>
      <c r="KA28" s="165">
        <f t="shared" si="70"/>
        <v>1.0058132319264599</v>
      </c>
      <c r="KB28" s="165">
        <f t="shared" si="71"/>
        <v>1.0082078694926326</v>
      </c>
      <c r="KC28" s="165">
        <f t="shared" si="72"/>
        <v>1.0117426283305719</v>
      </c>
      <c r="KD28" s="165">
        <f t="shared" si="73"/>
        <v>1.0147899840797374</v>
      </c>
      <c r="KE28" s="165">
        <f t="shared" si="74"/>
        <v>1.0185910956716764</v>
      </c>
      <c r="KF28" s="188">
        <f t="shared" si="75"/>
        <v>0.98626119619886909</v>
      </c>
      <c r="KG28" s="165">
        <f t="shared" si="76"/>
        <v>0.98599342774623833</v>
      </c>
      <c r="KH28" s="165">
        <f t="shared" si="77"/>
        <v>0.98209472880334736</v>
      </c>
      <c r="KI28" s="165">
        <f t="shared" si="78"/>
        <v>0.9791184124575919</v>
      </c>
      <c r="KJ28" s="165">
        <f t="shared" si="79"/>
        <v>0.97556301853127114</v>
      </c>
      <c r="KK28" s="165">
        <f t="shared" si="80"/>
        <v>0.97353834771242242</v>
      </c>
      <c r="KL28" s="165">
        <f t="shared" si="81"/>
        <v>0.9705742674849287</v>
      </c>
      <c r="KM28" s="165">
        <f t="shared" si="82"/>
        <v>0.96804211615409852</v>
      </c>
      <c r="KN28" s="165">
        <f t="shared" si="83"/>
        <v>0.96491334076833102</v>
      </c>
      <c r="KO28" s="188">
        <f t="shared" si="84"/>
        <v>0.6579545527192201</v>
      </c>
      <c r="KP28" s="165">
        <f t="shared" si="85"/>
        <v>0.65750183011361318</v>
      </c>
      <c r="KQ28" s="165">
        <f t="shared" si="86"/>
        <v>0.64983032089553994</v>
      </c>
      <c r="KR28" s="165">
        <f t="shared" si="87"/>
        <v>0.64400109245402604</v>
      </c>
      <c r="KS28" s="165">
        <f t="shared" si="88"/>
        <v>0.6370813394213195</v>
      </c>
      <c r="KT28" s="165">
        <f t="shared" si="89"/>
        <v>0.63315123534714635</v>
      </c>
      <c r="KU28" s="165">
        <f t="shared" si="90"/>
        <v>0.62743824121684166</v>
      </c>
      <c r="KV28" s="165">
        <f t="shared" si="91"/>
        <v>0.62256283788398847</v>
      </c>
      <c r="KW28" s="165">
        <f t="shared" si="92"/>
        <v>0.61667293753220065</v>
      </c>
      <c r="KX28" s="188">
        <f>AVERAGE(Sheet3!J28:P28)*KO28^(1/3)/ID28^(1/3)</f>
        <v>86.308238759897577</v>
      </c>
      <c r="KY28" s="165">
        <f>Sheet3!J28*KP28^(1/3)/IE28^(1/3)</f>
        <v>59.070544162808332</v>
      </c>
      <c r="KZ28" s="165">
        <f>Sheet3!K28*KQ28^(1/3)/IF28^(1/3)</f>
        <v>67.311006806769228</v>
      </c>
      <c r="LA28" s="165">
        <f>Sheet3!L28*KR28^(1/3)/IG28^(1/3)</f>
        <v>76.468301441141946</v>
      </c>
      <c r="LB28" s="165">
        <f>Sheet3!M28*KS28^(1/3)/IH28^(1/3)</f>
        <v>84.631792210919443</v>
      </c>
      <c r="LC28" s="165">
        <f>Sheet3!N28*KT28^(1/3)/II28^(1/3)</f>
        <v>93.226502860224215</v>
      </c>
      <c r="LD28" s="165">
        <f>Sheet3!O28*KU28^(1/3)/IJ28^(1/3)</f>
        <v>101.81558221350781</v>
      </c>
      <c r="LE28" s="165">
        <f>Sheet3!P28*KV28^(1/3)/IK28^(1/3)</f>
        <v>110.05413025856043</v>
      </c>
      <c r="LF28" s="165">
        <f>Sheet3!Q28*KW28^(1/3)/IL28^(1/3)</f>
        <v>125.44913838006697</v>
      </c>
      <c r="LG28" s="186">
        <f t="shared" si="93"/>
        <v>25.822332211443282</v>
      </c>
      <c r="LH28" s="183">
        <f t="shared" si="94"/>
        <v>25.828405462958941</v>
      </c>
      <c r="LI28" s="183">
        <f t="shared" si="95"/>
        <v>26.211834095021853</v>
      </c>
      <c r="LJ28" s="183">
        <f t="shared" si="96"/>
        <v>26.216575863194137</v>
      </c>
      <c r="LK28" s="183">
        <f t="shared" si="97"/>
        <v>26.716765682083434</v>
      </c>
      <c r="LL28" s="183">
        <f t="shared" si="98"/>
        <v>26.725082852806121</v>
      </c>
      <c r="LM28" s="183">
        <f t="shared" si="99"/>
        <v>27.287879231938355</v>
      </c>
      <c r="LN28" s="183">
        <f t="shared" si="100"/>
        <v>27.294915181663779</v>
      </c>
      <c r="LO28" s="183">
        <f t="shared" si="101"/>
        <v>27.860673595745471</v>
      </c>
      <c r="LP28" s="220"/>
      <c r="LQ28" s="220"/>
      <c r="LR28" s="220"/>
      <c r="LS28" s="220"/>
      <c r="LT28" s="220"/>
      <c r="LU28" s="220"/>
      <c r="LV28" s="220"/>
      <c r="LW28" s="220"/>
      <c r="LX28" s="220"/>
      <c r="LY28" s="220"/>
      <c r="LZ28" s="222">
        <v>118.62</v>
      </c>
      <c r="MA28" s="220">
        <v>1.2999999999999999E-5</v>
      </c>
      <c r="MB28" s="220"/>
      <c r="MC28" s="220"/>
      <c r="MD28" s="188">
        <f>Sheet3!DP28</f>
        <v>169.28445058038008</v>
      </c>
      <c r="ME28" s="264">
        <v>270</v>
      </c>
      <c r="MF28" s="264">
        <v>55.05</v>
      </c>
      <c r="MG28" s="264">
        <v>4.8150000000000004</v>
      </c>
      <c r="MH28" s="264">
        <v>28.09</v>
      </c>
      <c r="MI28" s="264">
        <v>19.32</v>
      </c>
      <c r="MJ28" s="264">
        <v>0.68799999999999994</v>
      </c>
      <c r="MK28" s="273">
        <v>260</v>
      </c>
      <c r="ML28" s="267">
        <v>46.94</v>
      </c>
      <c r="MM28" s="267">
        <v>23.72</v>
      </c>
      <c r="MN28" s="267">
        <v>4.4669999999999996</v>
      </c>
      <c r="MO28" s="267">
        <v>18.829999999999998</v>
      </c>
      <c r="MP28" s="274">
        <v>0.79400000000000004</v>
      </c>
      <c r="MQ28"/>
      <c r="MR28"/>
      <c r="MS28"/>
    </row>
    <row r="29" spans="1:357" ht="15" thickBot="1" x14ac:dyDescent="0.35">
      <c r="A29" s="184" t="str">
        <f>Sheet3!A29</f>
        <v>19.12.2022</v>
      </c>
      <c r="B29" s="186">
        <f t="shared" si="102"/>
        <v>0.8099547284377201</v>
      </c>
      <c r="C29" s="183">
        <f t="shared" si="103"/>
        <v>0.8110548135876936</v>
      </c>
      <c r="D29" s="183">
        <f t="shared" si="0"/>
        <v>0.80543349626656657</v>
      </c>
      <c r="E29" s="183">
        <f t="shared" si="1"/>
        <v>0.80027866681959836</v>
      </c>
      <c r="F29" s="183">
        <f t="shared" si="2"/>
        <v>0.79486331639956143</v>
      </c>
      <c r="G29" s="183">
        <f t="shared" si="3"/>
        <v>0.79063558325901817</v>
      </c>
      <c r="H29" s="183">
        <f t="shared" si="4"/>
        <v>0.78656647607301811</v>
      </c>
      <c r="I29" s="183">
        <f t="shared" si="5"/>
        <v>0.78244496314450518</v>
      </c>
      <c r="J29" s="183">
        <f t="shared" si="6"/>
        <v>0.77819037382331502</v>
      </c>
      <c r="K29" s="186">
        <f xml:space="preserve"> (6.057 * (10^(-6)))
+ (4.055 * (10^(-8)) * (Sheet3!DF29 + 273))
+ (1.25 * (10^(-10)) * (Sheet3!DF29 + 273)^2)
- (3.367 * (10^(-14)) * (DD29 + 273)^3)</f>
        <v>3.5903097974727735E-5</v>
      </c>
      <c r="L29" s="183">
        <f xml:space="preserve"> (6.057 * (10^(-6)))
+ (4.055 * (10^(-8)) * (Sheet3!BZ29 + 273))
+ (1.25 * (10^(-10)) * (Sheet3!BZ29 + 273)^2)
- (3.367 * (10^(-14)) * (BX29 + 273)^3)</f>
        <v>3.5983739023251853E-5</v>
      </c>
      <c r="M29" s="183">
        <f xml:space="preserve"> (6.057 * (10^(-6)))
+ (4.055 * (10^(-8)) * (Sheet3!CA29 + 273))
+ (1.25 * (10^(-10)) * (Sheet3!CA29 + 273)^2)
- (3.367 * (10^(-14)) * (BY29 + 273)^3)</f>
        <v>3.5466596173910012E-5</v>
      </c>
      <c r="N29" s="183">
        <f xml:space="preserve"> (6.057 * (10^(-6)))
+ (4.055 * (10^(-8)) * (Sheet3!CB29 + 273))
+ (1.25 * (10^(-10)) * (Sheet3!CB29 + 273)^2)
- (3.367 * (10^(-14)) * (BZ29 + 273)^3)</f>
        <v>3.5067844225016827E-5</v>
      </c>
      <c r="O29" s="183">
        <f xml:space="preserve"> (6.057 * (10^(-6)))
+ (4.055 * (10^(-8)) * (Sheet3!CC29 + 273))
+ (1.25 * (10^(-10)) * (Sheet3!CC29 + 273)^2)
- (3.367 * (10^(-14)) * (CA29 + 273)^3)</f>
        <v>3.458597470459964E-5</v>
      </c>
      <c r="P29" s="183">
        <f xml:space="preserve"> (6.057 * (10^(-6)))
+ (4.055 * (10^(-8)) * (Sheet3!CD29 + 273))
+ (1.25 * (10^(-10)) * (Sheet3!CD29 + 273)^2)
- (3.367 * (10^(-14)) * (CB29 + 273)^3)</f>
        <v>3.4270391455980724E-5</v>
      </c>
      <c r="Q29" s="183">
        <f xml:space="preserve"> (6.057 * (10^(-6)))
+ (4.055 * (10^(-8)) * (Sheet3!CE29 + 273))
+ (1.25 * (10^(-10)) * (Sheet3!CE29 + 273)^2)
- (3.367 * (10^(-14)) * (CC29 + 273)^3)</f>
        <v>3.3905690224546865E-5</v>
      </c>
      <c r="R29" s="183">
        <f xml:space="preserve"> (6.057 * (10^(-6)))
+ (4.055 * (10^(-8)) * (Sheet3!CF29 + 273))
+ (1.25 * (10^(-10)) * (Sheet3!CF29 + 273)^2)
- (3.367 * (10^(-14)) * (CD29 + 273)^3)</f>
        <v>3.3607090314371642E-5</v>
      </c>
      <c r="S29" s="183">
        <f xml:space="preserve"> (6.057 * (10^(-6)))
+ (4.055 * (10^(-8)) * (Sheet3!CG29 + 273))
+ (1.25 * (10^(-10)) * (Sheet3!CG29 + 273)^2)
- (3.367 * (10^(-14)) * (CE29 + 273)^3)</f>
        <v>3.3228250469131561E-5</v>
      </c>
      <c r="T29" s="188">
        <f t="shared" si="104"/>
        <v>3.5903097974727735E-5</v>
      </c>
      <c r="U29" s="165">
        <f t="shared" si="105"/>
        <v>3.5983739023251853E-5</v>
      </c>
      <c r="V29" s="165">
        <f t="shared" si="106"/>
        <v>3.5466596173910012E-5</v>
      </c>
      <c r="W29" s="165">
        <f t="shared" si="107"/>
        <v>3.5067844225016827E-5</v>
      </c>
      <c r="X29" s="165">
        <f t="shared" si="108"/>
        <v>3.458597470459964E-5</v>
      </c>
      <c r="Y29" s="165">
        <f t="shared" si="109"/>
        <v>3.4270391455980724E-5</v>
      </c>
      <c r="Z29" s="165">
        <f t="shared" si="110"/>
        <v>3.3905690224546865E-5</v>
      </c>
      <c r="AA29" s="165">
        <f t="shared" si="111"/>
        <v>3.3607090314371642E-5</v>
      </c>
      <c r="AB29" s="165">
        <f t="shared" si="112"/>
        <v>3.3228250469131561E-5</v>
      </c>
      <c r="AC29" s="186">
        <f t="shared" si="8"/>
        <v>2.9079883970193462E-5</v>
      </c>
      <c r="AD29" s="183">
        <f t="shared" si="9"/>
        <v>2.9184784745691749E-5</v>
      </c>
      <c r="AE29" s="183">
        <f t="shared" si="10"/>
        <v>2.8565984557026776E-5</v>
      </c>
      <c r="AF29" s="183">
        <f t="shared" si="11"/>
        <v>2.8064047624633818E-5</v>
      </c>
      <c r="AG29" s="183">
        <f t="shared" si="12"/>
        <v>2.749112255460941E-5</v>
      </c>
      <c r="AH29" s="183">
        <f t="shared" si="13"/>
        <v>2.7095390937314192E-5</v>
      </c>
      <c r="AI29" s="183">
        <f t="shared" si="14"/>
        <v>2.6669079278745205E-5</v>
      </c>
      <c r="AJ29" s="183">
        <f t="shared" si="15"/>
        <v>2.6295698542422577E-5</v>
      </c>
      <c r="AK29" s="183">
        <f t="shared" si="16"/>
        <v>2.5857904654068233E-5</v>
      </c>
      <c r="AL29" s="186">
        <f t="shared" si="113"/>
        <v>2.9754363697065665E-2</v>
      </c>
      <c r="AM29" s="183">
        <f t="shared" si="114"/>
        <v>2.9811937340939999E-2</v>
      </c>
      <c r="AN29" s="183">
        <f t="shared" si="115"/>
        <v>2.9454848209807646E-2</v>
      </c>
      <c r="AO29" s="183">
        <f t="shared" si="116"/>
        <v>2.9174784478352547E-2</v>
      </c>
      <c r="AP29" s="183">
        <f t="shared" si="117"/>
        <v>2.8838493000352985E-2</v>
      </c>
      <c r="AQ29" s="183">
        <f t="shared" si="118"/>
        <v>2.8613906073320632E-2</v>
      </c>
      <c r="AR29" s="183">
        <f t="shared" si="119"/>
        <v>2.8358000026748108E-2</v>
      </c>
      <c r="AS29" s="183">
        <f t="shared" si="120"/>
        <v>2.8143213153109824E-2</v>
      </c>
      <c r="AT29" s="183">
        <f t="shared" si="121"/>
        <v>2.7878853563679112E-2</v>
      </c>
      <c r="AU29" s="186">
        <f>_xlfn.FORECAST.LINEAR(Sheet3!DF29,Sheet2!$AH$2:$AH$40,Sheet2!$AG$2:$AG$40)</f>
        <v>2.5653712965492358E-2</v>
      </c>
      <c r="AV29" s="183">
        <f>_xlfn.FORECAST.LINEAR(Sheet3!BZ29,Sheet2!$AH$2:$AH$40,Sheet2!$AG$2:$AG$40)</f>
        <v>2.5815291404922537E-2</v>
      </c>
      <c r="AW29" s="183">
        <f>_xlfn.FORECAST.LINEAR(Sheet3!CA29,Sheet2!$AH$2:$AH$40,Sheet2!$AG$2:$AG$40)</f>
        <v>2.4802031604882847E-2</v>
      </c>
      <c r="AX29" s="183">
        <f>_xlfn.FORECAST.LINEAR(Sheet3!CB29,Sheet2!$AH$2:$AH$40,Sheet2!$AG$2:$AG$40)</f>
        <v>2.4015345329578094E-2</v>
      </c>
      <c r="AY29" s="183">
        <f>_xlfn.FORECAST.LINEAR(Sheet3!CC29,Sheet2!$AH$2:$AH$40,Sheet2!$AG$2:$AG$40)</f>
        <v>2.3058339964487685E-2</v>
      </c>
      <c r="AZ29" s="183">
        <f>_xlfn.FORECAST.LINEAR(Sheet3!CD29,Sheet2!$AH$2:$AH$40,Sheet2!$AG$2:$AG$40)</f>
        <v>2.2427711174474969E-2</v>
      </c>
      <c r="BA29" s="183">
        <f>_xlfn.FORECAST.LINEAR(Sheet3!CE29,Sheet2!$AH$2:$AH$40,Sheet2!$AG$2:$AG$40)</f>
        <v>2.1695094362802904E-2</v>
      </c>
      <c r="BB29" s="183">
        <f>_xlfn.FORECAST.LINEAR(Sheet3!CF29,Sheet2!$AH$2:$AH$40,Sheet2!$AG$2:$AG$40)</f>
        <v>2.1092109980811694E-2</v>
      </c>
      <c r="BC29" s="183">
        <f>_xlfn.FORECAST.LINEAR(Sheet3!CG29,Sheet2!$AH$2:$AH$40,Sheet2!$AG$2:$AG$40)</f>
        <v>2.0335223214522507E-2</v>
      </c>
      <c r="BD29" s="186">
        <f>_xlfn.FORECAST.LINEAR(Sheet3!DF29,Sheet2!$AB$12:$AB$37,Sheet2!$AA$12:$AA$37)/1000</f>
        <v>3.0506351161118033E-2</v>
      </c>
      <c r="BE29" s="183">
        <f>_xlfn.FORECAST.LINEAR(Sheet3!BZ29,Sheet2!$AB$12:$AB$37,Sheet2!$AA$12:$AA$37)/1000</f>
        <v>3.0542476360194495E-2</v>
      </c>
      <c r="BF29" s="183">
        <f>_xlfn.FORECAST.LINEAR(Sheet3!CA29,Sheet2!$AB$12:$AB$37,Sheet2!$AA$12:$AA$37)/1000</f>
        <v>3.031593492235353E-2</v>
      </c>
      <c r="BG29" s="183">
        <f>_xlfn.FORECAST.LINEAR(Sheet3!CB29,Sheet2!$AB$12:$AB$37,Sheet2!$AA$12:$AA$37)/1000</f>
        <v>3.0140050080252511E-2</v>
      </c>
      <c r="BH29" s="183">
        <f>_xlfn.FORECAST.LINEAR(Sheet3!CC29,Sheet2!$AB$12:$AB$37,Sheet2!$AA$12:$AA$37)/1000</f>
        <v>2.9926085831971264E-2</v>
      </c>
      <c r="BI29" s="183">
        <f>_xlfn.FORECAST.LINEAR(Sheet3!CD29,Sheet2!$AB$12:$AB$37,Sheet2!$AA$12:$AA$37)/1000</f>
        <v>2.978509183139235E-2</v>
      </c>
      <c r="BJ29" s="183">
        <f>_xlfn.FORECAST.LINEAR(Sheet3!CE29,Sheet2!$AB$12:$AB$37,Sheet2!$AA$12:$AA$37)/1000</f>
        <v>2.9621295669839159E-2</v>
      </c>
      <c r="BK29" s="183">
        <f>_xlfn.FORECAST.LINEAR(Sheet3!CF29,Sheet2!$AB$12:$AB$37,Sheet2!$AA$12:$AA$37)/1000</f>
        <v>2.9486482319021748E-2</v>
      </c>
      <c r="BL29" s="183">
        <f>_xlfn.FORECAST.LINEAR(Sheet3!CG29,Sheet2!$AB$12:$AB$37,Sheet2!$AA$12:$AA$37)/1000</f>
        <v>2.9317259957381391E-2</v>
      </c>
      <c r="BM29" s="186">
        <f t="shared" si="122"/>
        <v>0.92661614228336686</v>
      </c>
      <c r="BN29" s="183">
        <f t="shared" si="123"/>
        <v>0.92497687225924452</v>
      </c>
      <c r="BO29" s="183">
        <f t="shared" si="124"/>
        <v>0.93564258855514804</v>
      </c>
      <c r="BP29" s="183">
        <f t="shared" si="125"/>
        <v>0.94388379859498983</v>
      </c>
      <c r="BQ29" s="183">
        <f t="shared" si="126"/>
        <v>0.95437289303945316</v>
      </c>
      <c r="BR29" s="183">
        <f t="shared" si="127"/>
        <v>0.96123514679938749</v>
      </c>
      <c r="BS29" s="183">
        <f t="shared" si="128"/>
        <v>0.96958587810689589</v>
      </c>
      <c r="BT29" s="183">
        <f t="shared" si="129"/>
        <v>0.97635505325277727</v>
      </c>
      <c r="BU29" s="183">
        <f t="shared" si="130"/>
        <v>0.98522410193426524</v>
      </c>
      <c r="BV29" s="186">
        <f t="shared" si="131"/>
        <v>1.1042264258006793</v>
      </c>
      <c r="BW29" s="183">
        <f t="shared" si="19"/>
        <v>1.1043400722049721</v>
      </c>
      <c r="BX29" s="183">
        <f t="shared" si="20"/>
        <v>1.1020406396076998</v>
      </c>
      <c r="BY29" s="183">
        <f t="shared" si="21"/>
        <v>1.1013841344791557</v>
      </c>
      <c r="BZ29" s="183">
        <f t="shared" si="22"/>
        <v>1.0991627257722463</v>
      </c>
      <c r="CA29" s="183">
        <f t="shared" si="23"/>
        <v>1.0986315929035415</v>
      </c>
      <c r="CB29" s="183">
        <f t="shared" si="24"/>
        <v>1.09668346302943</v>
      </c>
      <c r="CC29" s="183">
        <f t="shared" si="25"/>
        <v>1.0961782718299471</v>
      </c>
      <c r="CD29" s="183">
        <f t="shared" si="26"/>
        <v>1.0943255858182637</v>
      </c>
      <c r="CE29" s="187">
        <f xml:space="preserve"> -0.0000000019505*Sheet3!DF29^3 + 0.0000015497*Sheet3!DF29^2  + 0.00016911*Sheet3!DF29 + 1.8585</f>
        <v>1.8828730816875001</v>
      </c>
      <c r="CF29" s="185">
        <f xml:space="preserve"> -0.0000000019505*Sheet3!BZ29^3 + 0.0000015497*Sheet3!BZ29^2  + 0.00016911*Sheet3!BZ29 + 1.8585</f>
        <v>1.8831216371509132</v>
      </c>
      <c r="CG29" s="185">
        <f xml:space="preserve"> -0.0000000019505*Sheet3!CA29^3 + 0.0000015497*Sheet3!CA29^2  + 0.00016911*Sheet3!CA29 + 1.8585</f>
        <v>1.8815770743921763</v>
      </c>
      <c r="CH29" s="185">
        <f xml:space="preserve"> -0.0000000019505*Sheet3!CB29^3 + 0.0000015497*Sheet3!CB29^2  + 0.00016911*Sheet3!CB29 + 1.8585</f>
        <v>1.8804013507637074</v>
      </c>
      <c r="CI29" s="185">
        <f xml:space="preserve"> -0.0000000019505*Sheet3!CC29^3 + 0.0000015497*Sheet3!CC29^2  + 0.00016911*Sheet3!CC29 + 1.8585</f>
        <v>1.8789992766049448</v>
      </c>
      <c r="CJ29" s="185">
        <f xml:space="preserve"> -0.0000000019505*Sheet3!CD29^3 + 0.0000015497*Sheet3!CD29^2  + 0.00016911*Sheet3!CD29 + 1.8585</f>
        <v>1.8780925646038762</v>
      </c>
      <c r="CK29" s="185">
        <f xml:space="preserve"> -0.0000000019505*Sheet3!CE29^3 + 0.0000015497*Sheet3!CE29^2  + 0.00016911*Sheet3!CE29 + 1.8585</f>
        <v>1.8770566476771822</v>
      </c>
      <c r="CL29" s="185">
        <f xml:space="preserve"> -0.0000000019505*Sheet3!CF29^3 + 0.0000015497*Sheet3!CF29^2  + 0.00016911*Sheet3!CF29 + 1.8585</f>
        <v>1.876218275528289</v>
      </c>
      <c r="CM29" s="185">
        <f xml:space="preserve"> -0.0000000019505*Sheet3!CG29^3 + 0.0000015497*Sheet3!CG29^2  + 0.00016911*Sheet3!CG29 + 1.8585</f>
        <v>1.8751843837025834</v>
      </c>
      <c r="CN29" s="186">
        <f>_xlfn.FORECAST.LINEAR(Sheet3!DF29,New!$LU$2:$LU$14,New!$LT$2:$LT$14)</f>
        <v>1.0126209368728181</v>
      </c>
      <c r="CO29" s="183">
        <f>_xlfn.FORECAST.LINEAR(Sheet3!BZ29,New!$LU$2:$LU$14,New!$LT$2:$LT$14)</f>
        <v>1.0127398607240312</v>
      </c>
      <c r="CP29" s="183">
        <f>_xlfn.FORECAST.LINEAR(Sheet3!CA29,New!$LU$2:$LU$14,New!$LT$2:$LT$14)</f>
        <v>1.0119940882179641</v>
      </c>
      <c r="CQ29" s="183">
        <f>_xlfn.FORECAST.LINEAR(Sheet3!CB29,New!$LU$2:$LU$14,New!$LT$2:$LT$14)</f>
        <v>1.0114150767985832</v>
      </c>
      <c r="CR29" s="183">
        <f>_xlfn.FORECAST.LINEAR(Sheet3!CC29,New!$LU$2:$LU$14,New!$LT$2:$LT$14)</f>
        <v>1.0107107082946565</v>
      </c>
      <c r="CS29" s="183">
        <f>_xlfn.FORECAST.LINEAR(Sheet3!CD29,New!$LU$2:$LU$14,New!$LT$2:$LT$14)</f>
        <v>1.0102465572318122</v>
      </c>
      <c r="CT29" s="183">
        <f>_xlfn.FORECAST.LINEAR(Sheet3!CE29,New!$LU$2:$LU$14,New!$LT$2:$LT$14)</f>
        <v>1.0097073416470173</v>
      </c>
      <c r="CU29" s="183">
        <f>_xlfn.FORECAST.LINEAR(Sheet3!CF29,New!$LU$2:$LU$14,New!$LT$2:$LT$14)</f>
        <v>1.0092635372311516</v>
      </c>
      <c r="CV29" s="183">
        <f>_xlfn.FORECAST.LINEAR(Sheet3!CG29,New!$LU$2:$LU$14,New!$LT$2:$LT$14)</f>
        <v>1.0087064586413541</v>
      </c>
      <c r="CW29" s="186">
        <f>EXP((17.625*Sheet3!BA29)/(243.04+Sheet3!BA29)) / EXP((17.625*Sheet3!DF29)/(243.04+Sheet3!DF29))</f>
        <v>0.2489120796186681</v>
      </c>
      <c r="CX29" s="183">
        <f>EXP((17.625*(Sheet3!BC29+273))/(243.04+(Sheet3!BC29+273)))/EXP((17.625*(Sheet3!BZ29+273))/(243.04+(Sheet3!BZ29+273)))</f>
        <v>0.66852341535711524</v>
      </c>
      <c r="CY29" s="183">
        <f>EXP((17.625*(Sheet3!BE29+273))/(243.04+(Sheet3!BE29+273))) / EXP((17.625*(Sheet3!CA29+273))/(243.04+(Sheet3!CA29+273)))</f>
        <v>0.70016797020904242</v>
      </c>
      <c r="CZ29" s="183">
        <f>EXP((17.625*(Sheet3!BG29+273))/(243.04+(Sheet3!BG29+273))) / EXP((17.625*(Sheet3!CB29+273))/(243.04+(Sheet3!CB29+273)))</f>
        <v>0.72398489342140082</v>
      </c>
      <c r="DA29" s="183">
        <f>EXP((17.625*(Sheet3!BI29+273))/(243.04+(Sheet3!BI29+273))) / EXP((17.625*(Sheet3!CC29+273))/(243.04+(Sheet3!CC29+273)))</f>
        <v>0.75416910850438901</v>
      </c>
      <c r="DB29" s="183">
        <f>EXP((17.625*(Sheet3!BK29+273))/(243.04+(Sheet3!BK29+273)))/EXP((17.625*(Sheet3!CD29+273))/(243.04+(Sheet3!CD29+273)))</f>
        <v>0.77752428290686826</v>
      </c>
      <c r="DC29" s="183">
        <f>EXP((17.625*(Sheet3!BM29+273))/(243.04+(Sheet3!BM29+273))) / EXP((17.625*(Sheet3!CE29+273))/(243.04+(Sheet3!CE29+273)))</f>
        <v>0.80197113566102485</v>
      </c>
      <c r="DD29" s="183">
        <f>EXP((17.625*(Sheet3!BO29+273))/(243.04+(Sheet3!BO29+273))) / EXP((17.625*(Sheet3!CF29+273))/(243.04+(Sheet3!CF29+273)))</f>
        <v>0.82613991451975533</v>
      </c>
      <c r="DE29" s="183">
        <f>EXP((17.625*(Sheet3!BQ29+273))/(243.04+(Sheet3!BQ29+273))) / EXP((17.625*(Sheet3!CG29+273))/(243.04+(Sheet3!CG29+273)))</f>
        <v>0.85395084371100693</v>
      </c>
      <c r="DF29" s="186">
        <f>((Sheet3!DA29-Sheet3!DB29)/New!$LQ$3)/(((Sheet3!DA29-Sheet3!DB29)/New!$LQ$3)+(Sheet3!DB29/New!$LP$3))</f>
        <v>0.84095558454039954</v>
      </c>
      <c r="DG29" s="183">
        <f>((Sheet3!DA29-Sheet3!DB29)/New!$LQ$3)/(((Sheet3!DA29-Sheet3!DB29)/New!$LQ$3)+((Sheet3!DB29-(Sheet3!B29*0.004))/New!$LP$3))</f>
        <v>0.84110151817599998</v>
      </c>
      <c r="DH29" s="183" cm="1">
        <f t="array" ref="DH29">((Sheet3!DA29-Sheet3!DB29)/New!$LQ$3)/(((Sheet3!DA29-Sheet3!DB29)/New!$LQ$3)+((Sheet3!DB29-(SUM(Sheet3!B29:C29*0.004)))/New!$LP$3))</f>
        <v>0.85261753346131619</v>
      </c>
      <c r="DI29" s="183" cm="1">
        <f t="array" ref="DI29">((Sheet3!DA29-Sheet3!DB29)/New!$LQ$3)/(((Sheet3!DA29-Sheet3!DB29)/New!$LQ$3)+((Sheet3!DB29-(SUM(Sheet3!B29:D29*0.004)))/New!$LP$3))</f>
        <v>0.8527425377367629</v>
      </c>
      <c r="DJ29" s="183" cm="1">
        <f t="array" ref="DJ29">((Sheet3!DA29-Sheet3!DB29)/New!$LQ$3)/(((Sheet3!DA29-Sheet3!DB29)/New!$LQ$3)+((Sheet3!DB29-(SUM(Sheet3!B29:E29*0.004)))/New!$LP$3))</f>
        <v>0.86442757607734</v>
      </c>
      <c r="DK29" s="183" cm="1">
        <f t="array" ref="DK29">((Sheet3!DA29-Sheet3!DB29)/New!$LQ$3)/(((Sheet3!DA29-Sheet3!DB29)/New!$LQ$3)+((Sheet3!DB29-(SUM(Sheet3!B29:F29*0.004)))/New!$LP$3))</f>
        <v>0.86460747489729062</v>
      </c>
      <c r="DL29" s="183" cm="1">
        <f t="array" ref="DL29">((Sheet3!DA29-Sheet3!DB29)/New!$LQ$3)/(((Sheet3!DA29-Sheet3!DB29)/New!$LQ$3)+((Sheet3!DB29-(SUM(Sheet3!B29:G29*0.004)))/New!$LP$3))</f>
        <v>0.87593573370361799</v>
      </c>
      <c r="DM29" s="183" cm="1">
        <f t="array" ref="DM29">((Sheet3!DA29-Sheet3!DB29)/New!$LQ$3)/(((Sheet3!DA29-Sheet3!DB29)/New!$LQ$3)+((Sheet3!DB29-(SUM(Sheet3!B29:H29*0.004)))/New!$LP$3))</f>
        <v>0.87612045491992974</v>
      </c>
      <c r="DN29" s="183" cm="1">
        <f t="array" ref="DN29">((Sheet3!DA29-Sheet3!DB29)/New!$LQ$3)/(((Sheet3!DA29-Sheet3!DB29)/New!$LQ$3)+((Sheet3!DB29-(SUM(Sheet3!B29:I29*0.004)))/New!$LP$3))</f>
        <v>0.88683400005313417</v>
      </c>
      <c r="DO29" s="186">
        <f>(Sheet3!DB29/$LP$3) / ((Sheet3!DB29/$LP$3) + ((Sheet3!DA29-Sheet3!DB29)/$LQ$3))</f>
        <v>0.15904441545960046</v>
      </c>
      <c r="DP29" s="183">
        <f>((Sheet3!$DB29-(Sheet3!B29/4000)) / $LP$3) / (((Sheet3!$DA29-Sheet3!DB29) / $LQ$3) + (Sheet3!$DB29-((Sheet3!B29/4000)))/$LP$3)</f>
        <v>0.1590352960909808</v>
      </c>
      <c r="DQ29" s="183">
        <f>((Sheet3!$DB29-(SUM(Sheet3!B29:C29)/4000))/$LP$3)/(((Sheet3!$DA29-Sheet3!$DB29)/$LQ$3)+(Sheet3!$DB29-(SUM(Sheet3!B29:C29)/4000))/$LP$3)</f>
        <v>0.1583248979397999</v>
      </c>
      <c r="DR29" s="183">
        <f>((Sheet3!$DB29-(SUM(Sheet3!B29:D29)/4000))/$LP$3)/(((Sheet3!$DA29-Sheet3!$DB29)/$LQ$3)+(Sheet3!$DB29-(SUM(Sheet3!B29:D29)/4000))/$LP$3)</f>
        <v>0.15831728546994053</v>
      </c>
      <c r="DS29" s="183">
        <f>((Sheet3!$DB29-(SUM(Sheet3!B29:E29)/4000))/$LP$3)/(((Sheet3!$DA29-Sheet3!$DB29)/$LQ$3)+(Sheet3!$DB29-(SUM(Sheet3!B29:E29)/4000))/$LP$3)</f>
        <v>0.15761482362058934</v>
      </c>
      <c r="DT29" s="183">
        <f>((Sheet3!$DB29-(SUM(Sheet3!B29:F29)/4000))/$LP$3)/(((Sheet3!$DA29-Sheet3!$DB29)/$LQ$3)+(Sheet3!$DB29-(SUM(Sheet3!B29:F29)/4000))/$LP$3)</f>
        <v>0.15760414813426049</v>
      </c>
      <c r="DU29" s="183">
        <f>((Sheet3!$DB29-(SUM(Sheet3!B29:G29)/4000))/$LP$3)/(((Sheet3!$DA29-Sheet3!$DB29)/$LQ$3)+(Sheet3!$DB29-(SUM(Sheet3!B29:G29)/4000))/$LP$3)</f>
        <v>0.1569402116339195</v>
      </c>
      <c r="DV29" s="183">
        <f>((Sheet3!$DB29-(SUM(Sheet3!B29:H29)/4000))/$LP$3)/(((Sheet3!$DA29-Sheet3!$DB29)/$LQ$3)+(Sheet3!$DB29-(SUM(Sheet3!B29:H29)/4000))/$LP$3)</f>
        <v>0.15692951904201788</v>
      </c>
      <c r="DW29" s="183">
        <f>((Sheet3!$DB29-(SUM(Sheet3!B29:I29)/4000))/$LP$3)/(((Sheet3!$DA29-Sheet3!$DB29)/$LQ$3)+(Sheet3!$DB29-(SUM(Sheet3!B29:I29)/4000))/$LP$3)</f>
        <v>0.15631653313807828</v>
      </c>
      <c r="DX29" s="186">
        <f>($LR$2*($LP$3/1000))/($LP$2*(Sheet3!DF29+273))*DO29</f>
        <v>9.7538541292985975E-2</v>
      </c>
      <c r="DY29" s="183">
        <f>(($LR$2*($LP$3/1000))/($LP$2*(Sheet3!BZ29+273)))*(DP29)</f>
        <v>9.7360046719928581E-2</v>
      </c>
      <c r="DZ29" s="183">
        <f>(($LR$2*($LP$3/1000))/($LP$2*(Sheet3!CA29+273)))*(DQ29)</f>
        <v>9.8014772530949271E-2</v>
      </c>
      <c r="EA29" s="183">
        <f>(($LR$2*($LP$3/1000))/($LP$2*(Sheet3!CB29+273)))*(DR29)</f>
        <v>9.8873037239750355E-2</v>
      </c>
      <c r="EB29" s="183">
        <f>(($LR$2*($LP$3/1000))/($LP$2*(Sheet3!CC29+273)))*(DS29)</f>
        <v>9.9500106508276454E-2</v>
      </c>
      <c r="EC29" s="183">
        <f>(($LR$2*($LP$3/1000))/($LP$2*(Sheet3!CD29+273)))*(DT29)</f>
        <v>0.10020832720934679</v>
      </c>
      <c r="ED29" s="183">
        <f>(($LR$2*($LP$3/1000))/($LP$2*(Sheet3!CE29+273)))*(DU29)</f>
        <v>0.10062622487115823</v>
      </c>
      <c r="EE29" s="183">
        <f>(($LR$2*($LP$3/1000))/($LP$2*(Sheet3!CF29+273)))*(DV29)</f>
        <v>0.10132140907670815</v>
      </c>
      <c r="EF29" s="183">
        <f>(($LR$2*($LP$3/1000))/($LP$2*(Sheet3!CG29+273)))*(DW29)</f>
        <v>0.101817352027071</v>
      </c>
      <c r="EG29" s="186">
        <f>(($LR$2*($LQ$3/1000))/($LQ$2*(Sheet3!DF29+273)))*(1-DO29)</f>
        <v>0.82907760099038086</v>
      </c>
      <c r="EH29" s="183">
        <f>(($LR$2*($LQ$3/1000))/($LQ$2*(Sheet3!BZ29+273)))*(1-DP29)</f>
        <v>0.82761682553931593</v>
      </c>
      <c r="EI29" s="183">
        <f>(($LR$2*($LQ$3/1000))/($LQ$2*(Sheet3!CA29+273)))*(1-DQ29)</f>
        <v>0.83762781602419878</v>
      </c>
      <c r="EJ29" s="183">
        <f>(($LR$2*($LQ$3/1000))/($LQ$2*(Sheet3!CB29+273)))*(1-DR29)</f>
        <v>0.84501076135523945</v>
      </c>
      <c r="EK29" s="183">
        <f>(($LR$2*($LQ$3/1000))/($LQ$2*(Sheet3!CC29+273)))*(1-DS29)</f>
        <v>0.85487278653117671</v>
      </c>
      <c r="EL29" s="183">
        <f>(($LR$2*($LQ$3/1000))/($LQ$2*(Sheet3!CD29+273)))*(1-DT29)</f>
        <v>0.86102681959004068</v>
      </c>
      <c r="EM29" s="183">
        <f>(($LR$2*($LQ$3/1000))/($LQ$2*(Sheet3!CE29+273)))*(1-DU29)</f>
        <v>0.86895965323573765</v>
      </c>
      <c r="EN29" s="183">
        <f>(($LR$2*($LQ$3/1000))/($LQ$2*(Sheet3!CF29+273)))*(1-DV29)</f>
        <v>0.8750336441760691</v>
      </c>
      <c r="EO29" s="183">
        <f>(($LR$2*($LQ$3/1000))/($LQ$2*(Sheet3!CG29+273)))*(1-DW29)</f>
        <v>0.88340674990719426</v>
      </c>
      <c r="EP29" s="186">
        <f t="shared" si="132"/>
        <v>4891.3759813508477</v>
      </c>
      <c r="EQ29" s="183">
        <f xml:space="preserve"> (($FV29-(Sheet3!B29/4000))*0.018)/(0.011*JO29*3600)</f>
        <v>4884.7589460554254</v>
      </c>
      <c r="ER29" s="183">
        <f>((($FV29-(SUM(Sheet3!B29:C29)/4000))*0.018)/(0.011*JP29*3600))</f>
        <v>4921.7605929705151</v>
      </c>
      <c r="ES29" s="183">
        <f>((($FV29-(SUM(Sheet3!B29:D29)/4000))*0.018)/(0.011*JQ29*3600))</f>
        <v>4954.3443653548202</v>
      </c>
      <c r="ET29" s="183">
        <f>((($FV29-(SUM(Sheet3!B29:E29)/4000))*0.018)/(0.011*JR29))/3600</f>
        <v>4990.1710036130426</v>
      </c>
      <c r="EU29" s="183">
        <f>((($FV29-(SUM(Sheet3!B29:F29)/4000))*0.018)/(0.011*JS29))/3600</f>
        <v>5016.9908676634541</v>
      </c>
      <c r="EV29" s="183">
        <f>((($FV29-(SUM(Sheet3!B29:G29)/4000))*0.018)/(0.011*JT29))/3600</f>
        <v>5044.3165809217544</v>
      </c>
      <c r="EW29" s="183">
        <f>((($FV29-(SUM(Sheet3!B29:H29)/4000))*0.018)/(0.011*JU29))/3600</f>
        <v>5070.54002637755</v>
      </c>
      <c r="EX29" s="183">
        <f>((($FV29-(SUM(Sheet3!B29:I29)/4000))*0.018)/(0.011*JV29))/3600</f>
        <v>5099.9291883578844</v>
      </c>
      <c r="EY29" s="186">
        <f t="shared" si="133"/>
        <v>50.642289724742774</v>
      </c>
      <c r="EZ29" s="183">
        <f t="shared" si="134"/>
        <v>50.590309262523128</v>
      </c>
      <c r="FA29" s="183">
        <f t="shared" si="135"/>
        <v>50.865463302217151</v>
      </c>
      <c r="FB29" s="183">
        <f t="shared" si="136"/>
        <v>51.12064576843806</v>
      </c>
      <c r="FC29" s="183">
        <f t="shared" si="137"/>
        <v>51.386840401646793</v>
      </c>
      <c r="FD29" s="183">
        <f t="shared" si="138"/>
        <v>51.597173906782892</v>
      </c>
      <c r="FE29" s="183">
        <f t="shared" si="139"/>
        <v>51.7974594921305</v>
      </c>
      <c r="FF29" s="183">
        <f t="shared" si="140"/>
        <v>52.003408345863988</v>
      </c>
      <c r="FG29" s="183">
        <f t="shared" si="141"/>
        <v>52.221030940793476</v>
      </c>
      <c r="FH29" s="186">
        <f t="shared" si="28"/>
        <v>83.712728162342671</v>
      </c>
      <c r="FI29" s="183">
        <f t="shared" si="29"/>
        <v>83.788618321839778</v>
      </c>
      <c r="FJ29" s="183">
        <f t="shared" si="30"/>
        <v>83.235250038241517</v>
      </c>
      <c r="FK29" s="183">
        <f t="shared" si="31"/>
        <v>82.857434593799198</v>
      </c>
      <c r="FL29" s="183">
        <f t="shared" si="32"/>
        <v>82.328835401841502</v>
      </c>
      <c r="FM29" s="183">
        <f t="shared" si="33"/>
        <v>82.022038212081995</v>
      </c>
      <c r="FN29" s="183">
        <f t="shared" si="34"/>
        <v>81.604019870184487</v>
      </c>
      <c r="FO29" s="183">
        <f t="shared" si="35"/>
        <v>81.307944764770028</v>
      </c>
      <c r="FP29" s="183">
        <f t="shared" si="36"/>
        <v>80.881248585707638</v>
      </c>
      <c r="FQ29" s="314">
        <f>Sheet3!CV29</f>
        <v>2</v>
      </c>
      <c r="FR29" s="183">
        <v>5000</v>
      </c>
      <c r="FS29" s="183">
        <v>10</v>
      </c>
      <c r="FT29" s="183">
        <v>0.11769736842105265</v>
      </c>
      <c r="FU29" s="183">
        <v>32.1</v>
      </c>
      <c r="FV29" s="183">
        <v>209</v>
      </c>
      <c r="FW29" s="183">
        <v>22</v>
      </c>
      <c r="FX29" s="183">
        <v>411</v>
      </c>
      <c r="FY29" s="183">
        <v>8.5</v>
      </c>
      <c r="FZ29" s="183">
        <v>12.59</v>
      </c>
      <c r="GA29" s="183">
        <v>85</v>
      </c>
      <c r="GB29" s="186">
        <f>EXP($LP$6-($LQ$6/('Trial and Error method'!T29+$LP$8))) / ($LR$2/1000)</f>
        <v>9.6124836274077183E-2</v>
      </c>
      <c r="GC29" s="183">
        <f>EXP($LP$6-($LQ$6/('Trial and Error method'!U29+$LP$8))) / ($LR$2/1000)</f>
        <v>5.6551544141918333E-2</v>
      </c>
      <c r="GD29" s="183">
        <f>EXP($LP$6-($LQ$6/('Trial and Error method'!V29+$LP$8))) / ($LR$2/1000)</f>
        <v>5.3970448059632671E-2</v>
      </c>
      <c r="GE29" s="183">
        <f>EXP($LP$6-($LQ$6/('Trial and Error method'!W29+$LP$8))) / ($LR$2/1000)</f>
        <v>5.1794061983709117E-2</v>
      </c>
      <c r="GF29" s="183">
        <f>EXP($LP$6-($LQ$6/('Trial and Error method'!X29+$LP$8))) / ($LR$2/1000)</f>
        <v>4.9342798040184058E-2</v>
      </c>
      <c r="GG29" s="183">
        <f>EXP($LP$6-($LQ$6/('Trial and Error method'!Y29+$LP$8))) / ($LR$2/1000)</f>
        <v>4.4680903943682189E-2</v>
      </c>
      <c r="GH29" s="183">
        <f>EXP($LP$6-($LQ$6/('Trial and Error method'!Z29+$LP$8))) / ($LR$2/1000)</f>
        <v>0.1047022513036777</v>
      </c>
      <c r="GI29" s="183">
        <f>EXP($LP$6-($LQ$6/('Trial and Error method'!AA29+$LP$8))) / ($LR$2/1000)</f>
        <v>0.1012979301244024</v>
      </c>
      <c r="GJ29" s="183">
        <f>EXP($LP$6-($LQ$6/('Trial and Error method'!AB29+$LP$8))) / ($LR$2/1000)</f>
        <v>9.6668333668512157E-2</v>
      </c>
      <c r="GK29" s="188">
        <f t="shared" si="142"/>
        <v>0.87203709033890786</v>
      </c>
      <c r="GL29" s="165">
        <f t="shared" si="143"/>
        <v>0.89122472825183185</v>
      </c>
      <c r="GM29" s="165">
        <f t="shared" si="144"/>
        <v>0.89283614832983937</v>
      </c>
      <c r="GN29" s="165">
        <f t="shared" si="145"/>
        <v>0.89388672467640518</v>
      </c>
      <c r="GO29" s="165">
        <f t="shared" si="146"/>
        <v>0.8954304683443115</v>
      </c>
      <c r="GP29" s="165">
        <f t="shared" si="147"/>
        <v>0.89767401751717812</v>
      </c>
      <c r="GQ29" s="165">
        <f t="shared" si="148"/>
        <v>0.86891707879839497</v>
      </c>
      <c r="GR29" s="165">
        <f t="shared" si="149"/>
        <v>0.87059005265453315</v>
      </c>
      <c r="GS29" s="165">
        <f t="shared" si="150"/>
        <v>0.8731680337240616</v>
      </c>
      <c r="GT29" s="188">
        <f t="shared" si="38"/>
        <v>6.2238666786657425E-2</v>
      </c>
      <c r="GU29" s="165">
        <f t="shared" si="39"/>
        <v>6.0892509754194829E-2</v>
      </c>
      <c r="GV29" s="165">
        <f t="shared" si="40"/>
        <v>6.0788369873621462E-2</v>
      </c>
      <c r="GW29" s="165">
        <f t="shared" si="41"/>
        <v>6.0736774990394565E-2</v>
      </c>
      <c r="GX29" s="165">
        <f t="shared" si="42"/>
        <v>6.0640883190355502E-2</v>
      </c>
      <c r="GY29" s="165">
        <f t="shared" si="43"/>
        <v>6.0507789839594005E-2</v>
      </c>
      <c r="GZ29" s="165">
        <f t="shared" si="44"/>
        <v>6.2516887121006587E-2</v>
      </c>
      <c r="HA29" s="165">
        <f t="shared" si="45"/>
        <v>6.2417246050347694E-2</v>
      </c>
      <c r="HB29" s="165">
        <f t="shared" si="46"/>
        <v>6.2236993515267139E-2</v>
      </c>
      <c r="HC29" s="188">
        <f>BV29*Sheet3!DF29</f>
        <v>93.859246193057743</v>
      </c>
      <c r="HD29" s="165">
        <f>BW29*Sheet3!BZ29</f>
        <v>94.571015472679932</v>
      </c>
      <c r="HE29" s="165">
        <f>BX29*Sheet3!CA29</f>
        <v>89.980335724543039</v>
      </c>
      <c r="HF29" s="165">
        <f>BY29*Sheet3!CB29</f>
        <v>86.517482473592253</v>
      </c>
      <c r="HG29" s="165">
        <f>BZ29*Sheet3!CC29</f>
        <v>82.203988524535077</v>
      </c>
      <c r="HH29" s="165">
        <f>CA29*Sheet3!CD29</f>
        <v>79.438149923466057</v>
      </c>
      <c r="HI29" s="165">
        <f>CB29*Sheet3!CE29</f>
        <v>76.13590771043728</v>
      </c>
      <c r="HJ29" s="165">
        <f>CC29*Sheet3!CF29</f>
        <v>73.500042596130669</v>
      </c>
      <c r="HK29" s="165">
        <f>CD29*Sheet3!CG29</f>
        <v>70.116730683076739</v>
      </c>
      <c r="HL29" s="188">
        <f>(CE29*Sheet3!DF29)+2501</f>
        <v>2661.0442119434374</v>
      </c>
      <c r="HM29" s="165">
        <f>(CF29*Sheet3!BZ29)+2501</f>
        <v>2662.2625765977664</v>
      </c>
      <c r="HN29" s="165">
        <f>(CG29*Sheet3!CA29)+2501</f>
        <v>2654.6285784394304</v>
      </c>
      <c r="HO29" s="165">
        <f>(CH29*Sheet3!CB29)+2501</f>
        <v>2648.7119433765524</v>
      </c>
      <c r="HP29" s="165">
        <f>(CI29*Sheet3!CC29)+2501</f>
        <v>2641.5262672668614</v>
      </c>
      <c r="HQ29" s="165">
        <f>(CJ29*Sheet3!CD29)+2501</f>
        <v>2636.798205404647</v>
      </c>
      <c r="HR29" s="165">
        <f>(CK29*Sheet3!CE29)+2501</f>
        <v>2631.3123613262487</v>
      </c>
      <c r="HS29" s="165">
        <f>(CL29*Sheet3!CF29)+2501</f>
        <v>2626.8026424303739</v>
      </c>
      <c r="HT29" s="165">
        <f>(CM29*Sheet3!CG29)+2501</f>
        <v>2621.1487017365785</v>
      </c>
      <c r="HU29" s="188">
        <f>-0.0021*(Sheet3!DF29^2) - 2.2115*(Sheet3!DF29) + 2499</f>
        <v>2295.85</v>
      </c>
      <c r="HV29" s="165">
        <f>-0.0021*(Sheet3!BZ29^2) - 2.2115*(Sheet3!BZ29) + 2499</f>
        <v>2294.2161688322294</v>
      </c>
      <c r="HW29" s="165">
        <f>-0.0021*(Sheet3!CA29^2) - 2.2115*(Sheet3!CA29) + 2499</f>
        <v>2304.4338804642139</v>
      </c>
      <c r="HX29" s="165">
        <f>-0.0021*(Sheet3!CB29^2) - 2.2115*(Sheet3!CB29) + 2499</f>
        <v>2312.3207866172875</v>
      </c>
      <c r="HY29" s="165">
        <f>-0.0021*(Sheet3!CC29^2) - 2.2115*(Sheet3!CC29) + 2499</f>
        <v>2321.8609680280429</v>
      </c>
      <c r="HZ29" s="165">
        <f>-0.0021*(Sheet3!CD29^2) - 2.2115*(Sheet3!CD29) + 2499</f>
        <v>2328.115019085843</v>
      </c>
      <c r="IA29" s="165">
        <f>-0.0021*(Sheet3!CE29^2) - 2.2115*(Sheet3!CE29) + 2499</f>
        <v>2335.3480305220705</v>
      </c>
      <c r="IB29" s="165">
        <f>-0.0021*(Sheet3!CF29^2) - 2.2115*(Sheet3!CF29) + 2499</f>
        <v>2341.2750170212166</v>
      </c>
      <c r="IC29" s="165">
        <f>-0.0021*(Sheet3!CG29^2) - 2.2115*(Sheet3!CG29) + 2499</f>
        <v>2348.6813100828444</v>
      </c>
      <c r="ID29" s="188">
        <f t="shared" si="47"/>
        <v>0.72077551926224503</v>
      </c>
      <c r="IE29" s="165">
        <f t="shared" si="48"/>
        <v>0.72042700348532795</v>
      </c>
      <c r="IF29" s="165">
        <f t="shared" si="49"/>
        <v>0.72176887998710315</v>
      </c>
      <c r="IG29" s="165">
        <f t="shared" si="50"/>
        <v>0.72346943374599781</v>
      </c>
      <c r="IH29" s="165">
        <f t="shared" si="51"/>
        <v>0.72478555831859004</v>
      </c>
      <c r="II29" s="165">
        <f t="shared" si="52"/>
        <v>0.72621215643761938</v>
      </c>
      <c r="IJ29" s="165">
        <f t="shared" si="53"/>
        <v>0.72712479795533247</v>
      </c>
      <c r="IK29" s="165">
        <f t="shared" si="54"/>
        <v>0.72854309526767891</v>
      </c>
      <c r="IL29" s="165">
        <f t="shared" si="55"/>
        <v>0.72962673099026765</v>
      </c>
      <c r="IM29" s="188">
        <f t="shared" si="56"/>
        <v>8.990619136052695</v>
      </c>
      <c r="IN29" s="165">
        <f t="shared" si="151"/>
        <v>14.317039632834948</v>
      </c>
      <c r="IO29" s="165">
        <f t="shared" si="152"/>
        <v>14.618261348052808</v>
      </c>
      <c r="IP29" s="165">
        <f t="shared" si="153"/>
        <v>14.960431203758649</v>
      </c>
      <c r="IQ29" s="165">
        <f t="shared" si="154"/>
        <v>15.244668692659319</v>
      </c>
      <c r="IR29" s="165">
        <f t="shared" si="155"/>
        <v>15.907395134233804</v>
      </c>
      <c r="IS29" s="165">
        <f t="shared" si="156"/>
        <v>7.6266737353453475</v>
      </c>
      <c r="IT29" s="165">
        <f t="shared" si="157"/>
        <v>8.1297744739090536</v>
      </c>
      <c r="IU29" s="165">
        <f t="shared" si="158"/>
        <v>8.719067413400202</v>
      </c>
      <c r="IV29" s="188">
        <f>_xlfn.FORECAST.LINEAR(Sheet3!DF29,Sheet2!$AK$2:$AK$69,Sheet2!$AJ$2:$AJ$69)</f>
        <v>1.1761434736095797E-5</v>
      </c>
      <c r="IW29" s="165">
        <f>_xlfn.FORECAST.LINEAR(Sheet3!BZ29,Sheet2!$AK$2:$AK$69,Sheet2!$AJ$2:$AJ$69)</f>
        <v>1.1783694610110928E-5</v>
      </c>
      <c r="IX29" s="165">
        <f>_xlfn.FORECAST.LINEAR(Sheet3!CA29,Sheet2!$AK$2:$AK$69,Sheet2!$AJ$2:$AJ$69)</f>
        <v>1.1644102746412892E-5</v>
      </c>
      <c r="IY29" s="165">
        <f>_xlfn.FORECAST.LINEAR(Sheet3!CB29,Sheet2!$AK$2:$AK$69,Sheet2!$AJ$2:$AJ$69)</f>
        <v>1.1535724812825518E-5</v>
      </c>
      <c r="IZ29" s="165">
        <f>_xlfn.FORECAST.LINEAR(Sheet3!CC29,Sheet2!$AK$2:$AK$69,Sheet2!$AJ$2:$AJ$69)</f>
        <v>1.1403882848428275E-5</v>
      </c>
      <c r="JA29" s="165">
        <f>_xlfn.FORECAST.LINEAR(Sheet3!CD29,Sheet2!$AK$2:$AK$69,Sheet2!$AJ$2:$AJ$69)</f>
        <v>1.1317004193915323E-5</v>
      </c>
      <c r="JB29" s="165">
        <f>_xlfn.FORECAST.LINEAR(Sheet3!CE29,Sheet2!$AK$2:$AK$69,Sheet2!$AJ$2:$AJ$69)</f>
        <v>1.1216075146780707E-5</v>
      </c>
      <c r="JC29" s="165">
        <f>_xlfn.FORECAST.LINEAR(Sheet3!CF29,Sheet2!$AK$2:$AK$69,Sheet2!$AJ$2:$AJ$69)</f>
        <v>1.1133004927613161E-5</v>
      </c>
      <c r="JD29" s="165">
        <f>_xlfn.FORECAST.LINEAR(Sheet3!CG29,Sheet2!$AK$2:$AK$69,Sheet2!$AJ$2:$AJ$69)</f>
        <v>1.1028732327130491E-5</v>
      </c>
      <c r="JE29" s="188">
        <f>_xlfn.FORECAST.LINEAR(Sheet3!DF29,New!$MC$2:$MC$18,New!$MB$2:$MB$18)</f>
        <v>2.0908514659214704E-5</v>
      </c>
      <c r="JF29" s="165">
        <f>_xlfn.FORECAST.LINEAR(Sheet3!BZ29,New!$MC$2:$MC$18,New!$MB$2:$MB$18)</f>
        <v>2.0934681678399915E-5</v>
      </c>
      <c r="JG29" s="165">
        <f>_xlfn.FORECAST.LINEAR(Sheet3!CA29,New!$MC$2:$MC$18,New!$MB$2:$MB$18)</f>
        <v>2.0770588073332638E-5</v>
      </c>
      <c r="JH29" s="165">
        <f>_xlfn.FORECAST.LINEAR(Sheet3!CB29,New!$MC$2:$MC$18,New!$MB$2:$MB$18)</f>
        <v>2.064318719651245E-5</v>
      </c>
      <c r="JI29" s="165">
        <f>_xlfn.FORECAST.LINEAR(Sheet3!CC29,New!$MC$2:$MC$18,New!$MB$2:$MB$18)</f>
        <v>2.0488203785130437E-5</v>
      </c>
      <c r="JJ29" s="165">
        <f>_xlfn.FORECAST.LINEAR(Sheet3!CD29,New!$MC$2:$MC$18,New!$MB$2:$MB$18)</f>
        <v>2.0386075829784385E-5</v>
      </c>
      <c r="JK29" s="165">
        <f>_xlfn.FORECAST.LINEAR(Sheet3!CE29,New!$MC$2:$MC$18,New!$MB$2:$MB$18)</f>
        <v>2.0267431298781128E-5</v>
      </c>
      <c r="JL29" s="165">
        <f>_xlfn.FORECAST.LINEAR(Sheet3!CF29,New!$MC$2:$MC$18,New!$MB$2:$MB$18)</f>
        <v>2.0169780251106756E-5</v>
      </c>
      <c r="JM29" s="165">
        <f>_xlfn.FORECAST.LINEAR(Sheet3!CG29,New!$MC$2:$MC$18,New!$MB$2:$MB$18)</f>
        <v>2.004720529244044E-5</v>
      </c>
      <c r="JN29" s="188">
        <f t="shared" si="159"/>
        <v>1.9421937786463907E-5</v>
      </c>
      <c r="JO29" s="165">
        <f t="shared" si="160"/>
        <v>1.9448107722599637E-5</v>
      </c>
      <c r="JP29" s="165">
        <f t="shared" si="161"/>
        <v>1.9291115080974602E-5</v>
      </c>
      <c r="JQ29" s="165">
        <f t="shared" si="162"/>
        <v>1.9164126434594742E-5</v>
      </c>
      <c r="JR29" s="165">
        <f t="shared" si="163"/>
        <v>1.9016040810192616E-5</v>
      </c>
      <c r="JS29" s="165">
        <f t="shared" si="164"/>
        <v>1.8914226177213266E-5</v>
      </c>
      <c r="JT29" s="165">
        <f t="shared" si="165"/>
        <v>1.8801965867988283E-5</v>
      </c>
      <c r="JU29" s="165">
        <f t="shared" si="166"/>
        <v>1.870457036802628E-5</v>
      </c>
      <c r="JV29" s="165">
        <f t="shared" si="167"/>
        <v>1.8587847212046865E-5</v>
      </c>
      <c r="JW29" s="188">
        <f t="shared" si="66"/>
        <v>1.0444458673781256</v>
      </c>
      <c r="JX29" s="165">
        <f t="shared" si="67"/>
        <v>1.0440834998925956</v>
      </c>
      <c r="JY29" s="165">
        <f t="shared" si="68"/>
        <v>1.0463779120366041</v>
      </c>
      <c r="JZ29" s="165">
        <f t="shared" si="69"/>
        <v>1.0481960587321639</v>
      </c>
      <c r="KA29" s="165">
        <f t="shared" si="70"/>
        <v>1.0504525820652575</v>
      </c>
      <c r="KB29" s="165">
        <f t="shared" si="71"/>
        <v>1.051967137179874</v>
      </c>
      <c r="KC29" s="165">
        <f t="shared" si="72"/>
        <v>1.0537549173035923</v>
      </c>
      <c r="KD29" s="165">
        <f t="shared" si="73"/>
        <v>1.0552497032508363</v>
      </c>
      <c r="KE29" s="165">
        <f t="shared" si="74"/>
        <v>1.0571565967824486</v>
      </c>
      <c r="KF29" s="188">
        <f t="shared" si="75"/>
        <v>0.94446821821306282</v>
      </c>
      <c r="KG29" s="165">
        <f t="shared" si="76"/>
        <v>0.94474508366372356</v>
      </c>
      <c r="KH29" s="165">
        <f t="shared" si="77"/>
        <v>0.94299652163729863</v>
      </c>
      <c r="KI29" s="165">
        <f t="shared" si="78"/>
        <v>0.9416184293491926</v>
      </c>
      <c r="KJ29" s="165">
        <f t="shared" si="79"/>
        <v>0.93991721936487782</v>
      </c>
      <c r="KK29" s="165">
        <f t="shared" si="80"/>
        <v>0.93878103066645879</v>
      </c>
      <c r="KL29" s="165">
        <f t="shared" si="81"/>
        <v>0.93744566720589551</v>
      </c>
      <c r="KM29" s="165">
        <f t="shared" si="82"/>
        <v>0.93633393691569478</v>
      </c>
      <c r="KN29" s="165">
        <f t="shared" si="83"/>
        <v>0.93492198781547098</v>
      </c>
      <c r="KO29" s="188">
        <f t="shared" si="84"/>
        <v>0.58379553996860833</v>
      </c>
      <c r="KP29" s="165">
        <f t="shared" si="85"/>
        <v>0.58430578901533325</v>
      </c>
      <c r="KQ29" s="165">
        <f t="shared" si="86"/>
        <v>0.58133683250441637</v>
      </c>
      <c r="KR29" s="165">
        <f t="shared" si="87"/>
        <v>0.57897715392297688</v>
      </c>
      <c r="KS29" s="165">
        <f t="shared" si="88"/>
        <v>0.57610545256362211</v>
      </c>
      <c r="KT29" s="165">
        <f t="shared" si="89"/>
        <v>0.57416917187484662</v>
      </c>
      <c r="KU29" s="165">
        <f t="shared" si="90"/>
        <v>0.57193198999303119</v>
      </c>
      <c r="KV29" s="165">
        <f t="shared" si="91"/>
        <v>0.57004487532590276</v>
      </c>
      <c r="KW29" s="165">
        <f t="shared" si="92"/>
        <v>0.5677884985407996</v>
      </c>
      <c r="KX29" s="188">
        <f>AVERAGE(Sheet3!J29:P29)*KO29^(1/3)/ID29^(1/3)</f>
        <v>144.77480388996426</v>
      </c>
      <c r="KY29" s="165">
        <f>Sheet3!J29*KP29^(1/3)/IE29^(1/3)</f>
        <v>115.56570792583557</v>
      </c>
      <c r="KZ29" s="165">
        <f>Sheet3!K29*KQ29^(1/3)/IF29^(1/3)</f>
        <v>124.65428362022836</v>
      </c>
      <c r="LA29" s="165">
        <f>Sheet3!L29*KR29^(1/3)/IG29^(1/3)</f>
        <v>135.91047929176148</v>
      </c>
      <c r="LB29" s="165">
        <f>Sheet3!M29*KS29^(1/3)/IH29^(1/3)</f>
        <v>146.80118230941736</v>
      </c>
      <c r="LC29" s="165">
        <f>Sheet3!N29*KT29^(1/3)/II29^(1/3)</f>
        <v>156.46009689188932</v>
      </c>
      <c r="LD29" s="165">
        <f>Sheet3!O29*KU29^(1/3)/IJ29^(1/3)</f>
        <v>162.86581729476907</v>
      </c>
      <c r="LE29" s="165">
        <f>Sheet3!P29*KV29^(1/3)/IK29^(1/3)</f>
        <v>164.7455255659967</v>
      </c>
      <c r="LF29" s="165">
        <f>Sheet3!Q29*KW29^(1/3)/IL29^(1/3)</f>
        <v>159.44596846170296</v>
      </c>
      <c r="LG29" s="186">
        <f t="shared" si="93"/>
        <v>27.219258872794676</v>
      </c>
      <c r="LH29" s="183">
        <f t="shared" si="94"/>
        <v>27.223320825455982</v>
      </c>
      <c r="LI29" s="183">
        <f t="shared" si="95"/>
        <v>27.544026805425215</v>
      </c>
      <c r="LJ29" s="183">
        <f t="shared" si="96"/>
        <v>27.54750979059763</v>
      </c>
      <c r="LK29" s="183">
        <f t="shared" si="97"/>
        <v>27.873253650724685</v>
      </c>
      <c r="LL29" s="183">
        <f t="shared" si="98"/>
        <v>27.878271201664237</v>
      </c>
      <c r="LM29" s="183">
        <f t="shared" si="99"/>
        <v>28.194376760641838</v>
      </c>
      <c r="LN29" s="183">
        <f t="shared" si="100"/>
        <v>28.199533660023118</v>
      </c>
      <c r="LO29" s="183">
        <f t="shared" si="101"/>
        <v>28.498754986021247</v>
      </c>
      <c r="LP29" s="220"/>
      <c r="LQ29" s="220"/>
      <c r="LR29" s="220"/>
      <c r="LS29" s="220"/>
      <c r="LT29" s="220"/>
      <c r="LU29" s="220"/>
      <c r="LV29" s="220"/>
      <c r="LW29" s="220"/>
      <c r="LX29" s="220"/>
      <c r="LY29" s="220"/>
      <c r="LZ29" s="222">
        <v>120.23</v>
      </c>
      <c r="MA29" s="220">
        <v>1.2999999999999999E-5</v>
      </c>
      <c r="MB29" s="220"/>
      <c r="MC29" s="220"/>
      <c r="MD29" s="188">
        <f>Sheet3!DP29</f>
        <v>239.73867987755676</v>
      </c>
      <c r="ME29" s="263">
        <v>280</v>
      </c>
      <c r="MF29" s="263">
        <v>64.19</v>
      </c>
      <c r="MG29" s="263">
        <v>5.234</v>
      </c>
      <c r="MH29" s="263">
        <v>33.19</v>
      </c>
      <c r="MI29" s="263">
        <v>19.91</v>
      </c>
      <c r="MJ29" s="263">
        <v>0.6</v>
      </c>
      <c r="MK29" s="273">
        <v>270</v>
      </c>
      <c r="ML29" s="267">
        <v>55.05</v>
      </c>
      <c r="MM29" s="267">
        <v>28.09</v>
      </c>
      <c r="MN29" s="267">
        <v>4.8150000000000004</v>
      </c>
      <c r="MO29" s="267">
        <v>19.32</v>
      </c>
      <c r="MP29" s="274">
        <v>0.68799999999999994</v>
      </c>
      <c r="MQ29"/>
      <c r="MR29"/>
      <c r="MS29"/>
    </row>
    <row r="30" spans="1:357" ht="15" thickBot="1" x14ac:dyDescent="0.35">
      <c r="A30" s="184" t="str">
        <f>Sheet3!A30</f>
        <v>19.12.2022</v>
      </c>
      <c r="B30" s="186">
        <f t="shared" si="102"/>
        <v>0.85661316191397219</v>
      </c>
      <c r="C30" s="183">
        <f t="shared" si="103"/>
        <v>0.85630211430652303</v>
      </c>
      <c r="D30" s="183">
        <f t="shared" si="0"/>
        <v>0.84721142792838988</v>
      </c>
      <c r="E30" s="183">
        <f t="shared" si="1"/>
        <v>0.84032383258302856</v>
      </c>
      <c r="F30" s="183">
        <f t="shared" si="2"/>
        <v>0.8336366866353826</v>
      </c>
      <c r="G30" s="183">
        <f t="shared" si="3"/>
        <v>0.8290189319970428</v>
      </c>
      <c r="H30" s="183">
        <f t="shared" si="4"/>
        <v>0.8233075270199649</v>
      </c>
      <c r="I30" s="183">
        <f t="shared" si="5"/>
        <v>0.81611618777630923</v>
      </c>
      <c r="J30" s="183">
        <f t="shared" si="6"/>
        <v>0.81099716057721627</v>
      </c>
      <c r="K30" s="186">
        <f xml:space="preserve"> (6.057 * (10^(-6)))
+ (4.055 * (10^(-8)) * (Sheet3!DF30 + 273))
+ (1.25 * (10^(-10)) * (Sheet3!DF30 + 273)^2)
- (3.367 * (10^(-14)) * (DD30 + 273)^3)</f>
        <v>3.99184510625816E-5</v>
      </c>
      <c r="L30" s="183">
        <f xml:space="preserve"> (6.057 * (10^(-6)))
+ (4.055 * (10^(-8)) * (Sheet3!BZ30 + 273))
+ (1.25 * (10^(-10)) * (Sheet3!BZ30 + 273)^2)
- (3.367 * (10^(-14)) * (BX30 + 273)^3)</f>
        <v>3.9877418223228765E-5</v>
      </c>
      <c r="M30" s="183">
        <f xml:space="preserve"> (6.057 * (10^(-6)))
+ (4.055 * (10^(-8)) * (Sheet3!CA30 + 273))
+ (1.25 * (10^(-10)) * (Sheet3!CA30 + 273)^2)
- (3.367 * (10^(-14)) * (BY30 + 273)^3)</f>
        <v>3.8955523433527515E-5</v>
      </c>
      <c r="N30" s="183">
        <f xml:space="preserve"> (6.057 * (10^(-6)))
+ (4.055 * (10^(-8)) * (Sheet3!CB30 + 273))
+ (1.25 * (10^(-10)) * (Sheet3!CB30 + 273)^2)
- (3.367 * (10^(-14)) * (BZ30 + 273)^3)</f>
        <v>3.8331607188593387E-5</v>
      </c>
      <c r="O30" s="183">
        <f xml:space="preserve"> (6.057 * (10^(-6)))
+ (4.055 * (10^(-8)) * (Sheet3!CC30 + 273))
+ (1.25 * (10^(-10)) * (Sheet3!CC30 + 273)^2)
- (3.367 * (10^(-14)) * (CA30 + 273)^3)</f>
        <v>3.7671283387605854E-5</v>
      </c>
      <c r="P30" s="183">
        <f xml:space="preserve"> (6.057 * (10^(-6)))
+ (4.055 * (10^(-8)) * (Sheet3!CD30 + 273))
+ (1.25 * (10^(-10)) * (Sheet3!CD30 + 273)^2)
- (3.367 * (10^(-14)) * (CB30 + 273)^3)</f>
        <v>3.7272326431026041E-5</v>
      </c>
      <c r="Q30" s="183">
        <f xml:space="preserve"> (6.057 * (10^(-6)))
+ (4.055 * (10^(-8)) * (Sheet3!CE30 + 273))
+ (1.25 * (10^(-10)) * (Sheet3!CE30 + 273)^2)
- (3.367 * (10^(-14)) * (CC30 + 273)^3)</f>
        <v>3.6723551794698347E-5</v>
      </c>
      <c r="R30" s="183">
        <f xml:space="preserve"> (6.057 * (10^(-6)))
+ (4.055 * (10^(-8)) * (Sheet3!CF30 + 273))
+ (1.25 * (10^(-10)) * (Sheet3!CF30 + 273)^2)
- (3.367 * (10^(-14)) * (CD30 + 273)^3)</f>
        <v>3.6130094857300666E-5</v>
      </c>
      <c r="S30" s="183">
        <f xml:space="preserve"> (6.057 * (10^(-6)))
+ (4.055 * (10^(-8)) * (Sheet3!CG30 + 273))
+ (1.25 * (10^(-10)) * (Sheet3!CG30 + 273)^2)
- (3.367 * (10^(-14)) * (CE30 + 273)^3)</f>
        <v>3.5640051908828484E-5</v>
      </c>
      <c r="T30" s="188">
        <f t="shared" si="104"/>
        <v>3.99184510625816E-5</v>
      </c>
      <c r="U30" s="165">
        <f t="shared" si="105"/>
        <v>3.9877418223228765E-5</v>
      </c>
      <c r="V30" s="165">
        <f t="shared" si="106"/>
        <v>3.8955523433527515E-5</v>
      </c>
      <c r="W30" s="165">
        <f t="shared" si="107"/>
        <v>3.8331607188593387E-5</v>
      </c>
      <c r="X30" s="165">
        <f t="shared" si="108"/>
        <v>3.7671283387605854E-5</v>
      </c>
      <c r="Y30" s="165">
        <f t="shared" si="109"/>
        <v>3.7272326431026041E-5</v>
      </c>
      <c r="Z30" s="165">
        <f t="shared" si="110"/>
        <v>3.6723551794698347E-5</v>
      </c>
      <c r="AA30" s="165">
        <f t="shared" si="111"/>
        <v>3.6130094857300666E-5</v>
      </c>
      <c r="AB30" s="165">
        <f t="shared" si="112"/>
        <v>3.5640051908828484E-5</v>
      </c>
      <c r="AC30" s="186">
        <f t="shared" si="8"/>
        <v>3.4194670583426188E-5</v>
      </c>
      <c r="AD30" s="183">
        <f t="shared" si="9"/>
        <v>3.4147117537636264E-5</v>
      </c>
      <c r="AE30" s="183">
        <f t="shared" si="10"/>
        <v>3.3003564633816701E-5</v>
      </c>
      <c r="AF30" s="183">
        <f t="shared" si="11"/>
        <v>3.2210963061785964E-5</v>
      </c>
      <c r="AG30" s="183">
        <f t="shared" si="12"/>
        <v>3.1404163864546274E-5</v>
      </c>
      <c r="AH30" s="183">
        <f t="shared" si="13"/>
        <v>3.0899464250894357E-5</v>
      </c>
      <c r="AI30" s="183">
        <f t="shared" si="14"/>
        <v>3.0234776611482692E-5</v>
      </c>
      <c r="AJ30" s="183">
        <f t="shared" si="15"/>
        <v>2.9486355278936653E-5</v>
      </c>
      <c r="AK30" s="183">
        <f t="shared" si="16"/>
        <v>2.8903980900884498E-5</v>
      </c>
      <c r="AL30" s="186">
        <f t="shared" si="113"/>
        <v>3.2453001916894701E-2</v>
      </c>
      <c r="AM30" s="183">
        <f t="shared" si="114"/>
        <v>3.2428652763647578E-2</v>
      </c>
      <c r="AN30" s="183">
        <f t="shared" si="115"/>
        <v>3.1826854499014526E-2</v>
      </c>
      <c r="AO30" s="183">
        <f t="shared" si="116"/>
        <v>3.1415283797268899E-2</v>
      </c>
      <c r="AP30" s="183">
        <f t="shared" si="117"/>
        <v>3.0976519906692493E-2</v>
      </c>
      <c r="AQ30" s="183">
        <f t="shared" si="118"/>
        <v>3.0708800061722087E-2</v>
      </c>
      <c r="AR30" s="183">
        <f t="shared" si="119"/>
        <v>3.0339782797530426E-2</v>
      </c>
      <c r="AS30" s="183">
        <f t="shared" si="120"/>
        <v>2.9935183585123978E-2</v>
      </c>
      <c r="AT30" s="183">
        <f t="shared" si="121"/>
        <v>2.9605187115097957E-2</v>
      </c>
      <c r="AU30" s="186">
        <f>_xlfn.FORECAST.LINEAR(Sheet3!DF30,Sheet2!$AH$2:$AH$40,Sheet2!$AG$2:$AG$40)</f>
        <v>3.3278061617758661E-2</v>
      </c>
      <c r="AV30" s="183">
        <f>_xlfn.FORECAST.LINEAR(Sheet3!BZ30,Sheet2!$AH$2:$AH$40,Sheet2!$AG$2:$AG$40)</f>
        <v>3.3208648676937555E-2</v>
      </c>
      <c r="AW30" s="183">
        <f>_xlfn.FORECAST.LINEAR(Sheet3!CA30,Sheet2!$AH$2:$AH$40,Sheet2!$AG$2:$AG$40)</f>
        <v>3.1493926319951966E-2</v>
      </c>
      <c r="AX30" s="183">
        <f>_xlfn.FORECAST.LINEAR(Sheet3!CB30,Sheet2!$AH$2:$AH$40,Sheet2!$AG$2:$AG$40)</f>
        <v>3.0321231093559969E-2</v>
      </c>
      <c r="AY30" s="183">
        <f>_xlfn.FORECAST.LINEAR(Sheet3!CC30,Sheet2!$AH$2:$AH$40,Sheet2!$AG$2:$AG$40)</f>
        <v>2.9069087472581939E-2</v>
      </c>
      <c r="AZ30" s="183">
        <f>_xlfn.FORECAST.LINEAR(Sheet3!CD30,Sheet2!$AH$2:$AH$40,Sheet2!$AG$2:$AG$40)</f>
        <v>2.8306903482537255E-2</v>
      </c>
      <c r="BA30" s="183">
        <f>_xlfn.FORECAST.LINEAR(Sheet3!CE30,Sheet2!$AH$2:$AH$40,Sheet2!$AG$2:$AG$40)</f>
        <v>2.7251437170077362E-2</v>
      </c>
      <c r="BB30" s="183">
        <f>_xlfn.FORECAST.LINEAR(Sheet3!CF30,Sheet2!$AH$2:$AH$40,Sheet2!$AG$2:$AG$40)</f>
        <v>2.6100568255380718E-2</v>
      </c>
      <c r="BC30" s="183">
        <f>_xlfn.FORECAST.LINEAR(Sheet3!CG30,Sheet2!$AH$2:$AH$40,Sheet2!$AG$2:$AG$40)</f>
        <v>2.5154612653250467E-2</v>
      </c>
      <c r="BD30" s="186">
        <f>_xlfn.FORECAST.LINEAR(Sheet3!DF30,Sheet2!$AB$12:$AB$37,Sheet2!$AA$12:$AA$37)/1000</f>
        <v>3.221097904255335E-2</v>
      </c>
      <c r="BE30" s="183">
        <f>_xlfn.FORECAST.LINEAR(Sheet3!BZ30,Sheet2!$AB$12:$AB$37,Sheet2!$AA$12:$AA$37)/1000</f>
        <v>3.219545991565443E-2</v>
      </c>
      <c r="BF30" s="183">
        <f>_xlfn.FORECAST.LINEAR(Sheet3!CA30,Sheet2!$AB$12:$AB$37,Sheet2!$AA$12:$AA$37)/1000</f>
        <v>3.1812087686504176E-2</v>
      </c>
      <c r="BG30" s="183">
        <f>_xlfn.FORECAST.LINEAR(Sheet3!CB30,Sheet2!$AB$12:$AB$37,Sheet2!$AA$12:$AA$37)/1000</f>
        <v>3.1549900177707639E-2</v>
      </c>
      <c r="BH30" s="183">
        <f>_xlfn.FORECAST.LINEAR(Sheet3!CC30,Sheet2!$AB$12:$AB$37,Sheet2!$AA$12:$AA$37)/1000</f>
        <v>3.1269949846836287E-2</v>
      </c>
      <c r="BI30" s="183">
        <f>_xlfn.FORECAST.LINEAR(Sheet3!CD30,Sheet2!$AB$12:$AB$37,Sheet2!$AA$12:$AA$37)/1000</f>
        <v>3.1099543148576551E-2</v>
      </c>
      <c r="BJ30" s="183">
        <f>_xlfn.FORECAST.LINEAR(Sheet3!CE30,Sheet2!$AB$12:$AB$37,Sheet2!$AA$12:$AA$37)/1000</f>
        <v>3.0863565311492713E-2</v>
      </c>
      <c r="BK30" s="183">
        <f>_xlfn.FORECAST.LINEAR(Sheet3!CF30,Sheet2!$AB$12:$AB$37,Sheet2!$AA$12:$AA$37)/1000</f>
        <v>3.0606257660787894E-2</v>
      </c>
      <c r="BL30" s="183">
        <f>_xlfn.FORECAST.LINEAR(Sheet3!CG30,Sheet2!$AB$12:$AB$37,Sheet2!$AA$12:$AA$37)/1000</f>
        <v>3.039476388374087E-2</v>
      </c>
      <c r="BM30" s="186">
        <f t="shared" si="122"/>
        <v>0.85600886113929775</v>
      </c>
      <c r="BN30" s="183">
        <f t="shared" si="123"/>
        <v>0.85661431489156292</v>
      </c>
      <c r="BO30" s="183">
        <f t="shared" si="124"/>
        <v>0.87200784335692538</v>
      </c>
      <c r="BP30" s="183">
        <f t="shared" si="125"/>
        <v>0.88270077301728633</v>
      </c>
      <c r="BQ30" s="183">
        <f t="shared" si="126"/>
        <v>0.89464156534536188</v>
      </c>
      <c r="BR30" s="183">
        <f t="shared" si="127"/>
        <v>0.90192737720769511</v>
      </c>
      <c r="BS30" s="183">
        <f t="shared" si="128"/>
        <v>0.91243645174908161</v>
      </c>
      <c r="BT30" s="183">
        <f t="shared" si="129"/>
        <v>0.92392478825907642</v>
      </c>
      <c r="BU30" s="183">
        <f t="shared" si="130"/>
        <v>0.93380210578964962</v>
      </c>
      <c r="BV30" s="186">
        <f t="shared" si="131"/>
        <v>1.1087105771975601</v>
      </c>
      <c r="BW30" s="183">
        <f t="shared" si="19"/>
        <v>1.1086374099730716</v>
      </c>
      <c r="BX30" s="183">
        <f t="shared" si="20"/>
        <v>1.1058913928285452</v>
      </c>
      <c r="BY30" s="183">
        <f t="shared" si="21"/>
        <v>1.1049020278734665</v>
      </c>
      <c r="BZ30" s="183">
        <f t="shared" si="22"/>
        <v>1.1025449852210663</v>
      </c>
      <c r="CA30" s="183">
        <f t="shared" si="23"/>
        <v>1.1018952922608025</v>
      </c>
      <c r="CB30" s="183">
        <f t="shared" si="24"/>
        <v>1.0997730579082259</v>
      </c>
      <c r="CC30" s="183">
        <f t="shared" si="25"/>
        <v>1.0988140725599551</v>
      </c>
      <c r="CD30" s="183">
        <f t="shared" si="26"/>
        <v>1.0968703569211771</v>
      </c>
      <c r="CE30" s="187">
        <f xml:space="preserve"> -0.0000000019505*Sheet3!DF30^3 + 0.0000015497*Sheet3!DF30^2  + 0.00016911*Sheet3!DF30 + 1.8585</f>
        <v>1.8954759658125</v>
      </c>
      <c r="CF30" s="185">
        <f xml:space="preserve"> -0.0000000019505*Sheet3!BZ30^3 + 0.0000015497*Sheet3!BZ30^2  + 0.00016911*Sheet3!BZ30 + 1.8585</f>
        <v>1.8953536296516262</v>
      </c>
      <c r="CG30" s="185">
        <f xml:space="preserve"> -0.0000000019505*Sheet3!CA30^3 + 0.0000015497*Sheet3!CA30^2  + 0.00016911*Sheet3!CA30 + 1.8585</f>
        <v>1.892373736411769</v>
      </c>
      <c r="CH30" s="185">
        <f xml:space="preserve"> -0.0000000019505*Sheet3!CB30^3 + 0.0000015497*Sheet3!CB30^2  + 0.00016911*Sheet3!CB30 + 1.8585</f>
        <v>1.8903836930980484</v>
      </c>
      <c r="CI30" s="185">
        <f xml:space="preserve"> -0.0000000019505*Sheet3!CC30^3 + 0.0000015497*Sheet3!CC30^2  + 0.00016911*Sheet3!CC30 + 1.8585</f>
        <v>1.8883032719483048</v>
      </c>
      <c r="CJ30" s="185">
        <f xml:space="preserve"> -0.0000000019505*Sheet3!CD30^3 + 0.0000015497*Sheet3!CD30^2  + 0.00016911*Sheet3!CD30 + 1.8585</f>
        <v>1.8870599676844948</v>
      </c>
      <c r="CK30" s="185">
        <f xml:space="preserve"> -0.0000000019505*Sheet3!CE30^3 + 0.0000015497*Sheet3!CE30^2  + 0.00016911*Sheet3!CE30 + 1.8585</f>
        <v>1.8853677587723925</v>
      </c>
      <c r="CL30" s="185">
        <f xml:space="preserve"> -0.0000000019505*Sheet3!CF30^3 + 0.0000015497*Sheet3!CF30^2  + 0.00016911*Sheet3!CF30 + 1.8585</f>
        <v>1.8835625450840841</v>
      </c>
      <c r="CM30" s="185">
        <f xml:space="preserve"> -0.0000000019505*Sheet3!CG30^3 + 0.0000015497*Sheet3!CG30^2  + 0.00016911*Sheet3!CG30 + 1.8585</f>
        <v>1.88211070325636</v>
      </c>
      <c r="CN30" s="186">
        <f>_xlfn.FORECAST.LINEAR(Sheet3!DF30,New!$LU$2:$LU$14,New!$LT$2:$LT$14)</f>
        <v>1.0182325575068421</v>
      </c>
      <c r="CO30" s="183">
        <f>_xlfn.FORECAST.LINEAR(Sheet3!BZ30,New!$LU$2:$LU$14,New!$LT$2:$LT$14)</f>
        <v>1.0181814686717499</v>
      </c>
      <c r="CP30" s="183">
        <f>_xlfn.FORECAST.LINEAR(Sheet3!CA30,New!$LU$2:$LU$14,New!$LT$2:$LT$14)</f>
        <v>1.0169194105210877</v>
      </c>
      <c r="CQ30" s="183">
        <f>_xlfn.FORECAST.LINEAR(Sheet3!CB30,New!$LU$2:$LU$14,New!$LT$2:$LT$14)</f>
        <v>1.0160562914495477</v>
      </c>
      <c r="CR30" s="183">
        <f>_xlfn.FORECAST.LINEAR(Sheet3!CC30,New!$LU$2:$LU$14,New!$LT$2:$LT$14)</f>
        <v>1.0151346973172866</v>
      </c>
      <c r="CS30" s="183">
        <f>_xlfn.FORECAST.LINEAR(Sheet3!CD30,New!$LU$2:$LU$14,New!$LT$2:$LT$14)</f>
        <v>1.0145737199013094</v>
      </c>
      <c r="CT30" s="183">
        <f>_xlfn.FORECAST.LINEAR(Sheet3!CE30,New!$LU$2:$LU$14,New!$LT$2:$LT$14)</f>
        <v>1.0137968828483819</v>
      </c>
      <c r="CU30" s="183">
        <f>_xlfn.FORECAST.LINEAR(Sheet3!CF30,New!$LU$2:$LU$14,New!$LT$2:$LT$14)</f>
        <v>1.0129498282285949</v>
      </c>
      <c r="CV30" s="183">
        <f>_xlfn.FORECAST.LINEAR(Sheet3!CG30,New!$LU$2:$LU$14,New!$LT$2:$LT$14)</f>
        <v>1.0122535924951719</v>
      </c>
      <c r="CW30" s="186">
        <f>EXP((17.625*Sheet3!BA30)/(243.04+Sheet3!BA30)) / EXP((17.625*Sheet3!DF30)/(243.04+Sheet3!DF30))</f>
        <v>8.1895985027025608E-2</v>
      </c>
      <c r="CX30" s="183">
        <f>EXP((17.625*(Sheet3!BC30+273))/(243.04+(Sheet3!BC30+273)))/EXP((17.625*(Sheet3!BZ30+273))/(243.04+(Sheet3!BZ30+273)))</f>
        <v>0.47913260687426568</v>
      </c>
      <c r="CY30" s="183">
        <f>EXP((17.625*(Sheet3!BE30+273))/(243.04+(Sheet3!BE30+273))) / EXP((17.625*(Sheet3!CA30+273))/(243.04+(Sheet3!CA30+273)))</f>
        <v>0.51505112252008212</v>
      </c>
      <c r="CZ30" s="183">
        <f>EXP((17.625*(Sheet3!BG30+273))/(243.04+(Sheet3!BG30+273))) / EXP((17.625*(Sheet3!CB30+273))/(243.04+(Sheet3!CB30+273)))</f>
        <v>0.54016930838344657</v>
      </c>
      <c r="DA30" s="183">
        <f>EXP((17.625*(Sheet3!BI30+273))/(243.04+(Sheet3!BI30+273))) / EXP((17.625*(Sheet3!CC30+273))/(243.04+(Sheet3!CC30+273)))</f>
        <v>0.5682728800592336</v>
      </c>
      <c r="DB30" s="183">
        <f>EXP((17.625*(Sheet3!BK30+273))/(243.04+(Sheet3!BK30+273)))/EXP((17.625*(Sheet3!CD30+273))/(243.04+(Sheet3!CD30+273)))</f>
        <v>0.58799898171930376</v>
      </c>
      <c r="DC30" s="183">
        <f>EXP((17.625*(Sheet3!BM30+273))/(243.04+(Sheet3!BM30+273))) / EXP((17.625*(Sheet3!CE30+273))/(243.04+(Sheet3!CE30+273)))</f>
        <v>0.61400206519873224</v>
      </c>
      <c r="DD30" s="183">
        <f>EXP((17.625*(Sheet3!BO30+273))/(243.04+(Sheet3!BO30+273))) / EXP((17.625*(Sheet3!CF30+273))/(243.04+(Sheet3!CF30+273)))</f>
        <v>0.64736960975345093</v>
      </c>
      <c r="DE30" s="183">
        <f>EXP((17.625*(Sheet3!BQ30+273))/(243.04+(Sheet3!BQ30+273))) / EXP((17.625*(Sheet3!CG30+273))/(243.04+(Sheet3!CG30+273)))</f>
        <v>0.67360590287994337</v>
      </c>
      <c r="DF30" s="186">
        <f>((Sheet3!DA30-Sheet3!DB30)/New!$LQ$3)/(((Sheet3!DA30-Sheet3!DB30)/New!$LQ$3)+(Sheet3!DB30/New!$LP$3))</f>
        <v>0.84397575121571866</v>
      </c>
      <c r="DG30" s="183">
        <f>((Sheet3!DA30-Sheet3!DB30)/New!$LQ$3)/(((Sheet3!DA30-Sheet3!DB30)/New!$LQ$3)+((Sheet3!DB30-(Sheet3!B30*0.004))/New!$LP$3))</f>
        <v>0.84409027169445527</v>
      </c>
      <c r="DH30" s="183" cm="1">
        <f t="array" ref="DH30">((Sheet3!DA30-Sheet3!DB30)/New!$LQ$3)/(((Sheet3!DA30-Sheet3!DB30)/New!$LQ$3)+((Sheet3!DB30-(SUM(Sheet3!B30:C30*0.004)))/New!$LP$3))</f>
        <v>0.85440858705529499</v>
      </c>
      <c r="DI30" s="183" cm="1">
        <f t="array" ref="DI30">((Sheet3!DA30-Sheet3!DB30)/New!$LQ$3)/(((Sheet3!DA30-Sheet3!DB30)/New!$LQ$3)+((Sheet3!DB30-(SUM(Sheet3!B30:D30*0.004)))/New!$LP$3))</f>
        <v>0.85450248005411433</v>
      </c>
      <c r="DJ30" s="183" cm="1">
        <f t="array" ref="DJ30">((Sheet3!DA30-Sheet3!DB30)/New!$LQ$3)/(((Sheet3!DA30-Sheet3!DB30)/New!$LQ$3)+((Sheet3!DB30-(SUM(Sheet3!B30:E30*0.004)))/New!$LP$3))</f>
        <v>0.86522290908546018</v>
      </c>
      <c r="DK30" s="183" cm="1">
        <f t="array" ref="DK30">((Sheet3!DA30-Sheet3!DB30)/New!$LQ$3)/(((Sheet3!DA30-Sheet3!DB30)/New!$LQ$3)+((Sheet3!DB30-(SUM(Sheet3!B30:F30*0.004)))/New!$LP$3))</f>
        <v>0.86539142189627927</v>
      </c>
      <c r="DL30" s="183" cm="1">
        <f t="array" ref="DL30">((Sheet3!DA30-Sheet3!DB30)/New!$LQ$3)/(((Sheet3!DA30-Sheet3!DB30)/New!$LQ$3)+((Sheet3!DB30-(SUM(Sheet3!B30:G30*0.004)))/New!$LP$3))</f>
        <v>0.87589497358516633</v>
      </c>
      <c r="DM30" s="183" cm="1">
        <f t="array" ref="DM30">((Sheet3!DA30-Sheet3!DB30)/New!$LQ$3)/(((Sheet3!DA30-Sheet3!DB30)/New!$LQ$3)+((Sheet3!DB30-(SUM(Sheet3!B30:H30*0.004)))/New!$LP$3))</f>
        <v>0.87604299446871847</v>
      </c>
      <c r="DN30" s="183" cm="1">
        <f t="array" ref="DN30">((Sheet3!DA30-Sheet3!DB30)/New!$LQ$3)/(((Sheet3!DA30-Sheet3!DB30)/New!$LQ$3)+((Sheet3!DB30-(SUM(Sheet3!B30:I30*0.004)))/New!$LP$3))</f>
        <v>0.88615140005133042</v>
      </c>
      <c r="DO30" s="186">
        <f>(Sheet3!DB30/$LP$3) / ((Sheet3!DB30/$LP$3) + ((Sheet3!DA30-Sheet3!DB30)/$LQ$3))</f>
        <v>0.15602424878428139</v>
      </c>
      <c r="DP30" s="183">
        <f>((Sheet3!$DB30-(Sheet3!B30/4000)) / $LP$3) / (((Sheet3!$DA30-Sheet3!DB30) / $LQ$3) + (Sheet3!$DB30-((Sheet3!B30/4000)))/$LP$3)</f>
        <v>0.15601709216476065</v>
      </c>
      <c r="DQ30" s="183">
        <f>((Sheet3!$DB30-(SUM(Sheet3!B30:C30)/4000))/$LP$3)/(((Sheet3!$DA30-Sheet3!$DB30)/$LQ$3)+(Sheet3!$DB30-(SUM(Sheet3!B30:C30)/4000))/$LP$3)</f>
        <v>0.15537966656836597</v>
      </c>
      <c r="DR30" s="183">
        <f>((Sheet3!$DB30-(SUM(Sheet3!B30:D30)/4000))/$LP$3)/(((Sheet3!$DA30-Sheet3!$DB30)/$LQ$3)+(Sheet3!$DB30-(SUM(Sheet3!B30:D30)/4000))/$LP$3)</f>
        <v>0.15537393253377338</v>
      </c>
      <c r="DS30" s="183">
        <f>((Sheet3!$DB30-(SUM(Sheet3!B30:E30)/4000))/$LP$3)/(((Sheet3!$DA30-Sheet3!$DB30)/$LQ$3)+(Sheet3!$DB30-(SUM(Sheet3!B30:E30)/4000))/$LP$3)</f>
        <v>0.15472692049070036</v>
      </c>
      <c r="DT30" s="183">
        <f>((Sheet3!$DB30-(SUM(Sheet3!B30:F30)/4000))/$LP$3)/(((Sheet3!$DA30-Sheet3!$DB30)/$LQ$3)+(Sheet3!$DB30-(SUM(Sheet3!B30:F30)/4000))/$LP$3)</f>
        <v>0.15471687036293114</v>
      </c>
      <c r="DU30" s="183">
        <f>((Sheet3!$DB30-(SUM(Sheet3!B30:G30)/4000))/$LP$3)/(((Sheet3!$DA30-Sheet3!$DB30)/$LQ$3)+(Sheet3!$DB30-(SUM(Sheet3!B30:G30)/4000))/$LP$3)</f>
        <v>0.1540976089375074</v>
      </c>
      <c r="DV30" s="183">
        <f>((Sheet3!$DB30-(SUM(Sheet3!B30:H30)/4000))/$LP$3)/(((Sheet3!$DA30-Sheet3!$DB30)/$LQ$3)+(Sheet3!$DB30-(SUM(Sheet3!B30:H30)/4000))/$LP$3)</f>
        <v>0.15408898172513838</v>
      </c>
      <c r="DW30" s="183">
        <f>((Sheet3!$DB30-(SUM(Sheet3!B30:I30)/4000))/$LP$3)/(((Sheet3!$DA30-Sheet3!$DB30)/$LQ$3)+(Sheet3!$DB30-(SUM(Sheet3!B30:I30)/4000))/$LP$3)</f>
        <v>0.15350623777799741</v>
      </c>
      <c r="DX30" s="186">
        <f>($LR$2*($LP$3/1000))/($LP$2*(Sheet3!DF30+273))*DO30</f>
        <v>8.8287909444860299E-2</v>
      </c>
      <c r="DY30" s="183">
        <f>(($LR$2*($LP$3/1000))/($LP$2*(Sheet3!BZ30+273)))*(DP30)</f>
        <v>8.8346048911091796E-2</v>
      </c>
      <c r="DZ30" s="183">
        <f>(($LR$2*($LP$3/1000))/($LP$2*(Sheet3!CA30+273)))*(DQ30)</f>
        <v>8.9543287599491359E-2</v>
      </c>
      <c r="EA30" s="183">
        <f>(($LR$2*($LP$3/1000))/($LP$2*(Sheet3!CB30+273)))*(DR30)</f>
        <v>9.0637751688236498E-2</v>
      </c>
      <c r="EB30" s="183">
        <f>(($LR$2*($LP$3/1000))/($LP$2*(Sheet3!CC30+273)))*(DS30)</f>
        <v>9.1457558840679992E-2</v>
      </c>
      <c r="EC30" s="183">
        <f>(($LR$2*($LP$3/1000))/($LP$2*(Sheet3!CD30+273)))*(DT30)</f>
        <v>9.2196013115533521E-2</v>
      </c>
      <c r="ED30" s="183">
        <f>(($LR$2*($LP$3/1000))/($LP$2*(Sheet3!CE30+273)))*(DU30)</f>
        <v>9.2873857619955244E-2</v>
      </c>
      <c r="EE30" s="183">
        <f>(($LR$2*($LP$3/1000))/($LP$2*(Sheet3!CF30+273)))*(DV30)</f>
        <v>9.4037626388420989E-2</v>
      </c>
      <c r="EF30" s="183">
        <f>(($LR$2*($LP$3/1000))/($LP$2*(Sheet3!CG30+273)))*(DW30)</f>
        <v>9.46613686993176E-2</v>
      </c>
      <c r="EG30" s="186">
        <f>(($LR$2*($LQ$3/1000))/($LQ$2*(Sheet3!DF30+273)))*(1-DO30)</f>
        <v>0.76772095169443744</v>
      </c>
      <c r="EH30" s="183">
        <f>(($LR$2*($LQ$3/1000))/($LQ$2*(Sheet3!BZ30+273)))*(1-DP30)</f>
        <v>0.76826826598047115</v>
      </c>
      <c r="EI30" s="183">
        <f>(($LR$2*($LQ$3/1000))/($LQ$2*(Sheet3!CA30+273)))*(1-DQ30)</f>
        <v>0.78246455575743401</v>
      </c>
      <c r="EJ30" s="183">
        <f>(($LR$2*($LQ$3/1000))/($LQ$2*(Sheet3!CB30+273)))*(1-DR30)</f>
        <v>0.79206302132904982</v>
      </c>
      <c r="EK30" s="183">
        <f>(($LR$2*($LQ$3/1000))/($LQ$2*(Sheet3!CC30+273)))*(1-DS30)</f>
        <v>0.80318400650468191</v>
      </c>
      <c r="EL30" s="183">
        <f>(($LR$2*($LQ$3/1000))/($LQ$2*(Sheet3!CD30+273)))*(1-DT30)</f>
        <v>0.80973136409216162</v>
      </c>
      <c r="EM30" s="183">
        <f>(($LR$2*($LQ$3/1000))/($LQ$2*(Sheet3!CE30+273)))*(1-DU30)</f>
        <v>0.81956259412912635</v>
      </c>
      <c r="EN30" s="183">
        <f>(($LR$2*($LQ$3/1000))/($LQ$2*(Sheet3!CF30+273)))*(1-DV30)</f>
        <v>0.82988716187065548</v>
      </c>
      <c r="EO30" s="183">
        <f>(($LR$2*($LQ$3/1000))/($LQ$2*(Sheet3!CG30+273)))*(1-DW30)</f>
        <v>0.83914073709033199</v>
      </c>
      <c r="EP30" s="186">
        <f t="shared" si="132"/>
        <v>4901.5816376683269</v>
      </c>
      <c r="EQ30" s="183">
        <f xml:space="preserve"> (($FV30-(Sheet3!B30/4000))*0.018)/(0.011*JO30*3600)</f>
        <v>4904.1906288424352</v>
      </c>
      <c r="ER30" s="183">
        <f>((($FV30-(SUM(Sheet3!B30:C30)/4000))*0.018)/(0.011*JP30*3600))</f>
        <v>4966.7187769160191</v>
      </c>
      <c r="ES30" s="183">
        <f>((($FV30-(SUM(Sheet3!B30:D30)/4000))*0.018)/(0.011*JQ30*3600))</f>
        <v>5013.1505012189591</v>
      </c>
      <c r="ET30" s="183">
        <f>((($FV30-(SUM(Sheet3!B30:E30)/4000))*0.018)/(0.011*JR30))/3600</f>
        <v>5059.6623783861378</v>
      </c>
      <c r="EU30" s="183">
        <f>((($FV30-(SUM(Sheet3!B30:F30)/4000))*0.018)/(0.011*JS30))/3600</f>
        <v>5090.8776249025532</v>
      </c>
      <c r="EV30" s="183">
        <f>((($FV30-(SUM(Sheet3!B30:G30)/4000))*0.018)/(0.011*JT30))/3600</f>
        <v>5130.8618971116848</v>
      </c>
      <c r="EW30" s="183">
        <f>((($FV30-(SUM(Sheet3!B30:H30)/4000))*0.018)/(0.011*JU30))/3600</f>
        <v>5179.5889027389085</v>
      </c>
      <c r="EX30" s="183">
        <f>((($FV30-(SUM(Sheet3!B30:I30)/4000))*0.018)/(0.011*JV30))/3600</f>
        <v>5216.5653187559765</v>
      </c>
      <c r="EY30" s="186">
        <f t="shared" si="133"/>
        <v>50.344835734970026</v>
      </c>
      <c r="EZ30" s="183">
        <f t="shared" si="134"/>
        <v>50.364378637394985</v>
      </c>
      <c r="FA30" s="183">
        <f t="shared" si="135"/>
        <v>50.824368720591139</v>
      </c>
      <c r="FB30" s="183">
        <f t="shared" si="136"/>
        <v>51.17495351620731</v>
      </c>
      <c r="FC30" s="183">
        <f t="shared" si="137"/>
        <v>51.514132367954126</v>
      </c>
      <c r="FD30" s="183">
        <f t="shared" si="138"/>
        <v>51.750115934127599</v>
      </c>
      <c r="FE30" s="183">
        <f t="shared" si="139"/>
        <v>52.040538754638362</v>
      </c>
      <c r="FF30" s="183">
        <f t="shared" si="140"/>
        <v>52.409700245114301</v>
      </c>
      <c r="FG30" s="183">
        <f t="shared" si="141"/>
        <v>52.678204628622979</v>
      </c>
      <c r="FH30" s="186">
        <f t="shared" si="28"/>
        <v>90.768947256262848</v>
      </c>
      <c r="FI30" s="183">
        <f t="shared" si="29"/>
        <v>90.736052582719552</v>
      </c>
      <c r="FJ30" s="183">
        <f t="shared" si="30"/>
        <v>89.865543793028863</v>
      </c>
      <c r="FK30" s="183">
        <f t="shared" si="31"/>
        <v>89.315316001316489</v>
      </c>
      <c r="FL30" s="183">
        <f t="shared" si="32"/>
        <v>88.651585931773511</v>
      </c>
      <c r="FM30" s="183">
        <f t="shared" si="33"/>
        <v>88.287997966225717</v>
      </c>
      <c r="FN30" s="183">
        <f t="shared" si="34"/>
        <v>87.716591249010705</v>
      </c>
      <c r="FO30" s="183">
        <f t="shared" si="35"/>
        <v>87.160777693267434</v>
      </c>
      <c r="FP30" s="183">
        <f t="shared" si="36"/>
        <v>86.641561384322372</v>
      </c>
      <c r="FQ30" s="314">
        <f>Sheet3!CV30</f>
        <v>2</v>
      </c>
      <c r="FR30" s="183">
        <v>5000</v>
      </c>
      <c r="FS30" s="183">
        <v>10</v>
      </c>
      <c r="FT30" s="183">
        <v>0.11564835164835165</v>
      </c>
      <c r="FU30" s="183">
        <v>30.17</v>
      </c>
      <c r="FV30" s="183">
        <v>223</v>
      </c>
      <c r="FW30" s="183">
        <v>23</v>
      </c>
      <c r="FX30" s="183">
        <v>445.5</v>
      </c>
      <c r="FY30" s="183">
        <v>8.7799999999999994</v>
      </c>
      <c r="FZ30" s="183">
        <v>13.14</v>
      </c>
      <c r="GA30" s="183">
        <v>115</v>
      </c>
      <c r="GB30" s="186">
        <f>EXP($LP$6-($LQ$6/('Trial and Error method'!T30+$LP$8))) / ($LR$2/1000)</f>
        <v>0.12265828181250239</v>
      </c>
      <c r="GC30" s="183">
        <f>EXP($LP$6-($LQ$6/('Trial and Error method'!U30+$LP$8))) / ($LR$2/1000)</f>
        <v>5.9409546877610978E-2</v>
      </c>
      <c r="GD30" s="183">
        <f>EXP($LP$6-($LQ$6/('Trial and Error method'!V30+$LP$8))) / ($LR$2/1000)</f>
        <v>5.5783593136592854E-2</v>
      </c>
      <c r="GE30" s="183">
        <f>EXP($LP$6-($LQ$6/('Trial and Error method'!W30+$LP$8))) / ($LR$2/1000)</f>
        <v>5.2954509243647328E-2</v>
      </c>
      <c r="GF30" s="183">
        <f>EXP($LP$6-($LQ$6/('Trial and Error method'!X30+$LP$8))) / ($LR$2/1000)</f>
        <v>5.0058879984514686E-2</v>
      </c>
      <c r="GG30" s="183">
        <f>EXP($LP$6-($LQ$6/('Trial and Error method'!Y30+$LP$8))) / ($LR$2/1000)</f>
        <v>4.7887956738915306E-2</v>
      </c>
      <c r="GH30" s="183">
        <f>EXP($LP$6-($LQ$6/('Trial and Error method'!Z30+$LP$8))) / ($LR$2/1000)</f>
        <v>4.5559648799468382E-2</v>
      </c>
      <c r="GI30" s="183">
        <f>EXP($LP$6-($LQ$6/('Trial and Error method'!AA30+$LP$8))) / ($LR$2/1000)</f>
        <v>4.0906974664685368E-2</v>
      </c>
      <c r="GJ30" s="183">
        <f>EXP($LP$6-($LQ$6/('Trial and Error method'!AB30+$LP$8))) / ($LR$2/1000)</f>
        <v>3.9523695970705798E-2</v>
      </c>
      <c r="GK30" s="188">
        <f t="shared" si="142"/>
        <v>0.86055092974584491</v>
      </c>
      <c r="GL30" s="165">
        <f t="shared" si="143"/>
        <v>0.89141435968918092</v>
      </c>
      <c r="GM30" s="165">
        <f t="shared" si="144"/>
        <v>0.89349341235914259</v>
      </c>
      <c r="GN30" s="165">
        <f t="shared" si="145"/>
        <v>0.89485914041174663</v>
      </c>
      <c r="GO30" s="165">
        <f t="shared" si="146"/>
        <v>0.89658908313621322</v>
      </c>
      <c r="GP30" s="165">
        <f t="shared" si="147"/>
        <v>0.89763835106228029</v>
      </c>
      <c r="GQ30" s="165">
        <f t="shared" si="148"/>
        <v>0.89907973376623318</v>
      </c>
      <c r="GR30" s="165">
        <f t="shared" si="149"/>
        <v>0.9013179408126506</v>
      </c>
      <c r="GS30" s="165">
        <f t="shared" si="150"/>
        <v>0.90228543438745656</v>
      </c>
      <c r="GT30" s="188">
        <f t="shared" si="38"/>
        <v>6.5612775572478424E-2</v>
      </c>
      <c r="GU30" s="165">
        <f t="shared" si="39"/>
        <v>6.3337622579586556E-2</v>
      </c>
      <c r="GV30" s="165">
        <f t="shared" si="40"/>
        <v>6.3187408774729975E-2</v>
      </c>
      <c r="GW30" s="165">
        <f t="shared" si="41"/>
        <v>6.3103301016627603E-2</v>
      </c>
      <c r="GX30" s="165">
        <f t="shared" si="42"/>
        <v>6.2981728319768338E-2</v>
      </c>
      <c r="GY30" s="165">
        <f t="shared" si="43"/>
        <v>6.2919609493029896E-2</v>
      </c>
      <c r="GZ30" s="165">
        <f t="shared" si="44"/>
        <v>6.2821472729116715E-2</v>
      </c>
      <c r="HA30" s="165">
        <f t="shared" si="45"/>
        <v>6.2688312903886892E-2</v>
      </c>
      <c r="HB30" s="165">
        <f t="shared" si="46"/>
        <v>6.262049702036801E-2</v>
      </c>
      <c r="HC30" s="188">
        <f>BV30*Sheet3!DF30</f>
        <v>127.5017163777194</v>
      </c>
      <c r="HD30" s="165">
        <f>BW30*Sheet3!BZ30</f>
        <v>127.19050729934212</v>
      </c>
      <c r="HE30" s="165">
        <f>BX30*Sheet3!CA30</f>
        <v>119.4139884917634</v>
      </c>
      <c r="HF30" s="165">
        <f>BY30*Sheet3!CB30</f>
        <v>114.20883297225615</v>
      </c>
      <c r="HG30" s="165">
        <f>BZ30*Sheet3!CC30</f>
        <v>108.53308071747983</v>
      </c>
      <c r="HH30" s="165">
        <f>CA30*Sheet3!CD30</f>
        <v>105.16452763727739</v>
      </c>
      <c r="HI30" s="165">
        <f>CB30*Sheet3!CE30</f>
        <v>100.39461475909881</v>
      </c>
      <c r="HJ30" s="165">
        <f>CC30*Sheet3!CF30</f>
        <v>95.331207294007228</v>
      </c>
      <c r="HK30" s="165">
        <f>CD30*Sheet3!CG30</f>
        <v>91.079901232281557</v>
      </c>
      <c r="HL30" s="188">
        <f>(CE30*Sheet3!DF30)+2501</f>
        <v>2718.9797360684374</v>
      </c>
      <c r="HM30" s="165">
        <f>(CF30*Sheet3!BZ30)+2501</f>
        <v>2718.4480019331977</v>
      </c>
      <c r="HN30" s="165">
        <f>(CG30*Sheet3!CA30)+2501</f>
        <v>2705.338235243888</v>
      </c>
      <c r="HO30" s="165">
        <f>(CH30*Sheet3!CB30)+2501</f>
        <v>2696.4005966248769</v>
      </c>
      <c r="HP30" s="165">
        <f>(CI30*Sheet3!CC30)+2501</f>
        <v>2686.8820947721733</v>
      </c>
      <c r="HQ30" s="165">
        <f>(CJ30*Sheet3!CD30)+2501</f>
        <v>2681.100388411302</v>
      </c>
      <c r="HR30" s="165">
        <f>(CK30*Sheet3!CE30)+2501</f>
        <v>2673.1089350753809</v>
      </c>
      <c r="HS30" s="165">
        <f>(CL30*Sheet3!CF30)+2501</f>
        <v>2664.4146266604544</v>
      </c>
      <c r="HT30" s="165">
        <f>(CM30*Sheet3!CG30)+2501</f>
        <v>2657.2832433925714</v>
      </c>
      <c r="HU30" s="188">
        <f>-0.0021*(Sheet3!DF30^2) - 2.2115*(Sheet3!DF30) + 2499</f>
        <v>2216.9050000000002</v>
      </c>
      <c r="HV30" s="165">
        <f>-0.0021*(Sheet3!BZ30^2) - 2.2115*(Sheet3!BZ30) + 2499</f>
        <v>2217.6407744188014</v>
      </c>
      <c r="HW30" s="165">
        <f>-0.0021*(Sheet3!CA30^2) - 2.2115*(Sheet3!CA30) + 2499</f>
        <v>2235.7172966280377</v>
      </c>
      <c r="HX30" s="165">
        <f>-0.0021*(Sheet3!CB30^2) - 2.2115*(Sheet3!CB30) + 2499</f>
        <v>2247.9697035834142</v>
      </c>
      <c r="HY30" s="165">
        <f>-0.0021*(Sheet3!CC30^2) - 2.2115*(Sheet3!CC30) + 2499</f>
        <v>2260.9534759600492</v>
      </c>
      <c r="HZ30" s="165">
        <f>-0.0021*(Sheet3!CD30^2) - 2.2115*(Sheet3!CD30) + 2499</f>
        <v>2268.8068246817006</v>
      </c>
      <c r="IA30" s="165">
        <f>-0.0021*(Sheet3!CE30^2) - 2.2115*(Sheet3!CE30) + 2499</f>
        <v>2279.6197043100969</v>
      </c>
      <c r="IB30" s="165">
        <f>-0.0021*(Sheet3!CF30^2) - 2.2115*(Sheet3!CF30) + 2499</f>
        <v>2291.3273929513139</v>
      </c>
      <c r="IC30" s="165">
        <f>-0.0021*(Sheet3!CG30^2) - 2.2115*(Sheet3!CG30) + 2499</f>
        <v>2300.8860268958042</v>
      </c>
      <c r="ID30" s="188">
        <f t="shared" si="47"/>
        <v>0.70649526772803228</v>
      </c>
      <c r="IE30" s="165">
        <f t="shared" si="48"/>
        <v>0.70659901491957067</v>
      </c>
      <c r="IF30" s="165">
        <f t="shared" si="49"/>
        <v>0.70878125146816173</v>
      </c>
      <c r="IG30" s="165">
        <f t="shared" si="50"/>
        <v>0.71077660401577258</v>
      </c>
      <c r="IH30" s="165">
        <f t="shared" si="51"/>
        <v>0.7123336982404902</v>
      </c>
      <c r="II30" s="165">
        <f t="shared" si="52"/>
        <v>0.71371158493783704</v>
      </c>
      <c r="IJ30" s="165">
        <f t="shared" si="53"/>
        <v>0.71503631135072965</v>
      </c>
      <c r="IK30" s="165">
        <f t="shared" si="54"/>
        <v>0.71725218987366546</v>
      </c>
      <c r="IL30" s="165">
        <f t="shared" si="55"/>
        <v>0.71850566819457351</v>
      </c>
      <c r="IM30" s="188">
        <f t="shared" si="56"/>
        <v>4.8533231416355118</v>
      </c>
      <c r="IN30" s="165">
        <f t="shared" si="151"/>
        <v>13.569504929552613</v>
      </c>
      <c r="IO30" s="165">
        <f t="shared" si="152"/>
        <v>14.069855896501965</v>
      </c>
      <c r="IP30" s="165">
        <f t="shared" si="153"/>
        <v>14.528636506860927</v>
      </c>
      <c r="IQ30" s="165">
        <f t="shared" si="154"/>
        <v>14.904598925006345</v>
      </c>
      <c r="IR30" s="165">
        <f t="shared" si="155"/>
        <v>15.250088020854065</v>
      </c>
      <c r="IS30" s="165">
        <f t="shared" si="156"/>
        <v>15.543620014902578</v>
      </c>
      <c r="IT30" s="165">
        <f t="shared" si="157"/>
        <v>16.257401082727615</v>
      </c>
      <c r="IU30" s="165">
        <f t="shared" si="158"/>
        <v>16.422904009162636</v>
      </c>
      <c r="IV30" s="188">
        <f>_xlfn.FORECAST.LINEAR(Sheet3!DF30,Sheet2!$AK$2:$AK$69,Sheet2!$AJ$2:$AJ$69)</f>
        <v>1.2811804086396453E-5</v>
      </c>
      <c r="IW30" s="165">
        <f>_xlfn.FORECAST.LINEAR(Sheet3!BZ30,Sheet2!$AK$2:$AK$69,Sheet2!$AJ$2:$AJ$69)</f>
        <v>1.2802241403880478E-5</v>
      </c>
      <c r="IX30" s="165">
        <f>_xlfn.FORECAST.LINEAR(Sheet3!CA30,Sheet2!$AK$2:$AK$69,Sheet2!$AJ$2:$AJ$69)</f>
        <v>1.2566012462865617E-5</v>
      </c>
      <c r="IY30" s="165">
        <f>_xlfn.FORECAST.LINEAR(Sheet3!CB30,Sheet2!$AK$2:$AK$69,Sheet2!$AJ$2:$AJ$69)</f>
        <v>1.2404455957618455E-5</v>
      </c>
      <c r="IZ30" s="165">
        <f>_xlfn.FORECAST.LINEAR(Sheet3!CC30,Sheet2!$AK$2:$AK$69,Sheet2!$AJ$2:$AJ$69)</f>
        <v>1.2231954234306149E-5</v>
      </c>
      <c r="JA30" s="165">
        <f>_xlfn.FORECAST.LINEAR(Sheet3!CD30,Sheet2!$AK$2:$AK$69,Sheet2!$AJ$2:$AJ$69)</f>
        <v>1.2126951861127054E-5</v>
      </c>
      <c r="JB30" s="165">
        <f>_xlfn.FORECAST.LINEAR(Sheet3!CE30,Sheet2!$AK$2:$AK$69,Sheet2!$AJ$2:$AJ$69)</f>
        <v>1.1981545411940972E-5</v>
      </c>
      <c r="JC30" s="165">
        <f>_xlfn.FORECAST.LINEAR(Sheet3!CF30,Sheet2!$AK$2:$AK$69,Sheet2!$AJ$2:$AJ$69)</f>
        <v>1.1822995811267633E-5</v>
      </c>
      <c r="JD30" s="165">
        <f>_xlfn.FORECAST.LINEAR(Sheet3!CG30,Sheet2!$AK$2:$AK$69,Sheet2!$AJ$2:$AJ$69)</f>
        <v>1.169267611885332E-5</v>
      </c>
      <c r="JE30" s="188">
        <f>_xlfn.FORECAST.LINEAR(Sheet3!DF30,New!$MC$2:$MC$18,New!$MB$2:$MB$18)</f>
        <v>2.214324918296784E-5</v>
      </c>
      <c r="JF30" s="165">
        <f>_xlfn.FORECAST.LINEAR(Sheet3!BZ30,New!$MC$2:$MC$18,New!$MB$2:$MB$18)</f>
        <v>2.213200801885849E-5</v>
      </c>
      <c r="JG30" s="165">
        <f>_xlfn.FORECAST.LINEAR(Sheet3!CA30,New!$MC$2:$MC$18,New!$MB$2:$MB$18)</f>
        <v>2.1854315196902854E-5</v>
      </c>
      <c r="JH30" s="165">
        <f>_xlfn.FORECAST.LINEAR(Sheet3!CB30,New!$MC$2:$MC$18,New!$MB$2:$MB$18)</f>
        <v>2.1664401625540101E-5</v>
      </c>
      <c r="JI30" s="165">
        <f>_xlfn.FORECAST.LINEAR(Sheet3!CC30,New!$MC$2:$MC$18,New!$MB$2:$MB$18)</f>
        <v>2.1461621686160061E-5</v>
      </c>
      <c r="JJ30" s="165">
        <f>_xlfn.FORECAST.LINEAR(Sheet3!CD30,New!$MC$2:$MC$18,New!$MB$2:$MB$18)</f>
        <v>2.1338188862074774E-5</v>
      </c>
      <c r="JK30" s="165">
        <f>_xlfn.FORECAST.LINEAR(Sheet3!CE30,New!$MC$2:$MC$18,New!$MB$2:$MB$18)</f>
        <v>2.1167260071421256E-5</v>
      </c>
      <c r="JL30" s="165">
        <f>_xlfn.FORECAST.LINEAR(Sheet3!CF30,New!$MC$2:$MC$18,New!$MB$2:$MB$18)</f>
        <v>2.0980881188961852E-5</v>
      </c>
      <c r="JM30" s="165">
        <f>_xlfn.FORECAST.LINEAR(Sheet3!CG30,New!$MC$2:$MC$18,New!$MB$2:$MB$18)</f>
        <v>2.0827687245038431E-5</v>
      </c>
      <c r="JN30" s="188">
        <f t="shared" si="159"/>
        <v>2.0679781314803284E-5</v>
      </c>
      <c r="JO30" s="165">
        <f t="shared" si="160"/>
        <v>2.0668663976005253E-5</v>
      </c>
      <c r="JP30" s="165">
        <f t="shared" si="161"/>
        <v>2.0398275914246122E-5</v>
      </c>
      <c r="JQ30" s="165">
        <f t="shared" si="162"/>
        <v>2.0209256719883276E-5</v>
      </c>
      <c r="JR30" s="165">
        <f t="shared" si="163"/>
        <v>2.0013350275526537E-5</v>
      </c>
      <c r="JS30" s="165">
        <f t="shared" si="164"/>
        <v>1.9890480082388202E-5</v>
      </c>
      <c r="JT30" s="165">
        <f t="shared" si="165"/>
        <v>1.9725930020499562E-5</v>
      </c>
      <c r="JU30" s="165">
        <f t="shared" si="166"/>
        <v>1.9540226610565947E-5</v>
      </c>
      <c r="JV30" s="165">
        <f t="shared" si="167"/>
        <v>1.9392897816899835E-5</v>
      </c>
      <c r="JW30" s="188">
        <f t="shared" si="66"/>
        <v>1.0286695457519455</v>
      </c>
      <c r="JX30" s="165">
        <f t="shared" si="67"/>
        <v>1.0288019246727815</v>
      </c>
      <c r="JY30" s="165">
        <f t="shared" si="68"/>
        <v>1.0321336754754398</v>
      </c>
      <c r="JZ30" s="165">
        <f t="shared" si="69"/>
        <v>1.034482559819546</v>
      </c>
      <c r="KA30" s="165">
        <f t="shared" si="70"/>
        <v>1.0370564623561609</v>
      </c>
      <c r="KB30" s="165">
        <f t="shared" si="71"/>
        <v>1.038657686216292</v>
      </c>
      <c r="KC30" s="165">
        <f t="shared" si="72"/>
        <v>1.0409196047353004</v>
      </c>
      <c r="KD30" s="165">
        <f t="shared" si="73"/>
        <v>1.0434469200503675</v>
      </c>
      <c r="KE30" s="165">
        <f t="shared" si="74"/>
        <v>1.0455735592705115</v>
      </c>
      <c r="KF30" s="188">
        <f t="shared" si="75"/>
        <v>0.95677344983303514</v>
      </c>
      <c r="KG30" s="165">
        <f t="shared" si="76"/>
        <v>0.95666801119162692</v>
      </c>
      <c r="KH30" s="165">
        <f t="shared" si="77"/>
        <v>0.95402668556857206</v>
      </c>
      <c r="KI30" s="165">
        <f t="shared" si="78"/>
        <v>0.95217875581501843</v>
      </c>
      <c r="KJ30" s="165">
        <f t="shared" si="79"/>
        <v>0.95016713699382438</v>
      </c>
      <c r="KK30" s="165">
        <f t="shared" si="80"/>
        <v>0.94892268552022208</v>
      </c>
      <c r="KL30" s="165">
        <f t="shared" si="81"/>
        <v>0.94717378937494112</v>
      </c>
      <c r="KM30" s="165">
        <f t="shared" si="82"/>
        <v>0.94523210438649907</v>
      </c>
      <c r="KN30" s="165">
        <f t="shared" si="83"/>
        <v>0.94360830759258718</v>
      </c>
      <c r="KO30" s="188">
        <f t="shared" si="84"/>
        <v>0.60519314516576805</v>
      </c>
      <c r="KP30" s="165">
        <f t="shared" si="85"/>
        <v>0.60506223044253493</v>
      </c>
      <c r="KQ30" s="165">
        <f t="shared" si="86"/>
        <v>0.60048757614521242</v>
      </c>
      <c r="KR30" s="165">
        <f t="shared" si="87"/>
        <v>0.59728251999688364</v>
      </c>
      <c r="KS30" s="165">
        <f t="shared" si="88"/>
        <v>0.59382750397993067</v>
      </c>
      <c r="KT30" s="165">
        <f t="shared" si="89"/>
        <v>0.59168041589908238</v>
      </c>
      <c r="KU30" s="165">
        <f t="shared" si="90"/>
        <v>0.58869477722764685</v>
      </c>
      <c r="KV30" s="165">
        <f t="shared" si="91"/>
        <v>0.5853611228739054</v>
      </c>
      <c r="KW30" s="165">
        <f t="shared" si="92"/>
        <v>0.58270605676443477</v>
      </c>
      <c r="KX30" s="188">
        <f>AVERAGE(Sheet3!J30:P30)*KO30^(1/3)/ID30^(1/3)</f>
        <v>106.76058600981615</v>
      </c>
      <c r="KY30" s="165">
        <f>Sheet3!J30*KP30^(1/3)/IE30^(1/3)</f>
        <v>92.545809190775799</v>
      </c>
      <c r="KZ30" s="165">
        <f>Sheet3!K30*KQ30^(1/3)/IF30^(1/3)</f>
        <v>95.261791480179298</v>
      </c>
      <c r="LA30" s="165">
        <f>Sheet3!L30*KR30^(1/3)/IG30^(1/3)</f>
        <v>99.673819674504358</v>
      </c>
      <c r="LB30" s="165">
        <f>Sheet3!M30*KS30^(1/3)/IH30^(1/3)</f>
        <v>104.25631866461485</v>
      </c>
      <c r="LC30" s="165">
        <f>Sheet3!N30*KT30^(1/3)/II30^(1/3)</f>
        <v>109.9214170564187</v>
      </c>
      <c r="LD30" s="165">
        <f>Sheet3!O30*KU30^(1/3)/IJ30^(1/3)</f>
        <v>116.85616880597931</v>
      </c>
      <c r="LE30" s="165">
        <f>Sheet3!P30*KV30^(1/3)/IK30^(1/3)</f>
        <v>122.10889984678133</v>
      </c>
      <c r="LF30" s="165">
        <f>Sheet3!Q30*KW30^(1/3)/IL30^(1/3)</f>
        <v>123.46141189780218</v>
      </c>
      <c r="LG30" s="186">
        <f t="shared" si="93"/>
        <v>27.252314597056042</v>
      </c>
      <c r="LH30" s="183">
        <f t="shared" si="94"/>
        <v>27.255502183619587</v>
      </c>
      <c r="LI30" s="183">
        <f t="shared" si="95"/>
        <v>27.542837374350455</v>
      </c>
      <c r="LJ30" s="183">
        <f t="shared" si="96"/>
        <v>27.545453216963079</v>
      </c>
      <c r="LK30" s="183">
        <f t="shared" si="97"/>
        <v>27.844260919754895</v>
      </c>
      <c r="LL30" s="183">
        <f t="shared" si="98"/>
        <v>27.848959997704455</v>
      </c>
      <c r="LM30" s="183">
        <f t="shared" si="99"/>
        <v>28.141986860035615</v>
      </c>
      <c r="LN30" s="183">
        <f t="shared" si="100"/>
        <v>28.146118125592455</v>
      </c>
      <c r="LO30" s="183">
        <f t="shared" si="101"/>
        <v>28.428359419057152</v>
      </c>
      <c r="LP30" s="220"/>
      <c r="LQ30" s="220"/>
      <c r="LR30" s="220"/>
      <c r="LS30" s="220"/>
      <c r="LT30" s="220"/>
      <c r="LU30" s="220"/>
      <c r="LV30" s="220"/>
      <c r="LW30" s="220"/>
      <c r="LX30" s="220"/>
      <c r="LY30" s="220"/>
      <c r="LZ30" s="222">
        <v>123.27</v>
      </c>
      <c r="MA30" s="220">
        <v>1.2999999999999999E-5</v>
      </c>
      <c r="MB30" s="220"/>
      <c r="MC30" s="220"/>
      <c r="MD30" s="188">
        <f>Sheet3!DP30</f>
        <v>185.60977568698954</v>
      </c>
      <c r="ME30" s="264">
        <v>290</v>
      </c>
      <c r="MF30" s="264">
        <v>74.45</v>
      </c>
      <c r="MG30" s="264">
        <v>5.694</v>
      </c>
      <c r="MH30" s="264">
        <v>39.15</v>
      </c>
      <c r="MI30" s="264">
        <v>20.59</v>
      </c>
      <c r="MJ30" s="264">
        <v>0.52600000000000002</v>
      </c>
      <c r="MK30" s="273">
        <v>280</v>
      </c>
      <c r="ML30" s="267">
        <v>64.19</v>
      </c>
      <c r="MM30" s="267">
        <v>33.19</v>
      </c>
      <c r="MN30" s="267">
        <v>5.234</v>
      </c>
      <c r="MO30" s="267">
        <v>19.91</v>
      </c>
      <c r="MP30" s="274">
        <v>0.6</v>
      </c>
      <c r="MQ30"/>
      <c r="MR30"/>
      <c r="MS30"/>
    </row>
    <row r="31" spans="1:357" ht="15" thickBot="1" x14ac:dyDescent="0.35">
      <c r="A31" s="184" t="str">
        <f>Sheet3!A31</f>
        <v>20.12.2022</v>
      </c>
      <c r="B31" s="186">
        <f t="shared" si="102"/>
        <v>0.89710374493147715</v>
      </c>
      <c r="C31" s="183">
        <f t="shared" si="103"/>
        <v>0.89751202558115251</v>
      </c>
      <c r="D31" s="183">
        <f t="shared" si="0"/>
        <v>0.88768655410041664</v>
      </c>
      <c r="E31" s="183">
        <f t="shared" si="1"/>
        <v>0.8796081913405186</v>
      </c>
      <c r="F31" s="183">
        <f t="shared" si="2"/>
        <v>0.86998355560598584</v>
      </c>
      <c r="G31" s="183">
        <f t="shared" si="3"/>
        <v>0.86363387165938454</v>
      </c>
      <c r="H31" s="183">
        <f t="shared" si="4"/>
        <v>0.85680878553734696</v>
      </c>
      <c r="I31" s="183">
        <f t="shared" si="5"/>
        <v>0.8490101359959259</v>
      </c>
      <c r="J31" s="183">
        <f t="shared" si="6"/>
        <v>0.84246035733219105</v>
      </c>
      <c r="K31" s="186">
        <f xml:space="preserve"> (6.057 * (10^(-6)))
+ (4.055 * (10^(-8)) * (Sheet3!DF31 + 273))
+ (1.25 * (10^(-10)) * (Sheet3!DF31 + 273)^2)
- (3.367 * (10^(-14)) * (DD31 + 273)^3)</f>
        <v>4.4158529834875416E-5</v>
      </c>
      <c r="L31" s="183">
        <f xml:space="preserve"> (6.057 * (10^(-6)))
+ (4.055 * (10^(-8)) * (Sheet3!BZ31 + 273))
+ (1.25 * (10^(-10)) * (Sheet3!BZ31 + 273)^2)
- (3.367 * (10^(-14)) * (BX31 + 273)^3)</f>
        <v>4.4190310186428188E-5</v>
      </c>
      <c r="M31" s="183">
        <f xml:space="preserve"> (6.057 * (10^(-6)))
+ (4.055 * (10^(-8)) * (Sheet3!CA31 + 273))
+ (1.25 * (10^(-10)) * (Sheet3!CA31 + 273)^2)
- (3.367 * (10^(-14)) * (BY31 + 273)^3)</f>
        <v>4.3008304155716989E-5</v>
      </c>
      <c r="N31" s="183">
        <f xml:space="preserve"> (6.057 * (10^(-6)))
+ (4.055 * (10^(-8)) * (Sheet3!CB31 + 273))
+ (1.25 * (10^(-10)) * (Sheet3!CB31 + 273)^2)
- (3.367 * (10^(-14)) * (BZ31 + 273)^3)</f>
        <v>4.2128851171968927E-5</v>
      </c>
      <c r="O31" s="183">
        <f xml:space="preserve"> (6.057 * (10^(-6)))
+ (4.055 * (10^(-8)) * (Sheet3!CC31 + 273))
+ (1.25 * (10^(-10)) * (Sheet3!CC31 + 273)^2)
- (3.367 * (10^(-14)) * (CA31 + 273)^3)</f>
        <v>4.1050886749956871E-5</v>
      </c>
      <c r="P31" s="183">
        <f xml:space="preserve"> (6.057 * (10^(-6)))
+ (4.055 * (10^(-8)) * (Sheet3!CD31 + 273))
+ (1.25 * (10^(-10)) * (Sheet3!CD31 + 273)^2)
- (3.367 * (10^(-14)) * (CB31 + 273)^3)</f>
        <v>4.0407405476573712E-5</v>
      </c>
      <c r="Q31" s="183">
        <f xml:space="preserve"> (6.057 * (10^(-6)))
+ (4.055 * (10^(-8)) * (Sheet3!CE31 + 273))
+ (1.25 * (10^(-10)) * (Sheet3!CE31 + 273)^2)
- (3.367 * (10^(-14)) * (CC31 + 273)^3)</f>
        <v>3.9669871375653181E-5</v>
      </c>
      <c r="R31" s="183">
        <f xml:space="preserve"> (6.057 * (10^(-6)))
+ (4.055 * (10^(-8)) * (Sheet3!CF31 + 273))
+ (1.25 * (10^(-10)) * (Sheet3!CF31 + 273)^2)
- (3.367 * (10^(-14)) * (CD31 + 273)^3)</f>
        <v>3.8924267392587071E-5</v>
      </c>
      <c r="S31" s="183">
        <f xml:space="preserve"> (6.057 * (10^(-6)))
+ (4.055 * (10^(-8)) * (Sheet3!CG31 + 273))
+ (1.25 * (10^(-10)) * (Sheet3!CG31 + 273)^2)
- (3.367 * (10^(-14)) * (CE31 + 273)^3)</f>
        <v>3.8238449253846346E-5</v>
      </c>
      <c r="T31" s="188">
        <f t="shared" si="104"/>
        <v>4.4158529834875416E-5</v>
      </c>
      <c r="U31" s="165">
        <f t="shared" si="105"/>
        <v>4.4190310186428188E-5</v>
      </c>
      <c r="V31" s="165">
        <f t="shared" si="106"/>
        <v>4.3008304155716989E-5</v>
      </c>
      <c r="W31" s="165">
        <f t="shared" si="107"/>
        <v>4.2128851171968927E-5</v>
      </c>
      <c r="X31" s="165">
        <f t="shared" si="108"/>
        <v>4.1050886749956871E-5</v>
      </c>
      <c r="Y31" s="165">
        <f t="shared" si="109"/>
        <v>4.0407405476573712E-5</v>
      </c>
      <c r="Z31" s="165">
        <f t="shared" si="110"/>
        <v>3.9669871375653181E-5</v>
      </c>
      <c r="AA31" s="165">
        <f t="shared" si="111"/>
        <v>3.8924267392587071E-5</v>
      </c>
      <c r="AB31" s="165">
        <f t="shared" si="112"/>
        <v>3.8238449253846346E-5</v>
      </c>
      <c r="AC31" s="186">
        <f t="shared" si="8"/>
        <v>3.9614782485535097E-5</v>
      </c>
      <c r="AD31" s="183">
        <f t="shared" si="9"/>
        <v>3.96613348064806E-5</v>
      </c>
      <c r="AE31" s="183">
        <f t="shared" si="10"/>
        <v>3.8177893313691042E-5</v>
      </c>
      <c r="AF31" s="183">
        <f t="shared" si="11"/>
        <v>3.7056882582629477E-5</v>
      </c>
      <c r="AG31" s="183">
        <f t="shared" si="12"/>
        <v>3.5713596415506129E-5</v>
      </c>
      <c r="AH31" s="183">
        <f t="shared" si="13"/>
        <v>3.4897204035443971E-5</v>
      </c>
      <c r="AI31" s="183">
        <f t="shared" si="14"/>
        <v>3.3989494315796164E-5</v>
      </c>
      <c r="AJ31" s="183">
        <f t="shared" si="15"/>
        <v>3.3047097552522135E-5</v>
      </c>
      <c r="AK31" s="183">
        <f t="shared" si="16"/>
        <v>3.2214377622224248E-5</v>
      </c>
      <c r="AL31" s="186">
        <f t="shared" si="113"/>
        <v>3.5067063335493739E-2</v>
      </c>
      <c r="AM31" s="183">
        <f t="shared" si="114"/>
        <v>3.5088893434355915E-2</v>
      </c>
      <c r="AN31" s="183">
        <f t="shared" si="115"/>
        <v>3.4369865005928403E-2</v>
      </c>
      <c r="AO31" s="183">
        <f t="shared" si="116"/>
        <v>3.3830527562551255E-2</v>
      </c>
      <c r="AP31" s="183">
        <f t="shared" si="117"/>
        <v>3.3158404216229155E-2</v>
      </c>
      <c r="AQ31" s="183">
        <f t="shared" si="118"/>
        <v>3.2753841522142307E-2</v>
      </c>
      <c r="AR31" s="183">
        <f t="shared" si="119"/>
        <v>3.2284773925995741E-2</v>
      </c>
      <c r="AS31" s="183">
        <f t="shared" si="120"/>
        <v>3.1806523771502553E-2</v>
      </c>
      <c r="AT31" s="183">
        <f t="shared" si="121"/>
        <v>3.136635173351205E-2</v>
      </c>
      <c r="AU31" s="186">
        <f>_xlfn.FORECAST.LINEAR(Sheet3!DF31,Sheet2!$AH$2:$AH$40,Sheet2!$AG$2:$AG$40)</f>
        <v>4.0902410270024961E-2</v>
      </c>
      <c r="AV31" s="183">
        <f>_xlfn.FORECAST.LINEAR(Sheet3!BZ31,Sheet2!$AH$2:$AH$40,Sheet2!$AG$2:$AG$40)</f>
        <v>4.0966088206181757E-2</v>
      </c>
      <c r="AW31" s="183">
        <f>_xlfn.FORECAST.LINEAR(Sheet3!CA31,Sheet2!$AH$2:$AH$40,Sheet2!$AG$2:$AG$40)</f>
        <v>3.8881215791491265E-2</v>
      </c>
      <c r="AX31" s="183">
        <f>_xlfn.FORECAST.LINEAR(Sheet3!CB31,Sheet2!$AH$2:$AH$40,Sheet2!$AG$2:$AG$40)</f>
        <v>3.7310372365982544E-2</v>
      </c>
      <c r="AY31" s="183">
        <f>_xlfn.FORECAST.LINEAR(Sheet3!CC31,Sheet2!$AH$2:$AH$40,Sheet2!$AG$2:$AG$40)</f>
        <v>3.5361274061448789E-2</v>
      </c>
      <c r="AZ31" s="183">
        <f>_xlfn.FORECAST.LINEAR(Sheet3!CD31,Sheet2!$AH$2:$AH$40,Sheet2!$AG$2:$AG$40)</f>
        <v>3.418488818217949E-2</v>
      </c>
      <c r="BA31" s="183">
        <f>_xlfn.FORECAST.LINEAR(Sheet3!CE31,Sheet2!$AH$2:$AH$40,Sheet2!$AG$2:$AG$40)</f>
        <v>3.2824367606686958E-2</v>
      </c>
      <c r="BB31" s="183">
        <f>_xlfn.FORECAST.LINEAR(Sheet3!CF31,Sheet2!$AH$2:$AH$40,Sheet2!$AG$2:$AG$40)</f>
        <v>3.143531259425765E-2</v>
      </c>
      <c r="BC31" s="183">
        <f>_xlfn.FORECAST.LINEAR(Sheet3!CG31,Sheet2!$AH$2:$AH$40,Sheet2!$AG$2:$AG$40)</f>
        <v>3.0156886300985047E-2</v>
      </c>
      <c r="BD31" s="186">
        <f>_xlfn.FORECAST.LINEAR(Sheet3!DF31,Sheet2!$AB$12:$AB$37,Sheet2!$AA$12:$AA$37)/1000</f>
        <v>3.3915606923988664E-2</v>
      </c>
      <c r="BE31" s="183">
        <f>_xlfn.FORECAST.LINEAR(Sheet3!BZ31,Sheet2!$AB$12:$AB$37,Sheet2!$AA$12:$AA$37)/1000</f>
        <v>3.3929843836590097E-2</v>
      </c>
      <c r="BF31" s="183">
        <f>_xlfn.FORECAST.LINEAR(Sheet3!CA31,Sheet2!$AB$12:$AB$37,Sheet2!$AA$12:$AA$37)/1000</f>
        <v>3.3463714622226269E-2</v>
      </c>
      <c r="BG31" s="183">
        <f>_xlfn.FORECAST.LINEAR(Sheet3!CB31,Sheet2!$AB$12:$AB$37,Sheet2!$AA$12:$AA$37)/1000</f>
        <v>3.3112510391856288E-2</v>
      </c>
      <c r="BH31" s="183">
        <f>_xlfn.FORECAST.LINEAR(Sheet3!CC31,Sheet2!$AB$12:$AB$37,Sheet2!$AA$12:$AA$37)/1000</f>
        <v>3.2676737125824064E-2</v>
      </c>
      <c r="BI31" s="183">
        <f>_xlfn.FORECAST.LINEAR(Sheet3!CD31,Sheet2!$AB$12:$AB$37,Sheet2!$AA$12:$AA$37)/1000</f>
        <v>3.2413724472469971E-2</v>
      </c>
      <c r="BJ31" s="183">
        <f>_xlfn.FORECAST.LINEAR(Sheet3!CE31,Sheet2!$AB$12:$AB$37,Sheet2!$AA$12:$AA$37)/1000</f>
        <v>3.2109543563119548E-2</v>
      </c>
      <c r="BK31" s="183">
        <f>_xlfn.FORECAST.LINEAR(Sheet3!CF31,Sheet2!$AB$12:$AB$37,Sheet2!$AA$12:$AA$37)/1000</f>
        <v>3.1798983014143259E-2</v>
      </c>
      <c r="BL31" s="183">
        <f>_xlfn.FORECAST.LINEAR(Sheet3!CG31,Sheet2!$AB$12:$AB$37,Sheet2!$AA$12:$AA$37)/1000</f>
        <v>3.1513156486099488E-2</v>
      </c>
      <c r="BM31" s="186">
        <f t="shared" si="122"/>
        <v>0.79667097637690643</v>
      </c>
      <c r="BN31" s="183">
        <f t="shared" si="123"/>
        <v>0.79619415323711207</v>
      </c>
      <c r="BO31" s="183">
        <f t="shared" si="124"/>
        <v>0.81230652121584623</v>
      </c>
      <c r="BP31" s="183">
        <f t="shared" si="125"/>
        <v>0.82473831661354113</v>
      </c>
      <c r="BQ31" s="183">
        <f t="shared" si="126"/>
        <v>0.84090361905595323</v>
      </c>
      <c r="BR31" s="183">
        <f t="shared" si="127"/>
        <v>0.85084640454373883</v>
      </c>
      <c r="BS31" s="183">
        <f t="shared" si="128"/>
        <v>0.86284057187830243</v>
      </c>
      <c r="BT31" s="183">
        <f t="shared" si="129"/>
        <v>0.87522938083039292</v>
      </c>
      <c r="BU31" s="183">
        <f t="shared" si="130"/>
        <v>0.88714128833421946</v>
      </c>
      <c r="BV31" s="186">
        <f t="shared" si="131"/>
        <v>1.1111255302392764</v>
      </c>
      <c r="BW31" s="183">
        <f t="shared" si="19"/>
        <v>1.1111773035059711</v>
      </c>
      <c r="BX31" s="183">
        <f t="shared" si="20"/>
        <v>1.1082708911292216</v>
      </c>
      <c r="BY31" s="183">
        <f t="shared" si="21"/>
        <v>1.1069390715183713</v>
      </c>
      <c r="BZ31" s="183">
        <f t="shared" si="22"/>
        <v>1.1041137372959466</v>
      </c>
      <c r="CA31" s="183">
        <f t="shared" si="23"/>
        <v>1.1031141176635137</v>
      </c>
      <c r="CB31" s="183">
        <f t="shared" si="24"/>
        <v>1.1008356569456998</v>
      </c>
      <c r="CC31" s="183">
        <f t="shared" si="25"/>
        <v>1.0996665018552763</v>
      </c>
      <c r="CD31" s="183">
        <f t="shared" si="26"/>
        <v>1.0975428144441806</v>
      </c>
      <c r="CE31" s="187">
        <f xml:space="preserve"> -0.0000000019505*Sheet3!DF31^3 + 0.0000015497*Sheet3!DF31^2  + 0.00016911*Sheet3!DF31 + 1.8585</f>
        <v>1.9096570494375</v>
      </c>
      <c r="CF31" s="185">
        <f xml:space="preserve"> -0.0000000019505*Sheet3!BZ31^3 + 0.0000015497*Sheet3!BZ31^2  + 0.00016911*Sheet3!BZ31 + 1.8585</f>
        <v>1.9097812434938271</v>
      </c>
      <c r="CG31" s="185">
        <f xml:space="preserve"> -0.0000000019505*Sheet3!CA31^3 + 0.0000015497*Sheet3!CA31^2  + 0.00016911*Sheet3!CA31 + 1.8585</f>
        <v>1.9057617490237608</v>
      </c>
      <c r="CH31" s="185">
        <f xml:space="preserve"> -0.0000000019505*Sheet3!CB31^3 + 0.0000015497*Sheet3!CB31^2  + 0.00016911*Sheet3!CB31 + 1.8585</f>
        <v>1.9027994001694755</v>
      </c>
      <c r="CI31" s="185">
        <f xml:space="preserve"> -0.0000000019505*Sheet3!CC31^3 + 0.0000015497*Sheet3!CC31^2  + 0.00016911*Sheet3!CC31 + 1.8585</f>
        <v>1.899207303747964</v>
      </c>
      <c r="CJ31" s="185">
        <f xml:space="preserve"> -0.0000000019505*Sheet3!CD31^3 + 0.0000015497*Sheet3!CD31^2  + 0.00016911*Sheet3!CD31 + 1.8585</f>
        <v>1.8970861226649147</v>
      </c>
      <c r="CK31" s="185">
        <f xml:space="preserve"> -0.0000000019505*Sheet3!CE31^3 + 0.0000015497*Sheet3!CE31^2  + 0.00016911*Sheet3!CE31 + 1.8585</f>
        <v>1.8946787347364702</v>
      </c>
      <c r="CL31" s="185">
        <f xml:space="preserve"> -0.0000000019505*Sheet3!CF31^3 + 0.0000015497*Sheet3!CF31^2  + 0.00016911*Sheet3!CF31 + 1.8585</f>
        <v>1.8922733324322771</v>
      </c>
      <c r="CM31" s="185">
        <f xml:space="preserve"> -0.0000000019505*Sheet3!CG31^3 + 0.0000015497*Sheet3!CG31^2  + 0.00016911*Sheet3!CG31 + 1.8585</f>
        <v>1.8901079909521217</v>
      </c>
      <c r="CN31" s="186">
        <f>_xlfn.FORECAST.LINEAR(Sheet3!DF31,New!$LU$2:$LU$14,New!$LT$2:$LT$14)</f>
        <v>1.023844178140866</v>
      </c>
      <c r="CO31" s="183">
        <f>_xlfn.FORECAST.LINEAR(Sheet3!BZ31,New!$LU$2:$LU$14,New!$LT$2:$LT$14)</f>
        <v>1.0238910459372859</v>
      </c>
      <c r="CP31" s="183">
        <f>_xlfn.FORECAST.LINEAR(Sheet3!CA31,New!$LU$2:$LU$14,New!$LT$2:$LT$14)</f>
        <v>1.0223565524880511</v>
      </c>
      <c r="CQ31" s="183">
        <f>_xlfn.FORECAST.LINEAR(Sheet3!CB31,New!$LU$2:$LU$14,New!$LT$2:$LT$14)</f>
        <v>1.0212003911185439</v>
      </c>
      <c r="CR31" s="183">
        <f>_xlfn.FORECAST.LINEAR(Sheet3!CC31,New!$LU$2:$LU$14,New!$LT$2:$LT$14)</f>
        <v>1.0197658291956428</v>
      </c>
      <c r="CS31" s="183">
        <f>_xlfn.FORECAST.LINEAR(Sheet3!CD31,New!$LU$2:$LU$14,New!$LT$2:$LT$14)</f>
        <v>1.0188999937551664</v>
      </c>
      <c r="CT31" s="183">
        <f>_xlfn.FORECAST.LINEAR(Sheet3!CE31,New!$LU$2:$LU$14,New!$LT$2:$LT$14)</f>
        <v>1.017898632762555</v>
      </c>
      <c r="CU31" s="183">
        <f>_xlfn.FORECAST.LINEAR(Sheet3!CF31,New!$LU$2:$LU$14,New!$LT$2:$LT$14)</f>
        <v>1.0168762700500069</v>
      </c>
      <c r="CV31" s="183">
        <f>_xlfn.FORECAST.LINEAR(Sheet3!CG31,New!$LU$2:$LU$14,New!$LT$2:$LT$14)</f>
        <v>1.0159353315261272</v>
      </c>
      <c r="CW31" s="186">
        <f>EXP((17.625*Sheet3!BA31)/(243.04+Sheet3!BA31)) / EXP((17.625*Sheet3!DF31)/(243.04+Sheet3!DF31))</f>
        <v>3.1215458166542462E-2</v>
      </c>
      <c r="CX31" s="183">
        <f>EXP((17.625*(Sheet3!BC31+273))/(243.04+(Sheet3!BC31+273)))/EXP((17.625*(Sheet3!BZ31+273))/(243.04+(Sheet3!BZ31+273)))</f>
        <v>0.34648127083892633</v>
      </c>
      <c r="CY31" s="183">
        <f>EXP((17.625*(Sheet3!BE31+273))/(243.04+(Sheet3!BE31+273))) / EXP((17.625*(Sheet3!CA31+273))/(243.04+(Sheet3!CA31+273)))</f>
        <v>0.37545797065341097</v>
      </c>
      <c r="CZ31" s="183">
        <f>EXP((17.625*(Sheet3!BG31+273))/(243.04+(Sheet3!BG31+273))) / EXP((17.625*(Sheet3!CB31+273))/(243.04+(Sheet3!CB31+273)))</f>
        <v>0.39847935021697711</v>
      </c>
      <c r="DA31" s="183">
        <f>EXP((17.625*(Sheet3!BI31+273))/(243.04+(Sheet3!BI31+273))) / EXP((17.625*(Sheet3!CC31+273))/(243.04+(Sheet3!CC31+273)))</f>
        <v>0.42948270668918598</v>
      </c>
      <c r="DB31" s="183">
        <f>EXP((17.625*(Sheet3!BK31+273))/(243.04+(Sheet3!BK31+273)))/EXP((17.625*(Sheet3!CD31+273))/(243.04+(Sheet3!CD31+273)))</f>
        <v>0.45097218052761279</v>
      </c>
      <c r="DC31" s="183">
        <f>EXP((17.625*(Sheet3!BM31+273))/(243.04+(Sheet3!BM31+273))) / EXP((17.625*(Sheet3!CE31+273))/(243.04+(Sheet3!CE31+273)))</f>
        <v>0.47548444952481728</v>
      </c>
      <c r="DD31" s="183">
        <f>EXP((17.625*(Sheet3!BO31+273))/(243.04+(Sheet3!BO31+273))) / EXP((17.625*(Sheet3!CF31+273))/(243.04+(Sheet3!CF31+273)))</f>
        <v>0.50467441704095284</v>
      </c>
      <c r="DE31" s="183">
        <f>EXP((17.625*(Sheet3!BQ31+273))/(243.04+(Sheet3!BQ31+273))) / EXP((17.625*(Sheet3!CG31+273))/(243.04+(Sheet3!CG31+273)))</f>
        <v>0.53135933362364751</v>
      </c>
      <c r="DF31" s="186">
        <f>((Sheet3!DA31-Sheet3!DB31)/New!$LQ$3)/(((Sheet3!DA31-Sheet3!DB31)/New!$LQ$3)+(Sheet3!DB31/New!$LP$3))</f>
        <v>0.85055069573991748</v>
      </c>
      <c r="DG31" s="183">
        <f>((Sheet3!DA31-Sheet3!DB31)/New!$LQ$3)/(((Sheet3!DA31-Sheet3!DB31)/New!$LQ$3)+((Sheet3!DB31-(Sheet3!B31*0.004))/New!$LP$3))</f>
        <v>0.85057233275155197</v>
      </c>
      <c r="DH31" s="183" cm="1">
        <f t="array" ref="DH31">((Sheet3!DA31-Sheet3!DB31)/New!$LQ$3)/(((Sheet3!DA31-Sheet3!DB31)/New!$LQ$3)+((Sheet3!DB31-(SUM(Sheet3!B31:C31*0.004)))/New!$LP$3))</f>
        <v>0.85969193680311562</v>
      </c>
      <c r="DI31" s="183" cm="1">
        <f t="array" ref="DI31">((Sheet3!DA31-Sheet3!DB31)/New!$LQ$3)/(((Sheet3!DA31-Sheet3!DB31)/New!$LQ$3)+((Sheet3!DB31-(SUM(Sheet3!B31:D31*0.004)))/New!$LP$3))</f>
        <v>0.85969193680311562</v>
      </c>
      <c r="DJ31" s="183" cm="1">
        <f t="array" ref="DJ31">((Sheet3!DA31-Sheet3!DB31)/New!$LQ$3)/(((Sheet3!DA31-Sheet3!DB31)/New!$LQ$3)+((Sheet3!DB31-(SUM(Sheet3!B31:E31*0.004)))/New!$LP$3))</f>
        <v>0.86952899912578008</v>
      </c>
      <c r="DK31" s="183" cm="1">
        <f t="array" ref="DK31">((Sheet3!DA31-Sheet3!DB31)/New!$LQ$3)/(((Sheet3!DA31-Sheet3!DB31)/New!$LQ$3)+((Sheet3!DB31-(SUM(Sheet3!B31:F31*0.004)))/New!$LP$3))</f>
        <v>0.86964207773080682</v>
      </c>
      <c r="DL31" s="183" cm="1">
        <f t="array" ref="DL31">((Sheet3!DA31-Sheet3!DB31)/New!$LQ$3)/(((Sheet3!DA31-Sheet3!DB31)/New!$LQ$3)+((Sheet3!DB31-(SUM(Sheet3!B31:G31*0.004)))/New!$LP$3))</f>
        <v>0.87943184401335706</v>
      </c>
      <c r="DM31" s="183" cm="1">
        <f t="array" ref="DM31">((Sheet3!DA31-Sheet3!DB31)/New!$LQ$3)/(((Sheet3!DA31-Sheet3!DB31)/New!$LQ$3)+((Sheet3!DB31-(SUM(Sheet3!B31:H31*0.004)))/New!$LP$3))</f>
        <v>0.8795706505727805</v>
      </c>
      <c r="DN31" s="183" cm="1">
        <f t="array" ref="DN31">((Sheet3!DA31-Sheet3!DB31)/New!$LQ$3)/(((Sheet3!DA31-Sheet3!DB31)/New!$LQ$3)+((Sheet3!DB31-(SUM(Sheet3!B31:I31*0.004)))/New!$LP$3))</f>
        <v>0.88897157320815434</v>
      </c>
      <c r="DO31" s="186">
        <f>(Sheet3!DB31/$LP$3) / ((Sheet3!DB31/$LP$3) + ((Sheet3!DA31-Sheet3!DB31)/$LQ$3))</f>
        <v>0.14944930426008254</v>
      </c>
      <c r="DP31" s="183">
        <f>((Sheet3!$DB31-(Sheet3!B31/4000)) / $LP$3) / (((Sheet3!$DA31-Sheet3!DB31) / $LQ$3) + (Sheet3!$DB31-((Sheet3!B31/4000)))/$LP$3)</f>
        <v>0.14944795197910579</v>
      </c>
      <c r="DQ31" s="183">
        <f>((Sheet3!$DB31-(SUM(Sheet3!B31:C31)/4000))/$LP$3)/(((Sheet3!$DA31-Sheet3!$DB31)/$LQ$3)+(Sheet3!$DB31-(SUM(Sheet3!B31:C31)/4000))/$LP$3)</f>
        <v>0.1488836758094147</v>
      </c>
      <c r="DR31" s="183">
        <f>((Sheet3!$DB31-(SUM(Sheet3!B31:D31)/4000))/$LP$3)/(((Sheet3!$DA31-Sheet3!$DB31)/$LQ$3)+(Sheet3!$DB31-(SUM(Sheet3!B31:D31)/4000))/$LP$3)</f>
        <v>0.1488836758094147</v>
      </c>
      <c r="DS31" s="183">
        <f>((Sheet3!$DB31-(SUM(Sheet3!B31:E31)/4000))/$LP$3)/(((Sheet3!$DA31-Sheet3!$DB31)/$LQ$3)+(Sheet3!$DB31-(SUM(Sheet3!B31:E31)/4000))/$LP$3)</f>
        <v>0.14828746413460606</v>
      </c>
      <c r="DT31" s="183">
        <f>((Sheet3!$DB31-(SUM(Sheet3!B31:F31)/4000))/$LP$3)/(((Sheet3!$DA31-Sheet3!$DB31)/$LQ$3)+(Sheet3!$DB31-(SUM(Sheet3!B31:F31)/4000))/$LP$3)</f>
        <v>0.14828068420194979</v>
      </c>
      <c r="DU31" s="183">
        <f>((Sheet3!$DB31-(SUM(Sheet3!B31:G31)/4000))/$LP$3)/(((Sheet3!$DA31-Sheet3!$DB31)/$LQ$3)+(Sheet3!$DB31-(SUM(Sheet3!B31:G31)/4000))/$LP$3)</f>
        <v>0.14769992161143192</v>
      </c>
      <c r="DV31" s="183">
        <f>((Sheet3!$DB31-(SUM(Sheet3!B31:H31)/4000))/$LP$3)/(((Sheet3!$DA31-Sheet3!$DB31)/$LQ$3)+(Sheet3!$DB31-(SUM(Sheet3!B31:H31)/4000))/$LP$3)</f>
        <v>0.14769177445043771</v>
      </c>
      <c r="DW31" s="183">
        <f>((Sheet3!$DB31-(SUM(Sheet3!B31:I31)/4000))/$LP$3)/(((Sheet3!$DA31-Sheet3!$DB31)/$LQ$3)+(Sheet3!$DB31-(SUM(Sheet3!B31:I31)/4000))/$LP$3)</f>
        <v>0.14714555961995368</v>
      </c>
      <c r="DX31" s="186">
        <f>($LR$2*($LP$3/1000))/($LP$2*(Sheet3!DF31+273))*DO31</f>
        <v>7.8497978804433127E-2</v>
      </c>
      <c r="DY31" s="183">
        <f>(($LR$2*($LP$3/1000))/($LP$2*(Sheet3!BZ31+273)))*(DP31)</f>
        <v>7.8450243878804157E-2</v>
      </c>
      <c r="DZ31" s="183">
        <f>(($LR$2*($LP$3/1000))/($LP$2*(Sheet3!CA31+273)))*(DQ31)</f>
        <v>7.9717600445920037E-2</v>
      </c>
      <c r="EA31" s="183">
        <f>(($LR$2*($LP$3/1000))/($LP$2*(Sheet3!CB31+273)))*(DR31)</f>
        <v>8.0937623765264449E-2</v>
      </c>
      <c r="EB31" s="183">
        <f>(($LR$2*($LP$3/1000))/($LP$2*(Sheet3!CC31+273)))*(DS31)</f>
        <v>8.2173951925431463E-2</v>
      </c>
      <c r="EC31" s="183">
        <f>(($LR$2*($LP$3/1000))/($LP$2*(Sheet3!CD31+273)))*(DT31)</f>
        <v>8.3141543744488164E-2</v>
      </c>
      <c r="ED31" s="183">
        <f>(($LR$2*($LP$3/1000))/($LP$2*(Sheet3!CE31+273)))*(DU31)</f>
        <v>8.3963819569528073E-2</v>
      </c>
      <c r="EE31" s="183">
        <f>(($LR$2*($LP$3/1000))/($LP$2*(Sheet3!CF31+273)))*(DV31)</f>
        <v>8.5164410410295668E-2</v>
      </c>
      <c r="EF31" s="183">
        <f>(($LR$2*($LP$3/1000))/($LP$2*(Sheet3!CG31+273)))*(DW31)</f>
        <v>8.5985447935617826E-2</v>
      </c>
      <c r="EG31" s="186">
        <f>(($LR$2*($LQ$3/1000))/($LQ$2*(Sheet3!DF31+273)))*(1-DO31)</f>
        <v>0.71817299757247333</v>
      </c>
      <c r="EH31" s="183">
        <f>(($LR$2*($LQ$3/1000))/($LQ$2*(Sheet3!BZ31+273)))*(1-DP31)</f>
        <v>0.7177439093583079</v>
      </c>
      <c r="EI31" s="183">
        <f>(($LR$2*($LQ$3/1000))/($LQ$2*(Sheet3!CA31+273)))*(1-DQ31)</f>
        <v>0.73258892076992621</v>
      </c>
      <c r="EJ31" s="183">
        <f>(($LR$2*($LQ$3/1000))/($LQ$2*(Sheet3!CB31+273)))*(1-DR31)</f>
        <v>0.74380069284827666</v>
      </c>
      <c r="EK31" s="183">
        <f>(($LR$2*($LQ$3/1000))/($LQ$2*(Sheet3!CC31+273)))*(1-DS31)</f>
        <v>0.75872966713052181</v>
      </c>
      <c r="EL31" s="183">
        <f>(($LR$2*($LQ$3/1000))/($LQ$2*(Sheet3!CD31+273)))*(1-DT31)</f>
        <v>0.76770486079925071</v>
      </c>
      <c r="EM31" s="183">
        <f>(($LR$2*($LQ$3/1000))/($LQ$2*(Sheet3!CE31+273)))*(1-DU31)</f>
        <v>0.7788767523087744</v>
      </c>
      <c r="EN31" s="183">
        <f>(($LR$2*($LQ$3/1000))/($LQ$2*(Sheet3!CF31+273)))*(1-DV31)</f>
        <v>0.79006497042009727</v>
      </c>
      <c r="EO31" s="183">
        <f>(($LR$2*($LQ$3/1000))/($LQ$2*(Sheet3!CG31+273)))*(1-DW31)</f>
        <v>0.80115584039860166</v>
      </c>
      <c r="EP31" s="186">
        <f t="shared" si="132"/>
        <v>4934.5720873591035</v>
      </c>
      <c r="EQ31" s="183">
        <f xml:space="preserve"> (($FV31-(Sheet3!B31/4000))*0.018)/(0.011*JO31*3600)</f>
        <v>4932.2634696795403</v>
      </c>
      <c r="ER31" s="183">
        <f>((($FV31-(SUM(Sheet3!B31:C31)/4000))*0.018)/(0.011*JP31*3600))</f>
        <v>5005.3145060795405</v>
      </c>
      <c r="ES31" s="183">
        <f>((($FV31-(SUM(Sheet3!B31:D31)/4000))*0.018)/(0.011*JQ31*3600))</f>
        <v>5064.4843311720442</v>
      </c>
      <c r="ET31" s="183">
        <f>((($FV31-(SUM(Sheet3!B31:E31)/4000))*0.018)/(0.011*JR31))/3600</f>
        <v>5136.1685045598533</v>
      </c>
      <c r="EU31" s="183">
        <f>((($FV31-(SUM(Sheet3!B31:F31)/4000))*0.018)/(0.011*JS31))/3600</f>
        <v>5182.7136751414637</v>
      </c>
      <c r="EV31" s="183">
        <f>((($FV31-(SUM(Sheet3!B31:G31)/4000))*0.018)/(0.011*JT31))/3600</f>
        <v>5233.9456127361009</v>
      </c>
      <c r="EW31" s="183">
        <f>((($FV31-(SUM(Sheet3!B31:H31)/4000))*0.018)/(0.011*JU31))/3600</f>
        <v>5291.1867050948777</v>
      </c>
      <c r="EX31" s="183">
        <f>((($FV31-(SUM(Sheet3!B31:I31)/4000))*0.018)/(0.011*JV31))/3600</f>
        <v>5341.4528843374774</v>
      </c>
      <c r="EY31" s="186">
        <f t="shared" si="133"/>
        <v>50.289315436113206</v>
      </c>
      <c r="EZ31" s="183">
        <f t="shared" si="134"/>
        <v>50.272522096705984</v>
      </c>
      <c r="FA31" s="183">
        <f t="shared" si="135"/>
        <v>50.794171923356195</v>
      </c>
      <c r="FB31" s="183">
        <f t="shared" si="136"/>
        <v>51.224389560756563</v>
      </c>
      <c r="FC31" s="183">
        <f t="shared" si="137"/>
        <v>51.735733512081787</v>
      </c>
      <c r="FD31" s="183">
        <f t="shared" si="138"/>
        <v>52.074525426675891</v>
      </c>
      <c r="FE31" s="183">
        <f t="shared" si="139"/>
        <v>52.437320318391066</v>
      </c>
      <c r="FF31" s="183">
        <f t="shared" si="140"/>
        <v>52.854524666792138</v>
      </c>
      <c r="FG31" s="183">
        <f t="shared" si="141"/>
        <v>53.211004047314006</v>
      </c>
      <c r="FH31" s="186">
        <f t="shared" si="28"/>
        <v>97.972144972044717</v>
      </c>
      <c r="FI31" s="183">
        <f t="shared" si="29"/>
        <v>98.000398362645527</v>
      </c>
      <c r="FJ31" s="183">
        <f t="shared" si="30"/>
        <v>96.988268449648402</v>
      </c>
      <c r="FK31" s="183">
        <f t="shared" si="31"/>
        <v>96.274895717224325</v>
      </c>
      <c r="FL31" s="183">
        <f t="shared" si="32"/>
        <v>95.304131345373378</v>
      </c>
      <c r="FM31" s="183">
        <f t="shared" si="33"/>
        <v>94.757819620339575</v>
      </c>
      <c r="FN31" s="183">
        <f t="shared" si="34"/>
        <v>94.051501764682158</v>
      </c>
      <c r="FO31" s="183">
        <f t="shared" si="35"/>
        <v>93.395483069210684</v>
      </c>
      <c r="FP31" s="183">
        <f t="shared" si="36"/>
        <v>92.724170502299145</v>
      </c>
      <c r="FQ31" s="314">
        <f>Sheet3!CV31</f>
        <v>2</v>
      </c>
      <c r="FR31" s="183">
        <v>5000</v>
      </c>
      <c r="FS31" s="183">
        <v>10</v>
      </c>
      <c r="FT31" s="183">
        <v>0.1117763157894737</v>
      </c>
      <c r="FU31" s="183">
        <v>28.54</v>
      </c>
      <c r="FV31" s="183">
        <v>238.5</v>
      </c>
      <c r="FW31" s="183">
        <v>23.5</v>
      </c>
      <c r="FX31" s="183">
        <v>469.5</v>
      </c>
      <c r="FY31" s="183">
        <v>8.52</v>
      </c>
      <c r="FZ31" s="183">
        <v>14.11</v>
      </c>
      <c r="GA31" s="183">
        <v>145</v>
      </c>
      <c r="GB31" s="186">
        <f>EXP($LP$6-($LQ$6/('Trial and Error method'!T31+$LP$8))) / ($LR$2/1000)</f>
        <v>0.14871338261626241</v>
      </c>
      <c r="GC31" s="183">
        <f>EXP($LP$6-($LQ$6/('Trial and Error method'!U31+$LP$8))) / ($LR$2/1000)</f>
        <v>6.2904230923438789E-2</v>
      </c>
      <c r="GD31" s="183">
        <f>EXP($LP$6-($LQ$6/('Trial and Error method'!V31+$LP$8))) / ($LR$2/1000)</f>
        <v>5.8781764959924029E-2</v>
      </c>
      <c r="GE31" s="183">
        <f>EXP($LP$6-($LQ$6/('Trial and Error method'!W31+$LP$8))) / ($LR$2/1000)</f>
        <v>5.5406591063183408E-2</v>
      </c>
      <c r="GF31" s="183">
        <f>EXP($LP$6-($LQ$6/('Trial and Error method'!X31+$LP$8))) / ($LR$2/1000)</f>
        <v>5.1731964492894571E-2</v>
      </c>
      <c r="GG31" s="183">
        <f>EXP($LP$6-($LQ$6/('Trial and Error method'!Y31+$LP$8))) / ($LR$2/1000)</f>
        <v>4.8962969834674325E-2</v>
      </c>
      <c r="GH31" s="183">
        <f>EXP($LP$6-($LQ$6/('Trial and Error method'!Z31+$LP$8))) / ($LR$2/1000)</f>
        <v>4.6134490945295321E-2</v>
      </c>
      <c r="GI31" s="183">
        <f>EXP($LP$6-($LQ$6/('Trial and Error method'!AA31+$LP$8))) / ($LR$2/1000)</f>
        <v>4.3708861038055512E-2</v>
      </c>
      <c r="GJ31" s="183">
        <f>EXP($LP$6-($LQ$6/('Trial and Error method'!AB31+$LP$8))) / ($LR$2/1000)</f>
        <v>3.8760067396591678E-2</v>
      </c>
      <c r="GK31" s="188">
        <f t="shared" si="142"/>
        <v>0.85091860352296234</v>
      </c>
      <c r="GL31" s="165">
        <f t="shared" si="143"/>
        <v>0.89312517821821269</v>
      </c>
      <c r="GM31" s="165">
        <f t="shared" si="144"/>
        <v>0.89541185586280259</v>
      </c>
      <c r="GN31" s="165">
        <f t="shared" si="145"/>
        <v>0.89704327580642496</v>
      </c>
      <c r="GO31" s="165">
        <f t="shared" si="146"/>
        <v>0.89912637551092689</v>
      </c>
      <c r="GP31" s="165">
        <f t="shared" si="147"/>
        <v>0.90046549605247961</v>
      </c>
      <c r="GQ31" s="165">
        <f t="shared" si="148"/>
        <v>0.9021301079534233</v>
      </c>
      <c r="GR31" s="165">
        <f t="shared" si="149"/>
        <v>0.90330241019651258</v>
      </c>
      <c r="GS31" s="165">
        <f t="shared" si="150"/>
        <v>0.90596688453130736</v>
      </c>
      <c r="GT31" s="188">
        <f t="shared" si="38"/>
        <v>6.9298749929170164E-2</v>
      </c>
      <c r="GU31" s="165">
        <f t="shared" si="39"/>
        <v>6.6019820252979755E-2</v>
      </c>
      <c r="GV31" s="165">
        <f t="shared" si="40"/>
        <v>6.5823310381809483E-2</v>
      </c>
      <c r="GW31" s="165">
        <f t="shared" si="41"/>
        <v>6.5697999224860998E-2</v>
      </c>
      <c r="GX31" s="165">
        <f t="shared" si="42"/>
        <v>6.5529802048007818E-2</v>
      </c>
      <c r="GY31" s="165">
        <f t="shared" si="43"/>
        <v>6.5435004662357535E-2</v>
      </c>
      <c r="GZ31" s="165">
        <f t="shared" si="44"/>
        <v>6.5306113260835089E-2</v>
      </c>
      <c r="HA31" s="165">
        <f t="shared" si="45"/>
        <v>6.5231720531756396E-2</v>
      </c>
      <c r="HB31" s="165">
        <f t="shared" si="46"/>
        <v>6.5032216399662585E-2</v>
      </c>
      <c r="HC31" s="188">
        <f>BV31*Sheet3!DF31</f>
        <v>161.11320188469509</v>
      </c>
      <c r="HD31" s="165">
        <f>BW31*Sheet3!BZ31</f>
        <v>161.39912286619946</v>
      </c>
      <c r="HE31" s="165">
        <f>BX31*Sheet3!CA31</f>
        <v>151.88528955494513</v>
      </c>
      <c r="HF31" s="165">
        <f>BY31*Sheet3!CB31</f>
        <v>144.8608927690311</v>
      </c>
      <c r="HG31" s="165">
        <f>BZ31*Sheet3!CC31</f>
        <v>136.02344034449104</v>
      </c>
      <c r="HH31" s="165">
        <f>CA31*Sheet3!CD31</f>
        <v>130.79419688435402</v>
      </c>
      <c r="HI31" s="165">
        <f>CB31*Sheet3!CE31</f>
        <v>124.63091282908586</v>
      </c>
      <c r="HJ31" s="165">
        <f>CC31*Sheet3!CF31</f>
        <v>118.48820841424401</v>
      </c>
      <c r="HK31" s="165">
        <f>CD31*Sheet3!CG31</f>
        <v>112.73840913361487</v>
      </c>
      <c r="HL31" s="188">
        <f>(CE31*Sheet3!DF31)+2501</f>
        <v>2777.9002721684374</v>
      </c>
      <c r="HM31" s="165">
        <f>(CF31*Sheet3!BZ31)+2501</f>
        <v>2778.3967904075057</v>
      </c>
      <c r="HN31" s="165">
        <f>(CG31*Sheet3!CA31)+2501</f>
        <v>2762.1790830112695</v>
      </c>
      <c r="HO31" s="165">
        <f>(CH31*Sheet3!CB31)+2501</f>
        <v>2750.0120973784351</v>
      </c>
      <c r="HP31" s="165">
        <f>(CI31*Sheet3!CC31)+2501</f>
        <v>2734.9765394241608</v>
      </c>
      <c r="HQ31" s="165">
        <f>(CJ31*Sheet3!CD31)+2501</f>
        <v>2725.9339863041241</v>
      </c>
      <c r="HR31" s="165">
        <f>(CK31*Sheet3!CE31)+2501</f>
        <v>2715.5057154882034</v>
      </c>
      <c r="HS31" s="165">
        <f>(CL31*Sheet3!CF31)+2501</f>
        <v>2704.8909765930648</v>
      </c>
      <c r="HT31" s="165">
        <f>(CM31*Sheet3!CG31)+2501</f>
        <v>2695.1498456245531</v>
      </c>
      <c r="HU31" s="188">
        <f>-0.0021*(Sheet3!DF31^2) - 2.2115*(Sheet3!DF31) + 2499</f>
        <v>2134.1799999999998</v>
      </c>
      <c r="HV31" s="165">
        <f>-0.0021*(Sheet3!BZ31^2) - 2.2115*(Sheet3!BZ31) + 2499</f>
        <v>2133.47317060671</v>
      </c>
      <c r="HW31" s="165">
        <f>-0.0021*(Sheet3!CA31^2) - 2.2115*(Sheet3!CA31) + 2499</f>
        <v>2156.4783879004399</v>
      </c>
      <c r="HX31" s="165">
        <f>-0.0021*(Sheet3!CB31^2) - 2.2115*(Sheet3!CB31) + 2499</f>
        <v>2173.6249206489229</v>
      </c>
      <c r="HY31" s="165">
        <f>-0.0021*(Sheet3!CC31^2) - 2.2115*(Sheet3!CC31) + 2499</f>
        <v>2194.6772304771057</v>
      </c>
      <c r="HZ31" s="165">
        <f>-0.0021*(Sheet3!CD31^2) - 2.2115*(Sheet3!CD31) + 2499</f>
        <v>2207.2638913375704</v>
      </c>
      <c r="IA31" s="165">
        <f>-0.0021*(Sheet3!CE31^2) - 2.2115*(Sheet3!CE31) + 2499</f>
        <v>2221.7084700148653</v>
      </c>
      <c r="IB31" s="165">
        <f>-0.0021*(Sheet3!CF31^2) - 2.2115*(Sheet3!CF31) + 2499</f>
        <v>2236.3318203045324</v>
      </c>
      <c r="IC31" s="165">
        <f>-0.0021*(Sheet3!CG31^2) - 2.2115*(Sheet3!CG31) + 2499</f>
        <v>2249.6796459505867</v>
      </c>
      <c r="ID31" s="188">
        <f t="shared" si="47"/>
        <v>0.69611330313374353</v>
      </c>
      <c r="IE31" s="165">
        <f t="shared" si="48"/>
        <v>0.69603754956969177</v>
      </c>
      <c r="IF31" s="165">
        <f t="shared" si="49"/>
        <v>0.6980911003180823</v>
      </c>
      <c r="IG31" s="165">
        <f t="shared" si="50"/>
        <v>0.70009195538440516</v>
      </c>
      <c r="IH31" s="165">
        <f t="shared" si="51"/>
        <v>0.70219197755491525</v>
      </c>
      <c r="II31" s="165">
        <f t="shared" si="52"/>
        <v>0.70383950566974995</v>
      </c>
      <c r="IJ31" s="165">
        <f t="shared" si="53"/>
        <v>0.70529877404393859</v>
      </c>
      <c r="IK31" s="165">
        <f t="shared" si="54"/>
        <v>0.70740245658745349</v>
      </c>
      <c r="IL31" s="165">
        <f t="shared" si="55"/>
        <v>0.70890759436890283</v>
      </c>
      <c r="IM31" s="188">
        <f t="shared" si="56"/>
        <v>0.10883987194108664</v>
      </c>
      <c r="IN31" s="165">
        <f t="shared" si="151"/>
        <v>12.18981424502635</v>
      </c>
      <c r="IO31" s="165">
        <f t="shared" si="152"/>
        <v>12.789655056370595</v>
      </c>
      <c r="IP31" s="165">
        <f t="shared" si="153"/>
        <v>13.348790218313324</v>
      </c>
      <c r="IQ31" s="165">
        <f t="shared" si="154"/>
        <v>13.886299550490278</v>
      </c>
      <c r="IR31" s="165">
        <f t="shared" si="155"/>
        <v>14.344688203174663</v>
      </c>
      <c r="IS31" s="165">
        <f t="shared" si="156"/>
        <v>14.736244625264023</v>
      </c>
      <c r="IT31" s="165">
        <f t="shared" si="157"/>
        <v>15.169003733600064</v>
      </c>
      <c r="IU31" s="165">
        <f t="shared" si="158"/>
        <v>15.856976734774937</v>
      </c>
      <c r="IV31" s="188">
        <f>_xlfn.FORECAST.LINEAR(Sheet3!DF31,Sheet2!$AK$2:$AK$69,Sheet2!$AJ$2:$AJ$69)</f>
        <v>1.386217343669711E-5</v>
      </c>
      <c r="IW31" s="165">
        <f>_xlfn.FORECAST.LINEAR(Sheet3!BZ31,Sheet2!$AK$2:$AK$69,Sheet2!$AJ$2:$AJ$69)</f>
        <v>1.3870946035574735E-5</v>
      </c>
      <c r="IX31" s="165">
        <f>_xlfn.FORECAST.LINEAR(Sheet3!CA31,Sheet2!$AK$2:$AK$69,Sheet2!$AJ$2:$AJ$69)</f>
        <v>1.3583723325340035E-5</v>
      </c>
      <c r="IY31" s="165">
        <f>_xlfn.FORECAST.LINEAR(Sheet3!CB31,Sheet2!$AK$2:$AK$69,Sheet2!$AJ$2:$AJ$69)</f>
        <v>1.3367315883402656E-5</v>
      </c>
      <c r="IZ31" s="165">
        <f>_xlfn.FORECAST.LINEAR(Sheet3!CC31,Sheet2!$AK$2:$AK$69,Sheet2!$AJ$2:$AJ$69)</f>
        <v>1.3098798110517666E-5</v>
      </c>
      <c r="JA31" s="165">
        <f>_xlfn.FORECAST.LINEAR(Sheet3!CD31,Sheet2!$AK$2:$AK$69,Sheet2!$AJ$2:$AJ$69)</f>
        <v>1.2936733162013025E-5</v>
      </c>
      <c r="JB31" s="165">
        <f>_xlfn.FORECAST.LINEAR(Sheet3!CE31,Sheet2!$AK$2:$AK$69,Sheet2!$AJ$2:$AJ$69)</f>
        <v>1.274930087394131E-5</v>
      </c>
      <c r="JC31" s="165">
        <f>_xlfn.FORECAST.LINEAR(Sheet3!CF31,Sheet2!$AK$2:$AK$69,Sheet2!$AJ$2:$AJ$69)</f>
        <v>1.2557937535578819E-5</v>
      </c>
      <c r="JD31" s="165">
        <f>_xlfn.FORECAST.LINEAR(Sheet3!CG31,Sheet2!$AK$2:$AK$69,Sheet2!$AJ$2:$AJ$69)</f>
        <v>1.2381814976614667E-5</v>
      </c>
      <c r="JE31" s="188">
        <f>_xlfn.FORECAST.LINEAR(Sheet3!DF31,New!$MC$2:$MC$18,New!$MB$2:$MB$18)</f>
        <v>2.337798370672098E-5</v>
      </c>
      <c r="JF31" s="165">
        <f>_xlfn.FORECAST.LINEAR(Sheet3!BZ31,New!$MC$2:$MC$18,New!$MB$2:$MB$18)</f>
        <v>2.3388296108443423E-5</v>
      </c>
      <c r="JG31" s="165">
        <f>_xlfn.FORECAST.LINEAR(Sheet3!CA31,New!$MC$2:$MC$18,New!$MB$2:$MB$18)</f>
        <v>2.3050658879947358E-5</v>
      </c>
      <c r="JH31" s="165">
        <f>_xlfn.FORECAST.LINEAR(Sheet3!CB31,New!$MC$2:$MC$18,New!$MB$2:$MB$18)</f>
        <v>2.279626670858335E-5</v>
      </c>
      <c r="JI31" s="165">
        <f>_xlfn.FORECAST.LINEAR(Sheet3!CC31,New!$MC$2:$MC$18,New!$MB$2:$MB$18)</f>
        <v>2.2480617585417771E-5</v>
      </c>
      <c r="JJ31" s="165">
        <f>_xlfn.FORECAST.LINEAR(Sheet3!CD31,New!$MC$2:$MC$18,New!$MB$2:$MB$18)</f>
        <v>2.2290106326733691E-5</v>
      </c>
      <c r="JK31" s="165">
        <f>_xlfn.FORECAST.LINEAR(Sheet3!CE31,New!$MC$2:$MC$18,New!$MB$2:$MB$18)</f>
        <v>2.2069775148104058E-5</v>
      </c>
      <c r="JL31" s="165">
        <f>_xlfn.FORECAST.LINEAR(Sheet3!CF31,New!$MC$2:$MC$18,New!$MB$2:$MB$18)</f>
        <v>2.1844822924974939E-5</v>
      </c>
      <c r="JM31" s="165">
        <f>_xlfn.FORECAST.LINEAR(Sheet3!CG31,New!$MC$2:$MC$18,New!$MB$2:$MB$18)</f>
        <v>2.1637786605891046E-5</v>
      </c>
      <c r="JN31" s="188">
        <f t="shared" si="159"/>
        <v>2.1969299260376099E-5</v>
      </c>
      <c r="JO31" s="165">
        <f t="shared" si="160"/>
        <v>2.1979559271145512E-5</v>
      </c>
      <c r="JP31" s="165">
        <f t="shared" si="161"/>
        <v>2.1649307106970614E-5</v>
      </c>
      <c r="JQ31" s="165">
        <f t="shared" si="162"/>
        <v>2.1396372033796659E-5</v>
      </c>
      <c r="JR31" s="165">
        <f t="shared" si="163"/>
        <v>2.1088013528553954E-5</v>
      </c>
      <c r="JS31" s="165">
        <f t="shared" si="164"/>
        <v>2.0898515626433161E-5</v>
      </c>
      <c r="JT31" s="165">
        <f t="shared" si="165"/>
        <v>2.0684660173043148E-5</v>
      </c>
      <c r="JU31" s="165">
        <f t="shared" si="166"/>
        <v>2.0460760615611894E-5</v>
      </c>
      <c r="JV31" s="165">
        <f t="shared" si="167"/>
        <v>2.0259660633643348E-5</v>
      </c>
      <c r="JW31" s="188">
        <f t="shared" si="66"/>
        <v>1.0152024173422087</v>
      </c>
      <c r="JX31" s="165">
        <f t="shared" si="67"/>
        <v>1.0150982302450882</v>
      </c>
      <c r="JY31" s="165">
        <f t="shared" si="68"/>
        <v>1.0185768314120438</v>
      </c>
      <c r="JZ31" s="165">
        <f t="shared" si="69"/>
        <v>1.0212929510331781</v>
      </c>
      <c r="KA31" s="165">
        <f t="shared" si="70"/>
        <v>1.0247832968519113</v>
      </c>
      <c r="KB31" s="165">
        <f t="shared" si="71"/>
        <v>1.0269574386974369</v>
      </c>
      <c r="KC31" s="165">
        <f t="shared" si="72"/>
        <v>1.0295382552188079</v>
      </c>
      <c r="KD31" s="165">
        <f t="shared" si="73"/>
        <v>1.0322496961712981</v>
      </c>
      <c r="KE31" s="165">
        <f t="shared" si="74"/>
        <v>1.0348164513548987</v>
      </c>
      <c r="KF31" s="188">
        <f t="shared" si="75"/>
        <v>0.9677010468805306</v>
      </c>
      <c r="KG31" s="165">
        <f t="shared" si="76"/>
        <v>0.96778716967892786</v>
      </c>
      <c r="KH31" s="165">
        <f t="shared" si="77"/>
        <v>0.96492502094253019</v>
      </c>
      <c r="KI31" s="165">
        <f t="shared" si="78"/>
        <v>0.96270916661538986</v>
      </c>
      <c r="KJ31" s="165">
        <f t="shared" si="79"/>
        <v>0.95988573970043534</v>
      </c>
      <c r="KK31" s="165">
        <f t="shared" si="80"/>
        <v>0.95814054055840703</v>
      </c>
      <c r="KL31" s="165">
        <f t="shared" si="81"/>
        <v>0.956082219213095</v>
      </c>
      <c r="KM31" s="165">
        <f t="shared" si="82"/>
        <v>0.95393513450692902</v>
      </c>
      <c r="KN31" s="165">
        <f t="shared" si="83"/>
        <v>0.95191702030529957</v>
      </c>
      <c r="KO31" s="188">
        <f t="shared" si="84"/>
        <v>0.62448585113790178</v>
      </c>
      <c r="KP31" s="165">
        <f t="shared" si="85"/>
        <v>0.6247020709948361</v>
      </c>
      <c r="KQ31" s="165">
        <f t="shared" si="86"/>
        <v>0.61968608328952668</v>
      </c>
      <c r="KR31" s="165">
        <f t="shared" si="87"/>
        <v>0.61580661864772368</v>
      </c>
      <c r="KS31" s="165">
        <f t="shared" si="88"/>
        <v>0.61089547335122363</v>
      </c>
      <c r="KT31" s="165">
        <f t="shared" si="89"/>
        <v>0.60785963730839343</v>
      </c>
      <c r="KU31" s="165">
        <f t="shared" si="90"/>
        <v>0.60430618602956665</v>
      </c>
      <c r="KV31" s="165">
        <f t="shared" si="91"/>
        <v>0.60059185587116592</v>
      </c>
      <c r="KW31" s="165">
        <f t="shared" si="92"/>
        <v>0.59722654526752972</v>
      </c>
      <c r="KX31" s="188">
        <f>AVERAGE(Sheet3!J31:P31)*KO31^(1/3)/ID31^(1/3)</f>
        <v>88.344461057573625</v>
      </c>
      <c r="KY31" s="165">
        <f>Sheet3!J31*KP31^(1/3)/IE31^(1/3)</f>
        <v>69.194979267976876</v>
      </c>
      <c r="KZ31" s="165">
        <f>Sheet3!K31*KQ31^(1/3)/IF31^(1/3)</f>
        <v>74.626746180191716</v>
      </c>
      <c r="LA31" s="165">
        <f>Sheet3!L31*KR31^(1/3)/IG31^(1/3)</f>
        <v>81.574851696845002</v>
      </c>
      <c r="LB31" s="165">
        <f>Sheet3!M31*KS31^(1/3)/IH31^(1/3)</f>
        <v>88.211160455535804</v>
      </c>
      <c r="LC31" s="165">
        <f>Sheet3!N31*KT31^(1/3)/II31^(1/3)</f>
        <v>94.367471891404989</v>
      </c>
      <c r="LD31" s="165">
        <f>Sheet3!O31*KU31^(1/3)/IJ31^(1/3)</f>
        <v>100.20683303658402</v>
      </c>
      <c r="LE31" s="165">
        <f>Sheet3!P31*KV31^(1/3)/IK31^(1/3)</f>
        <v>103.85650669192555</v>
      </c>
      <c r="LF31" s="165">
        <f>Sheet3!Q31*KW31^(1/3)/IL31^(1/3)</f>
        <v>104.15570771732916</v>
      </c>
      <c r="LG31" s="186">
        <f t="shared" si="93"/>
        <v>27.324277364873399</v>
      </c>
      <c r="LH31" s="183">
        <f t="shared" si="94"/>
        <v>27.324879611388535</v>
      </c>
      <c r="LI31" s="183">
        <f t="shared" si="95"/>
        <v>27.578817909524833</v>
      </c>
      <c r="LJ31" s="183">
        <f t="shared" si="96"/>
        <v>27.578817909524833</v>
      </c>
      <c r="LK31" s="183">
        <f t="shared" si="97"/>
        <v>27.852958481067521</v>
      </c>
      <c r="LL31" s="183">
        <f t="shared" si="98"/>
        <v>27.856111096982293</v>
      </c>
      <c r="LM31" s="183">
        <f t="shared" si="99"/>
        <v>28.129160290456767</v>
      </c>
      <c r="LN31" s="183">
        <f t="shared" si="100"/>
        <v>28.133033357312357</v>
      </c>
      <c r="LO31" s="183">
        <f t="shared" si="101"/>
        <v>28.395444016661617</v>
      </c>
      <c r="LP31" s="220"/>
      <c r="LQ31" s="220"/>
      <c r="LR31" s="220"/>
      <c r="LS31" s="220"/>
      <c r="LT31" s="220"/>
      <c r="LU31" s="220"/>
      <c r="LV31" s="220"/>
      <c r="LW31" s="220"/>
      <c r="LX31" s="220"/>
      <c r="LY31" s="220"/>
      <c r="LZ31" s="222">
        <v>126.09</v>
      </c>
      <c r="MA31" s="220">
        <v>1.2999999999999999E-5</v>
      </c>
      <c r="MB31" s="220"/>
      <c r="MC31" s="220"/>
      <c r="MD31" s="188">
        <f>Sheet3!DP31</f>
        <v>158.54108528109791</v>
      </c>
      <c r="ME31" s="263">
        <v>300</v>
      </c>
      <c r="MF31" s="263">
        <v>85.92</v>
      </c>
      <c r="MG31" s="263">
        <v>6.28</v>
      </c>
      <c r="MH31" s="263">
        <v>46.21</v>
      </c>
      <c r="MI31" s="263">
        <v>21.28</v>
      </c>
      <c r="MJ31" s="263">
        <v>0.46100000000000002</v>
      </c>
      <c r="MK31" s="273">
        <v>290</v>
      </c>
      <c r="ML31" s="267">
        <v>74.45</v>
      </c>
      <c r="MM31" s="267">
        <v>39.15</v>
      </c>
      <c r="MN31" s="267">
        <v>5.694</v>
      </c>
      <c r="MO31" s="267">
        <v>20.59</v>
      </c>
      <c r="MP31" s="274">
        <v>0.52600000000000002</v>
      </c>
      <c r="MQ31"/>
      <c r="MR31"/>
      <c r="MS31"/>
    </row>
    <row r="32" spans="1:357" ht="15" thickBot="1" x14ac:dyDescent="0.35">
      <c r="A32" s="184" t="str">
        <f>Sheet3!A32</f>
        <v>20.12.2022</v>
      </c>
      <c r="B32" s="186">
        <f t="shared" si="102"/>
        <v>0.93332957166478436</v>
      </c>
      <c r="C32" s="183">
        <f t="shared" si="103"/>
        <v>0.92907396504788553</v>
      </c>
      <c r="D32" s="183">
        <f t="shared" si="0"/>
        <v>0.92013158531482586</v>
      </c>
      <c r="E32" s="183">
        <f t="shared" si="1"/>
        <v>0.91218719065093878</v>
      </c>
      <c r="F32" s="183">
        <f t="shared" si="2"/>
        <v>0.90108401601198829</v>
      </c>
      <c r="G32" s="183">
        <f t="shared" si="3"/>
        <v>0.89506996691345586</v>
      </c>
      <c r="H32" s="183">
        <f t="shared" si="4"/>
        <v>0.88659957056847127</v>
      </c>
      <c r="I32" s="183">
        <f t="shared" si="5"/>
        <v>0.87707180179191768</v>
      </c>
      <c r="J32" s="183">
        <f t="shared" si="6"/>
        <v>0.86845804621773692</v>
      </c>
      <c r="K32" s="186">
        <f xml:space="preserve"> (6.057 * (10^(-6)))
+ (4.055 * (10^(-8)) * (Sheet3!DF32 + 273))
+ (1.25 * (10^(-10)) * (Sheet3!DF32 + 273)^2)
- (3.367 * (10^(-14)) * (DD32 + 273)^3)</f>
        <v>4.8623250324999714E-5</v>
      </c>
      <c r="L32" s="183">
        <f xml:space="preserve"> (6.057 * (10^(-6)))
+ (4.055 * (10^(-8)) * (Sheet3!BZ32 + 273))
+ (1.25 * (10^(-10)) * (Sheet3!BZ32 + 273)^2)
- (3.367 * (10^(-14)) * (BX32 + 273)^3)</f>
        <v>4.8037328196456117E-5</v>
      </c>
      <c r="M32" s="183">
        <f xml:space="preserve"> (6.057 * (10^(-6)))
+ (4.055 * (10^(-8)) * (Sheet3!CA32 + 273))
+ (1.25 * (10^(-10)) * (Sheet3!CA32 + 273)^2)
- (3.367 * (10^(-14)) * (BY32 + 273)^3)</f>
        <v>4.6815362646508104E-5</v>
      </c>
      <c r="N32" s="183">
        <f xml:space="preserve"> (6.057 * (10^(-6)))
+ (4.055 * (10^(-8)) * (Sheet3!CB32 + 273))
+ (1.25 * (10^(-10)) * (Sheet3!CB32 + 273)^2)
- (3.367 * (10^(-14)) * (BZ32 + 273)^3)</f>
        <v>4.5830768926702143E-5</v>
      </c>
      <c r="O32" s="183">
        <f xml:space="preserve"> (6.057 * (10^(-6)))
+ (4.055 * (10^(-8)) * (Sheet3!CC32 + 273))
+ (1.25 * (10^(-10)) * (Sheet3!CC32 + 273)^2)
- (3.367 * (10^(-14)) * (CA32 + 273)^3)</f>
        <v>4.4441884551707661E-5</v>
      </c>
      <c r="P32" s="183">
        <f xml:space="preserve"> (6.057 * (10^(-6)))
+ (4.055 * (10^(-8)) * (Sheet3!CD32 + 273))
+ (1.25 * (10^(-10)) * (Sheet3!CD32 + 273)^2)
- (3.367 * (10^(-14)) * (CB32 + 273)^3)</f>
        <v>4.3754959626062934E-5</v>
      </c>
      <c r="Q32" s="183">
        <f xml:space="preserve"> (6.057 * (10^(-6)))
+ (4.055 * (10^(-8)) * (Sheet3!CE32 + 273))
+ (1.25 * (10^(-10)) * (Sheet3!CE32 + 273)^2)
- (3.367 * (10^(-14)) * (CC32 + 273)^3)</f>
        <v>4.274993390175942E-5</v>
      </c>
      <c r="R32" s="183">
        <f xml:space="preserve"> (6.057 * (10^(-6)))
+ (4.055 * (10^(-8)) * (Sheet3!CF32 + 273))
+ (1.25 * (10^(-10)) * (Sheet3!CF32 + 273)^2)
- (3.367 * (10^(-14)) * (CD32 + 273)^3)</f>
        <v>4.1737241493531251E-5</v>
      </c>
      <c r="S32" s="183">
        <f xml:space="preserve"> (6.057 * (10^(-6)))
+ (4.055 * (10^(-8)) * (Sheet3!CG32 + 273))
+ (1.25 * (10^(-10)) * (Sheet3!CG32 + 273)^2)
- (3.367 * (10^(-14)) * (CE32 + 273)^3)</f>
        <v>4.0774534783372831E-5</v>
      </c>
      <c r="T32" s="188">
        <f t="shared" si="104"/>
        <v>4.8623250324999714E-5</v>
      </c>
      <c r="U32" s="165">
        <f t="shared" si="105"/>
        <v>4.8037328196456117E-5</v>
      </c>
      <c r="V32" s="165">
        <f t="shared" si="106"/>
        <v>4.6815362646508104E-5</v>
      </c>
      <c r="W32" s="165">
        <f t="shared" si="107"/>
        <v>4.5830768926702143E-5</v>
      </c>
      <c r="X32" s="165">
        <f t="shared" si="108"/>
        <v>4.4441884551707661E-5</v>
      </c>
      <c r="Y32" s="165">
        <f t="shared" si="109"/>
        <v>4.3754959626062934E-5</v>
      </c>
      <c r="Z32" s="165">
        <f t="shared" si="110"/>
        <v>4.274993390175942E-5</v>
      </c>
      <c r="AA32" s="165">
        <f t="shared" si="111"/>
        <v>4.1737241493531251E-5</v>
      </c>
      <c r="AB32" s="165">
        <f t="shared" si="112"/>
        <v>4.0774534783372831E-5</v>
      </c>
      <c r="AC32" s="186">
        <f t="shared" si="8"/>
        <v>4.5381517398781572E-5</v>
      </c>
      <c r="AD32" s="183">
        <f t="shared" si="9"/>
        <v>4.4630230977788075E-5</v>
      </c>
      <c r="AE32" s="183">
        <f t="shared" si="10"/>
        <v>4.3076293849019985E-5</v>
      </c>
      <c r="AF32" s="183">
        <f t="shared" si="11"/>
        <v>4.1806240352620767E-5</v>
      </c>
      <c r="AG32" s="183">
        <f t="shared" si="12"/>
        <v>4.004587181099388E-5</v>
      </c>
      <c r="AH32" s="183">
        <f t="shared" si="13"/>
        <v>3.9163750264799747E-5</v>
      </c>
      <c r="AI32" s="183">
        <f t="shared" si="14"/>
        <v>3.7902073039130432E-5</v>
      </c>
      <c r="AJ32" s="183">
        <f t="shared" si="15"/>
        <v>3.6606557598555844E-5</v>
      </c>
      <c r="AK32" s="183">
        <f t="shared" si="16"/>
        <v>3.5410972813405123E-5</v>
      </c>
      <c r="AL32" s="186">
        <f t="shared" si="113"/>
        <v>3.7726716639954083E-2</v>
      </c>
      <c r="AM32" s="183">
        <f t="shared" si="114"/>
        <v>3.7392756013724229E-2</v>
      </c>
      <c r="AN32" s="183">
        <f t="shared" si="115"/>
        <v>3.6676377579256896E-2</v>
      </c>
      <c r="AO32" s="183">
        <f t="shared" si="116"/>
        <v>3.6096584080111759E-2</v>
      </c>
      <c r="AP32" s="183">
        <f t="shared" si="117"/>
        <v>3.5261739360970969E-2</v>
      </c>
      <c r="AQ32" s="183">
        <f t="shared" si="118"/>
        <v>3.4845917789103356E-2</v>
      </c>
      <c r="AR32" s="183">
        <f t="shared" si="119"/>
        <v>3.4227472811520762E-2</v>
      </c>
      <c r="AS32" s="183">
        <f t="shared" si="120"/>
        <v>3.3599585059604066E-2</v>
      </c>
      <c r="AT32" s="183">
        <f t="shared" si="121"/>
        <v>3.2996766545883294E-2</v>
      </c>
      <c r="AU32" s="186">
        <f>_xlfn.FORECAST.LINEAR(Sheet3!DF32,Sheet2!$AH$2:$AH$40,Sheet2!$AG$2:$AG$40)</f>
        <v>4.852675892229126E-2</v>
      </c>
      <c r="AV32" s="183">
        <f>_xlfn.FORECAST.LINEAR(Sheet3!BZ32,Sheet2!$AH$2:$AH$40,Sheet2!$AG$2:$AG$40)</f>
        <v>4.755650853835771E-2</v>
      </c>
      <c r="AW32" s="183">
        <f>_xlfn.FORECAST.LINEAR(Sheet3!CA32,Sheet2!$AH$2:$AH$40,Sheet2!$AG$2:$AG$40)</f>
        <v>4.5494104951686376E-2</v>
      </c>
      <c r="AX32" s="183">
        <f>_xlfn.FORECAST.LINEAR(Sheet3!CB32,Sheet2!$AH$2:$AH$40,Sheet2!$AG$2:$AG$40)</f>
        <v>4.3811727266180864E-2</v>
      </c>
      <c r="AY32" s="183">
        <f>_xlfn.FORECAST.LINEAR(Sheet3!CC32,Sheet2!$AH$2:$AH$40,Sheet2!$AG$2:$AG$40)</f>
        <v>4.1406062362770356E-2</v>
      </c>
      <c r="AZ32" s="183">
        <f>_xlfn.FORECAST.LINEAR(Sheet3!CD32,Sheet2!$AH$2:$AH$40,Sheet2!$AG$2:$AG$40)</f>
        <v>4.0201647281127656E-2</v>
      </c>
      <c r="BA32" s="183">
        <f>_xlfn.FORECAST.LINEAR(Sheet3!CE32,Sheet2!$AH$2:$AH$40,Sheet2!$AG$2:$AG$40)</f>
        <v>3.8421495953906697E-2</v>
      </c>
      <c r="BB32" s="183">
        <f>_xlfn.FORECAST.LINEAR(Sheet3!CF32,Sheet2!$AH$2:$AH$40,Sheet2!$AG$2:$AG$40)</f>
        <v>3.6605363455290515E-2</v>
      </c>
      <c r="BC32" s="183">
        <f>_xlfn.FORECAST.LINEAR(Sheet3!CG32,Sheet2!$AH$2:$AH$40,Sheet2!$AG$2:$AG$40)</f>
        <v>3.4868702343023611E-2</v>
      </c>
      <c r="BD32" s="186">
        <f>_xlfn.FORECAST.LINEAR(Sheet3!DF32,Sheet2!$AB$12:$AB$37,Sheet2!$AA$12:$AA$37)/1000</f>
        <v>3.5620234805423978E-2</v>
      </c>
      <c r="BE32" s="183">
        <f>_xlfn.FORECAST.LINEAR(Sheet3!BZ32,Sheet2!$AB$12:$AB$37,Sheet2!$AA$12:$AA$37)/1000</f>
        <v>3.540330927750563E-2</v>
      </c>
      <c r="BF32" s="183">
        <f>_xlfn.FORECAST.LINEAR(Sheet3!CA32,Sheet2!$AB$12:$AB$37,Sheet2!$AA$12:$AA$37)/1000</f>
        <v>3.4942203573011497E-2</v>
      </c>
      <c r="BG32" s="183">
        <f>_xlfn.FORECAST.LINEAR(Sheet3!CB32,Sheet2!$AB$12:$AB$37,Sheet2!$AA$12:$AA$37)/1000</f>
        <v>3.4566062863737285E-2</v>
      </c>
      <c r="BH32" s="183">
        <f>_xlfn.FORECAST.LINEAR(Sheet3!CC32,Sheet2!$AB$12:$AB$37,Sheet2!$AA$12:$AA$37)/1000</f>
        <v>3.4028211874128488E-2</v>
      </c>
      <c r="BI32" s="183">
        <f>_xlfn.FORECAST.LINEAR(Sheet3!CD32,Sheet2!$AB$12:$AB$37,Sheet2!$AA$12:$AA$37)/1000</f>
        <v>3.3758932539902461E-2</v>
      </c>
      <c r="BJ32" s="183">
        <f>_xlfn.FORECAST.LINEAR(Sheet3!CE32,Sheet2!$AB$12:$AB$37,Sheet2!$AA$12:$AA$37)/1000</f>
        <v>3.3360931907461165E-2</v>
      </c>
      <c r="BK32" s="183">
        <f>_xlfn.FORECAST.LINEAR(Sheet3!CF32,Sheet2!$AB$12:$AB$37,Sheet2!$AA$12:$AA$37)/1000</f>
        <v>3.2954886717935145E-2</v>
      </c>
      <c r="BL32" s="183">
        <f>_xlfn.FORECAST.LINEAR(Sheet3!CG32,Sheet2!$AB$12:$AB$37,Sheet2!$AA$12:$AA$37)/1000</f>
        <v>3.2566609490910031E-2</v>
      </c>
      <c r="BM32" s="186">
        <f t="shared" si="122"/>
        <v>0.74218140045617875</v>
      </c>
      <c r="BN32" s="183">
        <f t="shared" si="123"/>
        <v>0.74856037916478291</v>
      </c>
      <c r="BO32" s="183">
        <f t="shared" si="124"/>
        <v>0.76264775489426251</v>
      </c>
      <c r="BP32" s="183">
        <f t="shared" si="125"/>
        <v>0.77440365678096346</v>
      </c>
      <c r="BQ32" s="183">
        <f t="shared" si="126"/>
        <v>0.79203671802053122</v>
      </c>
      <c r="BR32" s="183">
        <f t="shared" si="127"/>
        <v>0.80107817533531744</v>
      </c>
      <c r="BS32" s="183">
        <f t="shared" si="128"/>
        <v>0.81500798739634095</v>
      </c>
      <c r="BT32" s="183">
        <f t="shared" si="129"/>
        <v>0.82953029343750873</v>
      </c>
      <c r="BU32" s="183">
        <f t="shared" si="130"/>
        <v>0.8440891226595082</v>
      </c>
      <c r="BV32" s="186">
        <f t="shared" si="131"/>
        <v>1.1201080814457005</v>
      </c>
      <c r="BW32" s="183">
        <f t="shared" si="19"/>
        <v>1.1192613442348789</v>
      </c>
      <c r="BX32" s="183">
        <f t="shared" si="20"/>
        <v>1.116411002988865</v>
      </c>
      <c r="BY32" s="183">
        <f t="shared" si="21"/>
        <v>1.1149556617442735</v>
      </c>
      <c r="BZ32" s="183">
        <f t="shared" si="22"/>
        <v>1.1117334236061913</v>
      </c>
      <c r="CA32" s="183">
        <f t="shared" si="23"/>
        <v>1.110689676344055</v>
      </c>
      <c r="CB32" s="183">
        <f t="shared" si="24"/>
        <v>1.1080261368786151</v>
      </c>
      <c r="CC32" s="183">
        <f t="shared" si="25"/>
        <v>1.1064779732902299</v>
      </c>
      <c r="CD32" s="183">
        <f t="shared" si="26"/>
        <v>1.1039393712602403</v>
      </c>
      <c r="CE32" s="187">
        <f xml:space="preserve"> -0.0000000019505*Sheet3!DF32^3 + 0.0000015497*Sheet3!DF32^2  + 0.00016911*Sheet3!DF32 + 1.8585</f>
        <v>1.9251003515625</v>
      </c>
      <c r="CF32" s="185">
        <f xml:space="preserve"> -0.0000000019505*Sheet3!BZ32^3 + 0.0000015497*Sheet3!BZ32^2  + 0.00016911*Sheet3!BZ32 + 1.8585</f>
        <v>1.9230759469822361</v>
      </c>
      <c r="CG32" s="185">
        <f xml:space="preserve"> -0.0000000019505*Sheet3!CA32^3 + 0.0000015497*Sheet3!CA32^2  + 0.00016911*Sheet3!CA32 + 1.8585</f>
        <v>1.9188266704527397</v>
      </c>
      <c r="CH32" s="185">
        <f xml:space="preserve"> -0.0000000019505*Sheet3!CB32^3 + 0.0000015497*Sheet3!CB32^2  + 0.00016911*Sheet3!CB32 + 1.8585</f>
        <v>1.9154181832245509</v>
      </c>
      <c r="CI32" s="185">
        <f xml:space="preserve"> -0.0000000019505*Sheet3!CC32^3 + 0.0000015497*Sheet3!CC32^2  + 0.00016911*Sheet3!CC32 + 1.8585</f>
        <v>1.9106417365108197</v>
      </c>
      <c r="CJ32" s="185">
        <f xml:space="preserve"> -0.0000000019505*Sheet3!CD32^3 + 0.0000015497*Sheet3!CD32^2  + 0.00016911*Sheet3!CD32 + 1.8585</f>
        <v>1.9082961750288452</v>
      </c>
      <c r="CK32" s="185">
        <f xml:space="preserve"> -0.0000000019505*Sheet3!CE32^3 + 0.0000015497*Sheet3!CE32^2  + 0.00016911*Sheet3!CE32 + 1.8585</f>
        <v>1.9048887570843491</v>
      </c>
      <c r="CL32" s="185">
        <f xml:space="preserve"> -0.0000000019505*Sheet3!CF32^3 + 0.0000015497*Sheet3!CF32^2  + 0.00016911*Sheet3!CF32 + 1.8585</f>
        <v>1.9014891798744817</v>
      </c>
      <c r="CM32" s="185">
        <f xml:space="preserve"> -0.0000000019505*Sheet3!CG32^3 + 0.0000015497*Sheet3!CG32^2  + 0.00016911*Sheet3!CG32 + 1.8585</f>
        <v>1.8983147420978419</v>
      </c>
      <c r="CN32" s="186">
        <f>_xlfn.FORECAST.LINEAR(Sheet3!DF32,New!$LU$2:$LU$14,New!$LT$2:$LT$14)</f>
        <v>1.0294557987748898</v>
      </c>
      <c r="CO32" s="183">
        <f>_xlfn.FORECAST.LINEAR(Sheet3!BZ32,New!$LU$2:$LU$14,New!$LT$2:$LT$14)</f>
        <v>1.0287416817633295</v>
      </c>
      <c r="CP32" s="183">
        <f>_xlfn.FORECAST.LINEAR(Sheet3!CA32,New!$LU$2:$LU$14,New!$LT$2:$LT$14)</f>
        <v>1.0272237256662917</v>
      </c>
      <c r="CQ32" s="183">
        <f>_xlfn.FORECAST.LINEAR(Sheet3!CB32,New!$LU$2:$LU$14,New!$LT$2:$LT$14)</f>
        <v>1.0259854736181775</v>
      </c>
      <c r="CR32" s="183">
        <f>_xlfn.FORECAST.LINEAR(Sheet3!CC32,New!$LU$2:$LU$14,New!$LT$2:$LT$14)</f>
        <v>1.0242148726886788</v>
      </c>
      <c r="CS32" s="183">
        <f>_xlfn.FORECAST.LINEAR(Sheet3!CD32,New!$LU$2:$LU$14,New!$LT$2:$LT$14)</f>
        <v>1.0233284073875324</v>
      </c>
      <c r="CT32" s="183">
        <f>_xlfn.FORECAST.LINEAR(Sheet3!CE32,New!$LU$2:$LU$14,New!$LT$2:$LT$14)</f>
        <v>1.0220181926563963</v>
      </c>
      <c r="CU32" s="183">
        <f>_xlfn.FORECAST.LINEAR(Sheet3!CF32,New!$LU$2:$LU$14,New!$LT$2:$LT$14)</f>
        <v>1.0206814953110661</v>
      </c>
      <c r="CV32" s="183">
        <f>_xlfn.FORECAST.LINEAR(Sheet3!CG32,New!$LU$2:$LU$14,New!$LT$2:$LT$14)</f>
        <v>1.0194032899486962</v>
      </c>
      <c r="CW32" s="186">
        <f>EXP((17.625*Sheet3!BA32)/(243.04+Sheet3!BA32)) / EXP((17.625*Sheet3!DF32)/(243.04+Sheet3!DF32))</f>
        <v>1.4469037281489674E-2</v>
      </c>
      <c r="CX32" s="183">
        <f>EXP((17.625*(Sheet3!BC32+273))/(243.04+(Sheet3!BC32+273)))/EXP((17.625*(Sheet3!BZ32+273))/(243.04+(Sheet3!BZ32+273)))</f>
        <v>0.27306140687171593</v>
      </c>
      <c r="CY32" s="183">
        <f>EXP((17.625*(Sheet3!BE32+273))/(243.04+(Sheet3!BE32+273))) / EXP((17.625*(Sheet3!CA32+273))/(243.04+(Sheet3!CA32+273)))</f>
        <v>0.29390417750769621</v>
      </c>
      <c r="CZ32" s="183">
        <f>EXP((17.625*(Sheet3!BG32+273))/(243.04+(Sheet3!BG32+273))) / EXP((17.625*(Sheet3!CB32+273))/(243.04+(Sheet3!CB32+273)))</f>
        <v>0.31185414457189925</v>
      </c>
      <c r="DA32" s="183">
        <f>EXP((17.625*(Sheet3!BI32+273))/(243.04+(Sheet3!BI32+273))) / EXP((17.625*(Sheet3!CC32+273))/(243.04+(Sheet3!CC32+273)))</f>
        <v>0.34012394790648742</v>
      </c>
      <c r="DB32" s="183">
        <f>EXP((17.625*(Sheet3!BK32+273))/(243.04+(Sheet3!BK32+273)))/EXP((17.625*(Sheet3!CD32+273))/(243.04+(Sheet3!CD32+273)))</f>
        <v>0.35629842009838142</v>
      </c>
      <c r="DC32" s="183">
        <f>EXP((17.625*(Sheet3!BM32+273))/(243.04+(Sheet3!BM32+273))) / EXP((17.625*(Sheet3!CE32+273))/(243.04+(Sheet3!CE32+273)))</f>
        <v>0.38050205521950825</v>
      </c>
      <c r="DD32" s="183">
        <f>EXP((17.625*(Sheet3!BO32+273))/(243.04+(Sheet3!BO32+273))) / EXP((17.625*(Sheet3!CF32+273))/(243.04+(Sheet3!CF32+273)))</f>
        <v>0.40928819979512221</v>
      </c>
      <c r="DE32" s="183">
        <f>EXP((17.625*(Sheet3!BQ32+273))/(243.04+(Sheet3!BQ32+273))) / EXP((17.625*(Sheet3!CG32+273))/(243.04+(Sheet3!CG32+273)))</f>
        <v>0.43773682415401699</v>
      </c>
      <c r="DF32" s="186">
        <f>((Sheet3!DA32-Sheet3!DB32)/New!$LQ$3)/(((Sheet3!DA32-Sheet3!DB32)/New!$LQ$3)+(Sheet3!DB32/New!$LP$3))</f>
        <v>0.8467183110220966</v>
      </c>
      <c r="DG32" s="183">
        <f>((Sheet3!DA32-Sheet3!DB32)/New!$LQ$3)/(((Sheet3!DA32-Sheet3!DB32)/New!$LQ$3)+((Sheet3!DB32-(Sheet3!B32*0.004))/New!$LP$3))</f>
        <v>0.8467183110220966</v>
      </c>
      <c r="DH32" s="183" cm="1">
        <f t="array" ref="DH32">((Sheet3!DA32-Sheet3!DB32)/New!$LQ$3)/(((Sheet3!DA32-Sheet3!DB32)/New!$LQ$3)+((Sheet3!DB32-(SUM(Sheet3!B32:C32*0.004)))/New!$LP$3))</f>
        <v>0.85500105054475672</v>
      </c>
      <c r="DI32" s="183" cm="1">
        <f t="array" ref="DI32">((Sheet3!DA32-Sheet3!DB32)/New!$LQ$3)/(((Sheet3!DA32-Sheet3!DB32)/New!$LQ$3)+((Sheet3!DB32-(SUM(Sheet3!B32:D32*0.004)))/New!$LP$3))</f>
        <v>0.85500105054475672</v>
      </c>
      <c r="DJ32" s="183" cm="1">
        <f t="array" ref="DJ32">((Sheet3!DA32-Sheet3!DB32)/New!$LQ$3)/(((Sheet3!DA32-Sheet3!DB32)/New!$LQ$3)+((Sheet3!DB32-(SUM(Sheet3!B32:E32*0.004)))/New!$LP$3))</f>
        <v>0.86429044484580742</v>
      </c>
      <c r="DK32" s="183" cm="1">
        <f t="array" ref="DK32">((Sheet3!DA32-Sheet3!DB32)/New!$LQ$3)/(((Sheet3!DA32-Sheet3!DB32)/New!$LQ$3)+((Sheet3!DB32-(SUM(Sheet3!B32:F32*0.004)))/New!$LP$3))</f>
        <v>0.86439864181606829</v>
      </c>
      <c r="DL32" s="183" cm="1">
        <f t="array" ref="DL32">((Sheet3!DA32-Sheet3!DB32)/New!$LQ$3)/(((Sheet3!DA32-Sheet3!DB32)/New!$LQ$3)+((Sheet3!DB32-(SUM(Sheet3!B32:G32*0.004)))/New!$LP$3))</f>
        <v>0.87391661854804037</v>
      </c>
      <c r="DM32" s="183" cm="1">
        <f t="array" ref="DM32">((Sheet3!DA32-Sheet3!DB32)/New!$LQ$3)/(((Sheet3!DA32-Sheet3!DB32)/New!$LQ$3)+((Sheet3!DB32-(SUM(Sheet3!B32:H32*0.004)))/New!$LP$3))</f>
        <v>0.87400511284238569</v>
      </c>
      <c r="DN32" s="183" cm="1">
        <f t="array" ref="DN32">((Sheet3!DA32-Sheet3!DB32)/New!$LQ$3)/(((Sheet3!DA32-Sheet3!DB32)/New!$LQ$3)+((Sheet3!DB32-(SUM(Sheet3!B32:I32*0.004)))/New!$LP$3))</f>
        <v>0.88319443392530883</v>
      </c>
      <c r="DO32" s="186">
        <f>(Sheet3!DB32/$LP$3) / ((Sheet3!DB32/$LP$3) + ((Sheet3!DA32-Sheet3!DB32)/$LQ$3))</f>
        <v>0.15328168897790329</v>
      </c>
      <c r="DP32" s="183">
        <f>((Sheet3!$DB32-(Sheet3!B32/4000)) / $LP$3) / (((Sheet3!$DA32-Sheet3!DB32) / $LQ$3) + (Sheet3!$DB32-((Sheet3!B32/4000)))/$LP$3)</f>
        <v>0.15328168897790329</v>
      </c>
      <c r="DQ32" s="183">
        <f>((Sheet3!$DB32-(SUM(Sheet3!B32:C32)/4000))/$LP$3)/(((Sheet3!$DA32-Sheet3!$DB32)/$LQ$3)+(Sheet3!$DB32-(SUM(Sheet3!B32:C32)/4000))/$LP$3)</f>
        <v>0.15276872206501801</v>
      </c>
      <c r="DR32" s="183">
        <f>((Sheet3!$DB32-(SUM(Sheet3!B32:D32)/4000))/$LP$3)/(((Sheet3!$DA32-Sheet3!$DB32)/$LQ$3)+(Sheet3!$DB32-(SUM(Sheet3!B32:D32)/4000))/$LP$3)</f>
        <v>0.15276872206501801</v>
      </c>
      <c r="DS32" s="183">
        <f>((Sheet3!$DB32-(SUM(Sheet3!B32:E32)/4000))/$LP$3)/(((Sheet3!$DA32-Sheet3!$DB32)/$LQ$3)+(Sheet3!$DB32-(SUM(Sheet3!B32:E32)/4000))/$LP$3)</f>
        <v>0.15220439068723321</v>
      </c>
      <c r="DT32" s="183">
        <f>((Sheet3!$DB32-(SUM(Sheet3!B32:F32)/4000))/$LP$3)/(((Sheet3!$DA32-Sheet3!$DB32)/$LQ$3)+(Sheet3!$DB32-(SUM(Sheet3!B32:F32)/4000))/$LP$3)</f>
        <v>0.15219788479315283</v>
      </c>
      <c r="DU32" s="183">
        <f>((Sheet3!$DB32-(SUM(Sheet3!B32:G32)/4000))/$LP$3)/(((Sheet3!$DA32-Sheet3!$DB32)/$LQ$3)+(Sheet3!$DB32-(SUM(Sheet3!B32:G32)/4000))/$LP$3)</f>
        <v>0.15163148952283248</v>
      </c>
      <c r="DV32" s="183">
        <f>((Sheet3!$DB32-(SUM(Sheet3!B32:H32)/4000))/$LP$3)/(((Sheet3!$DA32-Sheet3!$DB32)/$LQ$3)+(Sheet3!$DB32-(SUM(Sheet3!B32:H32)/4000))/$LP$3)</f>
        <v>0.15162627777895582</v>
      </c>
      <c r="DW32" s="183">
        <f>((Sheet3!$DB32-(SUM(Sheet3!B32:I32)/4000))/$LP$3)/(((Sheet3!$DA32-Sheet3!$DB32)/$LQ$3)+(Sheet3!$DB32-(SUM(Sheet3!B32:I32)/4000))/$LP$3)</f>
        <v>0.15109042956807223</v>
      </c>
      <c r="DX32" s="186">
        <f>($LR$2*($LP$3/1000))/($LP$2*(Sheet3!DF32+273))*DO32</f>
        <v>7.5119574944957343E-2</v>
      </c>
      <c r="DY32" s="183">
        <f>(($LR$2*($LP$3/1000))/($LP$2*(Sheet3!BZ32+273)))*(DP32)</f>
        <v>7.5765220563237132E-2</v>
      </c>
      <c r="DZ32" s="183">
        <f>(($LR$2*($LP$3/1000))/($LP$2*(Sheet3!CA32+273)))*(DQ32)</f>
        <v>7.6916914785003135E-2</v>
      </c>
      <c r="EA32" s="183">
        <f>(($LR$2*($LP$3/1000))/($LP$2*(Sheet3!CB32+273)))*(DR32)</f>
        <v>7.8102557433050515E-2</v>
      </c>
      <c r="EB32" s="183">
        <f>(($LR$2*($LP$3/1000))/($LP$2*(Sheet3!CC32+273)))*(DS32)</f>
        <v>7.9567849301503096E-2</v>
      </c>
      <c r="EC32" s="183">
        <f>(($LR$2*($LP$3/1000))/($LP$2*(Sheet3!CD32+273)))*(DT32)</f>
        <v>8.0472502431508053E-2</v>
      </c>
      <c r="ED32" s="183">
        <f>(($LR$2*($LP$3/1000))/($LP$2*(Sheet3!CE32+273)))*(DU32)</f>
        <v>8.1548622272562751E-2</v>
      </c>
      <c r="EE32" s="183">
        <f>(($LR$2*($LP$3/1000))/($LP$2*(Sheet3!CF32+273)))*(DV32)</f>
        <v>8.299867874316294E-2</v>
      </c>
      <c r="EF32" s="183">
        <f>(($LR$2*($LP$3/1000))/($LP$2*(Sheet3!CG32+273)))*(DW32)</f>
        <v>8.4138821821193407E-2</v>
      </c>
      <c r="EG32" s="186">
        <f>(($LR$2*($LQ$3/1000))/($LQ$2*(Sheet3!DF32+273)))*(1-DO32)</f>
        <v>0.6670618255112214</v>
      </c>
      <c r="EH32" s="183">
        <f>(($LR$2*($LQ$3/1000))/($LQ$2*(Sheet3!BZ32+273)))*(1-DP32)</f>
        <v>0.67279515860154582</v>
      </c>
      <c r="EI32" s="183">
        <f>(($LR$2*($LQ$3/1000))/($LQ$2*(Sheet3!CA32+273)))*(1-DQ32)</f>
        <v>0.68573084010925933</v>
      </c>
      <c r="EJ32" s="183">
        <f>(($LR$2*($LQ$3/1000))/($LQ$2*(Sheet3!CB32+273)))*(1-DR32)</f>
        <v>0.69630109934791296</v>
      </c>
      <c r="EK32" s="183">
        <f>(($LR$2*($LQ$3/1000))/($LQ$2*(Sheet3!CC32+273)))*(1-DS32)</f>
        <v>0.71246886871902815</v>
      </c>
      <c r="EL32" s="183">
        <f>(($LR$2*($LQ$3/1000))/($LQ$2*(Sheet3!CD32+273)))*(1-DT32)</f>
        <v>0.72060567290380939</v>
      </c>
      <c r="EM32" s="183">
        <f>(($LR$2*($LQ$3/1000))/($LQ$2*(Sheet3!CE32+273)))*(1-DU32)</f>
        <v>0.73345936512377818</v>
      </c>
      <c r="EN32" s="183">
        <f>(($LR$2*($LQ$3/1000))/($LQ$2*(Sheet3!CF32+273)))*(1-DV32)</f>
        <v>0.74653161469434581</v>
      </c>
      <c r="EO32" s="183">
        <f>(($LR$2*($LQ$3/1000))/($LQ$2*(Sheet3!CG32+273)))*(1-DW32)</f>
        <v>0.75995030083831483</v>
      </c>
      <c r="EP32" s="186">
        <f t="shared" si="132"/>
        <v>4847.9278924929786</v>
      </c>
      <c r="EQ32" s="183">
        <f xml:space="preserve"> (($FV32-(Sheet3!B32/4000))*0.018)/(0.011*JO32*3600)</f>
        <v>4880.7847308486353</v>
      </c>
      <c r="ER32" s="183">
        <f>((($FV32-(SUM(Sheet3!B32:C32)/4000))*0.018)/(0.011*JP32*3600))</f>
        <v>4949.1030438744674</v>
      </c>
      <c r="ES32" s="183">
        <f>((($FV32-(SUM(Sheet3!B32:D32)/4000))*0.018)/(0.011*JQ32*3600))</f>
        <v>5008.8505205428237</v>
      </c>
      <c r="ET32" s="183">
        <f>((($FV32-(SUM(Sheet3!B32:E32)/4000))*0.018)/(0.011*JR32))/3600</f>
        <v>5093.3945533593651</v>
      </c>
      <c r="EU32" s="183">
        <f>((($FV32-(SUM(Sheet3!B32:F32)/4000))*0.018)/(0.011*JS32))/3600</f>
        <v>5138.5682308230062</v>
      </c>
      <c r="EV32" s="183">
        <f>((($FV32-(SUM(Sheet3!B32:G32)/4000))*0.018)/(0.011*JT32))/3600</f>
        <v>5203.3220647900635</v>
      </c>
      <c r="EW32" s="183">
        <f>((($FV32-(SUM(Sheet3!B32:H32)/4000))*0.018)/(0.011*JU32))/3600</f>
        <v>5274.8675278952314</v>
      </c>
      <c r="EX32" s="183">
        <f>((($FV32-(SUM(Sheet3!B32:I32)/4000))*0.018)/(0.011*JV32))/3600</f>
        <v>5341.7005177356032</v>
      </c>
      <c r="EY32" s="186">
        <f t="shared" si="133"/>
        <v>49.511102196311334</v>
      </c>
      <c r="EZ32" s="183">
        <f t="shared" si="134"/>
        <v>49.746961445999268</v>
      </c>
      <c r="FA32" s="183">
        <f t="shared" si="135"/>
        <v>50.229597634592992</v>
      </c>
      <c r="FB32" s="183">
        <f t="shared" si="136"/>
        <v>50.658718489644222</v>
      </c>
      <c r="FC32" s="183">
        <f t="shared" si="137"/>
        <v>51.257112102859971</v>
      </c>
      <c r="FD32" s="183">
        <f t="shared" si="138"/>
        <v>51.581805860070602</v>
      </c>
      <c r="FE32" s="183">
        <f t="shared" si="139"/>
        <v>52.037977969702801</v>
      </c>
      <c r="FF32" s="183">
        <f t="shared" si="140"/>
        <v>52.552966514309993</v>
      </c>
      <c r="FG32" s="183">
        <f t="shared" si="141"/>
        <v>53.024898613858944</v>
      </c>
      <c r="FH32" s="186">
        <f t="shared" si="28"/>
        <v>103.77174017178034</v>
      </c>
      <c r="FI32" s="183">
        <f t="shared" si="29"/>
        <v>103.34311065413314</v>
      </c>
      <c r="FJ32" s="183">
        <f t="shared" si="30"/>
        <v>102.34664936113788</v>
      </c>
      <c r="FK32" s="183">
        <f t="shared" si="31"/>
        <v>101.58926063067527</v>
      </c>
      <c r="FL32" s="183">
        <f t="shared" si="32"/>
        <v>100.4119404092844</v>
      </c>
      <c r="FM32" s="183">
        <f t="shared" si="33"/>
        <v>99.85640924519501</v>
      </c>
      <c r="FN32" s="183">
        <f t="shared" si="34"/>
        <v>98.951582006917732</v>
      </c>
      <c r="FO32" s="183">
        <f t="shared" si="35"/>
        <v>98.097659362893495</v>
      </c>
      <c r="FP32" s="183">
        <f t="shared" si="36"/>
        <v>97.202788926701913</v>
      </c>
      <c r="FQ32" s="314">
        <f>Sheet3!CV32</f>
        <v>2</v>
      </c>
      <c r="FR32" s="183">
        <v>5000</v>
      </c>
      <c r="FS32" s="183">
        <v>10</v>
      </c>
      <c r="FT32" s="183">
        <v>0.111646408839779</v>
      </c>
      <c r="FU32" s="183">
        <v>26.8</v>
      </c>
      <c r="FV32" s="183">
        <v>247</v>
      </c>
      <c r="FW32" s="183">
        <v>25</v>
      </c>
      <c r="FX32" s="183">
        <v>499.5</v>
      </c>
      <c r="FY32" s="183">
        <v>8.74</v>
      </c>
      <c r="FZ32" s="183">
        <v>14.84</v>
      </c>
      <c r="GA32" s="183">
        <v>175</v>
      </c>
      <c r="GB32" s="186">
        <f>EXP($LP$6-($LQ$6/('Trial and Error method'!T32+$LP$8))) / ($LR$2/1000)</f>
        <v>4.8403582877151817E-2</v>
      </c>
      <c r="GC32" s="183">
        <f>EXP($LP$6-($LQ$6/('Trial and Error method'!U32+$LP$8))) / ($LR$2/1000)</f>
        <v>6.7911676312201741E-2</v>
      </c>
      <c r="GD32" s="183">
        <f>EXP($LP$6-($LQ$6/('Trial and Error method'!V32+$LP$8))) / ($LR$2/1000)</f>
        <v>6.3347955001009121E-2</v>
      </c>
      <c r="GE32" s="183">
        <f>EXP($LP$6-($LQ$6/('Trial and Error method'!W32+$LP$8))) / ($LR$2/1000)</f>
        <v>5.9524377889280923E-2</v>
      </c>
      <c r="GF32" s="183">
        <f>EXP($LP$6-($LQ$6/('Trial and Error method'!X32+$LP$8))) / ($LR$2/1000)</f>
        <v>5.5174548306965679E-2</v>
      </c>
      <c r="GG32" s="183">
        <f>EXP($LP$6-($LQ$6/('Trial and Error method'!Y32+$LP$8))) / ($LR$2/1000)</f>
        <v>5.2083834985940387E-2</v>
      </c>
      <c r="GH32" s="183">
        <f>EXP($LP$6-($LQ$6/('Trial and Error method'!Z32+$LP$8))) / ($LR$2/1000)</f>
        <v>4.8699562648415025E-2</v>
      </c>
      <c r="GI32" s="183">
        <f>EXP($LP$6-($LQ$6/('Trial and Error method'!AA32+$LP$8))) / ($LR$2/1000)</f>
        <v>4.5770948011595342E-2</v>
      </c>
      <c r="GJ32" s="183">
        <f>EXP($LP$6-($LQ$6/('Trial and Error method'!AB32+$LP$8))) / ($LR$2/1000)</f>
        <v>4.304150264998325E-2</v>
      </c>
      <c r="GK32" s="188">
        <f t="shared" si="142"/>
        <v>0.89813701881577146</v>
      </c>
      <c r="GL32" s="165">
        <f t="shared" si="143"/>
        <v>0.88872003895472051</v>
      </c>
      <c r="GM32" s="165">
        <f t="shared" si="144"/>
        <v>0.89119409403187233</v>
      </c>
      <c r="GN32" s="165">
        <f t="shared" si="145"/>
        <v>0.89304227824059479</v>
      </c>
      <c r="GO32" s="165">
        <f t="shared" si="146"/>
        <v>0.8954345174085161</v>
      </c>
      <c r="GP32" s="165">
        <f t="shared" si="147"/>
        <v>0.89692811581668719</v>
      </c>
      <c r="GQ32" s="165">
        <f t="shared" si="148"/>
        <v>0.89885241923934278</v>
      </c>
      <c r="GR32" s="165">
        <f t="shared" si="149"/>
        <v>0.90026439825900395</v>
      </c>
      <c r="GS32" s="165">
        <f t="shared" si="150"/>
        <v>0.90185553719046685</v>
      </c>
      <c r="GT32" s="188">
        <f t="shared" si="38"/>
        <v>6.7187569343674883E-2</v>
      </c>
      <c r="GU32" s="165">
        <f t="shared" si="39"/>
        <v>6.787667620483491E-2</v>
      </c>
      <c r="GV32" s="165">
        <f t="shared" si="40"/>
        <v>6.7641459686731506E-2</v>
      </c>
      <c r="GW32" s="165">
        <f t="shared" si="41"/>
        <v>6.7478369283555426E-2</v>
      </c>
      <c r="GX32" s="165">
        <f t="shared" si="42"/>
        <v>6.725786084091713E-2</v>
      </c>
      <c r="GY32" s="165">
        <f t="shared" si="43"/>
        <v>6.7136179626979736E-2</v>
      </c>
      <c r="GZ32" s="165">
        <f t="shared" si="44"/>
        <v>6.6968161544676719E-2</v>
      </c>
      <c r="HA32" s="165">
        <f t="shared" si="45"/>
        <v>6.6858722329305481E-2</v>
      </c>
      <c r="HB32" s="165">
        <f t="shared" si="46"/>
        <v>6.6721582866575993E-2</v>
      </c>
      <c r="HC32" s="188">
        <f>BV32*Sheet3!DF32</f>
        <v>196.01891425299758</v>
      </c>
      <c r="HD32" s="165">
        <f>BW32*Sheet3!BZ32</f>
        <v>191.59772597108673</v>
      </c>
      <c r="HE32" s="165">
        <f>BX32*Sheet3!CA32</f>
        <v>182.05004683364444</v>
      </c>
      <c r="HF32" s="165">
        <f>BY32*Sheet3!CB32</f>
        <v>174.43199352689393</v>
      </c>
      <c r="HG32" s="165">
        <f>BZ32*Sheet3!CC32</f>
        <v>163.40452557004164</v>
      </c>
      <c r="HH32" s="165">
        <f>CA32*Sheet3!CD32</f>
        <v>157.98745863692497</v>
      </c>
      <c r="HI32" s="165">
        <f>CB32*Sheet3!CE32</f>
        <v>149.84745117642981</v>
      </c>
      <c r="HJ32" s="165">
        <f>CC32*Sheet3!CF32</f>
        <v>141.73113366193513</v>
      </c>
      <c r="HK32" s="165">
        <f>CD32*Sheet3!CG32</f>
        <v>133.86235596244322</v>
      </c>
      <c r="HL32" s="188">
        <f>(CE32*Sheet3!DF32)+2501</f>
        <v>2837.8925615234375</v>
      </c>
      <c r="HM32" s="165">
        <f>(CF32*Sheet3!BZ32)+2501</f>
        <v>2830.1965546825577</v>
      </c>
      <c r="HN32" s="165">
        <f>(CG32*Sheet3!CA32)+2501</f>
        <v>2813.8977449043032</v>
      </c>
      <c r="HO32" s="165">
        <f>(CH32*Sheet3!CB32)+2501</f>
        <v>2800.6623306211359</v>
      </c>
      <c r="HP32" s="165">
        <f>(CI32*Sheet3!CC32)+2501</f>
        <v>2781.829468521461</v>
      </c>
      <c r="HQ32" s="165">
        <f>(CJ32*Sheet3!CD32)+2501</f>
        <v>2772.4411319746355</v>
      </c>
      <c r="HR32" s="165">
        <f>(CK32*Sheet3!CE32)+2501</f>
        <v>2758.6137110157333</v>
      </c>
      <c r="HS32" s="165">
        <f>(CL32*Sheet3!CF32)+2501</f>
        <v>2744.5658220182422</v>
      </c>
      <c r="HT32" s="165">
        <f>(CM32*Sheet3!CG32)+2501</f>
        <v>2731.1873548049684</v>
      </c>
      <c r="HU32" s="188">
        <f>-0.0021*(Sheet3!DF32^2) - 2.2115*(Sheet3!DF32) + 2499</f>
        <v>2047.675</v>
      </c>
      <c r="HV32" s="165">
        <f>-0.0021*(Sheet3!BZ32^2) - 2.2115*(Sheet3!BZ32) + 2499</f>
        <v>2058.8932596094037</v>
      </c>
      <c r="HW32" s="165">
        <f>-0.0021*(Sheet3!CA32^2) - 2.2115*(Sheet3!CA32) + 2499</f>
        <v>2082.5358933982761</v>
      </c>
      <c r="HX32" s="165">
        <f>-0.0021*(Sheet3!CB32^2) - 2.2115*(Sheet3!CB32) + 2499</f>
        <v>2101.6172144781954</v>
      </c>
      <c r="HY32" s="165">
        <f>-0.0021*(Sheet3!CC32^2) - 2.2115*(Sheet3!CC32) + 2499</f>
        <v>2128.5822230744116</v>
      </c>
      <c r="HZ32" s="165">
        <f>-0.0021*(Sheet3!CD32^2) - 2.2115*(Sheet3!CD32) + 2499</f>
        <v>2141.9410995973681</v>
      </c>
      <c r="IA32" s="165">
        <f>-0.0021*(Sheet3!CE32^2) - 2.2115*(Sheet3!CE32) + 2499</f>
        <v>2161.513065045292</v>
      </c>
      <c r="IB32" s="165">
        <f>-0.0021*(Sheet3!CF32^2) - 2.2115*(Sheet3!CF32) + 2499</f>
        <v>2181.268274629871</v>
      </c>
      <c r="IC32" s="165">
        <f>-0.0021*(Sheet3!CG32^2) - 2.2115*(Sheet3!CG32) + 2499</f>
        <v>2199.9584193964033</v>
      </c>
      <c r="ID32" s="188">
        <f t="shared" si="47"/>
        <v>0.68758919171668353</v>
      </c>
      <c r="IE32" s="165">
        <f t="shared" si="48"/>
        <v>0.6885391644441311</v>
      </c>
      <c r="IF32" s="165">
        <f t="shared" si="49"/>
        <v>0.69025853381953062</v>
      </c>
      <c r="IG32" s="165">
        <f t="shared" si="50"/>
        <v>0.69207638177050668</v>
      </c>
      <c r="IH32" s="165">
        <f t="shared" si="51"/>
        <v>0.69438339779289981</v>
      </c>
      <c r="II32" s="165">
        <f t="shared" si="52"/>
        <v>0.69583491530610431</v>
      </c>
      <c r="IJ32" s="165">
        <f t="shared" si="53"/>
        <v>0.6976065721350827</v>
      </c>
      <c r="IK32" s="165">
        <f t="shared" si="54"/>
        <v>0.70002192309394484</v>
      </c>
      <c r="IL32" s="165">
        <f t="shared" si="55"/>
        <v>0.70198480049957956</v>
      </c>
      <c r="IM32" s="188">
        <f t="shared" si="56"/>
        <v>14.428952179682842</v>
      </c>
      <c r="IN32" s="165">
        <f t="shared" si="151"/>
        <v>11.930530222997852</v>
      </c>
      <c r="IO32" s="165">
        <f t="shared" si="152"/>
        <v>12.596324998958758</v>
      </c>
      <c r="IP32" s="165">
        <f t="shared" si="153"/>
        <v>13.223325683928467</v>
      </c>
      <c r="IQ32" s="165">
        <f t="shared" si="154"/>
        <v>13.891169385109793</v>
      </c>
      <c r="IR32" s="165">
        <f t="shared" si="155"/>
        <v>14.396574802296954</v>
      </c>
      <c r="IS32" s="165">
        <f t="shared" si="156"/>
        <v>14.899659521519682</v>
      </c>
      <c r="IT32" s="165">
        <f t="shared" si="157"/>
        <v>15.437603604099868</v>
      </c>
      <c r="IU32" s="165">
        <f t="shared" si="158"/>
        <v>15.859930185524284</v>
      </c>
      <c r="IV32" s="188">
        <f>_xlfn.FORECAST.LINEAR(Sheet3!DF32,Sheet2!$AK$2:$AK$69,Sheet2!$AJ$2:$AJ$69)</f>
        <v>1.4912542786997764E-5</v>
      </c>
      <c r="IW32" s="165">
        <f>_xlfn.FORECAST.LINEAR(Sheet3!BZ32,Sheet2!$AK$2:$AK$69,Sheet2!$AJ$2:$AJ$69)</f>
        <v>1.4778876120914976E-5</v>
      </c>
      <c r="IX32" s="165">
        <f>_xlfn.FORECAST.LINEAR(Sheet3!CA32,Sheet2!$AK$2:$AK$69,Sheet2!$AJ$2:$AJ$69)</f>
        <v>1.4494748831596197E-5</v>
      </c>
      <c r="IY32" s="165">
        <f>_xlfn.FORECAST.LINEAR(Sheet3!CB32,Sheet2!$AK$2:$AK$69,Sheet2!$AJ$2:$AJ$69)</f>
        <v>1.4262975858312835E-5</v>
      </c>
      <c r="IZ32" s="165">
        <f>_xlfn.FORECAST.LINEAR(Sheet3!CC32,Sheet2!$AK$2:$AK$69,Sheet2!$AJ$2:$AJ$69)</f>
        <v>1.3931559130552716E-5</v>
      </c>
      <c r="JA32" s="165">
        <f>_xlfn.FORECAST.LINEAR(Sheet3!CD32,Sheet2!$AK$2:$AK$69,Sheet2!$AJ$2:$AJ$69)</f>
        <v>1.3765632735460419E-5</v>
      </c>
      <c r="JB32" s="165">
        <f>_xlfn.FORECAST.LINEAR(Sheet3!CE32,Sheet2!$AK$2:$AK$69,Sheet2!$AJ$2:$AJ$69)</f>
        <v>1.3520389964138027E-5</v>
      </c>
      <c r="JC32" s="165">
        <f>_xlfn.FORECAST.LINEAR(Sheet3!CF32,Sheet2!$AK$2:$AK$69,Sheet2!$AJ$2:$AJ$69)</f>
        <v>1.3270190242216291E-5</v>
      </c>
      <c r="JD32" s="165">
        <f>_xlfn.FORECAST.LINEAR(Sheet3!CG32,Sheet2!$AK$2:$AK$69,Sheet2!$AJ$2:$AJ$69)</f>
        <v>1.3030938905822856E-5</v>
      </c>
      <c r="JE32" s="188">
        <f>_xlfn.FORECAST.LINEAR(Sheet3!DF32,New!$MC$2:$MC$18,New!$MB$2:$MB$18)</f>
        <v>2.4612718230474119E-5</v>
      </c>
      <c r="JF32" s="165">
        <f>_xlfn.FORECAST.LINEAR(Sheet3!BZ32,New!$MC$2:$MC$18,New!$MB$2:$MB$18)</f>
        <v>2.4455589838218421E-5</v>
      </c>
      <c r="JG32" s="165">
        <f>_xlfn.FORECAST.LINEAR(Sheet3!CA32,New!$MC$2:$MC$18,New!$MB$2:$MB$18)</f>
        <v>2.4121591351722339E-5</v>
      </c>
      <c r="JH32" s="165">
        <f>_xlfn.FORECAST.LINEAR(Sheet3!CB32,New!$MC$2:$MC$18,New!$MB$2:$MB$18)</f>
        <v>2.3849136627387546E-5</v>
      </c>
      <c r="JI32" s="165">
        <f>_xlfn.FORECAST.LINEAR(Sheet3!CC32,New!$MC$2:$MC$18,New!$MB$2:$MB$18)</f>
        <v>2.345954826459156E-5</v>
      </c>
      <c r="JJ32" s="165">
        <f>_xlfn.FORECAST.LINEAR(Sheet3!CD32,New!$MC$2:$MC$18,New!$MB$2:$MB$18)</f>
        <v>2.3264497782241024E-5</v>
      </c>
      <c r="JK32" s="165">
        <f>_xlfn.FORECAST.LINEAR(Sheet3!CE32,New!$MC$2:$MC$18,New!$MB$2:$MB$18)</f>
        <v>2.2976208985194559E-5</v>
      </c>
      <c r="JL32" s="165">
        <f>_xlfn.FORECAST.LINEAR(Sheet3!CF32,New!$MC$2:$MC$18,New!$MB$2:$MB$18)</f>
        <v>2.268209317307402E-5</v>
      </c>
      <c r="JM32" s="165">
        <f>_xlfn.FORECAST.LINEAR(Sheet3!CG32,New!$MC$2:$MC$18,New!$MB$2:$MB$18)</f>
        <v>2.2400847452400154E-5</v>
      </c>
      <c r="JN32" s="188">
        <f t="shared" si="159"/>
        <v>2.3158910314359606E-5</v>
      </c>
      <c r="JO32" s="165">
        <f t="shared" si="160"/>
        <v>2.3003007398198878E-5</v>
      </c>
      <c r="JP32" s="165">
        <f t="shared" si="161"/>
        <v>2.2676400130321784E-5</v>
      </c>
      <c r="JQ32" s="165">
        <f t="shared" si="162"/>
        <v>2.2405907393085559E-5</v>
      </c>
      <c r="JR32" s="165">
        <f t="shared" si="163"/>
        <v>2.2024314345191463E-5</v>
      </c>
      <c r="JS32" s="165">
        <f t="shared" si="164"/>
        <v>2.1830585779239103E-5</v>
      </c>
      <c r="JT32" s="165">
        <f t="shared" si="165"/>
        <v>2.1549410421089655E-5</v>
      </c>
      <c r="JU32" s="165">
        <f t="shared" si="166"/>
        <v>2.1257039648644851E-5</v>
      </c>
      <c r="JV32" s="165">
        <f t="shared" si="167"/>
        <v>2.0982337602834384E-5</v>
      </c>
      <c r="JW32" s="188">
        <f t="shared" si="66"/>
        <v>1.0035703029941236</v>
      </c>
      <c r="JX32" s="165">
        <f t="shared" si="67"/>
        <v>1.0049618346264622</v>
      </c>
      <c r="JY32" s="165">
        <f t="shared" si="68"/>
        <v>1.0080020561990737</v>
      </c>
      <c r="JZ32" s="165">
        <f t="shared" si="69"/>
        <v>1.0105686612965508</v>
      </c>
      <c r="KA32" s="165">
        <f t="shared" si="70"/>
        <v>1.0143818231649802</v>
      </c>
      <c r="KB32" s="165">
        <f t="shared" si="71"/>
        <v>1.016357436863939</v>
      </c>
      <c r="KC32" s="165">
        <f t="shared" si="72"/>
        <v>1.0193630470512873</v>
      </c>
      <c r="KD32" s="165">
        <f t="shared" si="73"/>
        <v>1.0225397277968924</v>
      </c>
      <c r="KE32" s="165">
        <f t="shared" si="74"/>
        <v>1.0256873040923922</v>
      </c>
      <c r="KF32" s="188">
        <f t="shared" si="75"/>
        <v>0.97747175171162648</v>
      </c>
      <c r="KG32" s="165">
        <f t="shared" si="76"/>
        <v>0.97628614681778625</v>
      </c>
      <c r="KH32" s="165">
        <f t="shared" si="77"/>
        <v>0.97371183248332005</v>
      </c>
      <c r="KI32" s="165">
        <f t="shared" si="78"/>
        <v>0.97155547349578586</v>
      </c>
      <c r="KJ32" s="165">
        <f t="shared" si="79"/>
        <v>0.96838003481684898</v>
      </c>
      <c r="KK32" s="165">
        <f t="shared" si="80"/>
        <v>0.96674794403958408</v>
      </c>
      <c r="KL32" s="165">
        <f t="shared" si="81"/>
        <v>0.96428191608971103</v>
      </c>
      <c r="KM32" s="165">
        <f t="shared" si="82"/>
        <v>0.96169752908276918</v>
      </c>
      <c r="KN32" s="165">
        <f t="shared" si="83"/>
        <v>0.95915883391916568</v>
      </c>
      <c r="KO32" s="188">
        <f t="shared" si="84"/>
        <v>0.64174732578626748</v>
      </c>
      <c r="KP32" s="165">
        <f t="shared" si="85"/>
        <v>0.63970381160086698</v>
      </c>
      <c r="KQ32" s="165">
        <f t="shared" si="86"/>
        <v>0.63512867900045211</v>
      </c>
      <c r="KR32" s="165">
        <f t="shared" si="87"/>
        <v>0.63130321040310511</v>
      </c>
      <c r="KS32" s="165">
        <f t="shared" si="88"/>
        <v>0.62569778073527604</v>
      </c>
      <c r="KT32" s="165">
        <f t="shared" si="89"/>
        <v>0.62282093462026222</v>
      </c>
      <c r="KU32" s="165">
        <f t="shared" si="90"/>
        <v>0.61849768728070742</v>
      </c>
      <c r="KV32" s="165">
        <f t="shared" si="91"/>
        <v>0.61396948938184948</v>
      </c>
      <c r="KW32" s="165">
        <f t="shared" si="92"/>
        <v>0.60964434831641279</v>
      </c>
      <c r="KX32" s="188">
        <f>AVERAGE(Sheet3!J32:P32)*KO32^(1/3)/ID32^(1/3)</f>
        <v>76.598401727635732</v>
      </c>
      <c r="KY32" s="165">
        <f>Sheet3!J32*KP32^(1/3)/IE32^(1/3)</f>
        <v>59.76096949398908</v>
      </c>
      <c r="KZ32" s="165">
        <f>Sheet3!K32*KQ32^(1/3)/IF32^(1/3)</f>
        <v>63.683818891564549</v>
      </c>
      <c r="LA32" s="165">
        <f>Sheet3!L32*KR32^(1/3)/IG32^(1/3)</f>
        <v>69.638316029360681</v>
      </c>
      <c r="LB32" s="165">
        <f>Sheet3!M32*KS32^(1/3)/IH32^(1/3)</f>
        <v>75.248067576900368</v>
      </c>
      <c r="LC32" s="165">
        <f>Sheet3!N32*KT32^(1/3)/II32^(1/3)</f>
        <v>81.09413357170267</v>
      </c>
      <c r="LD32" s="165">
        <f>Sheet3!O32*KU32^(1/3)/IJ32^(1/3)</f>
        <v>87.568505011579987</v>
      </c>
      <c r="LE32" s="165">
        <f>Sheet3!P32*KV32^(1/3)/IK32^(1/3)</f>
        <v>92.785385240624123</v>
      </c>
      <c r="LF32" s="165">
        <f>Sheet3!Q32*KW32^(1/3)/IL32^(1/3)</f>
        <v>96.769275750258601</v>
      </c>
      <c r="LG32" s="186">
        <f t="shared" si="93"/>
        <v>27.282331914136847</v>
      </c>
      <c r="LH32" s="183">
        <f t="shared" si="94"/>
        <v>27.282331914136847</v>
      </c>
      <c r="LI32" s="183">
        <f t="shared" si="95"/>
        <v>27.512958951777456</v>
      </c>
      <c r="LJ32" s="183">
        <f t="shared" si="96"/>
        <v>27.512958951777456</v>
      </c>
      <c r="LK32" s="183">
        <f t="shared" si="97"/>
        <v>27.771813380965089</v>
      </c>
      <c r="LL32" s="183">
        <f t="shared" si="98"/>
        <v>27.774829561541988</v>
      </c>
      <c r="LM32" s="183">
        <f t="shared" si="99"/>
        <v>28.040266556905078</v>
      </c>
      <c r="LN32" s="183">
        <f t="shared" si="100"/>
        <v>28.04273546210338</v>
      </c>
      <c r="LO32" s="183">
        <f t="shared" si="101"/>
        <v>28.299204895145767</v>
      </c>
      <c r="LP32" s="220"/>
      <c r="LQ32" s="220"/>
      <c r="LR32" s="220"/>
      <c r="LS32" s="220"/>
      <c r="LT32" s="220"/>
      <c r="LU32" s="220"/>
      <c r="LV32" s="220"/>
      <c r="LW32" s="220"/>
      <c r="LX32" s="220"/>
      <c r="LY32" s="220"/>
      <c r="LZ32" s="222">
        <v>128.72999999999999</v>
      </c>
      <c r="MA32" s="220">
        <v>1.2999999999999999E-5</v>
      </c>
      <c r="MB32" s="220"/>
      <c r="MC32" s="220"/>
      <c r="MD32" s="188">
        <f>Sheet3!DP32</f>
        <v>144.0843375893138</v>
      </c>
      <c r="ME32" s="264">
        <v>310</v>
      </c>
      <c r="MF32" s="264">
        <v>98.7</v>
      </c>
      <c r="MG32" s="264">
        <v>7.1180000000000003</v>
      </c>
      <c r="MH32" s="264">
        <v>54.58</v>
      </c>
      <c r="MI32" s="264">
        <v>21.97</v>
      </c>
      <c r="MJ32" s="264">
        <v>0.40300000000000002</v>
      </c>
      <c r="MK32" s="273">
        <v>300</v>
      </c>
      <c r="ML32" s="267">
        <v>85.92</v>
      </c>
      <c r="MM32" s="267">
        <v>46.21</v>
      </c>
      <c r="MN32" s="267">
        <v>6.28</v>
      </c>
      <c r="MO32" s="267">
        <v>21.28</v>
      </c>
      <c r="MP32" s="274">
        <v>0.46100000000000002</v>
      </c>
      <c r="MQ32"/>
      <c r="MR32"/>
      <c r="MS32"/>
    </row>
    <row r="33" spans="1:357" ht="15" thickBot="1" x14ac:dyDescent="0.35">
      <c r="A33" s="184" t="str">
        <f>Sheet3!A33</f>
        <v>22.12.2022</v>
      </c>
      <c r="B33" s="186">
        <f t="shared" si="102"/>
        <v>0.96491419415056034</v>
      </c>
      <c r="C33" s="183">
        <f t="shared" ref="C33:C64" si="168">AD33/L33</f>
        <v>0.96291771698548012</v>
      </c>
      <c r="D33" s="183">
        <f t="shared" ref="D33:D64" si="169">AE33/M33</f>
        <v>0.95574104475705823</v>
      </c>
      <c r="E33" s="183">
        <f t="shared" ref="E33:E64" si="170">AF33/N33</f>
        <v>0.94855456035278651</v>
      </c>
      <c r="F33" s="183">
        <f t="shared" ref="F33:F64" si="171">AG33/O33</f>
        <v>0.93995143504446421</v>
      </c>
      <c r="G33" s="183">
        <f t="shared" ref="G33:G64" si="172">AH33/P33</f>
        <v>0.93475620062314813</v>
      </c>
      <c r="H33" s="183">
        <f t="shared" ref="H33:H64" si="173">AI33/Q33</f>
        <v>0.92780852094513744</v>
      </c>
      <c r="I33" s="183">
        <f t="shared" ref="I33:I64" si="174">AJ33/R33</f>
        <v>0.92200919647221791</v>
      </c>
      <c r="J33" s="183">
        <f t="shared" ref="J33:J64" si="175">AK33/S33</f>
        <v>0.91483913939564743</v>
      </c>
      <c r="K33" s="186">
        <f xml:space="preserve"> (6.057 * (10^(-6)))
+ (4.055 * (10^(-8)) * (Sheet3!DF33 + 273))
+ (1.25 * (10^(-10)) * (Sheet3!DF33 + 273)^2)
- (3.367 * (10^(-14)) * (DD33 + 273)^3)</f>
        <v>5.3313169239194635E-5</v>
      </c>
      <c r="L33" s="183">
        <f xml:space="preserve"> (6.057 * (10^(-6)))
+ (4.055 * (10^(-8)) * (Sheet3!BZ33 + 273))
+ (1.25 * (10^(-10)) * (Sheet3!BZ33 + 273)^2)
- (3.367 * (10^(-14)) * (BX33 + 273)^3)</f>
        <v>5.2972463271675674E-5</v>
      </c>
      <c r="M33" s="183">
        <f xml:space="preserve"> (6.057 * (10^(-6)))
+ (4.055 * (10^(-8)) * (Sheet3!CA33 + 273))
+ (1.25 * (10^(-10)) * (Sheet3!CA33 + 273)^2)
- (3.367 * (10^(-14)) * (BY33 + 273)^3)</f>
        <v>5.1804716353385553E-5</v>
      </c>
      <c r="N33" s="183">
        <f xml:space="preserve"> (6.057 * (10^(-6)))
+ (4.055 * (10^(-8)) * (Sheet3!CB33 + 273))
+ (1.25 * (10^(-10)) * (Sheet3!CB33 + 273)^2)
- (3.367 * (10^(-14)) * (BZ33 + 273)^3)</f>
        <v>5.0735281786679129E-5</v>
      </c>
      <c r="O33" s="183">
        <f xml:space="preserve"> (6.057 * (10^(-6)))
+ (4.055 * (10^(-8)) * (Sheet3!CC33 + 273))
+ (1.25 * (10^(-10)) * (Sheet3!CC33 + 273)^2)
- (3.367 * (10^(-14)) * (CA33 + 273)^3)</f>
        <v>4.9437175066701886E-5</v>
      </c>
      <c r="P33" s="183">
        <f xml:space="preserve"> (6.057 * (10^(-6)))
+ (4.055 * (10^(-8)) * (Sheet3!CD33 + 273))
+ (1.25 * (10^(-10)) * (Sheet3!CD33 + 273)^2)
- (3.367 * (10^(-14)) * (CB33 + 273)^3)</f>
        <v>4.87201797797046E-5</v>
      </c>
      <c r="Q33" s="183">
        <f xml:space="preserve"> (6.057 * (10^(-6)))
+ (4.055 * (10^(-8)) * (Sheet3!CE33 + 273))
+ (1.25 * (10^(-10)) * (Sheet3!CE33 + 273)^2)
- (3.367 * (10^(-14)) * (CC33 + 273)^3)</f>
        <v>4.7723322909076441E-5</v>
      </c>
      <c r="R33" s="183">
        <f xml:space="preserve"> (6.057 * (10^(-6)))
+ (4.055 * (10^(-8)) * (Sheet3!CF33 + 273))
+ (1.25 * (10^(-10)) * (Sheet3!CF33 + 273)^2)
- (3.367 * (10^(-14)) * (CD33 + 273)^3)</f>
        <v>4.6970488951693735E-5</v>
      </c>
      <c r="S33" s="183">
        <f xml:space="preserve"> (6.057 * (10^(-6)))
+ (4.055 * (10^(-8)) * (Sheet3!CG33 + 273))
+ (1.25 * (10^(-10)) * (Sheet3!CG33 + 273)^2)
- (3.367 * (10^(-14)) * (CE33 + 273)^3)</f>
        <v>4.5984747546213528E-5</v>
      </c>
      <c r="T33" s="188">
        <f t="shared" si="104"/>
        <v>5.3313169239194635E-5</v>
      </c>
      <c r="U33" s="165">
        <f t="shared" si="105"/>
        <v>5.2972463271675674E-5</v>
      </c>
      <c r="V33" s="165">
        <f t="shared" si="106"/>
        <v>5.1804716353385553E-5</v>
      </c>
      <c r="W33" s="165">
        <f t="shared" si="107"/>
        <v>5.0735281786679129E-5</v>
      </c>
      <c r="X33" s="165">
        <f t="shared" si="108"/>
        <v>4.9437175066701886E-5</v>
      </c>
      <c r="Y33" s="165">
        <f t="shared" si="109"/>
        <v>4.87201797797046E-5</v>
      </c>
      <c r="Z33" s="165">
        <f t="shared" si="110"/>
        <v>4.7723322909076441E-5</v>
      </c>
      <c r="AA33" s="165">
        <f t="shared" si="111"/>
        <v>4.6970488951693735E-5</v>
      </c>
      <c r="AB33" s="165">
        <f t="shared" si="112"/>
        <v>4.5984747546213528E-5</v>
      </c>
      <c r="AC33" s="186">
        <f t="shared" ref="AC33:AC64" si="176">AL33/(BM33*BV33*1000)</f>
        <v>5.1442633734049931E-5</v>
      </c>
      <c r="AD33" s="183">
        <f t="shared" ref="AD33:AD64" si="177">AM33/(BN33*BW33*1000)</f>
        <v>5.1008123396659139E-5</v>
      </c>
      <c r="AE33" s="183">
        <f t="shared" ref="AE33:AE64" si="178">AN33/(BO33*BX33*1000)</f>
        <v>4.9511893730927766E-5</v>
      </c>
      <c r="AF33" s="183">
        <f t="shared" ref="AF33:AF64" si="179">AO33/(BP33*BY33*1000)</f>
        <v>4.812518290953816E-5</v>
      </c>
      <c r="AG33" s="183">
        <f t="shared" ref="AG33:AG64" si="180">AP33/(BQ33*BZ33*1000)</f>
        <v>4.6468543648490845E-5</v>
      </c>
      <c r="AH33" s="183">
        <f t="shared" ref="AH33:AH64" si="181">AQ33/(BR33*CA33*1000)</f>
        <v>4.55414901445534E-5</v>
      </c>
      <c r="AI33" s="183">
        <f t="shared" ref="AI33:AI64" si="182">AR33/(BS33*CB33*1000)</f>
        <v>4.427810564285741E-5</v>
      </c>
      <c r="AJ33" s="183">
        <f t="shared" ref="AJ33:AJ64" si="183">AS33/(BT33*CC33*1000)</f>
        <v>4.3307222776258328E-5</v>
      </c>
      <c r="AK33" s="183">
        <f t="shared" ref="AK33:AK64" si="184">AT33/(BU33*CD33*1000)</f>
        <v>4.2068646870504093E-5</v>
      </c>
      <c r="AL33" s="186">
        <f t="shared" si="113"/>
        <v>4.0309906095523387E-2</v>
      </c>
      <c r="AM33" s="183">
        <f t="shared" si="114"/>
        <v>4.0128456673071404E-2</v>
      </c>
      <c r="AN33" s="183">
        <f t="shared" si="115"/>
        <v>3.9482454976940355E-2</v>
      </c>
      <c r="AO33" s="183">
        <f t="shared" si="116"/>
        <v>3.8890700427832312E-2</v>
      </c>
      <c r="AP33" s="183">
        <f t="shared" si="117"/>
        <v>3.8155502348286206E-2</v>
      </c>
      <c r="AQ33" s="183">
        <f t="shared" si="118"/>
        <v>3.7749160007752101E-2</v>
      </c>
      <c r="AR33" s="183">
        <f t="shared" si="119"/>
        <v>3.7172292813274339E-2</v>
      </c>
      <c r="AS33" s="183">
        <f t="shared" si="120"/>
        <v>3.6737192986013537E-2</v>
      </c>
      <c r="AT33" s="183">
        <f t="shared" si="121"/>
        <v>3.6160249440082337E-2</v>
      </c>
      <c r="AU33" s="186">
        <f>_xlfn.FORECAST.LINEAR(Sheet3!DF33,Sheet2!$AH$2:$AH$40,Sheet2!$AG$2:$AG$40)</f>
        <v>5.615110757455756E-2</v>
      </c>
      <c r="AV33" s="183">
        <f>_xlfn.FORECAST.LINEAR(Sheet3!BZ33,Sheet2!$AH$2:$AH$40,Sheet2!$AG$2:$AG$40)</f>
        <v>5.561926391662679E-2</v>
      </c>
      <c r="AW33" s="183">
        <f>_xlfn.FORECAST.LINEAR(Sheet3!CA33,Sheet2!$AH$2:$AH$40,Sheet2!$AG$2:$AG$40)</f>
        <v>5.3748092729572566E-2</v>
      </c>
      <c r="AX33" s="183">
        <f>_xlfn.FORECAST.LINEAR(Sheet3!CB33,Sheet2!$AH$2:$AH$40,Sheet2!$AG$2:$AG$40)</f>
        <v>5.2015067397039483E-2</v>
      </c>
      <c r="AY33" s="183">
        <f>_xlfn.FORECAST.LINEAR(Sheet3!CC33,Sheet2!$AH$2:$AH$40,Sheet2!$AG$2:$AG$40)</f>
        <v>4.9885715239406547E-2</v>
      </c>
      <c r="AZ33" s="183">
        <f>_xlfn.FORECAST.LINEAR(Sheet3!CD33,Sheet2!$AH$2:$AH$40,Sheet2!$AG$2:$AG$40)</f>
        <v>4.8697046524738642E-2</v>
      </c>
      <c r="BA33" s="183">
        <f>_xlfn.FORECAST.LINEAR(Sheet3!CE33,Sheet2!$AH$2:$AH$40,Sheet2!$AG$2:$AG$40)</f>
        <v>4.7029153221236443E-2</v>
      </c>
      <c r="BB33" s="183">
        <f>_xlfn.FORECAST.LINEAR(Sheet3!CF33,Sheet2!$AH$2:$AH$40,Sheet2!$AG$2:$AG$40)</f>
        <v>4.5757422462468535E-2</v>
      </c>
      <c r="BC33" s="183">
        <f>_xlfn.FORECAST.LINEAR(Sheet3!CG33,Sheet2!$AH$2:$AH$40,Sheet2!$AG$2:$AG$40)</f>
        <v>4.4086897766472559E-2</v>
      </c>
      <c r="BD33" s="186">
        <f>_xlfn.FORECAST.LINEAR(Sheet3!DF33,Sheet2!$AB$12:$AB$37,Sheet2!$AA$12:$AA$37)/1000</f>
        <v>3.7324862686859299E-2</v>
      </c>
      <c r="BE33" s="183">
        <f>_xlfn.FORECAST.LINEAR(Sheet3!BZ33,Sheet2!$AB$12:$AB$37,Sheet2!$AA$12:$AA$37)/1000</f>
        <v>3.7205954755280927E-2</v>
      </c>
      <c r="BF33" s="183">
        <f>_xlfn.FORECAST.LINEAR(Sheet3!CA33,Sheet2!$AB$12:$AB$37,Sheet2!$AA$12:$AA$37)/1000</f>
        <v>3.6787604188974782E-2</v>
      </c>
      <c r="BG33" s="183">
        <f>_xlfn.FORECAST.LINEAR(Sheet3!CB33,Sheet2!$AB$12:$AB$37,Sheet2!$AA$12:$AA$37)/1000</f>
        <v>3.6400139838142463E-2</v>
      </c>
      <c r="BH33" s="183">
        <f>_xlfn.FORECAST.LINEAR(Sheet3!CC33,Sheet2!$AB$12:$AB$37,Sheet2!$AA$12:$AA$37)/1000</f>
        <v>3.5924065982808402E-2</v>
      </c>
      <c r="BI33" s="183">
        <f>_xlfn.FORECAST.LINEAR(Sheet3!CD33,Sheet2!$AB$12:$AB$37,Sheet2!$AA$12:$AA$37)/1000</f>
        <v>3.5658307171764193E-2</v>
      </c>
      <c r="BJ33" s="183">
        <f>_xlfn.FORECAST.LINEAR(Sheet3!CE33,Sheet2!$AB$12:$AB$37,Sheet2!$AA$12:$AA$37)/1000</f>
        <v>3.528540483504275E-2</v>
      </c>
      <c r="BK33" s="183">
        <f>_xlfn.FORECAST.LINEAR(Sheet3!CF33,Sheet2!$AB$12:$AB$37,Sheet2!$AA$12:$AA$37)/1000</f>
        <v>3.5001075273535839E-2</v>
      </c>
      <c r="BL33" s="183">
        <f>_xlfn.FORECAST.LINEAR(Sheet3!CG33,Sheet2!$AB$12:$AB$37,Sheet2!$AA$12:$AA$37)/1000</f>
        <v>3.4627584618360387E-2</v>
      </c>
      <c r="BM33" s="186">
        <f t="shared" si="122"/>
        <v>0.69608487260239094</v>
      </c>
      <c r="BN33" s="183">
        <f t="shared" si="123"/>
        <v>0.69914572439281131</v>
      </c>
      <c r="BO33" s="183">
        <f t="shared" si="124"/>
        <v>0.71024745842825932</v>
      </c>
      <c r="BP33" s="183">
        <f t="shared" si="125"/>
        <v>0.72073682084510726</v>
      </c>
      <c r="BQ33" s="183">
        <f t="shared" si="126"/>
        <v>0.73420242345248266</v>
      </c>
      <c r="BR33" s="183">
        <f t="shared" si="127"/>
        <v>0.74185606434428431</v>
      </c>
      <c r="BS33" s="183">
        <f t="shared" si="128"/>
        <v>0.75301799670924008</v>
      </c>
      <c r="BT33" s="183">
        <f t="shared" si="129"/>
        <v>0.76163854588745794</v>
      </c>
      <c r="BU33" s="183">
        <f t="shared" si="130"/>
        <v>0.77341413431068584</v>
      </c>
      <c r="BV33" s="186">
        <f t="shared" si="131"/>
        <v>1.1257096665867723</v>
      </c>
      <c r="BW33" s="183">
        <f t="shared" si="19"/>
        <v>1.125240629842269</v>
      </c>
      <c r="BX33" s="183">
        <f t="shared" si="20"/>
        <v>1.1227548065185509</v>
      </c>
      <c r="BY33" s="183">
        <f t="shared" si="21"/>
        <v>1.1212350412214187</v>
      </c>
      <c r="BZ33" s="183">
        <f t="shared" si="22"/>
        <v>1.1183617382493671</v>
      </c>
      <c r="CA33" s="183">
        <f t="shared" si="23"/>
        <v>1.1173272844167941</v>
      </c>
      <c r="CB33" s="183">
        <f t="shared" si="24"/>
        <v>1.1148718803281714</v>
      </c>
      <c r="CC33" s="183">
        <f t="shared" si="25"/>
        <v>1.1137730895498805</v>
      </c>
      <c r="CD33" s="183">
        <f t="shared" si="26"/>
        <v>1.1113753749517874</v>
      </c>
      <c r="CE33" s="187">
        <f xml:space="preserve"> -0.0000000019505*Sheet3!DF33^3 + 0.0000015497*Sheet3!DF33^2  + 0.00016911*Sheet3!DF33 + 1.8585</f>
        <v>1.9414898911875</v>
      </c>
      <c r="CF33" s="185">
        <f xml:space="preserve"> -0.0000000019505*Sheet3!BZ33^3 + 0.0000015497*Sheet3!BZ33^2  + 0.00016911*Sheet3!BZ33 + 1.8585</f>
        <v>1.9403225189292486</v>
      </c>
      <c r="CG33" s="185">
        <f xml:space="preserve"> -0.0000000019505*Sheet3!CA33^3 + 0.0000015497*Sheet3!CA33^2  + 0.00016911*Sheet3!CA33 + 1.8585</f>
        <v>1.9362413280698723</v>
      </c>
      <c r="CH33" s="185">
        <f xml:space="preserve"> -0.0000000019505*Sheet3!CB33^3 + 0.0000015497*Sheet3!CB33^2  + 0.00016911*Sheet3!CB33 + 1.8585</f>
        <v>1.9325005542031473</v>
      </c>
      <c r="CI33" s="185">
        <f xml:space="preserve"> -0.0000000019505*Sheet3!CC33^3 + 0.0000015497*Sheet3!CC33^2  + 0.00016911*Sheet3!CC33 + 1.8585</f>
        <v>1.9279613976414229</v>
      </c>
      <c r="CJ33" s="185">
        <f xml:space="preserve"> -0.0000000019505*Sheet3!CD33^3 + 0.0000015497*Sheet3!CD33^2  + 0.00016911*Sheet3!CD33 + 1.8585</f>
        <v>1.9254572518258406</v>
      </c>
      <c r="CK33" s="185">
        <f xml:space="preserve"> -0.0000000019505*Sheet3!CE33^3 + 0.0000015497*Sheet3!CE33^2  + 0.00016911*Sheet3!CE33 + 1.8585</f>
        <v>1.9219822919677847</v>
      </c>
      <c r="CL33" s="185">
        <f xml:space="preserve"> -0.0000000019505*Sheet3!CF33^3 + 0.0000015497*Sheet3!CF33^2  + 0.00016911*Sheet3!CF33 + 1.8585</f>
        <v>1.9193649602574097</v>
      </c>
      <c r="CM33" s="185">
        <f xml:space="preserve"> -0.0000000019505*Sheet3!CG33^3 + 0.0000015497*Sheet3!CG33^2  + 0.00016911*Sheet3!CG33 + 1.8585</f>
        <v>1.9159719647150368</v>
      </c>
      <c r="CN33" s="186">
        <f>_xlfn.FORECAST.LINEAR(Sheet3!DF33,New!$LU$2:$LU$14,New!$LT$2:$LT$14)</f>
        <v>1.0350674194089138</v>
      </c>
      <c r="CO33" s="183">
        <f>_xlfn.FORECAST.LINEAR(Sheet3!BZ33,New!$LU$2:$LU$14,New!$LT$2:$LT$14)</f>
        <v>1.0346759754992716</v>
      </c>
      <c r="CP33" s="183">
        <f>_xlfn.FORECAST.LINEAR(Sheet3!CA33,New!$LU$2:$LU$14,New!$LT$2:$LT$14)</f>
        <v>1.0332987689571831</v>
      </c>
      <c r="CQ33" s="183">
        <f>_xlfn.FORECAST.LINEAR(Sheet3!CB33,New!$LU$2:$LU$14,New!$LT$2:$LT$14)</f>
        <v>1.0320232395763962</v>
      </c>
      <c r="CR33" s="183">
        <f>_xlfn.FORECAST.LINEAR(Sheet3!CC33,New!$LU$2:$LU$14,New!$LT$2:$LT$14)</f>
        <v>1.0304560084528136</v>
      </c>
      <c r="CS33" s="183">
        <f>_xlfn.FORECAST.LINEAR(Sheet3!CD33,New!$LU$2:$LU$14,New!$LT$2:$LT$14)</f>
        <v>1.0295811326843416</v>
      </c>
      <c r="CT33" s="183">
        <f>_xlfn.FORECAST.LINEAR(Sheet3!CE33,New!$LU$2:$LU$14,New!$LT$2:$LT$14)</f>
        <v>1.0283535413314067</v>
      </c>
      <c r="CU33" s="183">
        <f>_xlfn.FORECAST.LINEAR(Sheet3!CF33,New!$LU$2:$LU$14,New!$LT$2:$LT$14)</f>
        <v>1.0274175308087632</v>
      </c>
      <c r="CV33" s="183">
        <f>_xlfn.FORECAST.LINEAR(Sheet3!CG33,New!$LU$2:$LU$14,New!$LT$2:$LT$14)</f>
        <v>1.0261880027164307</v>
      </c>
      <c r="CW33" s="186">
        <f>EXP((17.625*Sheet3!BA33)/(243.04+Sheet3!BA33)) / EXP((17.625*Sheet3!DF33)/(243.04+Sheet3!DF33))</f>
        <v>7.2096134152577493E-3</v>
      </c>
      <c r="CX33" s="183">
        <f>EXP((17.625*(Sheet3!BC33+273))/(243.04+(Sheet3!BC33+273)))/EXP((17.625*(Sheet3!BZ33+273))/(243.04+(Sheet3!BZ33+273)))</f>
        <v>0.20681200352511736</v>
      </c>
      <c r="CY33" s="183">
        <f>EXP((17.625*(Sheet3!BE33+273))/(243.04+(Sheet3!BE33+273))) / EXP((17.625*(Sheet3!CA33+273))/(243.04+(Sheet3!CA33+273)))</f>
        <v>0.21980235788155686</v>
      </c>
      <c r="CZ33" s="183">
        <f>EXP((17.625*(Sheet3!BG33+273))/(243.04+(Sheet3!BG33+273))) / EXP((17.625*(Sheet3!CB33+273))/(243.04+(Sheet3!CB33+273)))</f>
        <v>0.232463511033563</v>
      </c>
      <c r="DA33" s="183">
        <f>EXP((17.625*(Sheet3!BI33+273))/(243.04+(Sheet3!BI33+273))) / EXP((17.625*(Sheet3!CC33+273))/(243.04+(Sheet3!CC33+273)))</f>
        <v>0.24918235079667184</v>
      </c>
      <c r="DB33" s="183">
        <f>EXP((17.625*(Sheet3!BK33+273))/(243.04+(Sheet3!BK33+273)))/EXP((17.625*(Sheet3!CD33+273))/(243.04+(Sheet3!CD33+273)))</f>
        <v>0.25976493134304346</v>
      </c>
      <c r="DC33" s="183">
        <f>EXP((17.625*(Sheet3!BM33+273))/(243.04+(Sheet3!BM33+273))) / EXP((17.625*(Sheet3!CE33+273))/(243.04+(Sheet3!CE33+273)))</f>
        <v>0.27460939971652182</v>
      </c>
      <c r="DD33" s="183">
        <f>EXP((17.625*(Sheet3!BO33+273))/(243.04+(Sheet3!BO33+273))) / EXP((17.625*(Sheet3!CF33+273))/(243.04+(Sheet3!CF33+273)))</f>
        <v>0.2875358164119512</v>
      </c>
      <c r="DE33" s="183">
        <f>EXP((17.625*(Sheet3!BQ33+273))/(243.04+(Sheet3!BQ33+273))) / EXP((17.625*(Sheet3!CG33+273))/(243.04+(Sheet3!CG33+273)))</f>
        <v>0.30465049092948276</v>
      </c>
      <c r="DF33" s="186">
        <f>((Sheet3!DA33-Sheet3!DB33)/New!$LQ$3)/(((Sheet3!DA33-Sheet3!DB33)/New!$LQ$3)+(Sheet3!DB33/New!$LP$3))</f>
        <v>0.84845234045893403</v>
      </c>
      <c r="DG33" s="183">
        <f>((Sheet3!DA33-Sheet3!DB33)/New!$LQ$3)/(((Sheet3!DA33-Sheet3!DB33)/New!$LQ$3)+((Sheet3!DB33-(Sheet3!B33*0.004))/New!$LP$3))</f>
        <v>0.84845234045893403</v>
      </c>
      <c r="DH33" s="183" cm="1">
        <f t="array" ref="DH33">((Sheet3!DA33-Sheet3!DB33)/New!$LQ$3)/(((Sheet3!DA33-Sheet3!DB33)/New!$LQ$3)+((Sheet3!DB33-(SUM(Sheet3!B33:C33*0.004)))/New!$LP$3))</f>
        <v>0.85499073509046941</v>
      </c>
      <c r="DI33" s="183" cm="1">
        <f t="array" ref="DI33">((Sheet3!DA33-Sheet3!DB33)/New!$LQ$3)/(((Sheet3!DA33-Sheet3!DB33)/New!$LQ$3)+((Sheet3!DB33-(SUM(Sheet3!B33:D33*0.004)))/New!$LP$3))</f>
        <v>0.85499073509046941</v>
      </c>
      <c r="DJ33" s="183" cm="1">
        <f t="array" ref="DJ33">((Sheet3!DA33-Sheet3!DB33)/New!$LQ$3)/(((Sheet3!DA33-Sheet3!DB33)/New!$LQ$3)+((Sheet3!DB33-(SUM(Sheet3!B33:E33*0.004)))/New!$LP$3))</f>
        <v>0.86308159317961153</v>
      </c>
      <c r="DK33" s="183" cm="1">
        <f t="array" ref="DK33">((Sheet3!DA33-Sheet3!DB33)/New!$LQ$3)/(((Sheet3!DA33-Sheet3!DB33)/New!$LQ$3)+((Sheet3!DB33-(SUM(Sheet3!B33:F33*0.004)))/New!$LP$3))</f>
        <v>0.86308159317961153</v>
      </c>
      <c r="DL33" s="183" cm="1">
        <f t="array" ref="DL33">((Sheet3!DA33-Sheet3!DB33)/New!$LQ$3)/(((Sheet3!DA33-Sheet3!DB33)/New!$LQ$3)+((Sheet3!DB33-(SUM(Sheet3!B33:G33*0.004)))/New!$LP$3))</f>
        <v>0.87134790651033556</v>
      </c>
      <c r="DM33" s="183" cm="1">
        <f t="array" ref="DM33">((Sheet3!DA33-Sheet3!DB33)/New!$LQ$3)/(((Sheet3!DA33-Sheet3!DB33)/New!$LQ$3)+((Sheet3!DB33-(SUM(Sheet3!B33:H33*0.004)))/New!$LP$3))</f>
        <v>0.87134790651033556</v>
      </c>
      <c r="DN33" s="183" cm="1">
        <f t="array" ref="DN33">((Sheet3!DA33-Sheet3!DB33)/New!$LQ$3)/(((Sheet3!DA33-Sheet3!DB33)/New!$LQ$3)+((Sheet3!DB33-(SUM(Sheet3!B33:I33*0.004)))/New!$LP$3))</f>
        <v>0.87941266763457815</v>
      </c>
      <c r="DO33" s="186">
        <f>(Sheet3!DB33/$LP$3) / ((Sheet3!DB33/$LP$3) + ((Sheet3!DA33-Sheet3!DB33)/$LQ$3))</f>
        <v>0.15154765954106594</v>
      </c>
      <c r="DP33" s="183">
        <f>((Sheet3!$DB33-(Sheet3!B33/4000)) / $LP$3) / (((Sheet3!$DA33-Sheet3!DB33) / $LQ$3) + (Sheet3!$DB33-((Sheet3!B33/4000)))/$LP$3)</f>
        <v>0.15154765954106594</v>
      </c>
      <c r="DQ33" s="183">
        <f>((Sheet3!$DB33-(SUM(Sheet3!B33:C33)/4000))/$LP$3)/(((Sheet3!$DA33-Sheet3!$DB33)/$LQ$3)+(Sheet3!$DB33-(SUM(Sheet3!B33:C33)/4000))/$LP$3)</f>
        <v>0.15114194103823156</v>
      </c>
      <c r="DR33" s="183">
        <f>((Sheet3!$DB33-(SUM(Sheet3!B33:D33)/4000))/$LP$3)/(((Sheet3!$DA33-Sheet3!$DB33)/$LQ$3)+(Sheet3!$DB33-(SUM(Sheet3!B33:D33)/4000))/$LP$3)</f>
        <v>0.15114194103823156</v>
      </c>
      <c r="DS33" s="183">
        <f>((Sheet3!$DB33-(SUM(Sheet3!B33:E33)/4000))/$LP$3)/(((Sheet3!$DA33-Sheet3!$DB33)/$LQ$3)+(Sheet3!$DB33-(SUM(Sheet3!B33:E33)/4000))/$LP$3)</f>
        <v>0.15064787592195536</v>
      </c>
      <c r="DT33" s="183">
        <f>((Sheet3!$DB33-(SUM(Sheet3!B33:F33)/4000))/$LP$3)/(((Sheet3!$DA33-Sheet3!$DB33)/$LQ$3)+(Sheet3!$DB33-(SUM(Sheet3!B33:F33)/4000))/$LP$3)</f>
        <v>0.15064787592195536</v>
      </c>
      <c r="DU33" s="183">
        <f>((Sheet3!$DB33-(SUM(Sheet3!B33:G33)/4000))/$LP$3)/(((Sheet3!$DA33-Sheet3!$DB33)/$LQ$3)+(Sheet3!$DB33-(SUM(Sheet3!B33:G33)/4000))/$LP$3)</f>
        <v>0.15015199491986642</v>
      </c>
      <c r="DV33" s="183">
        <f>((Sheet3!$DB33-(SUM(Sheet3!B33:H33)/4000))/$LP$3)/(((Sheet3!$DA33-Sheet3!$DB33)/$LQ$3)+(Sheet3!$DB33-(SUM(Sheet3!B33:H33)/4000))/$LP$3)</f>
        <v>0.15015199491986642</v>
      </c>
      <c r="DW33" s="183">
        <f>((Sheet3!$DB33-(SUM(Sheet3!B33:I33)/4000))/$LP$3)/(((Sheet3!$DA33-Sheet3!$DB33)/$LQ$3)+(Sheet3!$DB33-(SUM(Sheet3!B33:I33)/4000))/$LP$3)</f>
        <v>0.14967664592195928</v>
      </c>
      <c r="DX33" s="186">
        <f>($LR$2*($LP$3/1000))/($LP$2*(Sheet3!DF33+273))*DO33</f>
        <v>6.9608487260239091E-2</v>
      </c>
      <c r="DY33" s="183">
        <f>(($LR$2*($LP$3/1000))/($LP$2*(Sheet3!BZ33+273)))*(DP33)</f>
        <v>6.9914572439281134E-2</v>
      </c>
      <c r="DZ33" s="183">
        <f>(($LR$2*($LP$3/1000))/($LP$2*(Sheet3!CA33+273)))*(DQ33)</f>
        <v>7.0823081231556201E-2</v>
      </c>
      <c r="EA33" s="183">
        <f>(($LR$2*($LP$3/1000))/($LP$2*(Sheet3!CB33+273)))*(DR33)</f>
        <v>7.1869039168751259E-2</v>
      </c>
      <c r="EB33" s="183">
        <f>(($LR$2*($LP$3/1000))/($LP$2*(Sheet3!CC33+273)))*(DS33)</f>
        <v>7.2958007065716354E-2</v>
      </c>
      <c r="EC33" s="183">
        <f>(($LR$2*($LP$3/1000))/($LP$2*(Sheet3!CD33+273)))*(DT33)</f>
        <v>7.3718552616133845E-2</v>
      </c>
      <c r="ED33" s="183">
        <f>(($LR$2*($LP$3/1000))/($LP$2*(Sheet3!CE33+273)))*(DU33)</f>
        <v>7.456659319808065E-2</v>
      </c>
      <c r="EE33" s="183">
        <f>(($LR$2*($LP$3/1000))/($LP$2*(Sheet3!CF33+273)))*(DV33)</f>
        <v>7.5420231473029384E-2</v>
      </c>
      <c r="EF33" s="183">
        <f>(($LR$2*($LP$3/1000))/($LP$2*(Sheet3!CG33+273)))*(DW33)</f>
        <v>7.632929987337593E-2</v>
      </c>
      <c r="EG33" s="186">
        <f>(($LR$2*($LQ$3/1000))/($LQ$2*(Sheet3!DF33+273)))*(1-DO33)</f>
        <v>0.62647638534215189</v>
      </c>
      <c r="EH33" s="183">
        <f>(($LR$2*($LQ$3/1000))/($LQ$2*(Sheet3!BZ33+273)))*(1-DP33)</f>
        <v>0.62923115195353019</v>
      </c>
      <c r="EI33" s="183">
        <f>(($LR$2*($LQ$3/1000))/($LQ$2*(Sheet3!CA33+273)))*(1-DQ33)</f>
        <v>0.63942437719670309</v>
      </c>
      <c r="EJ33" s="183">
        <f>(($LR$2*($LQ$3/1000))/($LQ$2*(Sheet3!CB33+273)))*(1-DR33)</f>
        <v>0.64886778167635595</v>
      </c>
      <c r="EK33" s="183">
        <f>(($LR$2*($LQ$3/1000))/($LQ$2*(Sheet3!CC33+273)))*(1-DS33)</f>
        <v>0.66124441638676634</v>
      </c>
      <c r="EL33" s="183">
        <f>(($LR$2*($LQ$3/1000))/($LQ$2*(Sheet3!CD33+273)))*(1-DT33)</f>
        <v>0.6681375117281505</v>
      </c>
      <c r="EM33" s="183">
        <f>(($LR$2*($LQ$3/1000))/($LQ$2*(Sheet3!CE33+273)))*(1-DU33)</f>
        <v>0.6784514035111594</v>
      </c>
      <c r="EN33" s="183">
        <f>(($LR$2*($LQ$3/1000))/($LQ$2*(Sheet3!CF33+273)))*(1-DV33)</f>
        <v>0.6862183144144286</v>
      </c>
      <c r="EO33" s="183">
        <f>(($LR$2*($LQ$3/1000))/($LQ$2*(Sheet3!CG33+273)))*(1-DW33)</f>
        <v>0.69708483443730995</v>
      </c>
      <c r="EP33" s="186">
        <f t="shared" si="132"/>
        <v>4843.5383619389895</v>
      </c>
      <c r="EQ33" s="183">
        <f xml:space="preserve"> (($FV33-(Sheet3!B33/4000))*0.018)/(0.011*JO33*3600)</f>
        <v>4860.5447223227557</v>
      </c>
      <c r="ER33" s="183">
        <f>((($FV33-(SUM(Sheet3!B33:C33)/4000))*0.018)/(0.011*JP33*3600))</f>
        <v>4919.0001470475672</v>
      </c>
      <c r="ES33" s="183">
        <f>((($FV33-(SUM(Sheet3!B33:D33)/4000))*0.018)/(0.011*JQ33*3600))</f>
        <v>4976.667098545794</v>
      </c>
      <c r="ET33" s="183">
        <f>((($FV33-(SUM(Sheet3!B33:E33)/4000))*0.018)/(0.011*JR33))/3600</f>
        <v>5046.4665350714604</v>
      </c>
      <c r="EU33" s="183">
        <f>((($FV33-(SUM(Sheet3!B33:F33)/4000))*0.018)/(0.011*JS33))/3600</f>
        <v>5087.9917529788045</v>
      </c>
      <c r="EV33" s="183">
        <f>((($FV33-(SUM(Sheet3!B33:G33)/4000))*0.018)/(0.011*JT33))/3600</f>
        <v>5144.3991932077406</v>
      </c>
      <c r="EW33" s="183">
        <f>((($FV33-(SUM(Sheet3!B33:H33)/4000))*0.018)/(0.011*JU33))/3600</f>
        <v>5190.6426359872166</v>
      </c>
      <c r="EX33" s="183">
        <f>((($FV33-(SUM(Sheet3!B33:I33)/4000))*0.018)/(0.011*JV33))/3600</f>
        <v>5249.6926315710161</v>
      </c>
      <c r="EY33" s="186">
        <f t="shared" si="133"/>
        <v>49.322059684444064</v>
      </c>
      <c r="EZ33" s="183">
        <f t="shared" si="134"/>
        <v>49.441586751629899</v>
      </c>
      <c r="FA33" s="183">
        <f t="shared" si="135"/>
        <v>49.846711444025168</v>
      </c>
      <c r="FB33" s="183">
        <f t="shared" si="136"/>
        <v>50.251893404563255</v>
      </c>
      <c r="FC33" s="183">
        <f t="shared" si="137"/>
        <v>50.73507614077581</v>
      </c>
      <c r="FD33" s="183">
        <f t="shared" si="138"/>
        <v>51.026822150850123</v>
      </c>
      <c r="FE33" s="183">
        <f t="shared" si="139"/>
        <v>51.41559505859923</v>
      </c>
      <c r="FF33" s="183">
        <f t="shared" si="140"/>
        <v>51.740528778753585</v>
      </c>
      <c r="FG33" s="183">
        <f t="shared" si="141"/>
        <v>52.147987212117584</v>
      </c>
      <c r="FH33" s="186">
        <f t="shared" ref="FH33:FH64" si="185">EY33*AL33/0.018</f>
        <v>110.45375523987447</v>
      </c>
      <c r="FI33" s="183">
        <f t="shared" ref="FI33:FI64" si="186">EZ33*AM33/0.018</f>
        <v>110.2230317672601</v>
      </c>
      <c r="FJ33" s="183">
        <f t="shared" ref="FJ33:FJ64" si="187">FA33*AN33/0.018</f>
        <v>109.33725224095896</v>
      </c>
      <c r="FK33" s="183">
        <f t="shared" ref="FK33:FK64" si="188">FB33*AO33/0.018</f>
        <v>108.573962907124</v>
      </c>
      <c r="FL33" s="183">
        <f t="shared" ref="FL33:FL64" si="189">FC33*AP33/0.018</f>
        <v>107.54568426832506</v>
      </c>
      <c r="FM33" s="183">
        <f t="shared" ref="FM33:FM64" si="190">FD33*AQ33/0.018</f>
        <v>107.01220411441948</v>
      </c>
      <c r="FN33" s="183">
        <f t="shared" ref="FN33:FN64" si="191">FE33*AR33/0.018</f>
        <v>106.17975303816621</v>
      </c>
      <c r="FO33" s="183">
        <f t="shared" ref="FO33:FO64" si="192">FF33*AS33/0.018</f>
        <v>105.60009949685877</v>
      </c>
      <c r="FP33" s="183">
        <f t="shared" ref="FP33:FP64" si="193">FG33*AT33/0.018</f>
        <v>104.76023474379978</v>
      </c>
      <c r="FQ33" s="314">
        <f>Sheet3!CV33</f>
        <v>2</v>
      </c>
      <c r="FR33" s="183">
        <v>5000</v>
      </c>
      <c r="FS33" s="183">
        <v>10</v>
      </c>
      <c r="FT33" s="183">
        <v>0.10066666666666667</v>
      </c>
      <c r="FU33" s="183">
        <v>23.23</v>
      </c>
      <c r="FV33" s="183">
        <v>260</v>
      </c>
      <c r="FW33" s="183">
        <v>26</v>
      </c>
      <c r="FX33" s="183">
        <v>522</v>
      </c>
      <c r="FY33" s="183">
        <v>8.49</v>
      </c>
      <c r="FZ33" s="183">
        <v>15.54</v>
      </c>
      <c r="GA33" s="183">
        <v>205</v>
      </c>
      <c r="GB33" s="186">
        <f>EXP($LP$6-($LQ$6/('Trial and Error method'!T33+$LP$8))) / ($LR$2/1000)</f>
        <v>5.106312765947553E-2</v>
      </c>
      <c r="GC33" s="183">
        <f>EXP($LP$6-($LQ$6/('Trial and Error method'!U33+$LP$8))) / ($LR$2/1000)</f>
        <v>7.7893657766257063E-2</v>
      </c>
      <c r="GD33" s="183">
        <f>EXP($LP$6-($LQ$6/('Trial and Error method'!V33+$LP$8))) / ($LR$2/1000)</f>
        <v>7.1864146681717395E-2</v>
      </c>
      <c r="GE33" s="183">
        <f>EXP($LP$6-($LQ$6/('Trial and Error method'!W33+$LP$8))) / ($LR$2/1000)</f>
        <v>6.6716028131412128E-2</v>
      </c>
      <c r="GF33" s="183">
        <f>EXP($LP$6-($LQ$6/('Trial and Error method'!X33+$LP$8))) / ($LR$2/1000)</f>
        <v>6.1506776943788123E-2</v>
      </c>
      <c r="GG33" s="183">
        <f>EXP($LP$6-($LQ$6/('Trial and Error method'!Y33+$LP$8))) / ($LR$2/1000)</f>
        <v>5.7610456187642031E-2</v>
      </c>
      <c r="GH33" s="183">
        <f>EXP($LP$6-($LQ$6/('Trial and Error method'!Z33+$LP$8))) / ($LR$2/1000)</f>
        <v>5.3551779729497179E-2</v>
      </c>
      <c r="GI33" s="183">
        <f>EXP($LP$6-($LQ$6/('Trial and Error method'!AA33+$LP$8))) / ($LR$2/1000)</f>
        <v>5.0287011047267335E-2</v>
      </c>
      <c r="GJ33" s="183">
        <f>EXP($LP$6-($LQ$6/('Trial and Error method'!AB33+$LP$8))) / ($LR$2/1000)</f>
        <v>4.6930268812047815E-2</v>
      </c>
      <c r="GK33" s="188">
        <f t="shared" si="142"/>
        <v>0.89775754628237614</v>
      </c>
      <c r="GL33" s="165">
        <f t="shared" si="143"/>
        <v>0.88476844632763929</v>
      </c>
      <c r="GM33" s="165">
        <f t="shared" si="144"/>
        <v>0.88790716721422791</v>
      </c>
      <c r="GN33" s="165">
        <f t="shared" si="145"/>
        <v>0.89040402728724721</v>
      </c>
      <c r="GO33" s="165">
        <f t="shared" si="146"/>
        <v>0.89318142655834432</v>
      </c>
      <c r="GP33" s="165">
        <f t="shared" si="147"/>
        <v>0.89506508218884151</v>
      </c>
      <c r="GQ33" s="165">
        <f t="shared" si="148"/>
        <v>0.89728162520243293</v>
      </c>
      <c r="GR33" s="165">
        <f t="shared" si="149"/>
        <v>0.89885608467712996</v>
      </c>
      <c r="GS33" s="165">
        <f t="shared" si="150"/>
        <v>0.90072005265551125</v>
      </c>
      <c r="GT33" s="188">
        <f t="shared" ref="GT33:GT64" si="194">(FH33*$LP$3) / (BV33*1000*$LQ$3*GK33*B33^(2/3))</f>
        <v>6.9626025503560979E-2</v>
      </c>
      <c r="GU33" s="165">
        <f t="shared" ref="GU33:GU64" si="195">(FI33*$LP$3) / (BW33*1000*$LQ$3*GL33*C33^(2/3))</f>
        <v>7.062745850810026E-2</v>
      </c>
      <c r="GV33" s="165">
        <f t="shared" ref="GV33:GV64" si="196">(FJ33*$LP$3) / (BX33*1000*$LQ$3*GM33*D33^(2/3))</f>
        <v>7.0316604033843211E-2</v>
      </c>
      <c r="GW33" s="165">
        <f t="shared" ref="GW33:GW64" si="197">(FK33*$LP$3) / (BY33*1000*$LQ$3*GN33*E33^(2/3))</f>
        <v>7.0076017124269516E-2</v>
      </c>
      <c r="GX33" s="165">
        <f t="shared" ref="GX33:GX64" si="198">(FL33*$LP$3) / (BZ33*1000*$LQ$3*GO33*F33^(2/3))</f>
        <v>6.9796948421314758E-2</v>
      </c>
      <c r="GY33" s="165">
        <f t="shared" ref="GY33:GY64" si="199">(FM33*$LP$3) / (CA33*1000*$LQ$3*GP33*G33^(2/3))</f>
        <v>6.9625516405221272E-2</v>
      </c>
      <c r="GZ33" s="165">
        <f t="shared" ref="GZ33:GZ64" si="200">(FN33*$LP$3) / (CB33*1000*$LQ$3*GQ33*H33^(2/3))</f>
        <v>6.9409371637095985E-2</v>
      </c>
      <c r="HA33" s="165">
        <f t="shared" ref="HA33:HA64" si="201">(FO33*$LP$3) / (CC33*1000*$LQ$3*GR33*I33^(2/3))</f>
        <v>6.9266458704610456E-2</v>
      </c>
      <c r="HB33" s="165">
        <f t="shared" ref="HB33:HB64" si="202">(FP33*$LP$3) / (CD33*1000*$LQ$3*GS33*J33^(2/3))</f>
        <v>6.9079907300077154E-2</v>
      </c>
      <c r="HC33" s="188">
        <f>BV33*Sheet3!DF33</f>
        <v>230.77048165028833</v>
      </c>
      <c r="HD33" s="165">
        <f>BW33*Sheet3!BZ33</f>
        <v>228.31956235690163</v>
      </c>
      <c r="HE33" s="165">
        <f>BX33*Sheet3!CA33</f>
        <v>219.54876042332319</v>
      </c>
      <c r="HF33" s="165">
        <f>BY33*Sheet3!CB33</f>
        <v>211.60582859908379</v>
      </c>
      <c r="HG33" s="165">
        <f>BZ33*Sheet3!CC33</f>
        <v>201.69337469538209</v>
      </c>
      <c r="HH33" s="165">
        <f>CA33*Sheet3!CD33</f>
        <v>196.28093013914847</v>
      </c>
      <c r="HI33" s="165">
        <f>CB33*Sheet3!CE33</f>
        <v>188.53294841719602</v>
      </c>
      <c r="HJ33" s="165">
        <f>CC33*Sheet3!CF33</f>
        <v>182.77386079819439</v>
      </c>
      <c r="HK33" s="165">
        <f>CD33*Sheet3!CG33</f>
        <v>175.07518675454369</v>
      </c>
      <c r="HL33" s="188">
        <f>(CE33*Sheet3!DF33)+2501</f>
        <v>2899.0054276934375</v>
      </c>
      <c r="HM33" s="165">
        <f>(CF33*Sheet3!BZ33)+2501</f>
        <v>2894.7056453562882</v>
      </c>
      <c r="HN33" s="165">
        <f>(CG33*Sheet3!CA33)+2501</f>
        <v>2879.6217444717977</v>
      </c>
      <c r="HO33" s="165">
        <f>(CH33*Sheet3!CB33)+2501</f>
        <v>2865.7124519002537</v>
      </c>
      <c r="HP33" s="165">
        <f>(CI33*Sheet3!CC33)+2501</f>
        <v>2848.7023822197489</v>
      </c>
      <c r="HQ33" s="165">
        <f>(CJ33*Sheet3!CD33)+2501</f>
        <v>2839.2451548462914</v>
      </c>
      <c r="HR33" s="165">
        <f>(CK33*Sheet3!CE33)+2501</f>
        <v>2826.0211927523583</v>
      </c>
      <c r="HS33" s="165">
        <f>(CL33*Sheet3!CF33)+2501</f>
        <v>2815.9741606782723</v>
      </c>
      <c r="HT33" s="165">
        <f>(CM33*Sheet3!CG33)+2501</f>
        <v>2802.8234496634468</v>
      </c>
      <c r="HU33" s="188">
        <f>-0.0021*(Sheet3!DF33^2) - 2.2115*(Sheet3!DF33) + 2499</f>
        <v>1957.3899999999999</v>
      </c>
      <c r="HV33" s="165">
        <f>-0.0021*(Sheet3!BZ33^2) - 2.2115*(Sheet3!BZ33) + 2499</f>
        <v>1963.8105578476409</v>
      </c>
      <c r="HW33" s="165">
        <f>-0.0021*(Sheet3!CA33^2) - 2.2115*(Sheet3!CA33) + 2499</f>
        <v>1986.2536403291042</v>
      </c>
      <c r="HX33" s="165">
        <f>-0.0021*(Sheet3!CB33^2) - 2.2115*(Sheet3!CB33) + 2499</f>
        <v>2006.8367014036648</v>
      </c>
      <c r="HY33" s="165">
        <f>-0.0021*(Sheet3!CC33^2) - 2.2115*(Sheet3!CC33) + 2499</f>
        <v>2031.8595194780514</v>
      </c>
      <c r="HZ33" s="165">
        <f>-0.0021*(Sheet3!CD33^2) - 2.2115*(Sheet3!CD33) + 2499</f>
        <v>2045.6997806616168</v>
      </c>
      <c r="IA33" s="165">
        <f>-0.0021*(Sheet3!CE33^2) - 2.2115*(Sheet3!CE33) + 2499</f>
        <v>2064.9649861406842</v>
      </c>
      <c r="IB33" s="165">
        <f>-0.0021*(Sheet3!CF33^2) - 2.2115*(Sheet3!CF33) + 2499</f>
        <v>2079.5327209918919</v>
      </c>
      <c r="IC33" s="165">
        <f>-0.0021*(Sheet3!CG33^2) - 2.2115*(Sheet3!CG33) + 2499</f>
        <v>2098.508854184719</v>
      </c>
      <c r="ID33" s="188">
        <f t="shared" ref="ID33:ID64" si="203">(JN33*BV33*1000)/AL33</f>
        <v>0.6814006324841535</v>
      </c>
      <c r="IE33" s="165">
        <f t="shared" ref="IE33:IE64" si="204">(JO33*BW33*1000)/AM33</f>
        <v>0.68180262911994738</v>
      </c>
      <c r="IF33" s="165">
        <f t="shared" ref="IF33:IF64" si="205">(JP33*BX33*1000)/AN33</f>
        <v>0.68299514154025054</v>
      </c>
      <c r="IG33" s="165">
        <f t="shared" ref="IG33:IG64" si="206">(JQ33*BY33*1000)/AO33</f>
        <v>0.68442518517813378</v>
      </c>
      <c r="IH33" s="165">
        <f t="shared" ref="IH33:IH64" si="207">(JR33*BZ33*1000)/AP33</f>
        <v>0.68593774198859103</v>
      </c>
      <c r="II33" s="165">
        <f t="shared" ref="II33:II64" si="208">(JS33*CA33*1000)/AQ33</f>
        <v>0.68702681109679498</v>
      </c>
      <c r="IJ33" s="165">
        <f t="shared" ref="IJ33:IJ64" si="209">(JT33*CB33*1000)/AR33</f>
        <v>0.68825715953275046</v>
      </c>
      <c r="IK33" s="165">
        <f t="shared" ref="IK33:IK64" si="210">(JU33*CC33*1000)/AS33</f>
        <v>0.68952403342507507</v>
      </c>
      <c r="IL33" s="165">
        <f t="shared" ref="IL33:IL64" si="211">(JV33*CD33*1000)/AT33</f>
        <v>0.69089988847554107</v>
      </c>
      <c r="IM33" s="188">
        <f t="shared" ref="IM33:IM64" si="212">HU33*GT33*(DO33-GB33)</f>
        <v>13.694563172129463</v>
      </c>
      <c r="IN33" s="165">
        <f t="shared" si="151"/>
        <v>10.215732613136</v>
      </c>
      <c r="IO33" s="165">
        <f t="shared" si="152"/>
        <v>11.07246084454272</v>
      </c>
      <c r="IP33" s="165">
        <f t="shared" si="153"/>
        <v>11.872910946875624</v>
      </c>
      <c r="IQ33" s="165">
        <f t="shared" si="154"/>
        <v>12.641776190763535</v>
      </c>
      <c r="IR33" s="165">
        <f t="shared" si="155"/>
        <v>13.251589839802639</v>
      </c>
      <c r="IS33" s="165">
        <f t="shared" si="156"/>
        <v>13.845508121573298</v>
      </c>
      <c r="IT33" s="165">
        <f t="shared" si="157"/>
        <v>14.384738759234796</v>
      </c>
      <c r="IU33" s="165">
        <f t="shared" si="158"/>
        <v>14.894607712088041</v>
      </c>
      <c r="IV33" s="188">
        <f>_xlfn.FORECAST.LINEAR(Sheet3!DF33,Sheet2!$AK$2:$AK$69,Sheet2!$AJ$2:$AJ$69)</f>
        <v>1.5962912137298422E-5</v>
      </c>
      <c r="IW33" s="165">
        <f>_xlfn.FORECAST.LINEAR(Sheet3!BZ33,Sheet2!$AK$2:$AK$69,Sheet2!$AJ$2:$AJ$69)</f>
        <v>1.5889642628921963E-5</v>
      </c>
      <c r="IX33" s="165">
        <f>_xlfn.FORECAST.LINEAR(Sheet3!CA33,Sheet2!$AK$2:$AK$69,Sheet2!$AJ$2:$AJ$69)</f>
        <v>1.5631860495170347E-5</v>
      </c>
      <c r="IY33" s="165">
        <f>_xlfn.FORECAST.LINEAR(Sheet3!CB33,Sheet2!$AK$2:$AK$69,Sheet2!$AJ$2:$AJ$69)</f>
        <v>1.5393110042428884E-5</v>
      </c>
      <c r="IZ33" s="165">
        <f>_xlfn.FORECAST.LINEAR(Sheet3!CC33,Sheet2!$AK$2:$AK$69,Sheet2!$AJ$2:$AJ$69)</f>
        <v>1.5099759574817544E-5</v>
      </c>
      <c r="JA33" s="165">
        <f>_xlfn.FORECAST.LINEAR(Sheet3!CD33,Sheet2!$AK$2:$AK$69,Sheet2!$AJ$2:$AJ$69)</f>
        <v>1.4936002479950519E-5</v>
      </c>
      <c r="JB33" s="165">
        <f>_xlfn.FORECAST.LINEAR(Sheet3!CE33,Sheet2!$AK$2:$AK$69,Sheet2!$AJ$2:$AJ$69)</f>
        <v>1.4706224949374228E-5</v>
      </c>
      <c r="JC33" s="165">
        <f>_xlfn.FORECAST.LINEAR(Sheet3!CF33,Sheet2!$AK$2:$AK$69,Sheet2!$AJ$2:$AJ$69)</f>
        <v>1.4531024801562605E-5</v>
      </c>
      <c r="JD33" s="165">
        <f>_xlfn.FORECAST.LINEAR(Sheet3!CG33,Sheet2!$AK$2:$AK$69,Sheet2!$AJ$2:$AJ$69)</f>
        <v>1.4300884756868699E-5</v>
      </c>
      <c r="JE33" s="188">
        <f>_xlfn.FORECAST.LINEAR(Sheet3!DF33,New!$MC$2:$MC$18,New!$MB$2:$MB$18)</f>
        <v>2.5847452754227255E-5</v>
      </c>
      <c r="JF33" s="165">
        <f>_xlfn.FORECAST.LINEAR(Sheet3!BZ33,New!$MC$2:$MC$18,New!$MB$2:$MB$18)</f>
        <v>2.5761322678644858E-5</v>
      </c>
      <c r="JG33" s="165">
        <f>_xlfn.FORECAST.LINEAR(Sheet3!CA33,New!$MC$2:$MC$18,New!$MB$2:$MB$18)</f>
        <v>2.5458293558403713E-5</v>
      </c>
      <c r="JH33" s="165">
        <f>_xlfn.FORECAST.LINEAR(Sheet3!CB33,New!$MC$2:$MC$18,New!$MB$2:$MB$18)</f>
        <v>2.5177636638552429E-5</v>
      </c>
      <c r="JI33" s="165">
        <f>_xlfn.FORECAST.LINEAR(Sheet3!CC33,New!$MC$2:$MC$18,New!$MB$2:$MB$18)</f>
        <v>2.4832796083356136E-5</v>
      </c>
      <c r="JJ33" s="165">
        <f>_xlfn.FORECAST.LINEAR(Sheet3!CD33,New!$MC$2:$MC$18,New!$MB$2:$MB$18)</f>
        <v>2.4640295665780207E-5</v>
      </c>
      <c r="JK33" s="165">
        <f>_xlfn.FORECAST.LINEAR(Sheet3!CE33,New!$MC$2:$MC$18,New!$MB$2:$MB$18)</f>
        <v>2.4370186632511026E-5</v>
      </c>
      <c r="JL33" s="165">
        <f>_xlfn.FORECAST.LINEAR(Sheet3!CF33,New!$MC$2:$MC$18,New!$MB$2:$MB$18)</f>
        <v>2.4164234630000915E-5</v>
      </c>
      <c r="JM33" s="165">
        <f>_xlfn.FORECAST.LINEAR(Sheet3!CG33,New!$MC$2:$MC$18,New!$MB$2:$MB$18)</f>
        <v>2.3893699452636574E-5</v>
      </c>
      <c r="JN33" s="188">
        <f t="shared" si="159"/>
        <v>2.4399893084465432E-5</v>
      </c>
      <c r="JO33" s="165">
        <f t="shared" si="160"/>
        <v>2.4314521300267244E-5</v>
      </c>
      <c r="JP33" s="165">
        <f t="shared" si="161"/>
        <v>2.4017999984297008E-5</v>
      </c>
      <c r="JQ33" s="165">
        <f t="shared" si="162"/>
        <v>2.3739692270971441E-5</v>
      </c>
      <c r="JR33" s="165">
        <f t="shared" si="163"/>
        <v>2.3402355633332696E-5</v>
      </c>
      <c r="JS33" s="165">
        <f t="shared" si="164"/>
        <v>2.3211359270838528E-5</v>
      </c>
      <c r="JT33" s="165">
        <f t="shared" si="165"/>
        <v>2.2948015028823747E-5</v>
      </c>
      <c r="JU33" s="165">
        <f t="shared" si="166"/>
        <v>2.2743571129617397E-5</v>
      </c>
      <c r="JV33" s="165">
        <f t="shared" si="167"/>
        <v>2.2479454618548146E-5</v>
      </c>
      <c r="JW33" s="188">
        <f t="shared" si="66"/>
        <v>0.99342087640971777</v>
      </c>
      <c r="JX33" s="165">
        <f t="shared" si="67"/>
        <v>0.99408671879619925</v>
      </c>
      <c r="JY33" s="165">
        <f t="shared" si="68"/>
        <v>0.99647732217944407</v>
      </c>
      <c r="JZ33" s="165">
        <f t="shared" si="69"/>
        <v>0.99876048731613354</v>
      </c>
      <c r="KA33" s="165">
        <f t="shared" si="70"/>
        <v>1.0016613325894255</v>
      </c>
      <c r="KB33" s="165">
        <f t="shared" si="71"/>
        <v>1.0033285598943791</v>
      </c>
      <c r="KC33" s="165">
        <f t="shared" si="72"/>
        <v>1.0057284171597818</v>
      </c>
      <c r="KD33" s="165">
        <f t="shared" si="73"/>
        <v>1.0076075014894541</v>
      </c>
      <c r="KE33" s="165">
        <f t="shared" si="74"/>
        <v>1.0101433719335418</v>
      </c>
      <c r="KF33" s="188">
        <f t="shared" si="75"/>
        <v>0.98626119619886909</v>
      </c>
      <c r="KG33" s="165">
        <f t="shared" si="76"/>
        <v>0.9856768004343911</v>
      </c>
      <c r="KH33" s="165">
        <f t="shared" si="77"/>
        <v>0.98358770446584476</v>
      </c>
      <c r="KI33" s="165">
        <f t="shared" si="78"/>
        <v>0.98160566514030034</v>
      </c>
      <c r="KJ33" s="165">
        <f t="shared" si="79"/>
        <v>0.9791057701304291</v>
      </c>
      <c r="KK33" s="165">
        <f t="shared" si="80"/>
        <v>0.97767819220536201</v>
      </c>
      <c r="KL33" s="165">
        <f t="shared" si="81"/>
        <v>0.9756349781523046</v>
      </c>
      <c r="KM33" s="165">
        <f t="shared" si="82"/>
        <v>0.97404469013810202</v>
      </c>
      <c r="KN33" s="165">
        <f t="shared" si="83"/>
        <v>0.97191172165647755</v>
      </c>
      <c r="KO33" s="188">
        <f t="shared" ref="KO33:KO64" si="213">JN33/(BM33*K33)</f>
        <v>0.65749314218712906</v>
      </c>
      <c r="KP33" s="165">
        <f t="shared" ref="KP33:KP64" si="214">JO33/(BN33*L33)</f>
        <v>0.65651983106687772</v>
      </c>
      <c r="KQ33" s="165">
        <f t="shared" ref="KQ33:KQ64" si="215">JP33/(BO33*M33)</f>
        <v>0.65276649013967381</v>
      </c>
      <c r="KR33" s="165">
        <f t="shared" ref="KR33:KR64" si="216">JQ33/(BP33*N33)</f>
        <v>0.64921463062101936</v>
      </c>
      <c r="KS33" s="165">
        <f t="shared" ref="KS33:KS64" si="217">JR33/(BQ33*O33)</f>
        <v>0.64474816493333553</v>
      </c>
      <c r="KT33" s="165">
        <f t="shared" ref="KT33:KT64" si="218">JS33/(BR33*P33)</f>
        <v>0.6422025716670775</v>
      </c>
      <c r="KU33" s="165">
        <f t="shared" ref="KU33:KU64" si="219">JT33/(BS33*Q33)</f>
        <v>0.63857085721598272</v>
      </c>
      <c r="KV33" s="165">
        <f t="shared" ref="KV33:KV64" si="220">JU33/(BT33*R33)</f>
        <v>0.63574750000653613</v>
      </c>
      <c r="KW33" s="165">
        <f t="shared" ref="KW33:KW64" si="221">JV33/(BU33*S33)</f>
        <v>0.63206225938151284</v>
      </c>
      <c r="KX33" s="188">
        <f>AVERAGE(Sheet3!J33:P33)*KO33^(1/3)/ID33^(1/3)</f>
        <v>67.225556804007311</v>
      </c>
      <c r="KY33" s="165">
        <f>Sheet3!J33*KP33^(1/3)/IE33^(1/3)</f>
        <v>51.339980690886193</v>
      </c>
      <c r="KZ33" s="165">
        <f>Sheet3!K33*KQ33^(1/3)/IF33^(1/3)</f>
        <v>56.533072767247404</v>
      </c>
      <c r="LA33" s="165">
        <f>Sheet3!L33*KR33^(1/3)/IG33^(1/3)</f>
        <v>62.676028047311604</v>
      </c>
      <c r="LB33" s="165">
        <f>Sheet3!M33*KS33^(1/3)/IH33^(1/3)</f>
        <v>67.397473909165242</v>
      </c>
      <c r="LC33" s="165">
        <f>Sheet3!N33*KT33^(1/3)/II33^(1/3)</f>
        <v>72.244037398035729</v>
      </c>
      <c r="LD33" s="165">
        <f>Sheet3!O33*KU33^(1/3)/IJ33^(1/3)</f>
        <v>76.775763331355947</v>
      </c>
      <c r="LE33" s="165">
        <f>Sheet3!P33*KV33^(1/3)/IK33^(1/3)</f>
        <v>79.454407553800124</v>
      </c>
      <c r="LF33" s="165">
        <f>Sheet3!Q33*KW33^(1/3)/IL33^(1/3)</f>
        <v>78.719669676931076</v>
      </c>
      <c r="LG33" s="186">
        <f t="shared" si="93"/>
        <v>27.301310866323035</v>
      </c>
      <c r="LH33" s="183">
        <f t="shared" si="94"/>
        <v>27.301310866323035</v>
      </c>
      <c r="LI33" s="183">
        <f t="shared" si="95"/>
        <v>27.483353756023735</v>
      </c>
      <c r="LJ33" s="183">
        <f t="shared" si="96"/>
        <v>27.483353756023735</v>
      </c>
      <c r="LK33" s="183">
        <f t="shared" si="97"/>
        <v>27.708764423215577</v>
      </c>
      <c r="LL33" s="183">
        <f t="shared" si="98"/>
        <v>27.708764423215577</v>
      </c>
      <c r="LM33" s="183">
        <f t="shared" si="99"/>
        <v>27.939223561020711</v>
      </c>
      <c r="LN33" s="183">
        <f t="shared" si="100"/>
        <v>27.939223561020711</v>
      </c>
      <c r="LO33" s="183">
        <f t="shared" si="101"/>
        <v>28.164215630981481</v>
      </c>
      <c r="LP33" s="220"/>
      <c r="LQ33" s="220"/>
      <c r="LR33" s="220"/>
      <c r="LS33" s="220"/>
      <c r="LT33" s="220"/>
      <c r="LU33" s="220"/>
      <c r="LV33" s="220"/>
      <c r="LW33" s="220"/>
      <c r="LX33" s="220"/>
      <c r="LY33" s="220"/>
      <c r="LZ33" s="222">
        <v>131.19999999999999</v>
      </c>
      <c r="MA33" s="220">
        <v>1.2999999999999999E-5</v>
      </c>
      <c r="MB33" s="220"/>
      <c r="MC33" s="220"/>
      <c r="MD33" s="188">
        <f>Sheet3!DP33</f>
        <v>130.3910210602703</v>
      </c>
      <c r="ME33" s="265">
        <v>320</v>
      </c>
      <c r="MF33" s="265">
        <v>112.9</v>
      </c>
      <c r="MG33" s="265">
        <v>8.2059999999999995</v>
      </c>
      <c r="MH33" s="265">
        <v>64.72</v>
      </c>
      <c r="MI33" s="265">
        <v>22.85</v>
      </c>
      <c r="MJ33" s="265">
        <v>0.35299999999999998</v>
      </c>
      <c r="MK33" s="273">
        <v>310</v>
      </c>
      <c r="ML33" s="267">
        <v>98.7</v>
      </c>
      <c r="MM33" s="267">
        <v>54.58</v>
      </c>
      <c r="MN33" s="267">
        <v>7.1180000000000003</v>
      </c>
      <c r="MO33" s="267">
        <v>21.97</v>
      </c>
      <c r="MP33" s="274">
        <v>0.40300000000000002</v>
      </c>
      <c r="MQ33"/>
      <c r="MR33"/>
      <c r="MS33"/>
    </row>
    <row r="34" spans="1:357" ht="15" thickBot="1" x14ac:dyDescent="0.35">
      <c r="A34" s="184" t="str">
        <f>Sheet3!A34</f>
        <v>22.12.2022</v>
      </c>
      <c r="B34" s="186">
        <f t="shared" si="102"/>
        <v>1.0052714340906381</v>
      </c>
      <c r="C34" s="183">
        <f t="shared" si="168"/>
        <v>1.0022040556568446</v>
      </c>
      <c r="D34" s="183">
        <f t="shared" si="169"/>
        <v>0.99154837843650157</v>
      </c>
      <c r="E34" s="183">
        <f t="shared" si="170"/>
        <v>0.98070759664243745</v>
      </c>
      <c r="F34" s="183">
        <f t="shared" si="171"/>
        <v>0.96787233520036631</v>
      </c>
      <c r="G34" s="183">
        <f t="shared" si="172"/>
        <v>0.96005902084027528</v>
      </c>
      <c r="H34" s="183">
        <f t="shared" si="173"/>
        <v>0.94974584438572385</v>
      </c>
      <c r="I34" s="183">
        <f t="shared" si="174"/>
        <v>0.94104382157050848</v>
      </c>
      <c r="J34" s="183">
        <f t="shared" si="175"/>
        <v>0.93034187099866983</v>
      </c>
      <c r="K34" s="186">
        <f xml:space="preserve"> (6.057 * (10^(-6)))
+ (4.055 * (10^(-8)) * (Sheet3!DF34 + 273))
+ (1.25 * (10^(-10)) * (Sheet3!DF34 + 273)^2)
- (3.367 * (10^(-14)) * (DD34 + 273)^3)</f>
        <v>5.3312789943574082E-5</v>
      </c>
      <c r="L34" s="183">
        <f xml:space="preserve"> (6.057 * (10^(-6)))
+ (4.055 * (10^(-8)) * (Sheet3!BZ34 + 273))
+ (1.25 * (10^(-10)) * (Sheet3!BZ34 + 273)^2)
- (3.367 * (10^(-14)) * (BX34 + 273)^3)</f>
        <v>5.2971786525819427E-5</v>
      </c>
      <c r="M34" s="183">
        <f xml:space="preserve"> (6.057 * (10^(-6)))
+ (4.055 * (10^(-8)) * (Sheet3!CA34 + 273))
+ (1.25 * (10^(-10)) * (Sheet3!CA34 + 273)^2)
- (3.367 * (10^(-14)) * (BY34 + 273)^3)</f>
        <v>5.1804041463285097E-5</v>
      </c>
      <c r="N34" s="183">
        <f xml:space="preserve"> (6.057 * (10^(-6)))
+ (4.055 * (10^(-8)) * (Sheet3!CB34 + 273))
+ (1.25 * (10^(-10)) * (Sheet3!CB34 + 273)^2)
- (3.367 * (10^(-14)) * (BZ34 + 273)^3)</f>
        <v>5.0734612170556677E-5</v>
      </c>
      <c r="O34" s="183">
        <f xml:space="preserve"> (6.057 * (10^(-6)))
+ (4.055 * (10^(-8)) * (Sheet3!CC34 + 273))
+ (1.25 * (10^(-10)) * (Sheet3!CC34 + 273)^2)
- (3.367 * (10^(-14)) * (CA34 + 273)^3)</f>
        <v>4.9436506671589137E-5</v>
      </c>
      <c r="P34" s="183">
        <f xml:space="preserve"> (6.057 * (10^(-6)))
+ (4.055 * (10^(-8)) * (Sheet3!CD34 + 273))
+ (1.25 * (10^(-10)) * (Sheet3!CD34 + 273)^2)
- (3.367 * (10^(-14)) * (CB34 + 273)^3)</f>
        <v>4.871951640966589E-5</v>
      </c>
      <c r="Q34" s="183">
        <f xml:space="preserve"> (6.057 * (10^(-6)))
+ (4.055 * (10^(-8)) * (Sheet3!CE34 + 273))
+ (1.25 * (10^(-10)) * (Sheet3!CE34 + 273)^2)
- (3.367 * (10^(-14)) * (CC34 + 273)^3)</f>
        <v>4.7722660792842219E-5</v>
      </c>
      <c r="R34" s="183">
        <f xml:space="preserve"> (6.057 * (10^(-6)))
+ (4.055 * (10^(-8)) * (Sheet3!CF34 + 273))
+ (1.25 * (10^(-10)) * (Sheet3!CF34 + 273)^2)
- (3.367 * (10^(-14)) * (CD34 + 273)^3)</f>
        <v>4.6969831875321276E-5</v>
      </c>
      <c r="S34" s="183">
        <f xml:space="preserve"> (6.057 * (10^(-6)))
+ (4.055 * (10^(-8)) * (Sheet3!CG34 + 273))
+ (1.25 * (10^(-10)) * (Sheet3!CG34 + 273)^2)
- (3.367 * (10^(-14)) * (CE34 + 273)^3)</f>
        <v>4.5984747546213528E-5</v>
      </c>
      <c r="T34" s="188">
        <f t="shared" si="104"/>
        <v>5.3312789943574082E-5</v>
      </c>
      <c r="U34" s="165">
        <f t="shared" si="105"/>
        <v>5.2971786525819427E-5</v>
      </c>
      <c r="V34" s="165">
        <f t="shared" si="106"/>
        <v>5.1804041463285097E-5</v>
      </c>
      <c r="W34" s="165">
        <f t="shared" si="107"/>
        <v>5.0734612170556677E-5</v>
      </c>
      <c r="X34" s="165">
        <f t="shared" si="108"/>
        <v>4.9436506671589137E-5</v>
      </c>
      <c r="Y34" s="165">
        <f t="shared" si="109"/>
        <v>4.871951640966589E-5</v>
      </c>
      <c r="Z34" s="165">
        <f t="shared" si="110"/>
        <v>4.7722660792842219E-5</v>
      </c>
      <c r="AA34" s="165">
        <f t="shared" si="111"/>
        <v>4.6969831875321276E-5</v>
      </c>
      <c r="AB34" s="165">
        <f t="shared" si="112"/>
        <v>4.5984747546213528E-5</v>
      </c>
      <c r="AC34" s="186">
        <f t="shared" si="176"/>
        <v>5.3593824801949674E-5</v>
      </c>
      <c r="AD34" s="183">
        <f t="shared" si="177"/>
        <v>5.3088539291564819E-5</v>
      </c>
      <c r="AE34" s="183">
        <f t="shared" si="178"/>
        <v>5.136621330937763E-5</v>
      </c>
      <c r="AF34" s="183">
        <f t="shared" si="179"/>
        <v>4.9755819568372797E-5</v>
      </c>
      <c r="AG34" s="183">
        <f t="shared" si="180"/>
        <v>4.7848227156379468E-5</v>
      </c>
      <c r="AH34" s="183">
        <f t="shared" si="181"/>
        <v>4.6773611220075557E-5</v>
      </c>
      <c r="AI34" s="183">
        <f t="shared" si="182"/>
        <v>4.5324398771031409E-5</v>
      </c>
      <c r="AJ34" s="183">
        <f t="shared" si="183"/>
        <v>4.4200670086476619E-5</v>
      </c>
      <c r="AK34" s="183">
        <f t="shared" si="184"/>
        <v>4.2781536069545785E-5</v>
      </c>
      <c r="AL34" s="186">
        <f t="shared" si="113"/>
        <v>4.2911896281947519E-2</v>
      </c>
      <c r="AM34" s="183">
        <f t="shared" si="114"/>
        <v>4.267505892941717E-2</v>
      </c>
      <c r="AN34" s="183">
        <f t="shared" si="115"/>
        <v>4.1835123118146134E-2</v>
      </c>
      <c r="AO34" s="183">
        <f t="shared" si="116"/>
        <v>4.1062190368315307E-2</v>
      </c>
      <c r="AP34" s="183">
        <f t="shared" si="117"/>
        <v>4.0105643721546902E-2</v>
      </c>
      <c r="AQ34" s="183">
        <f t="shared" si="118"/>
        <v>3.9574386497773416E-2</v>
      </c>
      <c r="AR34" s="183">
        <f t="shared" si="119"/>
        <v>3.8823326471163051E-2</v>
      </c>
      <c r="AS34" s="183">
        <f t="shared" si="120"/>
        <v>3.8253973995697389E-2</v>
      </c>
      <c r="AT34" s="183">
        <f t="shared" si="121"/>
        <v>3.7501359032871127E-2</v>
      </c>
      <c r="AU34" s="186">
        <f>_xlfn.FORECAST.LINEAR(Sheet3!DF34,Sheet2!$AH$2:$AH$40,Sheet2!$AG$2:$AG$40)</f>
        <v>5.615110757455756E-2</v>
      </c>
      <c r="AV34" s="183">
        <f>_xlfn.FORECAST.LINEAR(Sheet3!BZ34,Sheet2!$AH$2:$AH$40,Sheet2!$AG$2:$AG$40)</f>
        <v>5.561926391662679E-2</v>
      </c>
      <c r="AW34" s="183">
        <f>_xlfn.FORECAST.LINEAR(Sheet3!CA34,Sheet2!$AH$2:$AH$40,Sheet2!$AG$2:$AG$40)</f>
        <v>5.3748092729572566E-2</v>
      </c>
      <c r="AX34" s="183">
        <f>_xlfn.FORECAST.LINEAR(Sheet3!CB34,Sheet2!$AH$2:$AH$40,Sheet2!$AG$2:$AG$40)</f>
        <v>5.2015067397039483E-2</v>
      </c>
      <c r="AY34" s="183">
        <f>_xlfn.FORECAST.LINEAR(Sheet3!CC34,Sheet2!$AH$2:$AH$40,Sheet2!$AG$2:$AG$40)</f>
        <v>4.9885715239406547E-2</v>
      </c>
      <c r="AZ34" s="183">
        <f>_xlfn.FORECAST.LINEAR(Sheet3!CD34,Sheet2!$AH$2:$AH$40,Sheet2!$AG$2:$AG$40)</f>
        <v>4.8697046524738642E-2</v>
      </c>
      <c r="BA34" s="183">
        <f>_xlfn.FORECAST.LINEAR(Sheet3!CE34,Sheet2!$AH$2:$AH$40,Sheet2!$AG$2:$AG$40)</f>
        <v>4.7029153221236443E-2</v>
      </c>
      <c r="BB34" s="183">
        <f>_xlfn.FORECAST.LINEAR(Sheet3!CF34,Sheet2!$AH$2:$AH$40,Sheet2!$AG$2:$AG$40)</f>
        <v>4.5757422462468535E-2</v>
      </c>
      <c r="BC34" s="183">
        <f>_xlfn.FORECAST.LINEAR(Sheet3!CG34,Sheet2!$AH$2:$AH$40,Sheet2!$AG$2:$AG$40)</f>
        <v>4.4086897766472559E-2</v>
      </c>
      <c r="BD34" s="186">
        <f>_xlfn.FORECAST.LINEAR(Sheet3!DF34,Sheet2!$AB$12:$AB$37,Sheet2!$AA$12:$AA$37)/1000</f>
        <v>3.7324862686859299E-2</v>
      </c>
      <c r="BE34" s="183">
        <f>_xlfn.FORECAST.LINEAR(Sheet3!BZ34,Sheet2!$AB$12:$AB$37,Sheet2!$AA$12:$AA$37)/1000</f>
        <v>3.7205954755280927E-2</v>
      </c>
      <c r="BF34" s="183">
        <f>_xlfn.FORECAST.LINEAR(Sheet3!CA34,Sheet2!$AB$12:$AB$37,Sheet2!$AA$12:$AA$37)/1000</f>
        <v>3.6787604188974782E-2</v>
      </c>
      <c r="BG34" s="183">
        <f>_xlfn.FORECAST.LINEAR(Sheet3!CB34,Sheet2!$AB$12:$AB$37,Sheet2!$AA$12:$AA$37)/1000</f>
        <v>3.6400139838142463E-2</v>
      </c>
      <c r="BH34" s="183">
        <f>_xlfn.FORECAST.LINEAR(Sheet3!CC34,Sheet2!$AB$12:$AB$37,Sheet2!$AA$12:$AA$37)/1000</f>
        <v>3.5924065982808402E-2</v>
      </c>
      <c r="BI34" s="183">
        <f>_xlfn.FORECAST.LINEAR(Sheet3!CD34,Sheet2!$AB$12:$AB$37,Sheet2!$AA$12:$AA$37)/1000</f>
        <v>3.5658307171764193E-2</v>
      </c>
      <c r="BJ34" s="183">
        <f>_xlfn.FORECAST.LINEAR(Sheet3!CE34,Sheet2!$AB$12:$AB$37,Sheet2!$AA$12:$AA$37)/1000</f>
        <v>3.528540483504275E-2</v>
      </c>
      <c r="BK34" s="183">
        <f>_xlfn.FORECAST.LINEAR(Sheet3!CF34,Sheet2!$AB$12:$AB$37,Sheet2!$AA$12:$AA$37)/1000</f>
        <v>3.5001075273535839E-2</v>
      </c>
      <c r="BL34" s="183">
        <f>_xlfn.FORECAST.LINEAR(Sheet3!CG34,Sheet2!$AB$12:$AB$37,Sheet2!$AA$12:$AA$37)/1000</f>
        <v>3.4627584618360387E-2</v>
      </c>
      <c r="BM34" s="186">
        <f t="shared" si="122"/>
        <v>0.65866056859603739</v>
      </c>
      <c r="BN34" s="183">
        <f t="shared" si="123"/>
        <v>0.66155685676435982</v>
      </c>
      <c r="BO34" s="183">
        <f t="shared" si="124"/>
        <v>0.67205021170303492</v>
      </c>
      <c r="BP34" s="183">
        <f t="shared" si="125"/>
        <v>0.68197545416496841</v>
      </c>
      <c r="BQ34" s="183">
        <f t="shared" si="126"/>
        <v>0.69469116371633888</v>
      </c>
      <c r="BR34" s="183">
        <f t="shared" si="127"/>
        <v>0.70193292229402204</v>
      </c>
      <c r="BS34" s="183">
        <f t="shared" si="128"/>
        <v>0.71247066011262994</v>
      </c>
      <c r="BT34" s="183">
        <f t="shared" si="129"/>
        <v>0.72062702342715756</v>
      </c>
      <c r="BU34" s="183">
        <f t="shared" si="130"/>
        <v>0.731747692692716</v>
      </c>
      <c r="BV34" s="186">
        <f t="shared" ref="BV34:BV65" si="222">(($LQ$3/LG34)*DF34*CN34)+(($LP$3/LG34)*DO34*CE34)</f>
        <v>1.2156296647831342</v>
      </c>
      <c r="BW34" s="183">
        <f t="shared" ref="BW34:BW65" si="223">(($LQ$3/LH34)*DG34*CO34)+(($LP$3/LH34)*DP34*CF34)</f>
        <v>1.2150836534733704</v>
      </c>
      <c r="BX34" s="183">
        <f t="shared" ref="BX34:BX65" si="224">(($LQ$3/LI34)*DH34*CP34)+(($LP$3/LI34)*DQ34*CG34)</f>
        <v>1.2118860274025482</v>
      </c>
      <c r="BY34" s="183">
        <f t="shared" ref="BY34:BY65" si="225">(($LQ$3/LJ34)*DI34*CQ34)+(($LP$3/LJ34)*DR34*CH34)</f>
        <v>1.2101229130146112</v>
      </c>
      <c r="BZ34" s="183">
        <f t="shared" ref="BZ34:BZ65" si="226">(($LQ$3/LK34)*DJ34*CR34)+(($LP$3/LK34)*DS34*CI34)</f>
        <v>1.2065570606612721</v>
      </c>
      <c r="CA34" s="183">
        <f t="shared" ref="CA34:CA65" si="227">(($LQ$3/LL34)*DK34*CS34)+(($LP$3/LL34)*DT34*CJ34)</f>
        <v>1.2053625030579229</v>
      </c>
      <c r="CB34" s="183">
        <f t="shared" ref="CB34:CB65" si="228">(($LQ$3/LM34)*DL34*CT34)+(($LP$3/LM34)*DU34*CK34)</f>
        <v>1.2022470151568339</v>
      </c>
      <c r="CC34" s="183">
        <f t="shared" ref="CC34:CC65" si="229">(($LQ$3/LN34)*DM34*CU34)+(($LP$3/LN34)*DV34*CL34)</f>
        <v>1.2009838321011417</v>
      </c>
      <c r="CD34" s="183">
        <f t="shared" ref="CD34:CD65" si="230">(($LQ$3/LO34)*DN34*CV34)+(($LP$3/LO34)*DW34*CM34)</f>
        <v>1.1979240142168837</v>
      </c>
      <c r="CE34" s="187">
        <f xml:space="preserve"> -0.0000000019505*Sheet3!DF34^3 + 0.0000015497*Sheet3!DF34^2  + 0.00016911*Sheet3!DF34 + 1.8585</f>
        <v>1.9414898911875</v>
      </c>
      <c r="CF34" s="185">
        <f xml:space="preserve"> -0.0000000019505*Sheet3!BZ34^3 + 0.0000015497*Sheet3!BZ34^2  + 0.00016911*Sheet3!BZ34 + 1.8585</f>
        <v>1.9403225189292486</v>
      </c>
      <c r="CG34" s="185">
        <f xml:space="preserve"> -0.0000000019505*Sheet3!CA34^3 + 0.0000015497*Sheet3!CA34^2  + 0.00016911*Sheet3!CA34 + 1.8585</f>
        <v>1.9362413280698723</v>
      </c>
      <c r="CH34" s="185">
        <f xml:space="preserve"> -0.0000000019505*Sheet3!CB34^3 + 0.0000015497*Sheet3!CB34^2  + 0.00016911*Sheet3!CB34 + 1.8585</f>
        <v>1.9325005542031473</v>
      </c>
      <c r="CI34" s="185">
        <f xml:space="preserve"> -0.0000000019505*Sheet3!CC34^3 + 0.0000015497*Sheet3!CC34^2  + 0.00016911*Sheet3!CC34 + 1.8585</f>
        <v>1.9279613976414229</v>
      </c>
      <c r="CJ34" s="185">
        <f xml:space="preserve"> -0.0000000019505*Sheet3!CD34^3 + 0.0000015497*Sheet3!CD34^2  + 0.00016911*Sheet3!CD34 + 1.8585</f>
        <v>1.9254572518258406</v>
      </c>
      <c r="CK34" s="185">
        <f xml:space="preserve"> -0.0000000019505*Sheet3!CE34^3 + 0.0000015497*Sheet3!CE34^2  + 0.00016911*Sheet3!CE34 + 1.8585</f>
        <v>1.9219822919677847</v>
      </c>
      <c r="CL34" s="185">
        <f xml:space="preserve"> -0.0000000019505*Sheet3!CF34^3 + 0.0000015497*Sheet3!CF34^2  + 0.00016911*Sheet3!CF34 + 1.8585</f>
        <v>1.9193649602574097</v>
      </c>
      <c r="CM34" s="185">
        <f xml:space="preserve"> -0.0000000019505*Sheet3!CG34^3 + 0.0000015497*Sheet3!CG34^2  + 0.00016911*Sheet3!CG34 + 1.8585</f>
        <v>1.9159719647150368</v>
      </c>
      <c r="CN34" s="186">
        <f>_xlfn.FORECAST.LINEAR(Sheet3!DF34,New!$LU$2:$LU$14,New!$LT$2:$LT$14)</f>
        <v>1.0350674194089138</v>
      </c>
      <c r="CO34" s="183">
        <f>_xlfn.FORECAST.LINEAR(Sheet3!BZ34,New!$LU$2:$LU$14,New!$LT$2:$LT$14)</f>
        <v>1.0346759754992716</v>
      </c>
      <c r="CP34" s="183">
        <f>_xlfn.FORECAST.LINEAR(Sheet3!CA34,New!$LU$2:$LU$14,New!$LT$2:$LT$14)</f>
        <v>1.0332987689571831</v>
      </c>
      <c r="CQ34" s="183">
        <f>_xlfn.FORECAST.LINEAR(Sheet3!CB34,New!$LU$2:$LU$14,New!$LT$2:$LT$14)</f>
        <v>1.0320232395763962</v>
      </c>
      <c r="CR34" s="183">
        <f>_xlfn.FORECAST.LINEAR(Sheet3!CC34,New!$LU$2:$LU$14,New!$LT$2:$LT$14)</f>
        <v>1.0304560084528136</v>
      </c>
      <c r="CS34" s="183">
        <f>_xlfn.FORECAST.LINEAR(Sheet3!CD34,New!$LU$2:$LU$14,New!$LT$2:$LT$14)</f>
        <v>1.0295811326843416</v>
      </c>
      <c r="CT34" s="183">
        <f>_xlfn.FORECAST.LINEAR(Sheet3!CE34,New!$LU$2:$LU$14,New!$LT$2:$LT$14)</f>
        <v>1.0283535413314067</v>
      </c>
      <c r="CU34" s="183">
        <f>_xlfn.FORECAST.LINEAR(Sheet3!CF34,New!$LU$2:$LU$14,New!$LT$2:$LT$14)</f>
        <v>1.0274175308087632</v>
      </c>
      <c r="CV34" s="183">
        <f>_xlfn.FORECAST.LINEAR(Sheet3!CG34,New!$LU$2:$LU$14,New!$LT$2:$LT$14)</f>
        <v>1.0261880027164307</v>
      </c>
      <c r="CW34" s="186">
        <f>EXP((17.625*Sheet3!BA34)/(243.04+Sheet3!BA34)) / EXP((17.625*Sheet3!DF34)/(243.04+Sheet3!DF34))</f>
        <v>1.2679414997382555E-2</v>
      </c>
      <c r="CX34" s="183">
        <f>EXP((17.625*(Sheet3!BC34+273))/(243.04+(Sheet3!BC34+273)))/EXP((17.625*(Sheet3!BZ34+273))/(243.04+(Sheet3!BZ34+273)))</f>
        <v>0.24159982473685146</v>
      </c>
      <c r="CY34" s="183">
        <f>EXP((17.625*(Sheet3!BE34+273))/(243.04+(Sheet3!BE34+273))) / EXP((17.625*(Sheet3!CA34+273))/(243.04+(Sheet3!CA34+273)))</f>
        <v>0.25687107716039603</v>
      </c>
      <c r="CZ34" s="183">
        <f>EXP((17.625*(Sheet3!BG34+273))/(243.04+(Sheet3!BG34+273))) / EXP((17.625*(Sheet3!CB34+273))/(243.04+(Sheet3!CB34+273)))</f>
        <v>0.27197932126927077</v>
      </c>
      <c r="DA34" s="183">
        <f>EXP((17.625*(Sheet3!BI34+273))/(243.04+(Sheet3!BI34+273))) / EXP((17.625*(Sheet3!CC34+273))/(243.04+(Sheet3!CC34+273)))</f>
        <v>0.29214137164734388</v>
      </c>
      <c r="DB34" s="183">
        <f>EXP((17.625*(Sheet3!BK34+273))/(243.04+(Sheet3!BK34+273)))/EXP((17.625*(Sheet3!CD34+273))/(243.04+(Sheet3!CD34+273)))</f>
        <v>0.30454838838228193</v>
      </c>
      <c r="DC34" s="183">
        <f>EXP((17.625*(Sheet3!BM34+273))/(243.04+(Sheet3!BM34+273))) / EXP((17.625*(Sheet3!CE34+273))/(243.04+(Sheet3!CE34+273)))</f>
        <v>0.32261781557156199</v>
      </c>
      <c r="DD34" s="183">
        <f>EXP((17.625*(Sheet3!BO34+273))/(243.04+(Sheet3!BO34+273))) / EXP((17.625*(Sheet3!CF34+273))/(243.04+(Sheet3!CF34+273)))</f>
        <v>0.33780408494818265</v>
      </c>
      <c r="DE34" s="183">
        <f>EXP((17.625*(Sheet3!BQ34+273))/(243.04+(Sheet3!BQ34+273))) / EXP((17.625*(Sheet3!CG34+273))/(243.04+(Sheet3!CG34+273)))</f>
        <v>0.35862755330632201</v>
      </c>
      <c r="DF34" s="186">
        <f>((Sheet3!DA34-Sheet3!DB34)/New!$LQ$3)/(((Sheet3!DA34-Sheet3!DB34)/New!$LQ$3)+(Sheet3!DB34/New!$LP$3))</f>
        <v>0.71434292461158633</v>
      </c>
      <c r="DG34" s="183">
        <f>((Sheet3!DA34-Sheet3!DB34)/New!$LQ$3)/(((Sheet3!DA34-Sheet3!DB34)/New!$LQ$3)+((Sheet3!DB34-(Sheet3!B34*0.004))/New!$LP$3))</f>
        <v>0.71434292461158633</v>
      </c>
      <c r="DH34" s="183" cm="1">
        <f t="array" ref="DH34">((Sheet3!DA34-Sheet3!DB34)/New!$LQ$3)/(((Sheet3!DA34-Sheet3!DB34)/New!$LQ$3)+((Sheet3!DB34-(SUM(Sheet3!B34:C34*0.004)))/New!$LP$3))</f>
        <v>0.71987871161544481</v>
      </c>
      <c r="DI34" s="183" cm="1">
        <f t="array" ref="DI34">((Sheet3!DA34-Sheet3!DB34)/New!$LQ$3)/(((Sheet3!DA34-Sheet3!DB34)/New!$LQ$3)+((Sheet3!DB34-(SUM(Sheet3!B34:D34*0.004)))/New!$LP$3))</f>
        <v>0.71987871161544481</v>
      </c>
      <c r="DJ34" s="183" cm="1">
        <f t="array" ref="DJ34">((Sheet3!DA34-Sheet3!DB34)/New!$LQ$3)/(((Sheet3!DA34-Sheet3!DB34)/New!$LQ$3)+((Sheet3!DB34-(SUM(Sheet3!B34:E34*0.004)))/New!$LP$3))</f>
        <v>0.72609922846591712</v>
      </c>
      <c r="DK34" s="183" cm="1">
        <f t="array" ref="DK34">((Sheet3!DA34-Sheet3!DB34)/New!$LQ$3)/(((Sheet3!DA34-Sheet3!DB34)/New!$LQ$3)+((Sheet3!DB34-(SUM(Sheet3!B34:F34*0.004)))/New!$LP$3))</f>
        <v>0.72609922846591712</v>
      </c>
      <c r="DL34" s="183" cm="1">
        <f t="array" ref="DL34">((Sheet3!DA34-Sheet3!DB34)/New!$LQ$3)/(((Sheet3!DA34-Sheet3!DB34)/New!$LQ$3)+((Sheet3!DB34-(SUM(Sheet3!B34:G34*0.004)))/New!$LP$3))</f>
        <v>0.73260842747970167</v>
      </c>
      <c r="DM34" s="183" cm="1">
        <f t="array" ref="DM34">((Sheet3!DA34-Sheet3!DB34)/New!$LQ$3)/(((Sheet3!DA34-Sheet3!DB34)/New!$LQ$3)+((Sheet3!DB34-(SUM(Sheet3!B34:H34*0.004)))/New!$LP$3))</f>
        <v>0.73260842747970167</v>
      </c>
      <c r="DN34" s="183" cm="1">
        <f t="array" ref="DN34">((Sheet3!DA34-Sheet3!DB34)/New!$LQ$3)/(((Sheet3!DA34-Sheet3!DB34)/New!$LQ$3)+((Sheet3!DB34-(SUM(Sheet3!B34:I34*0.004)))/New!$LP$3))</f>
        <v>0.73907808161646471</v>
      </c>
      <c r="DO34" s="186">
        <f>(Sheet3!DB34/$LP$3) / ((Sheet3!DB34/$LP$3) + ((Sheet3!DA34-Sheet3!DB34)/$LQ$3))</f>
        <v>0.28565707538841373</v>
      </c>
      <c r="DP34" s="183">
        <f>((Sheet3!$DB34-(Sheet3!B34/4000)) / $LP$3) / (((Sheet3!$DA34-Sheet3!DB34) / $LQ$3) + (Sheet3!$DB34-((Sheet3!B34/4000)))/$LP$3)</f>
        <v>0.28565707538841373</v>
      </c>
      <c r="DQ34" s="183">
        <f>((Sheet3!$DB34-(SUM(Sheet3!B34:C34)/4000))/$LP$3)/(((Sheet3!$DA34-Sheet3!$DB34)/$LQ$3)+(Sheet3!$DB34-(SUM(Sheet3!B34:C34)/4000))/$LP$3)</f>
        <v>0.28531358421166075</v>
      </c>
      <c r="DR34" s="183">
        <f>((Sheet3!$DB34-(SUM(Sheet3!B34:D34)/4000))/$LP$3)/(((Sheet3!$DA34-Sheet3!$DB34)/$LQ$3)+(Sheet3!$DB34-(SUM(Sheet3!B34:D34)/4000))/$LP$3)</f>
        <v>0.28531358421166075</v>
      </c>
      <c r="DS34" s="183">
        <f>((Sheet3!$DB34-(SUM(Sheet3!B34:E34)/4000))/$LP$3)/(((Sheet3!$DA34-Sheet3!$DB34)/$LQ$3)+(Sheet3!$DB34-(SUM(Sheet3!B34:E34)/4000))/$LP$3)</f>
        <v>0.28493347082933429</v>
      </c>
      <c r="DT34" s="183">
        <f>((Sheet3!$DB34-(SUM(Sheet3!B34:F34)/4000))/$LP$3)/(((Sheet3!$DA34-Sheet3!$DB34)/$LQ$3)+(Sheet3!$DB34-(SUM(Sheet3!B34:F34)/4000))/$LP$3)</f>
        <v>0.28493347082933429</v>
      </c>
      <c r="DU34" s="183">
        <f>((Sheet3!$DB34-(SUM(Sheet3!B34:G34)/4000))/$LP$3)/(((Sheet3!$DA34-Sheet3!$DB34)/$LQ$3)+(Sheet3!$DB34-(SUM(Sheet3!B34:G34)/4000))/$LP$3)</f>
        <v>0.2845422065949974</v>
      </c>
      <c r="DV34" s="183">
        <f>((Sheet3!$DB34-(SUM(Sheet3!B34:H34)/4000))/$LP$3)/(((Sheet3!$DA34-Sheet3!$DB34)/$LQ$3)+(Sheet3!$DB34-(SUM(Sheet3!B34:H34)/4000))/$LP$3)</f>
        <v>0.2845422065949974</v>
      </c>
      <c r="DW34" s="183">
        <f>((Sheet3!$DB34-(SUM(Sheet3!B34:I34)/4000))/$LP$3)/(((Sheet3!$DA34-Sheet3!$DB34)/$LQ$3)+(Sheet3!$DB34-(SUM(Sheet3!B34:I34)/4000))/$LP$3)</f>
        <v>0.284159735173174</v>
      </c>
      <c r="DX34" s="186">
        <f>($LR$2*($LP$3/1000))/($LP$2*(Sheet3!DF34+273))*DO34</f>
        <v>0.13120728458088396</v>
      </c>
      <c r="DY34" s="183">
        <f>(($LR$2*($LP$3/1000))/($LP$2*(Sheet3!BZ34+273)))*(DP34)</f>
        <v>0.13178423441521114</v>
      </c>
      <c r="DZ34" s="183">
        <f>(($LR$2*($LP$3/1000))/($LP$2*(Sheet3!CA34+273)))*(DQ34)</f>
        <v>0.13369410907576981</v>
      </c>
      <c r="EA34" s="183">
        <f>(($LR$2*($LP$3/1000))/($LP$2*(Sheet3!CB34+273)))*(DR34)</f>
        <v>0.13566858423432471</v>
      </c>
      <c r="EB34" s="183">
        <f>(($LR$2*($LP$3/1000))/($LP$2*(Sheet3!CC34+273)))*(DS34)</f>
        <v>0.1379918438995793</v>
      </c>
      <c r="EC34" s="183">
        <f>(($LR$2*($LP$3/1000))/($LP$2*(Sheet3!CD34+273)))*(DT34)</f>
        <v>0.13943033005199296</v>
      </c>
      <c r="ED34" s="183">
        <f>(($LR$2*($LP$3/1000))/($LP$2*(Sheet3!CE34+273)))*(DU34)</f>
        <v>0.14130576805307668</v>
      </c>
      <c r="EE34" s="183">
        <f>(($LR$2*($LP$3/1000))/($LP$2*(Sheet3!CF34+273)))*(DV34)</f>
        <v>0.1429234363265984</v>
      </c>
      <c r="EF34" s="183">
        <f>(($LR$2*($LP$3/1000))/($LP$2*(Sheet3!CG34+273)))*(DW34)</f>
        <v>0.14491047353694181</v>
      </c>
      <c r="EG34" s="186">
        <f>(($LR$2*($LQ$3/1000))/($LQ$2*(Sheet3!DF34+273)))*(1-DO34)</f>
        <v>0.52745328401515346</v>
      </c>
      <c r="EH34" s="183">
        <f>(($LR$2*($LQ$3/1000))/($LQ$2*(Sheet3!BZ34+273)))*(1-DP34)</f>
        <v>0.52977262234914868</v>
      </c>
      <c r="EI34" s="183">
        <f>(($LR$2*($LQ$3/1000))/($LQ$2*(Sheet3!CA34+273)))*(1-DQ34)</f>
        <v>0.53835610262726508</v>
      </c>
      <c r="EJ34" s="183">
        <f>(($LR$2*($LQ$3/1000))/($LQ$2*(Sheet3!CB34+273)))*(1-DR34)</f>
        <v>0.5463068699306437</v>
      </c>
      <c r="EK34" s="183">
        <f>(($LR$2*($LQ$3/1000))/($LQ$2*(Sheet3!CC34+273)))*(1-DS34)</f>
        <v>0.55669931981675957</v>
      </c>
      <c r="EL34" s="183">
        <f>(($LR$2*($LQ$3/1000))/($LQ$2*(Sheet3!CD34+273)))*(1-DT34)</f>
        <v>0.56250259224202903</v>
      </c>
      <c r="EM34" s="183">
        <f>(($LR$2*($LQ$3/1000))/($LQ$2*(Sheet3!CE34+273)))*(1-DU34)</f>
        <v>0.57116489205955323</v>
      </c>
      <c r="EN34" s="183">
        <f>(($LR$2*($LQ$3/1000))/($LQ$2*(Sheet3!CF34+273)))*(1-DV34)</f>
        <v>0.57770358710055913</v>
      </c>
      <c r="EO34" s="183">
        <f>(($LR$2*($LQ$3/1000))/($LQ$2*(Sheet3!CG34+273)))*(1-DW34)</f>
        <v>0.58683721915577414</v>
      </c>
      <c r="EP34" s="186">
        <f t="shared" si="132"/>
        <v>9876.3652588698187</v>
      </c>
      <c r="EQ34" s="183">
        <f xml:space="preserve"> (($FV34-(Sheet3!B34/4000))*0.018)/(0.011*JO34*3600)</f>
        <v>9912.5589722773948</v>
      </c>
      <c r="ER34" s="183">
        <f>((($FV34-(SUM(Sheet3!B34:C34)/4000))*0.018)/(0.011*JP34*3600))</f>
        <v>10037.23288555645</v>
      </c>
      <c r="ES34" s="183">
        <f>((($FV34-(SUM(Sheet3!B34:D34)/4000))*0.018)/(0.011*JQ34*3600))</f>
        <v>10160.209788237193</v>
      </c>
      <c r="ET34" s="183">
        <f>((($FV34-(SUM(Sheet3!B34:E34)/4000))*0.018)/(0.011*JR34))/3600</f>
        <v>10310.040070369565</v>
      </c>
      <c r="EU34" s="183">
        <f>((($FV34-(SUM(Sheet3!B34:F34)/4000))*0.018)/(0.011*JS34))/3600</f>
        <v>10398.825157137122</v>
      </c>
      <c r="EV34" s="183">
        <f>((($FV34-(SUM(Sheet3!B34:G34)/4000))*0.018)/(0.011*JT34))/3600</f>
        <v>10520.227960498838</v>
      </c>
      <c r="EW34" s="183">
        <f>((($FV34-(SUM(Sheet3!B34:H34)/4000))*0.018)/(0.011*JU34))/3600</f>
        <v>10619.321295869933</v>
      </c>
      <c r="EX34" s="183">
        <f>((($FV34-(SUM(Sheet3!B34:I34)/4000))*0.018)/(0.011*JV34))/3600</f>
        <v>10746.561830963617</v>
      </c>
      <c r="EY34" s="186">
        <f t="shared" si="133"/>
        <v>76.152936701096948</v>
      </c>
      <c r="EZ34" s="183">
        <f t="shared" si="134"/>
        <v>76.36786275251481</v>
      </c>
      <c r="FA34" s="183">
        <f t="shared" si="135"/>
        <v>77.093856213452113</v>
      </c>
      <c r="FB34" s="183">
        <f t="shared" si="136"/>
        <v>77.827970194809154</v>
      </c>
      <c r="FC34" s="183">
        <f t="shared" si="137"/>
        <v>78.707862537585441</v>
      </c>
      <c r="FD34" s="183">
        <f t="shared" si="138"/>
        <v>79.241662414992561</v>
      </c>
      <c r="FE34" s="183">
        <f t="shared" si="139"/>
        <v>79.955084842252788</v>
      </c>
      <c r="FF34" s="183">
        <f t="shared" si="140"/>
        <v>80.55470161535051</v>
      </c>
      <c r="FG34" s="183">
        <f t="shared" si="141"/>
        <v>81.308716528909457</v>
      </c>
      <c r="FH34" s="186">
        <f t="shared" si="185"/>
        <v>181.54816229351039</v>
      </c>
      <c r="FI34" s="183">
        <f t="shared" si="186"/>
        <v>181.05572462651179</v>
      </c>
      <c r="FJ34" s="183">
        <f t="shared" si="187"/>
        <v>179.1794981301347</v>
      </c>
      <c r="FK34" s="183">
        <f t="shared" si="188"/>
        <v>177.54371822882351</v>
      </c>
      <c r="FL34" s="183">
        <f t="shared" si="189"/>
        <v>175.36830516760503</v>
      </c>
      <c r="FM34" s="183">
        <f t="shared" si="190"/>
        <v>174.21889861872228</v>
      </c>
      <c r="FN34" s="183">
        <f t="shared" si="191"/>
        <v>172.45124232557336</v>
      </c>
      <c r="FO34" s="183">
        <f t="shared" si="192"/>
        <v>171.19652560137672</v>
      </c>
      <c r="FP34" s="183">
        <f t="shared" si="193"/>
        <v>169.39929839180982</v>
      </c>
      <c r="FQ34" s="314">
        <f>Sheet3!CV34</f>
        <v>2</v>
      </c>
      <c r="FR34" s="183">
        <v>10000</v>
      </c>
      <c r="FS34" s="183">
        <v>20</v>
      </c>
      <c r="FT34" s="183">
        <v>0.29289999999999999</v>
      </c>
      <c r="FU34" s="183">
        <v>17.57</v>
      </c>
      <c r="FV34" s="183">
        <v>502</v>
      </c>
      <c r="FW34" s="183">
        <v>100</v>
      </c>
      <c r="FX34" s="183">
        <v>1005</v>
      </c>
      <c r="FY34" s="183">
        <v>8.58</v>
      </c>
      <c r="FZ34" s="183">
        <v>17.57</v>
      </c>
      <c r="GA34" s="183">
        <v>205</v>
      </c>
      <c r="GB34" s="186">
        <f>EXP($LP$6-($LQ$6/('Trial and Error method'!T34+$LP$8))) / ($LR$2/1000)</f>
        <v>6.3810306435680322E-2</v>
      </c>
      <c r="GC34" s="183">
        <f>EXP($LP$6-($LQ$6/('Trial and Error method'!U34+$LP$8))) / ($LR$2/1000)</f>
        <v>9.9232009185394848E-2</v>
      </c>
      <c r="GD34" s="183">
        <f>EXP($LP$6-($LQ$6/('Trial and Error method'!V34+$LP$8))) / ($LR$2/1000)</f>
        <v>9.2378323647475752E-2</v>
      </c>
      <c r="GE34" s="183">
        <f>EXP($LP$6-($LQ$6/('Trial and Error method'!W34+$LP$8))) / ($LR$2/1000)</f>
        <v>8.6485384060778811E-2</v>
      </c>
      <c r="GF34" s="183">
        <f>EXP($LP$6-($LQ$6/('Trial and Error method'!X34+$LP$8))) / ($LR$2/1000)</f>
        <v>8.0639717793774393E-2</v>
      </c>
      <c r="GG34" s="183">
        <f>EXP($LP$6-($LQ$6/('Trial and Error method'!Y34+$LP$8))) / ($LR$2/1000)</f>
        <v>7.6031445376889564E-2</v>
      </c>
      <c r="GH34" s="183">
        <f>EXP($LP$6-($LQ$6/('Trial and Error method'!Z34+$LP$8))) / ($LR$2/1000)</f>
        <v>7.1339040501102458E-2</v>
      </c>
      <c r="GI34" s="183">
        <f>EXP($LP$6-($LQ$6/('Trial and Error method'!AA34+$LP$8))) / ($LR$2/1000)</f>
        <v>6.7357326070542053E-2</v>
      </c>
      <c r="GJ34" s="183">
        <f>EXP($LP$6-($LQ$6/('Trial and Error method'!AB34+$LP$8))) / ($LR$2/1000)</f>
        <v>6.3383345997934576E-2</v>
      </c>
      <c r="GK34" s="188">
        <f t="shared" si="142"/>
        <v>0.82027243019914586</v>
      </c>
      <c r="GL34" s="165">
        <f t="shared" si="143"/>
        <v>0.80395625699895878</v>
      </c>
      <c r="GM34" s="165">
        <f t="shared" si="144"/>
        <v>0.80731533229832064</v>
      </c>
      <c r="GN34" s="165">
        <f t="shared" si="145"/>
        <v>0.81003763739497925</v>
      </c>
      <c r="GO34" s="165">
        <f t="shared" si="146"/>
        <v>0.81293960786128938</v>
      </c>
      <c r="GP34" s="165">
        <f t="shared" si="147"/>
        <v>0.81506057751380745</v>
      </c>
      <c r="GQ34" s="165">
        <f t="shared" si="148"/>
        <v>0.81743063137985195</v>
      </c>
      <c r="GR34" s="165">
        <f t="shared" si="149"/>
        <v>0.81925787658628546</v>
      </c>
      <c r="GS34" s="165">
        <f t="shared" si="150"/>
        <v>0.82128870124513997</v>
      </c>
      <c r="GT34" s="188">
        <f t="shared" si="194"/>
        <v>0.11286153008376493</v>
      </c>
      <c r="GU34" s="165">
        <f t="shared" si="195"/>
        <v>0.11512560743703298</v>
      </c>
      <c r="GV34" s="165">
        <f t="shared" si="196"/>
        <v>0.11457145809989019</v>
      </c>
      <c r="GW34" s="165">
        <f t="shared" si="197"/>
        <v>0.11414230656965993</v>
      </c>
      <c r="GX34" s="165">
        <f t="shared" si="198"/>
        <v>0.11366723094635994</v>
      </c>
      <c r="GY34" s="165">
        <f t="shared" si="199"/>
        <v>0.11335085126679302</v>
      </c>
      <c r="GZ34" s="165">
        <f t="shared" si="200"/>
        <v>0.1129759025521109</v>
      </c>
      <c r="HA34" s="165">
        <f t="shared" si="201"/>
        <v>0.11271100025148778</v>
      </c>
      <c r="HB34" s="165">
        <f t="shared" si="202"/>
        <v>0.11238986566589088</v>
      </c>
      <c r="HC34" s="188">
        <f>BV34*Sheet3!DF34</f>
        <v>249.20408128054251</v>
      </c>
      <c r="HD34" s="165">
        <f>BW34*Sheet3!BZ34</f>
        <v>246.54936964634268</v>
      </c>
      <c r="HE34" s="165">
        <f>BX34*Sheet3!CA34</f>
        <v>236.97789895516141</v>
      </c>
      <c r="HF34" s="165">
        <f>BY34*Sheet3!CB34</f>
        <v>228.38125129967813</v>
      </c>
      <c r="HG34" s="165">
        <f>BZ34*Sheet3!CC34</f>
        <v>217.5991515126841</v>
      </c>
      <c r="HH34" s="165">
        <f>CA34*Sheet3!CD34</f>
        <v>211.74608062896527</v>
      </c>
      <c r="HI34" s="165">
        <f>CB34*Sheet3!CE34</f>
        <v>203.308719587197</v>
      </c>
      <c r="HJ34" s="165">
        <f>CC34*Sheet3!CF34</f>
        <v>197.08543311820193</v>
      </c>
      <c r="HK34" s="165">
        <f>CD34*Sheet3!CG34</f>
        <v>188.70921133723314</v>
      </c>
      <c r="HL34" s="188">
        <f>(CE34*Sheet3!DF34)+2501</f>
        <v>2899.0054276934375</v>
      </c>
      <c r="HM34" s="165">
        <f>(CF34*Sheet3!BZ34)+2501</f>
        <v>2894.7056453562882</v>
      </c>
      <c r="HN34" s="165">
        <f>(CG34*Sheet3!CA34)+2501</f>
        <v>2879.6217444717977</v>
      </c>
      <c r="HO34" s="165">
        <f>(CH34*Sheet3!CB34)+2501</f>
        <v>2865.7124519002537</v>
      </c>
      <c r="HP34" s="165">
        <f>(CI34*Sheet3!CC34)+2501</f>
        <v>2848.7023822197489</v>
      </c>
      <c r="HQ34" s="165">
        <f>(CJ34*Sheet3!CD34)+2501</f>
        <v>2839.2451548462914</v>
      </c>
      <c r="HR34" s="165">
        <f>(CK34*Sheet3!CE34)+2501</f>
        <v>2826.0211927523583</v>
      </c>
      <c r="HS34" s="165">
        <f>(CL34*Sheet3!CF34)+2501</f>
        <v>2815.9741606782723</v>
      </c>
      <c r="HT34" s="165">
        <f>(CM34*Sheet3!CG34)+2501</f>
        <v>2802.8234496634468</v>
      </c>
      <c r="HU34" s="188">
        <f>-0.0021*(Sheet3!DF34^2) - 2.2115*(Sheet3!DF34) + 2499</f>
        <v>1957.3899999999999</v>
      </c>
      <c r="HV34" s="165">
        <f>-0.0021*(Sheet3!BZ34^2) - 2.2115*(Sheet3!BZ34) + 2499</f>
        <v>1963.8105578476409</v>
      </c>
      <c r="HW34" s="165">
        <f>-0.0021*(Sheet3!CA34^2) - 2.2115*(Sheet3!CA34) + 2499</f>
        <v>1986.2536403291042</v>
      </c>
      <c r="HX34" s="165">
        <f>-0.0021*(Sheet3!CB34^2) - 2.2115*(Sheet3!CB34) + 2499</f>
        <v>2006.8367014036648</v>
      </c>
      <c r="HY34" s="165">
        <f>-0.0021*(Sheet3!CC34^2) - 2.2115*(Sheet3!CC34) + 2499</f>
        <v>2031.8595194780514</v>
      </c>
      <c r="HZ34" s="165">
        <f>-0.0021*(Sheet3!CD34^2) - 2.2115*(Sheet3!CD34) + 2499</f>
        <v>2045.6997806616168</v>
      </c>
      <c r="IA34" s="165">
        <f>-0.0021*(Sheet3!CE34^2) - 2.2115*(Sheet3!CE34) + 2499</f>
        <v>2064.9649861406842</v>
      </c>
      <c r="IB34" s="165">
        <f>-0.0021*(Sheet3!CF34^2) - 2.2115*(Sheet3!CF34) + 2499</f>
        <v>2079.5327209918919</v>
      </c>
      <c r="IC34" s="165">
        <f>-0.0021*(Sheet3!CG34^2) - 2.2115*(Sheet3!CG34) + 2499</f>
        <v>2098.508854184719</v>
      </c>
      <c r="ID34" s="188">
        <f t="shared" si="203"/>
        <v>0.65449672275309223</v>
      </c>
      <c r="IE34" s="165">
        <f t="shared" si="204"/>
        <v>0.65543148700296083</v>
      </c>
      <c r="IF34" s="165">
        <f t="shared" si="205"/>
        <v>0.65832777740062653</v>
      </c>
      <c r="IG34" s="165">
        <f t="shared" si="206"/>
        <v>0.66163755904488519</v>
      </c>
      <c r="IH34" s="165">
        <f t="shared" si="207"/>
        <v>0.6653596763147438</v>
      </c>
      <c r="II34" s="165">
        <f t="shared" si="208"/>
        <v>0.66787266128099199</v>
      </c>
      <c r="IJ34" s="165">
        <f t="shared" si="209"/>
        <v>0.6709415152080469</v>
      </c>
      <c r="IK34" s="165">
        <f t="shared" si="210"/>
        <v>0.67386467998154909</v>
      </c>
      <c r="IL34" s="165">
        <f t="shared" si="211"/>
        <v>0.6772668303225613</v>
      </c>
      <c r="IM34" s="188">
        <f t="shared" si="212"/>
        <v>49.009063854057075</v>
      </c>
      <c r="IN34" s="165">
        <f t="shared" si="151"/>
        <v>42.147889348536374</v>
      </c>
      <c r="IO34" s="165">
        <f t="shared" si="152"/>
        <v>43.905886693284785</v>
      </c>
      <c r="IP34" s="165">
        <f t="shared" si="153"/>
        <v>45.54457570408016</v>
      </c>
      <c r="IQ34" s="165">
        <f t="shared" si="154"/>
        <v>47.182836411841421</v>
      </c>
      <c r="IR34" s="165">
        <f t="shared" si="155"/>
        <v>48.4405801034505</v>
      </c>
      <c r="IS34" s="165">
        <f t="shared" si="156"/>
        <v>49.738440167887511</v>
      </c>
      <c r="IT34" s="165">
        <f t="shared" si="157"/>
        <v>50.905141675388336</v>
      </c>
      <c r="IU34" s="165">
        <f t="shared" si="158"/>
        <v>52.070360471429098</v>
      </c>
      <c r="IV34" s="188">
        <f>_xlfn.FORECAST.LINEAR(Sheet3!DF34,Sheet2!$AK$2:$AK$69,Sheet2!$AJ$2:$AJ$69)</f>
        <v>1.5962912137298422E-5</v>
      </c>
      <c r="IW34" s="165">
        <f>_xlfn.FORECAST.LINEAR(Sheet3!BZ34,Sheet2!$AK$2:$AK$69,Sheet2!$AJ$2:$AJ$69)</f>
        <v>1.5889642628921963E-5</v>
      </c>
      <c r="IX34" s="165">
        <f>_xlfn.FORECAST.LINEAR(Sheet3!CA34,Sheet2!$AK$2:$AK$69,Sheet2!$AJ$2:$AJ$69)</f>
        <v>1.5631860495170347E-5</v>
      </c>
      <c r="IY34" s="165">
        <f>_xlfn.FORECAST.LINEAR(Sheet3!CB34,Sheet2!$AK$2:$AK$69,Sheet2!$AJ$2:$AJ$69)</f>
        <v>1.5393110042428884E-5</v>
      </c>
      <c r="IZ34" s="165">
        <f>_xlfn.FORECAST.LINEAR(Sheet3!CC34,Sheet2!$AK$2:$AK$69,Sheet2!$AJ$2:$AJ$69)</f>
        <v>1.5099759574817544E-5</v>
      </c>
      <c r="JA34" s="165">
        <f>_xlfn.FORECAST.LINEAR(Sheet3!CD34,Sheet2!$AK$2:$AK$69,Sheet2!$AJ$2:$AJ$69)</f>
        <v>1.4936002479950519E-5</v>
      </c>
      <c r="JB34" s="165">
        <f>_xlfn.FORECAST.LINEAR(Sheet3!CE34,Sheet2!$AK$2:$AK$69,Sheet2!$AJ$2:$AJ$69)</f>
        <v>1.4706224949374228E-5</v>
      </c>
      <c r="JC34" s="165">
        <f>_xlfn.FORECAST.LINEAR(Sheet3!CF34,Sheet2!$AK$2:$AK$69,Sheet2!$AJ$2:$AJ$69)</f>
        <v>1.4531024801562605E-5</v>
      </c>
      <c r="JD34" s="165">
        <f>_xlfn.FORECAST.LINEAR(Sheet3!CG34,Sheet2!$AK$2:$AK$69,Sheet2!$AJ$2:$AJ$69)</f>
        <v>1.4300884756868699E-5</v>
      </c>
      <c r="JE34" s="188">
        <f>_xlfn.FORECAST.LINEAR(Sheet3!DF34,New!$MC$2:$MC$18,New!$MB$2:$MB$18)</f>
        <v>2.5847452754227255E-5</v>
      </c>
      <c r="JF34" s="165">
        <f>_xlfn.FORECAST.LINEAR(Sheet3!BZ34,New!$MC$2:$MC$18,New!$MB$2:$MB$18)</f>
        <v>2.5761322678644858E-5</v>
      </c>
      <c r="JG34" s="165">
        <f>_xlfn.FORECAST.LINEAR(Sheet3!CA34,New!$MC$2:$MC$18,New!$MB$2:$MB$18)</f>
        <v>2.5458293558403713E-5</v>
      </c>
      <c r="JH34" s="165">
        <f>_xlfn.FORECAST.LINEAR(Sheet3!CB34,New!$MC$2:$MC$18,New!$MB$2:$MB$18)</f>
        <v>2.5177636638552429E-5</v>
      </c>
      <c r="JI34" s="165">
        <f>_xlfn.FORECAST.LINEAR(Sheet3!CC34,New!$MC$2:$MC$18,New!$MB$2:$MB$18)</f>
        <v>2.4832796083356136E-5</v>
      </c>
      <c r="JJ34" s="165">
        <f>_xlfn.FORECAST.LINEAR(Sheet3!CD34,New!$MC$2:$MC$18,New!$MB$2:$MB$18)</f>
        <v>2.4640295665780207E-5</v>
      </c>
      <c r="JK34" s="165">
        <f>_xlfn.FORECAST.LINEAR(Sheet3!CE34,New!$MC$2:$MC$18,New!$MB$2:$MB$18)</f>
        <v>2.4370186632511026E-5</v>
      </c>
      <c r="JL34" s="165">
        <f>_xlfn.FORECAST.LINEAR(Sheet3!CF34,New!$MC$2:$MC$18,New!$MB$2:$MB$18)</f>
        <v>2.4164234630000915E-5</v>
      </c>
      <c r="JM34" s="165">
        <f>_xlfn.FORECAST.LINEAR(Sheet3!CG34,New!$MC$2:$MC$18,New!$MB$2:$MB$18)</f>
        <v>2.3893699452636574E-5</v>
      </c>
      <c r="JN34" s="188">
        <f t="shared" si="159"/>
        <v>2.3103825364993611E-5</v>
      </c>
      <c r="JO34" s="165">
        <f t="shared" si="160"/>
        <v>2.3019466398129662E-5</v>
      </c>
      <c r="JP34" s="165">
        <f t="shared" si="161"/>
        <v>2.272591893701439E-5</v>
      </c>
      <c r="JQ34" s="165">
        <f t="shared" si="162"/>
        <v>2.2450849506392663E-5</v>
      </c>
      <c r="JR34" s="165">
        <f t="shared" si="163"/>
        <v>2.211638304974813E-5</v>
      </c>
      <c r="JS34" s="165">
        <f t="shared" si="164"/>
        <v>2.1927553546570196E-5</v>
      </c>
      <c r="JT34" s="165">
        <f t="shared" si="165"/>
        <v>2.1666247584387486E-5</v>
      </c>
      <c r="JU34" s="165">
        <f t="shared" si="166"/>
        <v>2.1464070752338162E-5</v>
      </c>
      <c r="JV34" s="165">
        <f t="shared" si="167"/>
        <v>2.1202034739728162E-5</v>
      </c>
      <c r="JW34" s="188">
        <f t="shared" ref="JW34:JW64" si="231">(SQRT(2)/4)*(1+($LQ$3/$LP$3))^-0.5*(1+((JE34/IV34)^0.5*($LP$3/$LQ$3)^0.25))^2</f>
        <v>0.99342087640971777</v>
      </c>
      <c r="JX34" s="165">
        <f t="shared" ref="JX34:JX64" si="232">(SQRT(2)/4)*(1+($LQ$3/$LP$3))^-0.5*(1+((JF34/IW34)^0.5*($LP$3/$LQ$3)^0.25))^2</f>
        <v>0.99408671879619925</v>
      </c>
      <c r="JY34" s="165">
        <f t="shared" ref="JY34:JY64" si="233">(SQRT(2)/4)*(1+($LQ$3/$LP$3))^-0.5*(1+((JG34/IX34)^0.5*($LP$3/$LQ$3)^0.25))^2</f>
        <v>0.99647732217944407</v>
      </c>
      <c r="JZ34" s="165">
        <f t="shared" ref="JZ34:JZ64" si="234">(SQRT(2)/4)*(1+($LQ$3/$LP$3))^-0.5*(1+((JH34/IY34)^0.5*($LP$3/$LQ$3)^0.25))^2</f>
        <v>0.99876048731613354</v>
      </c>
      <c r="KA34" s="165">
        <f t="shared" ref="KA34:KA64" si="235">(SQRT(2)/4)*(1+($LQ$3/$LP$3))^-0.5*(1+((JI34/IZ34)^0.5*($LP$3/$LQ$3)^0.25))^2</f>
        <v>1.0016613325894255</v>
      </c>
      <c r="KB34" s="165">
        <f t="shared" ref="KB34:KB64" si="236">(SQRT(2)/4)*(1+($LQ$3/$LP$3))^-0.5*(1+((JJ34/JA34)^0.5*($LP$3/$LQ$3)^0.25))^2</f>
        <v>1.0033285598943791</v>
      </c>
      <c r="KC34" s="165">
        <f t="shared" ref="KC34:KC64" si="237">(SQRT(2)/4)*(1+($LQ$3/$LP$3))^-0.5*(1+((JK34/JB34)^0.5*($LP$3/$LQ$3)^0.25))^2</f>
        <v>1.0057284171597818</v>
      </c>
      <c r="KD34" s="165">
        <f t="shared" ref="KD34:KD64" si="238">(SQRT(2)/4)*(1+($LQ$3/$LP$3))^-0.5*(1+((JL34/JC34)^0.5*($LP$3/$LQ$3)^0.25))^2</f>
        <v>1.0076075014894541</v>
      </c>
      <c r="KE34" s="165">
        <f t="shared" ref="KE34:KE64" si="239">(SQRT(2)/4)*(1+($LQ$3/$LP$3))^-0.5*(1+((JM34/JD34)^0.5*($LP$3/$LQ$3)^0.25))^2</f>
        <v>1.0101433719335418</v>
      </c>
      <c r="KF34" s="188">
        <f t="shared" si="75"/>
        <v>0.98626119619886909</v>
      </c>
      <c r="KG34" s="165">
        <f t="shared" ref="KG34:KG65" si="240">(SQRT(2)/4)*(1+($LP$3/$LQ$3))^-0.5*(1+((IW34/JF34)^0.5*($LQ$3/$LP$3)^0.25))^2</f>
        <v>0.9856768004343911</v>
      </c>
      <c r="KH34" s="165">
        <f t="shared" ref="KH34:KH65" si="241">(SQRT(2)/4)*(1+($LP$3/$LQ$3))^-0.5*(1+((IX34/JG34)^0.5*($LQ$3/$LP$3)^0.25))^2</f>
        <v>0.98358770446584476</v>
      </c>
      <c r="KI34" s="165">
        <f t="shared" ref="KI34:KI65" si="242">(SQRT(2)/4)*(1+($LP$3/$LQ$3))^-0.5*(1+((IY34/JH34)^0.5*($LQ$3/$LP$3)^0.25))^2</f>
        <v>0.98160566514030034</v>
      </c>
      <c r="KJ34" s="165">
        <f t="shared" ref="KJ34:KJ65" si="243">(SQRT(2)/4)*(1+($LP$3/$LQ$3))^-0.5*(1+((IZ34/JI34)^0.5*($LQ$3/$LP$3)^0.25))^2</f>
        <v>0.9791057701304291</v>
      </c>
      <c r="KK34" s="165">
        <f t="shared" ref="KK34:KK65" si="244">(SQRT(2)/4)*(1+($LP$3/$LQ$3))^-0.5*(1+((JA34/JJ34)^0.5*($LQ$3/$LP$3)^0.25))^2</f>
        <v>0.97767819220536201</v>
      </c>
      <c r="KL34" s="165">
        <f t="shared" ref="KL34:KL65" si="245">(SQRT(2)/4)*(1+($LP$3/$LQ$3))^-0.5*(1+((JB34/JK34)^0.5*($LQ$3/$LP$3)^0.25))^2</f>
        <v>0.9756349781523046</v>
      </c>
      <c r="KM34" s="165">
        <f t="shared" ref="KM34:KM65" si="246">(SQRT(2)/4)*(1+($LP$3/$LQ$3))^-0.5*(1+((JC34/JL34)^0.5*($LQ$3/$LP$3)^0.25))^2</f>
        <v>0.97404469013810202</v>
      </c>
      <c r="KN34" s="165">
        <f t="shared" ref="KN34:KN65" si="247">(SQRT(2)/4)*(1+($LP$3/$LQ$3))^-0.5*(1+((JD34/JM34)^0.5*($LQ$3/$LP$3)^0.25))^2</f>
        <v>0.97191172165647755</v>
      </c>
      <c r="KO34" s="188">
        <f t="shared" si="213"/>
        <v>0.6579468590896238</v>
      </c>
      <c r="KP34" s="165">
        <f t="shared" si="214"/>
        <v>0.65687609447956374</v>
      </c>
      <c r="KQ34" s="165">
        <f t="shared" si="215"/>
        <v>0.65276384016129729</v>
      </c>
      <c r="KR34" s="165">
        <f t="shared" si="216"/>
        <v>0.6488729803792781</v>
      </c>
      <c r="KS34" s="165">
        <f t="shared" si="217"/>
        <v>0.64398322366291094</v>
      </c>
      <c r="KT34" s="165">
        <f t="shared" si="218"/>
        <v>0.64119717323541792</v>
      </c>
      <c r="KU34" s="165">
        <f t="shared" si="219"/>
        <v>0.63722391589470351</v>
      </c>
      <c r="KV34" s="165">
        <f t="shared" si="220"/>
        <v>0.63413619367122465</v>
      </c>
      <c r="KW34" s="165">
        <f t="shared" si="221"/>
        <v>0.63008969008763038</v>
      </c>
      <c r="KX34" s="188">
        <f>AVERAGE(Sheet3!J34:P34)*KO34^(1/3)/ID34^(1/3)</f>
        <v>134.9878606247245</v>
      </c>
      <c r="KY34" s="165">
        <f>Sheet3!J34*KP34^(1/3)/IE34^(1/3)</f>
        <v>118.60740789130085</v>
      </c>
      <c r="KZ34" s="165">
        <f>Sheet3!K34*KQ34^(1/3)/IF34^(1/3)</f>
        <v>119.26691084947159</v>
      </c>
      <c r="LA34" s="165">
        <f>Sheet3!L34*KR34^(1/3)/IG34^(1/3)</f>
        <v>124.29331678993609</v>
      </c>
      <c r="LB34" s="165">
        <f>Sheet3!M34*KS34^(1/3)/IH34^(1/3)</f>
        <v>130.22933606055932</v>
      </c>
      <c r="LC34" s="165">
        <f>Sheet3!N34*KT34^(1/3)/II34^(1/3)</f>
        <v>138.28811050877817</v>
      </c>
      <c r="LD34" s="165">
        <f>Sheet3!O34*KU34^(1/3)/IJ34^(1/3)</f>
        <v>146.87984665441942</v>
      </c>
      <c r="LE34" s="165">
        <f>Sheet3!P34*KV34^(1/3)/IK34^(1/3)</f>
        <v>155.58806918508566</v>
      </c>
      <c r="LF34" s="165">
        <f>Sheet3!Q34*KW34^(1/3)/IL34^(1/3)</f>
        <v>161.19829250755129</v>
      </c>
      <c r="LG34" s="186">
        <f t="shared" ref="LG34:LG65" si="248" xml:space="preserve">  DF34*$LQ$3 + DO34*$LP$3</f>
        <v>25.833483309873813</v>
      </c>
      <c r="LH34" s="183">
        <f t="shared" ref="LH34:LH65" si="249" xml:space="preserve">  DG34*$LQ$3 + DP34*$LP$3</f>
        <v>25.833483309873813</v>
      </c>
      <c r="LI34" s="183">
        <f t="shared" ref="LI34:LI65" si="250" xml:space="preserve">  DH34*$LQ$3 + DQ34*$LP$3</f>
        <v>25.987611707956351</v>
      </c>
      <c r="LJ34" s="183">
        <f t="shared" ref="LJ34:LJ65" si="251" xml:space="preserve">  DI34*$LQ$3 + DR34*$LP$3</f>
        <v>25.987611707956351</v>
      </c>
      <c r="LK34" s="183">
        <f t="shared" ref="LK34:LK65" si="252" xml:space="preserve">  DJ34*$LQ$3 + DS34*$LP$3</f>
        <v>26.160910133363416</v>
      </c>
      <c r="LL34" s="183">
        <f t="shared" ref="LL34:LL65" si="253" xml:space="preserve">  DK34*$LQ$3 + DT34*$LP$3</f>
        <v>26.160910133363416</v>
      </c>
      <c r="LM34" s="183">
        <f t="shared" ref="LM34:LM65" si="254" xml:space="preserve">  DL34*$LQ$3 + DU34*$LP$3</f>
        <v>26.342367911621039</v>
      </c>
      <c r="LN34" s="183">
        <f t="shared" ref="LN34:LN65" si="255" xml:space="preserve">  DM34*$LQ$3 + DV34*$LP$3</f>
        <v>26.342367911621039</v>
      </c>
      <c r="LO34" s="183">
        <f t="shared" ref="LO34:LO65" si="256" xml:space="preserve">  DN34*$LQ$3 + DW34*$LP$3</f>
        <v>26.522838872757546</v>
      </c>
      <c r="LP34" s="220"/>
      <c r="LQ34" s="220"/>
      <c r="LR34" s="220"/>
      <c r="LS34" s="220"/>
      <c r="LT34" s="220"/>
      <c r="LU34" s="220"/>
      <c r="LV34" s="220"/>
      <c r="LW34" s="220"/>
      <c r="LX34" s="220"/>
      <c r="LY34" s="220"/>
      <c r="LZ34" s="222">
        <v>133.54</v>
      </c>
      <c r="MA34" s="220">
        <v>1.2999999999999999E-5</v>
      </c>
      <c r="MB34" s="220"/>
      <c r="MC34" s="220"/>
      <c r="MD34" s="188">
        <f>Sheet3!DP34</f>
        <v>267.26658794091242</v>
      </c>
      <c r="ME34" s="264">
        <v>330</v>
      </c>
      <c r="MF34" s="264">
        <v>128.65</v>
      </c>
      <c r="MG34" s="264">
        <v>9.8810000000000002</v>
      </c>
      <c r="MH34" s="264">
        <v>77.099999999999994</v>
      </c>
      <c r="MI34" s="264">
        <v>23.93</v>
      </c>
      <c r="MJ34" s="264">
        <v>0.31</v>
      </c>
      <c r="MK34" s="273">
        <v>320</v>
      </c>
      <c r="ML34" s="267">
        <v>112.9</v>
      </c>
      <c r="MM34" s="267">
        <v>64.72</v>
      </c>
      <c r="MN34" s="267">
        <v>8.2059999999999995</v>
      </c>
      <c r="MO34" s="267">
        <v>22.85</v>
      </c>
      <c r="MP34" s="274">
        <v>0.35299999999999998</v>
      </c>
      <c r="MQ34"/>
      <c r="MR34"/>
      <c r="MS34"/>
    </row>
    <row r="35" spans="1:357" ht="15" thickBot="1" x14ac:dyDescent="0.35">
      <c r="A35" s="184" t="str">
        <f>Sheet3!A35</f>
        <v>23.12.2022</v>
      </c>
      <c r="B35" s="186">
        <f t="shared" si="102"/>
        <v>0.81159129826772769</v>
      </c>
      <c r="C35" s="183">
        <f t="shared" si="168"/>
        <v>0.81033190749480555</v>
      </c>
      <c r="D35" s="183">
        <f t="shared" si="169"/>
        <v>0.80578080488458359</v>
      </c>
      <c r="E35" s="183">
        <f t="shared" si="170"/>
        <v>0.80150946088148045</v>
      </c>
      <c r="F35" s="183">
        <f t="shared" si="171"/>
        <v>0.79658886317910482</v>
      </c>
      <c r="G35" s="183">
        <f t="shared" si="172"/>
        <v>0.79367562166354533</v>
      </c>
      <c r="H35" s="183">
        <f t="shared" si="173"/>
        <v>0.78973560726527459</v>
      </c>
      <c r="I35" s="183">
        <f t="shared" si="174"/>
        <v>0.78609164096621975</v>
      </c>
      <c r="J35" s="183">
        <f t="shared" si="175"/>
        <v>0.78206246071421937</v>
      </c>
      <c r="K35" s="186">
        <f xml:space="preserve"> (6.057 * (10^(-6)))
+ (4.055 * (10^(-8)) * (Sheet3!DF35 + 273))
+ (1.25 * (10^(-10)) * (Sheet3!DF35 + 273)^2)
- (3.367 * (10^(-14)) * (DD35 + 273)^3)</f>
        <v>3.5903243481714301E-5</v>
      </c>
      <c r="L35" s="183">
        <f xml:space="preserve"> (6.057 * (10^(-6)))
+ (4.055 * (10^(-8)) * (Sheet3!BZ35 + 273))
+ (1.25 * (10^(-10)) * (Sheet3!BZ35 + 273)^2)
- (3.367 * (10^(-14)) * (BX35 + 273)^3)</f>
        <v>3.5794748438439916E-5</v>
      </c>
      <c r="M35" s="183">
        <f xml:space="preserve"> (6.057 * (10^(-6)))
+ (4.055 * (10^(-8)) * (Sheet3!CA35 + 273))
+ (1.25 * (10^(-10)) * (Sheet3!CA35 + 273)^2)
- (3.367 * (10^(-14)) * (BY35 + 273)^3)</f>
        <v>3.5391894308766013E-5</v>
      </c>
      <c r="N35" s="183">
        <f xml:space="preserve"> (6.057 * (10^(-6)))
+ (4.055 * (10^(-8)) * (Sheet3!CB35 + 273))
+ (1.25 * (10^(-10)) * (Sheet3!CB35 + 273)^2)
- (3.367 * (10^(-14)) * (BZ35 + 273)^3)</f>
        <v>3.5055427047529611E-5</v>
      </c>
      <c r="O35" s="183">
        <f xml:space="preserve"> (6.057 * (10^(-6)))
+ (4.055 * (10^(-8)) * (Sheet3!CC35 + 273))
+ (1.25 * (10^(-10)) * (Sheet3!CC35 + 273)^2)
- (3.367 * (10^(-14)) * (CA35 + 273)^3)</f>
        <v>3.4634049871458818E-5</v>
      </c>
      <c r="P35" s="183">
        <f xml:space="preserve"> (6.057 * (10^(-6)))
+ (4.055 * (10^(-8)) * (Sheet3!CD35 + 273))
+ (1.25 * (10^(-10)) * (Sheet3!CD35 + 273)^2)
- (3.367 * (10^(-14)) * (CB35 + 273)^3)</f>
        <v>3.4411750456540165E-5</v>
      </c>
      <c r="Q35" s="183">
        <f xml:space="preserve"> (6.057 * (10^(-6)))
+ (4.055 * (10^(-8)) * (Sheet3!CE35 + 273))
+ (1.25 * (10^(-10)) * (Sheet3!CE35 + 273)^2)
- (3.367 * (10^(-14)) * (CC35 + 273)^3)</f>
        <v>3.4077601753762439E-5</v>
      </c>
      <c r="R35" s="183">
        <f xml:space="preserve"> (6.057 * (10^(-6)))
+ (4.055 * (10^(-8)) * (Sheet3!CF35 + 273))
+ (1.25 * (10^(-10)) * (Sheet3!CF35 + 273)^2)
- (3.367 * (10^(-14)) * (CD35 + 273)^3)</f>
        <v>3.3806632237871311E-5</v>
      </c>
      <c r="S35" s="183">
        <f xml:space="preserve"> (6.057 * (10^(-6)))
+ (4.055 * (10^(-8)) * (Sheet3!CG35 + 273))
+ (1.25 * (10^(-10)) * (Sheet3!CG35 + 273)^2)
- (3.367 * (10^(-14)) * (CE35 + 273)^3)</f>
        <v>3.3462056237643441E-5</v>
      </c>
      <c r="T35" s="188">
        <f t="shared" si="104"/>
        <v>3.5903243481714301E-5</v>
      </c>
      <c r="U35" s="165">
        <f t="shared" si="105"/>
        <v>3.5794748438439916E-5</v>
      </c>
      <c r="V35" s="165">
        <f t="shared" si="106"/>
        <v>3.5391894308766013E-5</v>
      </c>
      <c r="W35" s="165">
        <f t="shared" si="107"/>
        <v>3.5055427047529611E-5</v>
      </c>
      <c r="X35" s="165">
        <f t="shared" si="108"/>
        <v>3.4634049871458818E-5</v>
      </c>
      <c r="Y35" s="165">
        <f t="shared" si="109"/>
        <v>3.4411750456540165E-5</v>
      </c>
      <c r="Z35" s="165">
        <f t="shared" si="110"/>
        <v>3.4077601753762439E-5</v>
      </c>
      <c r="AA35" s="165">
        <f t="shared" si="111"/>
        <v>3.3806632237871311E-5</v>
      </c>
      <c r="AB35" s="165">
        <f t="shared" si="112"/>
        <v>3.3462056237643441E-5</v>
      </c>
      <c r="AC35" s="186">
        <f t="shared" si="176"/>
        <v>2.9138759989346843E-5</v>
      </c>
      <c r="AD35" s="183">
        <f t="shared" si="177"/>
        <v>2.9005626780417729E-5</v>
      </c>
      <c r="AE35" s="183">
        <f t="shared" si="178"/>
        <v>2.8518109082507591E-5</v>
      </c>
      <c r="AF35" s="183">
        <f t="shared" si="179"/>
        <v>2.8097256433835526E-5</v>
      </c>
      <c r="AG35" s="183">
        <f t="shared" si="180"/>
        <v>2.7589098414393801E-5</v>
      </c>
      <c r="AH35" s="183">
        <f t="shared" si="181"/>
        <v>2.7311767436125306E-5</v>
      </c>
      <c r="AI35" s="183">
        <f t="shared" si="182"/>
        <v>2.6912295515151767E-5</v>
      </c>
      <c r="AJ35" s="183">
        <f t="shared" si="183"/>
        <v>2.6575111011409763E-5</v>
      </c>
      <c r="AK35" s="183">
        <f t="shared" si="184"/>
        <v>2.6169418041769024E-5</v>
      </c>
      <c r="AL35" s="186">
        <f t="shared" si="113"/>
        <v>2.9785121067758741E-2</v>
      </c>
      <c r="AM35" s="183">
        <f t="shared" si="114"/>
        <v>2.9712214051563803E-2</v>
      </c>
      <c r="AN35" s="183">
        <f t="shared" si="115"/>
        <v>2.9436676575083375E-2</v>
      </c>
      <c r="AO35" s="183">
        <f t="shared" si="116"/>
        <v>2.9203514489885521E-2</v>
      </c>
      <c r="AP35" s="183">
        <f t="shared" si="117"/>
        <v>2.8912263989898962E-2</v>
      </c>
      <c r="AQ35" s="183">
        <f t="shared" si="118"/>
        <v>2.8756424690606519E-2</v>
      </c>
      <c r="AR35" s="183">
        <f t="shared" si="119"/>
        <v>2.8523886037082714E-2</v>
      </c>
      <c r="AS35" s="183">
        <f t="shared" si="120"/>
        <v>2.8332088499114862E-2</v>
      </c>
      <c r="AT35" s="183">
        <f t="shared" si="121"/>
        <v>2.809402171112689E-2</v>
      </c>
      <c r="AU35" s="186">
        <f>_xlfn.FORECAST.LINEAR(Sheet3!DF35,Sheet2!$AH$2:$AH$40,Sheet2!$AG$2:$AG$40)</f>
        <v>2.5653712965492358E-2</v>
      </c>
      <c r="AV35" s="183">
        <f>_xlfn.FORECAST.LINEAR(Sheet3!BZ35,Sheet2!$AH$2:$AH$40,Sheet2!$AG$2:$AG$40)</f>
        <v>2.5445850034660683E-2</v>
      </c>
      <c r="AW35" s="183">
        <f>_xlfn.FORECAST.LINEAR(Sheet3!CA35,Sheet2!$AH$2:$AH$40,Sheet2!$AG$2:$AG$40)</f>
        <v>2.4654971526145531E-2</v>
      </c>
      <c r="AX35" s="183">
        <f>_xlfn.FORECAST.LINEAR(Sheet3!CB35,Sheet2!$AH$2:$AH$40,Sheet2!$AG$2:$AG$40)</f>
        <v>2.3990735564087602E-2</v>
      </c>
      <c r="AY35" s="183">
        <f>_xlfn.FORECAST.LINEAR(Sheet3!CC35,Sheet2!$AH$2:$AH$40,Sheet2!$AG$2:$AG$40)</f>
        <v>2.315409994392972E-2</v>
      </c>
      <c r="AZ35" s="183">
        <f>_xlfn.FORECAST.LINEAR(Sheet3!CD35,Sheet2!$AH$2:$AH$40,Sheet2!$AG$2:$AG$40)</f>
        <v>2.2710530644034461E-2</v>
      </c>
      <c r="BA35" s="183">
        <f>_xlfn.FORECAST.LINEAR(Sheet3!CE35,Sheet2!$AH$2:$AH$40,Sheet2!$AG$2:$AG$40)</f>
        <v>2.2040924967279194E-2</v>
      </c>
      <c r="BB35" s="183">
        <f>_xlfn.FORECAST.LINEAR(Sheet3!CF35,Sheet2!$AH$2:$AH$40,Sheet2!$AG$2:$AG$40)</f>
        <v>2.149534086221137E-2</v>
      </c>
      <c r="BC35" s="183">
        <f>_xlfn.FORECAST.LINEAR(Sheet3!CG35,Sheet2!$AH$2:$AH$40,Sheet2!$AG$2:$AG$40)</f>
        <v>2.0810390148210269E-2</v>
      </c>
      <c r="BD35" s="186">
        <f>_xlfn.FORECAST.LINEAR(Sheet3!DF35,Sheet2!$AB$12:$AB$37,Sheet2!$AA$12:$AA$37)/1000</f>
        <v>3.0506351161118033E-2</v>
      </c>
      <c r="BE35" s="183">
        <f>_xlfn.FORECAST.LINEAR(Sheet3!BZ35,Sheet2!$AB$12:$AB$37,Sheet2!$AA$12:$AA$37)/1000</f>
        <v>3.0459877821089543E-2</v>
      </c>
      <c r="BF35" s="183">
        <f>_xlfn.FORECAST.LINEAR(Sheet3!CA35,Sheet2!$AB$12:$AB$37,Sheet2!$AA$12:$AA$37)/1000</f>
        <v>3.0283055692678324E-2</v>
      </c>
      <c r="BG35" s="183">
        <f>_xlfn.FORECAST.LINEAR(Sheet3!CB35,Sheet2!$AB$12:$AB$37,Sheet2!$AA$12:$AA$37)/1000</f>
        <v>3.01345479063195E-2</v>
      </c>
      <c r="BH35" s="183">
        <f>_xlfn.FORECAST.LINEAR(Sheet3!CC35,Sheet2!$AB$12:$AB$37,Sheet2!$AA$12:$AA$37)/1000</f>
        <v>2.9947495546863309E-2</v>
      </c>
      <c r="BI35" s="183">
        <f>_xlfn.FORECAST.LINEAR(Sheet3!CD35,Sheet2!$AB$12:$AB$37,Sheet2!$AA$12:$AA$37)/1000</f>
        <v>2.984832371849664E-2</v>
      </c>
      <c r="BJ35" s="183">
        <f>_xlfn.FORECAST.LINEAR(Sheet3!CE35,Sheet2!$AB$12:$AB$37,Sheet2!$AA$12:$AA$37)/1000</f>
        <v>2.9698615388221751E-2</v>
      </c>
      <c r="BK35" s="183">
        <f>_xlfn.FORECAST.LINEAR(Sheet3!CF35,Sheet2!$AB$12:$AB$37,Sheet2!$AA$12:$AA$37)/1000</f>
        <v>2.9576635410707198E-2</v>
      </c>
      <c r="BL35" s="183">
        <f>_xlfn.FORECAST.LINEAR(Sheet3!CG35,Sheet2!$AB$12:$AB$37,Sheet2!$AA$12:$AA$37)/1000</f>
        <v>2.9423496285288498E-2</v>
      </c>
      <c r="BM35" s="186">
        <f t="shared" si="122"/>
        <v>0.92902660397372361</v>
      </c>
      <c r="BN35" s="183">
        <f t="shared" si="123"/>
        <v>0.93115507943439924</v>
      </c>
      <c r="BO35" s="183">
        <f t="shared" si="124"/>
        <v>0.93947996532256883</v>
      </c>
      <c r="BP35" s="183">
        <f t="shared" si="125"/>
        <v>0.94646729532120655</v>
      </c>
      <c r="BQ35" s="183">
        <f t="shared" si="126"/>
        <v>0.95556956350793854</v>
      </c>
      <c r="BR35" s="183">
        <f t="shared" si="127"/>
        <v>0.96038423904803816</v>
      </c>
      <c r="BS35" s="183">
        <f t="shared" si="128"/>
        <v>0.96788971173108362</v>
      </c>
      <c r="BT35" s="183">
        <f t="shared" si="129"/>
        <v>0.97397252834672299</v>
      </c>
      <c r="BU35" s="183">
        <f t="shared" si="130"/>
        <v>0.98184958500035435</v>
      </c>
      <c r="BV35" s="186">
        <f t="shared" si="222"/>
        <v>1.100272232034009</v>
      </c>
      <c r="BW35" s="183">
        <f t="shared" si="223"/>
        <v>1.1000964010998007</v>
      </c>
      <c r="BX35" s="183">
        <f t="shared" si="224"/>
        <v>1.098703548786339</v>
      </c>
      <c r="BY35" s="183">
        <f t="shared" si="225"/>
        <v>1.0981599294493192</v>
      </c>
      <c r="BZ35" s="183">
        <f t="shared" si="226"/>
        <v>1.0966859610360817</v>
      </c>
      <c r="CA35" s="183">
        <f t="shared" si="227"/>
        <v>1.0963268714468835</v>
      </c>
      <c r="CB35" s="183">
        <f t="shared" si="228"/>
        <v>1.095045276326734</v>
      </c>
      <c r="CC35" s="183">
        <f t="shared" si="229"/>
        <v>1.0946034053251688</v>
      </c>
      <c r="CD35" s="183">
        <f t="shared" si="230"/>
        <v>1.0933894722532518</v>
      </c>
      <c r="CE35" s="187">
        <f xml:space="preserve"> -0.0000000019505*Sheet3!DF35^3 + 0.0000015497*Sheet3!DF35^2  + 0.00016911*Sheet3!DF35 + 1.8585</f>
        <v>1.8828730816875001</v>
      </c>
      <c r="CF35" s="185">
        <f xml:space="preserve"> -0.0000000019505*Sheet3!BZ35^3 + 0.0000015497*Sheet3!BZ35^2  + 0.00016911*Sheet3!BZ35 + 1.8585</f>
        <v>1.8825545785467841</v>
      </c>
      <c r="CG35" s="185">
        <f xml:space="preserve"> -0.0000000019505*Sheet3!CA35^3 + 0.0000015497*Sheet3!CA35^2  + 0.00016911*Sheet3!CA35 + 1.8585</f>
        <v>1.8813557176640781</v>
      </c>
      <c r="CH35" s="185">
        <f xml:space="preserve"> -0.0000000019505*Sheet3!CB35^3 + 0.0000015497*Sheet3!CB35^2  + 0.00016911*Sheet3!CB35 + 1.8585</f>
        <v>1.8803649059566936</v>
      </c>
      <c r="CI35" s="185">
        <f xml:space="preserve"> -0.0000000019505*Sheet3!CC35^3 + 0.0000015497*Sheet3!CC35^2  + 0.00016911*Sheet3!CC35 + 1.8585</f>
        <v>1.8791381614407343</v>
      </c>
      <c r="CJ35" s="185">
        <f xml:space="preserve"> -0.0000000019505*Sheet3!CD35^3 + 0.0000015497*Sheet3!CD35^2  + 0.00016911*Sheet3!CD35 + 1.8585</f>
        <v>1.8784974946290998</v>
      </c>
      <c r="CK35" s="185">
        <f xml:space="preserve"> -0.0000000019505*Sheet3!CE35^3 + 0.0000015497*Sheet3!CE35^2  + 0.00016911*Sheet3!CE35 + 1.8585</f>
        <v>1.8775432996887189</v>
      </c>
      <c r="CL35" s="185">
        <f xml:space="preserve"> -0.0000000019505*Sheet3!CF35^3 + 0.0000015497*Sheet3!CF35^2  + 0.00016911*Sheet3!CF35 + 1.8585</f>
        <v>1.8767774825054051</v>
      </c>
      <c r="CM35" s="185">
        <f xml:space="preserve"> -0.0000000019505*Sheet3!CG35^3 + 0.0000015497*Sheet3!CG35^2  + 0.00016911*Sheet3!CG35 + 1.8585</f>
        <v>1.8758310368431654</v>
      </c>
      <c r="CN35" s="186">
        <f>_xlfn.FORECAST.LINEAR(Sheet3!DF35,New!$LU$2:$LU$14,New!$LT$2:$LT$14)</f>
        <v>1.0126209368728181</v>
      </c>
      <c r="CO35" s="183">
        <f>_xlfn.FORECAST.LINEAR(Sheet3!BZ35,New!$LU$2:$LU$14,New!$LT$2:$LT$14)</f>
        <v>1.0124679470287141</v>
      </c>
      <c r="CP35" s="183">
        <f>_xlfn.FORECAST.LINEAR(Sheet3!CA35,New!$LU$2:$LU$14,New!$LT$2:$LT$14)</f>
        <v>1.0118858500706913</v>
      </c>
      <c r="CQ35" s="183">
        <f>_xlfn.FORECAST.LINEAR(Sheet3!CB35,New!$LU$2:$LU$14,New!$LT$2:$LT$14)</f>
        <v>1.01139696368832</v>
      </c>
      <c r="CR35" s="183">
        <f>_xlfn.FORECAST.LINEAR(Sheet3!CC35,New!$LU$2:$LU$14,New!$LT$2:$LT$14)</f>
        <v>1.0107811888958278</v>
      </c>
      <c r="CS35" s="183">
        <f>_xlfn.FORECAST.LINEAR(Sheet3!CD35,New!$LU$2:$LU$14,New!$LT$2:$LT$14)</f>
        <v>1.0104547160717954</v>
      </c>
      <c r="CT35" s="183">
        <f>_xlfn.FORECAST.LINEAR(Sheet3!CE35,New!$LU$2:$LU$14,New!$LT$2:$LT$14)</f>
        <v>1.00996187750896</v>
      </c>
      <c r="CU35" s="183">
        <f>_xlfn.FORECAST.LINEAR(Sheet3!CF35,New!$LU$2:$LU$14,New!$LT$2:$LT$14)</f>
        <v>1.0095603204499601</v>
      </c>
      <c r="CV35" s="183">
        <f>_xlfn.FORECAST.LINEAR(Sheet3!CG35,New!$LU$2:$LU$14,New!$LT$2:$LT$14)</f>
        <v>1.0090561877383959</v>
      </c>
      <c r="CW35" s="186">
        <f>EXP((17.625*Sheet3!BA35)/(243.04+Sheet3!BA35)) / EXP((17.625*Sheet3!DF35)/(243.04+Sheet3!DF35))</f>
        <v>0.23961512728290582</v>
      </c>
      <c r="CX35" s="183">
        <f>EXP((17.625*(Sheet3!BC35+273))/(243.04+(Sheet3!BC35+273)))/EXP((17.625*(Sheet3!BZ35+273))/(243.04+(Sheet3!BZ35+273)))</f>
        <v>0.69457286559767073</v>
      </c>
      <c r="CY35" s="183">
        <f>EXP((17.625*(Sheet3!BE35+273))/(243.04+(Sheet3!BE35+273))) / EXP((17.625*(Sheet3!CA35+273))/(243.04+(Sheet3!CA35+273)))</f>
        <v>0.69821557702882597</v>
      </c>
      <c r="CZ35" s="183">
        <f>EXP((17.625*(Sheet3!BG35+273))/(243.04+(Sheet3!BG35+273))) / EXP((17.625*(Sheet3!CB35+273))/(243.04+(Sheet3!CB35+273)))</f>
        <v>0.71908974046746144</v>
      </c>
      <c r="DA35" s="183">
        <f>EXP((17.625*(Sheet3!BI35+273))/(243.04+(Sheet3!BI35+273))) / EXP((17.625*(Sheet3!CC35+273))/(243.04+(Sheet3!CC35+273)))</f>
        <v>0.74632687520208851</v>
      </c>
      <c r="DB35" s="183">
        <f>EXP((17.625*(Sheet3!BK35+273))/(243.04+(Sheet3!BK35+273)))/EXP((17.625*(Sheet3!CD35+273))/(243.04+(Sheet3!CD35+273)))</f>
        <v>0.76251107352890946</v>
      </c>
      <c r="DC35" s="183">
        <f>EXP((17.625*(Sheet3!BM35+273))/(243.04+(Sheet3!BM35+273))) / EXP((17.625*(Sheet3!CE35+273))/(243.04+(Sheet3!CE35+273)))</f>
        <v>0.78559737046353018</v>
      </c>
      <c r="DD35" s="183">
        <f>EXP((17.625*(Sheet3!BO35+273))/(243.04+(Sheet3!BO35+273))) / EXP((17.625*(Sheet3!CF35+273))/(243.04+(Sheet3!CF35+273)))</f>
        <v>0.80692669521568716</v>
      </c>
      <c r="DE35" s="183">
        <f>EXP((17.625*(Sheet3!BQ35+273))/(243.04+(Sheet3!BQ35+273))) / EXP((17.625*(Sheet3!CG35+273))/(243.04+(Sheet3!CG35+273)))</f>
        <v>0.83265916607974688</v>
      </c>
      <c r="DF35" s="186">
        <f>((Sheet3!DA35-Sheet3!DB35)/New!$LQ$3)/(((Sheet3!DA35-Sheet3!DB35)/New!$LQ$3)+(Sheet3!DB35/New!$LP$3))</f>
        <v>0.84742493833060817</v>
      </c>
      <c r="DG35" s="183">
        <f>((Sheet3!DA35-Sheet3!DB35)/New!$LQ$3)/(((Sheet3!DA35-Sheet3!DB35)/New!$LQ$3)+((Sheet3!DB35-(Sheet3!B35*0.004))/New!$LP$3))</f>
        <v>0.84747419677930791</v>
      </c>
      <c r="DH35" s="183" cm="1">
        <f t="array" ref="DH35">((Sheet3!DA35-Sheet3!DB35)/New!$LQ$3)/(((Sheet3!DA35-Sheet3!DB35)/New!$LQ$3)+((Sheet3!DB35-(SUM(Sheet3!B35:C35*0.004)))/New!$LP$3))</f>
        <v>0.85350201740113807</v>
      </c>
      <c r="DI35" s="183" cm="1">
        <f t="array" ref="DI35">((Sheet3!DA35-Sheet3!DB35)/New!$LQ$3)/(((Sheet3!DA35-Sheet3!DB35)/New!$LQ$3)+((Sheet3!DB35-(SUM(Sheet3!B35:D35*0.004)))/New!$LP$3))</f>
        <v>0.85353949247018368</v>
      </c>
      <c r="DJ35" s="183" cm="1">
        <f t="array" ref="DJ35">((Sheet3!DA35-Sheet3!DB35)/New!$LQ$3)/(((Sheet3!DA35-Sheet3!DB35)/New!$LQ$3)+((Sheet3!DB35-(SUM(Sheet3!B35:E35*0.004)))/New!$LP$3))</f>
        <v>0.86007258936903586</v>
      </c>
      <c r="DK35" s="183" cm="1">
        <f t="array" ref="DK35">((Sheet3!DA35-Sheet3!DB35)/New!$LQ$3)/(((Sheet3!DA35-Sheet3!DB35)/New!$LQ$3)+((Sheet3!DB35-(SUM(Sheet3!B35:F35*0.004)))/New!$LP$3))</f>
        <v>0.86008527376040178</v>
      </c>
      <c r="DL35" s="183" cm="1">
        <f t="array" ref="DL35">((Sheet3!DA35-Sheet3!DB35)/New!$LQ$3)/(((Sheet3!DA35-Sheet3!DB35)/New!$LQ$3)+((Sheet3!DB35-(SUM(Sheet3!B35:G35*0.004)))/New!$LP$3))</f>
        <v>0.86628161551377891</v>
      </c>
      <c r="DM35" s="183" cm="1">
        <f t="array" ref="DM35">((Sheet3!DA35-Sheet3!DB35)/New!$LQ$3)/(((Sheet3!DA35-Sheet3!DB35)/New!$LQ$3)+((Sheet3!DB35-(SUM(Sheet3!B35:H35*0.004)))/New!$LP$3))</f>
        <v>0.86632022124820451</v>
      </c>
      <c r="DN35" s="183" cm="1">
        <f t="array" ref="DN35">((Sheet3!DA35-Sheet3!DB35)/New!$LQ$3)/(((Sheet3!DA35-Sheet3!DB35)/New!$LQ$3)+((Sheet3!DB35-(SUM(Sheet3!B35:I35*0.004)))/New!$LP$3))</f>
        <v>0.87196774905314356</v>
      </c>
      <c r="DO35" s="186">
        <f>(Sheet3!DB35/$LP$3) / ((Sheet3!DB35/$LP$3) + ((Sheet3!DA35-Sheet3!DB35)/$LQ$3))</f>
        <v>0.15257506166939186</v>
      </c>
      <c r="DP35" s="183">
        <f>((Sheet3!$DB35-(Sheet3!B35/4000)) / $LP$3) / (((Sheet3!$DA35-Sheet3!DB35) / $LQ$3) + (Sheet3!$DB35-((Sheet3!B35/4000)))/$LP$3)</f>
        <v>0.15257198318410789</v>
      </c>
      <c r="DQ35" s="183">
        <f>((Sheet3!$DB35-(SUM(Sheet3!B35:C35)/4000))/$LP$3)/(((Sheet3!$DA35-Sheet3!$DB35)/$LQ$3)+(Sheet3!$DB35-(SUM(Sheet3!B35:C35)/4000))/$LP$3)</f>
        <v>0.15219778069803597</v>
      </c>
      <c r="DR35" s="183">
        <f>((Sheet3!$DB35-(SUM(Sheet3!B35:D35)/4000))/$LP$3)/(((Sheet3!$DA35-Sheet3!$DB35)/$LQ$3)+(Sheet3!$DB35-(SUM(Sheet3!B35:D35)/4000))/$LP$3)</f>
        <v>0.15219546977985857</v>
      </c>
      <c r="DS35" s="183">
        <f>((Sheet3!$DB35-(SUM(Sheet3!B35:E35)/4000))/$LP$3)/(((Sheet3!$DA35-Sheet3!$DB35)/$LQ$3)+(Sheet3!$DB35-(SUM(Sheet3!B35:E35)/4000))/$LP$3)</f>
        <v>0.15179549123191358</v>
      </c>
      <c r="DT35" s="183">
        <f>((Sheet3!$DB35-(SUM(Sheet3!B35:F35)/4000))/$LP$3)/(((Sheet3!$DA35-Sheet3!$DB35)/$LQ$3)+(Sheet3!$DB35-(SUM(Sheet3!B35:F35)/4000))/$LP$3)</f>
        <v>0.15179472019604806</v>
      </c>
      <c r="DU35" s="183">
        <f>((Sheet3!$DB35-(SUM(Sheet3!B35:G35)/4000))/$LP$3)/(((Sheet3!$DA35-Sheet3!$DB35)/$LQ$3)+(Sheet3!$DB35-(SUM(Sheet3!B35:G35)/4000))/$LP$3)</f>
        <v>0.1514206025221029</v>
      </c>
      <c r="DV35" s="183">
        <f>((Sheet3!$DB35-(SUM(Sheet3!B35:H35)/4000))/$LP$3)/(((Sheet3!$DA35-Sheet3!$DB35)/$LQ$3)+(Sheet3!$DB35-(SUM(Sheet3!B35:H35)/4000))/$LP$3)</f>
        <v>0.15141828736515192</v>
      </c>
      <c r="DW35" s="183">
        <f>((Sheet3!$DB35-(SUM(Sheet3!B35:I35)/4000))/$LP$3)/(((Sheet3!$DA35-Sheet3!$DB35)/$LQ$3)+(Sheet3!$DB35-(SUM(Sheet3!B35:I35)/4000))/$LP$3)</f>
        <v>0.15108168350379428</v>
      </c>
      <c r="DX35" s="186">
        <f>($LR$2*($LP$3/1000))/($LP$2*(Sheet3!DF35+273))*DO35</f>
        <v>9.3571024860662821E-2</v>
      </c>
      <c r="DY35" s="183">
        <f>(($LR$2*($LP$3/1000))/($LP$2*(Sheet3!BZ35+273)))*(DP35)</f>
        <v>9.3783395598467462E-2</v>
      </c>
      <c r="DZ35" s="183">
        <f>(($LR$2*($LP$3/1000))/($LP$2*(Sheet3!CA35+273)))*(DQ35)</f>
        <v>9.4375619331328459E-2</v>
      </c>
      <c r="EA35" s="183">
        <f>(($LR$2*($LP$3/1000))/($LP$2*(Sheet3!CB35+273)))*(DR35)</f>
        <v>9.5076001022705969E-2</v>
      </c>
      <c r="EB35" s="183">
        <f>(($LR$2*($LP$3/1000))/($LP$2*(Sheet3!CC35+273)))*(DS35)</f>
        <v>9.572273481936501E-2</v>
      </c>
      <c r="EC35" s="183">
        <f>(($LR$2*($LP$3/1000))/($LP$2*(Sheet3!CD35+273)))*(DT35)</f>
        <v>9.6204519246949588E-2</v>
      </c>
      <c r="ED35" s="183">
        <f>(($LR$2*($LP$3/1000))/($LP$2*(Sheet3!CE35+273)))*(DU35)</f>
        <v>9.6702897915903419E-2</v>
      </c>
      <c r="EE35" s="183">
        <f>(($LR$2*($LP$3/1000))/($LP$2*(Sheet3!CF35+273)))*(DV35)</f>
        <v>9.7309060489805879E-2</v>
      </c>
      <c r="EF35" s="183">
        <f>(($LR$2*($LP$3/1000))/($LP$2*(Sheet3!CG35+273)))*(DW35)</f>
        <v>9.7864779203375774E-2</v>
      </c>
      <c r="EG35" s="186">
        <f>(($LR$2*($LQ$3/1000))/($LQ$2*(Sheet3!DF35+273)))*(1-DO35)</f>
        <v>0.83545557911306079</v>
      </c>
      <c r="EH35" s="183">
        <f>(($LR$2*($LQ$3/1000))/($LQ$2*(Sheet3!BZ35+273)))*(1-DP35)</f>
        <v>0.83737168383593175</v>
      </c>
      <c r="EI35" s="183">
        <f>(($LR$2*($LQ$3/1000))/($LQ$2*(Sheet3!CA35+273)))*(1-DQ35)</f>
        <v>0.8451043459912404</v>
      </c>
      <c r="EJ35" s="183">
        <f>(($LR$2*($LQ$3/1000))/($LQ$2*(Sheet3!CB35+273)))*(1-DR35)</f>
        <v>0.85139129429850058</v>
      </c>
      <c r="EK35" s="183">
        <f>(($LR$2*($LQ$3/1000))/($LQ$2*(Sheet3!CC35+273)))*(1-DS35)</f>
        <v>0.85984682868857354</v>
      </c>
      <c r="EL35" s="183">
        <f>(($LR$2*($LQ$3/1000))/($LQ$2*(Sheet3!CD35+273)))*(1-DT35)</f>
        <v>0.86417971980108854</v>
      </c>
      <c r="EM35" s="183">
        <f>(($LR$2*($LQ$3/1000))/($LQ$2*(Sheet3!CE35+273)))*(1-DU35)</f>
        <v>0.87118681381518015</v>
      </c>
      <c r="EN35" s="183">
        <f>(($LR$2*($LQ$3/1000))/($LQ$2*(Sheet3!CF35+273)))*(1-DV35)</f>
        <v>0.87666346785691707</v>
      </c>
      <c r="EO35" s="183">
        <f>(($LR$2*($LQ$3/1000))/($LQ$2*(Sheet3!CG35+273)))*(1-DW35)</f>
        <v>0.88398480579697858</v>
      </c>
      <c r="EP35" s="186">
        <f t="shared" si="132"/>
        <v>9729.1751162139335</v>
      </c>
      <c r="EQ35" s="183">
        <f xml:space="preserve"> (($FV35-(Sheet3!B35/4000))*0.018)/(0.011*JO35*3600)</f>
        <v>9745.9301561735301</v>
      </c>
      <c r="ER35" s="183">
        <f>((($FV35-(SUM(Sheet3!B35:C35)/4000))*0.018)/(0.011*JP35*3600))</f>
        <v>9805.7407882966054</v>
      </c>
      <c r="ES35" s="183">
        <f>((($FV35-(SUM(Sheet3!B35:D35)/4000))*0.018)/(0.011*JQ35*3600))</f>
        <v>9860.4698085391192</v>
      </c>
      <c r="ET35" s="183">
        <f>((($FV35-(SUM(Sheet3!B35:E35)/4000))*0.018)/(0.011*JR35))/3600</f>
        <v>9925.3081093147121</v>
      </c>
      <c r="EU35" s="183">
        <f>((($FV35-(SUM(Sheet3!B35:F35)/4000))*0.018)/(0.011*JS35))/3600</f>
        <v>9962.7237518164602</v>
      </c>
      <c r="EV35" s="183">
        <f>((($FV35-(SUM(Sheet3!B35:G35)/4000))*0.018)/(0.011*JT35))/3600</f>
        <v>10015.012664176918</v>
      </c>
      <c r="EW35" s="183">
        <f>((($FV35-(SUM(Sheet3!B35:H35)/4000))*0.018)/(0.011*JU35))/3600</f>
        <v>10061.927106269946</v>
      </c>
      <c r="EX35" s="183">
        <f>((($FV35-(SUM(Sheet3!B35:I35)/4000))*0.018)/(0.011*JV35))/3600</f>
        <v>10117.164543131181</v>
      </c>
      <c r="EY35" s="186">
        <f t="shared" si="133"/>
        <v>78.058712941219113</v>
      </c>
      <c r="EZ35" s="183">
        <f t="shared" si="134"/>
        <v>78.159353035926429</v>
      </c>
      <c r="FA35" s="183">
        <f t="shared" si="135"/>
        <v>78.50754265461002</v>
      </c>
      <c r="FB35" s="183">
        <f t="shared" si="136"/>
        <v>78.836926772643125</v>
      </c>
      <c r="FC35" s="183">
        <f t="shared" si="137"/>
        <v>79.214856159056396</v>
      </c>
      <c r="FD35" s="183">
        <f t="shared" si="138"/>
        <v>79.440422256719387</v>
      </c>
      <c r="FE35" s="183">
        <f t="shared" si="139"/>
        <v>79.743708380728748</v>
      </c>
      <c r="FF35" s="183">
        <f t="shared" si="140"/>
        <v>80.026881163166394</v>
      </c>
      <c r="FG35" s="183">
        <f t="shared" si="141"/>
        <v>80.349419522015808</v>
      </c>
      <c r="FH35" s="186">
        <f t="shared" si="185"/>
        <v>129.16601196375763</v>
      </c>
      <c r="FI35" s="183">
        <f t="shared" si="186"/>
        <v>129.0159681963994</v>
      </c>
      <c r="FJ35" s="183">
        <f t="shared" si="187"/>
        <v>128.38895232379542</v>
      </c>
      <c r="FK35" s="183">
        <f t="shared" si="188"/>
        <v>127.90640740794041</v>
      </c>
      <c r="FL35" s="183">
        <f t="shared" si="189"/>
        <v>127.2378240662507</v>
      </c>
      <c r="FM35" s="183">
        <f t="shared" si="190"/>
        <v>126.91236222307407</v>
      </c>
      <c r="FN35" s="183">
        <f t="shared" si="191"/>
        <v>126.36669166812582</v>
      </c>
      <c r="FO35" s="183">
        <f t="shared" si="192"/>
        <v>125.96270441238769</v>
      </c>
      <c r="FP35" s="183">
        <f t="shared" si="193"/>
        <v>125.40768536266415</v>
      </c>
      <c r="FQ35" s="314">
        <f>Sheet3!CV35</f>
        <v>2</v>
      </c>
      <c r="FR35" s="183">
        <v>10000</v>
      </c>
      <c r="FS35" s="183">
        <v>10</v>
      </c>
      <c r="FT35" s="183">
        <v>0.1277142857142857</v>
      </c>
      <c r="FU35" s="183">
        <v>18.239999999999998</v>
      </c>
      <c r="FV35" s="183">
        <v>417</v>
      </c>
      <c r="FW35" s="183">
        <v>42</v>
      </c>
      <c r="FX35" s="183">
        <v>831</v>
      </c>
      <c r="FY35" s="183">
        <v>8.48</v>
      </c>
      <c r="FZ35" s="183">
        <v>7.88</v>
      </c>
      <c r="GA35" s="183">
        <v>85</v>
      </c>
      <c r="GB35" s="186">
        <f>EXP($LP$6-($LQ$6/('Trial and Error method'!T35+$LP$8))) / ($LR$2/1000)</f>
        <v>2.8913735432745495E-2</v>
      </c>
      <c r="GC35" s="183">
        <f>EXP($LP$6-($LQ$6/('Trial and Error method'!U35+$LP$8))) / ($LR$2/1000)</f>
        <v>3.8692322040448826E-2</v>
      </c>
      <c r="GD35" s="183">
        <f>EXP($LP$6-($LQ$6/('Trial and Error method'!V35+$LP$8))) / ($LR$2/1000)</f>
        <v>3.7090583536659262E-2</v>
      </c>
      <c r="GE35" s="183">
        <f>EXP($LP$6-($LQ$6/('Trial and Error method'!W35+$LP$8))) / ($LR$2/1000)</f>
        <v>3.5668907932697114E-2</v>
      </c>
      <c r="GF35" s="183">
        <f>EXP($LP$6-($LQ$6/('Trial and Error method'!X35+$LP$8))) / ($LR$2/1000)</f>
        <v>3.4165342204129236E-2</v>
      </c>
      <c r="GG35" s="183">
        <f>EXP($LP$6-($LQ$6/('Trial and Error method'!Y35+$LP$8))) / ($LR$2/1000)</f>
        <v>3.2928559603737424E-2</v>
      </c>
      <c r="GH35" s="183">
        <f>EXP($LP$6-($LQ$6/('Trial and Error method'!Z35+$LP$8))) / ($LR$2/1000)</f>
        <v>3.1601981309121951E-2</v>
      </c>
      <c r="GI35" s="183">
        <f>EXP($LP$6-($LQ$6/('Trial and Error method'!AA35+$LP$8))) / ($LR$2/1000)</f>
        <v>3.044263318318222E-2</v>
      </c>
      <c r="GJ35" s="183">
        <f>EXP($LP$6-($LQ$6/('Trial and Error method'!AB35+$LP$8))) / ($LR$2/1000)</f>
        <v>2.9227265826487148E-2</v>
      </c>
      <c r="GK35" s="188">
        <f t="shared" si="142"/>
        <v>0.90785234491093425</v>
      </c>
      <c r="GL35" s="165">
        <f t="shared" si="143"/>
        <v>0.90317158686196997</v>
      </c>
      <c r="GM35" s="165">
        <f t="shared" si="144"/>
        <v>0.9041349373461991</v>
      </c>
      <c r="GN35" s="165">
        <f t="shared" si="145"/>
        <v>0.90481758790670175</v>
      </c>
      <c r="GO35" s="165">
        <f t="shared" si="146"/>
        <v>0.90574688004075077</v>
      </c>
      <c r="GP35" s="165">
        <f t="shared" si="147"/>
        <v>0.9063396273597828</v>
      </c>
      <c r="GQ35" s="165">
        <f t="shared" si="148"/>
        <v>0.90717029248589542</v>
      </c>
      <c r="GR35" s="165">
        <f t="shared" si="149"/>
        <v>0.90772636895558112</v>
      </c>
      <c r="GS35" s="165">
        <f t="shared" si="150"/>
        <v>0.90848391171922416</v>
      </c>
      <c r="GT35" s="188">
        <f t="shared" si="194"/>
        <v>9.2450727458792667E-2</v>
      </c>
      <c r="GU35" s="165">
        <f t="shared" si="195"/>
        <v>9.2932910288084689E-2</v>
      </c>
      <c r="GV35" s="165">
        <f t="shared" si="196"/>
        <v>9.2847804791288499E-2</v>
      </c>
      <c r="GW35" s="165">
        <f t="shared" si="197"/>
        <v>9.2803056708546022E-2</v>
      </c>
      <c r="GX35" s="165">
        <f t="shared" si="198"/>
        <v>9.2727095833832804E-2</v>
      </c>
      <c r="GY35" s="165">
        <f t="shared" si="199"/>
        <v>9.2685809706734748E-2</v>
      </c>
      <c r="GZ35" s="165">
        <f t="shared" si="200"/>
        <v>9.2617477576938348E-2</v>
      </c>
      <c r="HA35" s="165">
        <f t="shared" si="201"/>
        <v>9.258710111286643E-2</v>
      </c>
      <c r="HB35" s="165">
        <f t="shared" si="202"/>
        <v>9.2520954727136048E-2</v>
      </c>
      <c r="HC35" s="188">
        <f>BV35*Sheet3!DF35</f>
        <v>93.523139722890761</v>
      </c>
      <c r="HD35" s="165">
        <f>BW35*Sheet3!BZ35</f>
        <v>92.608434890857865</v>
      </c>
      <c r="HE35" s="165">
        <f>BX35*Sheet3!CA35</f>
        <v>89.07210522274822</v>
      </c>
      <c r="HF35" s="165">
        <f>BY35*Sheet3!CB35</f>
        <v>86.157871409329786</v>
      </c>
      <c r="HG35" s="165">
        <f>BZ35*Sheet3!CC35</f>
        <v>82.431980011010182</v>
      </c>
      <c r="HH35" s="165">
        <f>CA35*Sheet3!CD35</f>
        <v>80.491526279386164</v>
      </c>
      <c r="HI35" s="165">
        <f>CB35*Sheet3!CE35</f>
        <v>77.51227377202683</v>
      </c>
      <c r="HJ35" s="165">
        <f>CC35*Sheet3!CF35</f>
        <v>75.131163070207066</v>
      </c>
      <c r="HK35" s="165">
        <f>CD35*Sheet3!CG35</f>
        <v>72.101027429060707</v>
      </c>
      <c r="HL35" s="188">
        <f>(CE35*Sheet3!DF35)+2501</f>
        <v>2661.0442119434374</v>
      </c>
      <c r="HM35" s="165">
        <f>(CF35*Sheet3!BZ35)+2501</f>
        <v>2659.4774142898227</v>
      </c>
      <c r="HN35" s="165">
        <f>(CG35*Sheet3!CA35)+2501</f>
        <v>2653.5218650930033</v>
      </c>
      <c r="HO35" s="165">
        <f>(CH35*Sheet3!CB35)+2501</f>
        <v>2648.5269980496132</v>
      </c>
      <c r="HP35" s="165">
        <f>(CI35*Sheet3!CC35)+2501</f>
        <v>2642.2446998185951</v>
      </c>
      <c r="HQ35" s="165">
        <f>(CJ35*Sheet3!CD35)+2501</f>
        <v>2638.9179279398195</v>
      </c>
      <c r="HR35" s="165">
        <f>(CK35*Sheet3!CE35)+2501</f>
        <v>2633.9010346973846</v>
      </c>
      <c r="HS35" s="165">
        <f>(CL35*Sheet3!CF35)+2501</f>
        <v>2629.8178662688506</v>
      </c>
      <c r="HT35" s="165">
        <f>(CM35*Sheet3!CG35)+2501</f>
        <v>2624.6973178102685</v>
      </c>
      <c r="HU35" s="188">
        <f>-0.0021*(Sheet3!DF35^2) - 2.2115*(Sheet3!DF35) + 2499</f>
        <v>2295.85</v>
      </c>
      <c r="HV35" s="165">
        <f>-0.0021*(Sheet3!BZ35^2) - 2.2115*(Sheet3!BZ35) + 2499</f>
        <v>2297.9493488468729</v>
      </c>
      <c r="HW35" s="165">
        <f>-0.0021*(Sheet3!CA35^2) - 2.2115*(Sheet3!CA35) + 2499</f>
        <v>2305.9112863676955</v>
      </c>
      <c r="HX35" s="165">
        <f>-0.0021*(Sheet3!CB35^2) - 2.2115*(Sheet3!CB35) + 2499</f>
        <v>2312.5668621391483</v>
      </c>
      <c r="HY35" s="165">
        <f>-0.0021*(Sheet3!CC35^2) - 2.2115*(Sheet3!CC35) + 2499</f>
        <v>2320.9090387480255</v>
      </c>
      <c r="HZ35" s="165">
        <f>-0.0021*(Sheet3!CD35^2) - 2.2115*(Sheet3!CD35) + 2499</f>
        <v>2325.3134493698149</v>
      </c>
      <c r="IA35" s="165">
        <f>-0.0021*(Sheet3!CE35^2) - 2.2115*(Sheet3!CE35) + 2499</f>
        <v>2331.9380479536976</v>
      </c>
      <c r="IB35" s="165">
        <f>-0.0021*(Sheet3!CF35^2) - 2.2115*(Sheet3!CF35) + 2499</f>
        <v>2337.3141103077564</v>
      </c>
      <c r="IC35" s="165">
        <f>-0.0021*(Sheet3!CG35^2) - 2.2115*(Sheet3!CG35) + 2499</f>
        <v>2344.0360559788892</v>
      </c>
      <c r="ID35" s="188">
        <f t="shared" si="203"/>
        <v>0.71967785065503487</v>
      </c>
      <c r="IE35" s="165">
        <f t="shared" si="204"/>
        <v>0.72008666215922179</v>
      </c>
      <c r="IF35" s="165">
        <f t="shared" si="205"/>
        <v>0.72126875191537876</v>
      </c>
      <c r="IG35" s="165">
        <f t="shared" si="206"/>
        <v>0.72263311426842691</v>
      </c>
      <c r="IH35" s="165">
        <f t="shared" si="207"/>
        <v>0.72394569075327331</v>
      </c>
      <c r="II35" s="165">
        <f t="shared" si="208"/>
        <v>0.7248975345158899</v>
      </c>
      <c r="IJ35" s="165">
        <f t="shared" si="209"/>
        <v>0.72593050678444448</v>
      </c>
      <c r="IK35" s="165">
        <f t="shared" si="210"/>
        <v>0.72714232365610709</v>
      </c>
      <c r="IL35" s="165">
        <f t="shared" si="211"/>
        <v>0.72830100364753525</v>
      </c>
      <c r="IM35" s="188">
        <f t="shared" si="212"/>
        <v>26.247487803711437</v>
      </c>
      <c r="IN35" s="165">
        <f t="shared" si="151"/>
        <v>24.319584778867455</v>
      </c>
      <c r="IO35" s="165">
        <f t="shared" si="152"/>
        <v>24.64431289672963</v>
      </c>
      <c r="IP35" s="165">
        <f t="shared" si="153"/>
        <v>25.008146905129028</v>
      </c>
      <c r="IQ35" s="165">
        <f t="shared" si="154"/>
        <v>25.315320218340702</v>
      </c>
      <c r="IR35" s="165">
        <f t="shared" si="155"/>
        <v>25.618458079742382</v>
      </c>
      <c r="IS35" s="165">
        <f t="shared" si="156"/>
        <v>25.878212516517276</v>
      </c>
      <c r="IT35" s="165">
        <f t="shared" si="157"/>
        <v>26.179753121387588</v>
      </c>
      <c r="IU35" s="165">
        <f t="shared" si="158"/>
        <v>26.426866569753333</v>
      </c>
      <c r="IV35" s="188">
        <f>_xlfn.FORECAST.LINEAR(Sheet3!DF35,Sheet2!$AK$2:$AK$69,Sheet2!$AJ$2:$AJ$69)</f>
        <v>1.1761434736095797E-5</v>
      </c>
      <c r="IW35" s="165">
        <f>_xlfn.FORECAST.LINEAR(Sheet3!BZ35,Sheet2!$AK$2:$AK$69,Sheet2!$AJ$2:$AJ$69)</f>
        <v>1.1732798473305748E-5</v>
      </c>
      <c r="IX35" s="165">
        <f>_xlfn.FORECAST.LINEAR(Sheet3!CA35,Sheet2!$AK$2:$AK$69,Sheet2!$AJ$2:$AJ$69)</f>
        <v>1.1623842996183268E-5</v>
      </c>
      <c r="IY35" s="165">
        <f>_xlfn.FORECAST.LINEAR(Sheet3!CB35,Sheet2!$AK$2:$AK$69,Sheet2!$AJ$2:$AJ$69)</f>
        <v>1.1532334445389788E-5</v>
      </c>
      <c r="IZ35" s="165">
        <f>_xlfn.FORECAST.LINEAR(Sheet3!CC35,Sheet2!$AK$2:$AK$69,Sheet2!$AJ$2:$AJ$69)</f>
        <v>1.1417075234031135E-5</v>
      </c>
      <c r="JA35" s="165">
        <f>_xlfn.FORECAST.LINEAR(Sheet3!CD35,Sheet2!$AK$2:$AK$69,Sheet2!$AJ$2:$AJ$69)</f>
        <v>1.1355966853683679E-5</v>
      </c>
      <c r="JB35" s="165">
        <f>_xlfn.FORECAST.LINEAR(Sheet3!CE35,Sheet2!$AK$2:$AK$69,Sheet2!$AJ$2:$AJ$69)</f>
        <v>1.1263718543470059E-5</v>
      </c>
      <c r="JC35" s="165">
        <f>_xlfn.FORECAST.LINEAR(Sheet3!CF35,Sheet2!$AK$2:$AK$69,Sheet2!$AJ$2:$AJ$69)</f>
        <v>1.1188556080666877E-5</v>
      </c>
      <c r="JD35" s="165">
        <f>_xlfn.FORECAST.LINEAR(Sheet3!CG35,Sheet2!$AK$2:$AK$69,Sheet2!$AJ$2:$AJ$69)</f>
        <v>1.1094193759468533E-5</v>
      </c>
      <c r="JE35" s="188">
        <f>_xlfn.FORECAST.LINEAR(Sheet3!DF35,New!$MC$2:$MC$18,New!$MB$2:$MB$18)</f>
        <v>2.0908514659214704E-5</v>
      </c>
      <c r="JF35" s="165">
        <f>_xlfn.FORECAST.LINEAR(Sheet3!BZ35,New!$MC$2:$MC$18,New!$MB$2:$MB$18)</f>
        <v>2.0874852041119439E-5</v>
      </c>
      <c r="JG35" s="165">
        <f>_xlfn.FORECAST.LINEAR(Sheet3!CA35,New!$MC$2:$MC$18,New!$MB$2:$MB$18)</f>
        <v>2.0746772247933726E-5</v>
      </c>
      <c r="JH35" s="165">
        <f>_xlfn.FORECAST.LINEAR(Sheet3!CB35,New!$MC$2:$MC$18,New!$MB$2:$MB$18)</f>
        <v>2.0639201737759388E-5</v>
      </c>
      <c r="JI35" s="165">
        <f>_xlfn.FORECAST.LINEAR(Sheet3!CC35,New!$MC$2:$MC$18,New!$MB$2:$MB$18)</f>
        <v>2.0503711752827561E-5</v>
      </c>
      <c r="JJ35" s="165">
        <f>_xlfn.FORECAST.LINEAR(Sheet3!CD35,New!$MC$2:$MC$18,New!$MB$2:$MB$18)</f>
        <v>2.0431877376773039E-5</v>
      </c>
      <c r="JK35" s="165">
        <f>_xlfn.FORECAST.LINEAR(Sheet3!CE35,New!$MC$2:$MC$18,New!$MB$2:$MB$18)</f>
        <v>2.032343726154496E-5</v>
      </c>
      <c r="JL35" s="165">
        <f>_xlfn.FORECAST.LINEAR(Sheet3!CF35,New!$MC$2:$MC$18,New!$MB$2:$MB$18)</f>
        <v>2.0235081972344228E-5</v>
      </c>
      <c r="JM35" s="165">
        <f>_xlfn.FORECAST.LINEAR(Sheet3!CG35,New!$MC$2:$MC$18,New!$MB$2:$MB$18)</f>
        <v>2.0124156786178308E-5</v>
      </c>
      <c r="JN35" s="188">
        <f t="shared" si="159"/>
        <v>1.9482171127701454E-5</v>
      </c>
      <c r="JO35" s="165">
        <f t="shared" si="160"/>
        <v>1.9448631065751407E-5</v>
      </c>
      <c r="JP35" s="165">
        <f t="shared" si="161"/>
        <v>1.9324370980052162E-5</v>
      </c>
      <c r="JQ35" s="165">
        <f t="shared" si="162"/>
        <v>1.9217079459447752E-5</v>
      </c>
      <c r="JR35" s="165">
        <f t="shared" si="163"/>
        <v>1.9085599404987506E-5</v>
      </c>
      <c r="JS35" s="165">
        <f t="shared" si="164"/>
        <v>1.901391081676363E-5</v>
      </c>
      <c r="JT35" s="165">
        <f t="shared" si="165"/>
        <v>1.8909135077792835E-5</v>
      </c>
      <c r="JU35" s="165">
        <f t="shared" si="166"/>
        <v>1.8820936025826515E-5</v>
      </c>
      <c r="JV35" s="165">
        <f t="shared" si="167"/>
        <v>1.8713280791467316E-5</v>
      </c>
      <c r="JW35" s="188">
        <f t="shared" si="231"/>
        <v>1.0444458673781256</v>
      </c>
      <c r="JX35" s="165">
        <f t="shared" si="232"/>
        <v>1.0449139794308913</v>
      </c>
      <c r="JY35" s="165">
        <f t="shared" si="233"/>
        <v>1.0467153132708822</v>
      </c>
      <c r="JZ35" s="165">
        <f t="shared" si="234"/>
        <v>1.0482534650816691</v>
      </c>
      <c r="KA35" s="165">
        <f t="shared" si="235"/>
        <v>1.0502245357064917</v>
      </c>
      <c r="KB35" s="165">
        <f t="shared" si="236"/>
        <v>1.0512851486971477</v>
      </c>
      <c r="KC35" s="165">
        <f t="shared" si="237"/>
        <v>1.0529071648001564</v>
      </c>
      <c r="KD35" s="165">
        <f t="shared" si="238"/>
        <v>1.0542477415628873</v>
      </c>
      <c r="KE35" s="165">
        <f t="shared" si="239"/>
        <v>1.0559554453696456</v>
      </c>
      <c r="KF35" s="188">
        <f t="shared" si="75"/>
        <v>0.94446821821306282</v>
      </c>
      <c r="KG35" s="165">
        <f t="shared" si="240"/>
        <v>0.94411095221821706</v>
      </c>
      <c r="KH35" s="165">
        <f t="shared" si="241"/>
        <v>0.94274028315434755</v>
      </c>
      <c r="KI35" s="165">
        <f t="shared" si="242"/>
        <v>0.94157502486031475</v>
      </c>
      <c r="KJ35" s="165">
        <f t="shared" si="243"/>
        <v>0.94008868691139535</v>
      </c>
      <c r="KK35" s="165">
        <f t="shared" si="244"/>
        <v>0.93929208569486033</v>
      </c>
      <c r="KL35" s="165">
        <f t="shared" si="245"/>
        <v>0.93807810754704746</v>
      </c>
      <c r="KM35" s="165">
        <f t="shared" si="246"/>
        <v>0.93707865467074292</v>
      </c>
      <c r="KN35" s="165">
        <f t="shared" si="247"/>
        <v>0.93581055541788638</v>
      </c>
      <c r="KO35" s="188">
        <f t="shared" si="213"/>
        <v>0.58408428114764743</v>
      </c>
      <c r="KP35" s="165">
        <f t="shared" si="214"/>
        <v>0.5835091985090497</v>
      </c>
      <c r="KQ35" s="165">
        <f t="shared" si="215"/>
        <v>0.58118451545647298</v>
      </c>
      <c r="KR35" s="165">
        <f t="shared" si="216"/>
        <v>0.57919727783239217</v>
      </c>
      <c r="KS35" s="165">
        <f t="shared" si="217"/>
        <v>0.57668707480056181</v>
      </c>
      <c r="KT35" s="165">
        <f t="shared" si="218"/>
        <v>0.5753335013492703</v>
      </c>
      <c r="KU35" s="165">
        <f t="shared" si="219"/>
        <v>0.57329316960780174</v>
      </c>
      <c r="KV35" s="165">
        <f t="shared" si="220"/>
        <v>0.57160050241881932</v>
      </c>
      <c r="KW35" s="165">
        <f t="shared" si="221"/>
        <v>0.56957687505322707</v>
      </c>
      <c r="KX35" s="188">
        <f>AVERAGE(Sheet3!J35:P35)*KO35^(1/3)/ID35^(1/3)</f>
        <v>158.00819553484692</v>
      </c>
      <c r="KY35" s="165">
        <f>Sheet3!J35*KP35^(1/3)/IE35^(1/3)</f>
        <v>141.25711033622619</v>
      </c>
      <c r="KZ35" s="165">
        <f>Sheet3!K35*KQ35^(1/3)/IF35^(1/3)</f>
        <v>144.06414373212138</v>
      </c>
      <c r="LA35" s="165">
        <f>Sheet3!L35*KR35^(1/3)/IG35^(1/3)</f>
        <v>151.021428376366</v>
      </c>
      <c r="LB35" s="165">
        <f>Sheet3!M35*KS35^(1/3)/IH35^(1/3)</f>
        <v>158.08339132632818</v>
      </c>
      <c r="LC35" s="165">
        <f>Sheet3!N35*KT35^(1/3)/II35^(1/3)</f>
        <v>165.0864069380163</v>
      </c>
      <c r="LD35" s="165">
        <f>Sheet3!O35*KU35^(1/3)/IJ35^(1/3)</f>
        <v>169.97488226257468</v>
      </c>
      <c r="LE35" s="165">
        <f>Sheet3!P35*KV35^(1/3)/IK35^(1/3)</f>
        <v>169.92998895321625</v>
      </c>
      <c r="LF35" s="165">
        <f>Sheet3!Q35*KW35^(1/3)/IL35^(1/3)</f>
        <v>161.82996723606092</v>
      </c>
      <c r="LG35" s="186">
        <f t="shared" si="248"/>
        <v>27.290065950028509</v>
      </c>
      <c r="LH35" s="183">
        <f t="shared" si="249"/>
        <v>27.291437015790461</v>
      </c>
      <c r="LI35" s="183">
        <f t="shared" si="250"/>
        <v>27.459261443212078</v>
      </c>
      <c r="LJ35" s="183">
        <f t="shared" si="251"/>
        <v>27.460305090020672</v>
      </c>
      <c r="LK35" s="183">
        <f t="shared" si="252"/>
        <v>27.642297962670202</v>
      </c>
      <c r="LL35" s="183">
        <f t="shared" si="253"/>
        <v>27.642651412433043</v>
      </c>
      <c r="LM35" s="183">
        <f t="shared" si="254"/>
        <v>27.815357739714724</v>
      </c>
      <c r="LN35" s="183">
        <f t="shared" si="255"/>
        <v>27.816434054231216</v>
      </c>
      <c r="LO35" s="183">
        <f t="shared" si="256"/>
        <v>27.973922540899892</v>
      </c>
      <c r="LP35" s="220"/>
      <c r="LQ35" s="220"/>
      <c r="LR35" s="220"/>
      <c r="LS35" s="220"/>
      <c r="LT35" s="220"/>
      <c r="LU35" s="220"/>
      <c r="LV35" s="220"/>
      <c r="LW35" s="220"/>
      <c r="LX35" s="220"/>
      <c r="LY35" s="220"/>
      <c r="LZ35" s="222">
        <v>138.87</v>
      </c>
      <c r="MA35" s="220">
        <v>1.4E-5</v>
      </c>
      <c r="MB35" s="220"/>
      <c r="MC35" s="220"/>
      <c r="MD35" s="188">
        <f>Sheet3!DP35</f>
        <v>264.10890549076129</v>
      </c>
      <c r="ME35" s="263">
        <v>340</v>
      </c>
      <c r="MF35" s="263">
        <v>146.08000000000001</v>
      </c>
      <c r="MG35" s="263">
        <v>12.35</v>
      </c>
      <c r="MH35" s="263">
        <v>92.76</v>
      </c>
      <c r="MI35" s="263">
        <v>25.2</v>
      </c>
      <c r="MJ35" s="263">
        <v>0.27200000000000002</v>
      </c>
      <c r="MK35" s="273">
        <v>330</v>
      </c>
      <c r="ML35" s="267">
        <v>128.65</v>
      </c>
      <c r="MM35" s="267">
        <v>77.099999999999994</v>
      </c>
      <c r="MN35" s="267">
        <v>9.8810000000000002</v>
      </c>
      <c r="MO35" s="267">
        <v>23.93</v>
      </c>
      <c r="MP35" s="274">
        <v>0.31</v>
      </c>
      <c r="MQ35"/>
      <c r="MR35"/>
      <c r="MS35"/>
    </row>
    <row r="36" spans="1:357" ht="15" thickBot="1" x14ac:dyDescent="0.35">
      <c r="A36" s="184" t="str">
        <f>Sheet3!A36</f>
        <v>27.12.2022</v>
      </c>
      <c r="B36" s="186">
        <f t="shared" si="102"/>
        <v>0.85699640684913714</v>
      </c>
      <c r="C36" s="183">
        <f t="shared" si="168"/>
        <v>0.85567654679851424</v>
      </c>
      <c r="D36" s="183">
        <f t="shared" si="169"/>
        <v>0.84954941167794418</v>
      </c>
      <c r="E36" s="183">
        <f t="shared" si="170"/>
        <v>0.84213518841506629</v>
      </c>
      <c r="F36" s="183">
        <f t="shared" si="171"/>
        <v>0.83709901761887773</v>
      </c>
      <c r="G36" s="183">
        <f t="shared" si="172"/>
        <v>0.8334189141929732</v>
      </c>
      <c r="H36" s="183">
        <f t="shared" si="173"/>
        <v>0.82807634204482672</v>
      </c>
      <c r="I36" s="183">
        <f t="shared" si="174"/>
        <v>0.82310195435793576</v>
      </c>
      <c r="J36" s="183">
        <f t="shared" si="175"/>
        <v>0.81784022501892029</v>
      </c>
      <c r="K36" s="186">
        <f xml:space="preserve"> (6.057 * (10^(-6)))
+ (4.055 * (10^(-8)) * (Sheet3!DF36 + 273))
+ (1.25 * (10^(-10)) * (Sheet3!DF36 + 273)^2)
- (3.367 * (10^(-14)) * (DD36 + 273)^3)</f>
        <v>3.9918705753112635E-5</v>
      </c>
      <c r="L36" s="183">
        <f xml:space="preserve"> (6.057 * (10^(-6)))
+ (4.055 * (10^(-8)) * (Sheet3!BZ36 + 273))
+ (1.25 * (10^(-10)) * (Sheet3!BZ36 + 273)^2)
- (3.367 * (10^(-14)) * (BX36 + 273)^3)</f>
        <v>3.9779937943921708E-5</v>
      </c>
      <c r="M36" s="183">
        <f xml:space="preserve"> (6.057 * (10^(-6)))
+ (4.055 * (10^(-8)) * (Sheet3!CA36 + 273))
+ (1.25 * (10^(-10)) * (Sheet3!CA36 + 273)^2)
- (3.367 * (10^(-14)) * (BY36 + 273)^3)</f>
        <v>3.9157044941122497E-5</v>
      </c>
      <c r="N36" s="183">
        <f xml:space="preserve"> (6.057 * (10^(-6)))
+ (4.055 * (10^(-8)) * (Sheet3!CB36 + 273))
+ (1.25 * (10^(-10)) * (Sheet3!CB36 + 273)^2)
- (3.367 * (10^(-14)) * (BZ36 + 273)^3)</f>
        <v>3.8471614259316261E-5</v>
      </c>
      <c r="O36" s="183">
        <f xml:space="preserve"> (6.057 * (10^(-6)))
+ (4.055 * (10^(-8)) * (Sheet3!CC36 + 273))
+ (1.25 * (10^(-10)) * (Sheet3!CC36 + 273)^2)
- (3.367 * (10^(-14)) * (CA36 + 273)^3)</f>
        <v>3.7974539241536229E-5</v>
      </c>
      <c r="P36" s="183">
        <f xml:space="preserve"> (6.057 * (10^(-6)))
+ (4.055 * (10^(-8)) * (Sheet3!CD36 + 273))
+ (1.25 * (10^(-10)) * (Sheet3!CD36 + 273)^2)
- (3.367 * (10^(-14)) * (CB36 + 273)^3)</f>
        <v>3.7648305170363259E-5</v>
      </c>
      <c r="Q36" s="183">
        <f xml:space="preserve"> (6.057 * (10^(-6)))
+ (4.055 * (10^(-8)) * (Sheet3!CE36 + 273))
+ (1.25 * (10^(-10)) * (Sheet3!CE36 + 273)^2)
- (3.367 * (10^(-14)) * (CC36 + 273)^3)</f>
        <v>3.7143275417543806E-5</v>
      </c>
      <c r="R36" s="183">
        <f xml:space="preserve"> (6.057 * (10^(-6)))
+ (4.055 * (10^(-8)) * (Sheet3!CF36 + 273))
+ (1.25 * (10^(-10)) * (Sheet3!CF36 + 273)^2)
- (3.367 * (10^(-14)) * (CD36 + 273)^3)</f>
        <v>3.6718722685870182E-5</v>
      </c>
      <c r="S36" s="183">
        <f xml:space="preserve"> (6.057 * (10^(-6)))
+ (4.055 * (10^(-8)) * (Sheet3!CG36 + 273))
+ (1.25 * (10^(-10)) * (Sheet3!CG36 + 273)^2)
- (3.367 * (10^(-14)) * (CE36 + 273)^3)</f>
        <v>3.6225316742663429E-5</v>
      </c>
      <c r="T36" s="188">
        <f t="shared" si="104"/>
        <v>3.9918705753112635E-5</v>
      </c>
      <c r="U36" s="165">
        <f t="shared" si="105"/>
        <v>3.9779937943921708E-5</v>
      </c>
      <c r="V36" s="165">
        <f t="shared" si="106"/>
        <v>3.9157044941122497E-5</v>
      </c>
      <c r="W36" s="165">
        <f t="shared" si="107"/>
        <v>3.8471614259316261E-5</v>
      </c>
      <c r="X36" s="165">
        <f t="shared" si="108"/>
        <v>3.7974539241536229E-5</v>
      </c>
      <c r="Y36" s="165">
        <f t="shared" si="109"/>
        <v>3.7648305170363259E-5</v>
      </c>
      <c r="Z36" s="165">
        <f t="shared" si="110"/>
        <v>3.7143275417543806E-5</v>
      </c>
      <c r="AA36" s="165">
        <f t="shared" si="111"/>
        <v>3.6718722685870182E-5</v>
      </c>
      <c r="AB36" s="165">
        <f t="shared" si="112"/>
        <v>3.6225316742663429E-5</v>
      </c>
      <c r="AC36" s="186">
        <f t="shared" si="176"/>
        <v>3.4210187396485509E-5</v>
      </c>
      <c r="AD36" s="183">
        <f t="shared" si="177"/>
        <v>3.4038759931714115E-5</v>
      </c>
      <c r="AE36" s="183">
        <f t="shared" si="178"/>
        <v>3.3265844492777439E-5</v>
      </c>
      <c r="AF36" s="183">
        <f t="shared" si="179"/>
        <v>3.239830012290105E-5</v>
      </c>
      <c r="AG36" s="183">
        <f t="shared" si="180"/>
        <v>3.1788449493619498E-5</v>
      </c>
      <c r="AH36" s="183">
        <f t="shared" si="181"/>
        <v>3.1376809616289848E-5</v>
      </c>
      <c r="AI36" s="183">
        <f t="shared" si="182"/>
        <v>3.0757467639323211E-5</v>
      </c>
      <c r="AJ36" s="183">
        <f t="shared" si="183"/>
        <v>3.0223252404266818E-5</v>
      </c>
      <c r="AK36" s="183">
        <f t="shared" si="184"/>
        <v>2.962652119620152E-5</v>
      </c>
      <c r="AL36" s="186">
        <f t="shared" si="113"/>
        <v>3.244694605573048E-2</v>
      </c>
      <c r="AM36" s="183">
        <f t="shared" si="114"/>
        <v>3.2360201948033233E-2</v>
      </c>
      <c r="AN36" s="183">
        <f t="shared" si="115"/>
        <v>3.1957684201121848E-2</v>
      </c>
      <c r="AO36" s="183">
        <f t="shared" si="116"/>
        <v>3.1510771950692469E-2</v>
      </c>
      <c r="AP36" s="183">
        <f t="shared" si="117"/>
        <v>3.1184232034142709E-2</v>
      </c>
      <c r="AQ36" s="183">
        <f t="shared" si="118"/>
        <v>3.0968318456602577E-2</v>
      </c>
      <c r="AR36" s="183">
        <f t="shared" si="119"/>
        <v>3.0632849516022388E-2</v>
      </c>
      <c r="AS36" s="183">
        <f t="shared" si="120"/>
        <v>3.0348048598582672E-2</v>
      </c>
      <c r="AT36" s="183">
        <f t="shared" si="121"/>
        <v>3.0020074037645735E-2</v>
      </c>
      <c r="AU36" s="186">
        <f>_xlfn.FORECAST.LINEAR(Sheet3!DF36,Sheet2!$AH$2:$AH$40,Sheet2!$AG$2:$AG$40)</f>
        <v>3.3278061617758661E-2</v>
      </c>
      <c r="AV36" s="183">
        <f>_xlfn.FORECAST.LINEAR(Sheet3!BZ36,Sheet2!$AH$2:$AH$40,Sheet2!$AG$2:$AG$40)</f>
        <v>3.3028309949197802E-2</v>
      </c>
      <c r="AW36" s="183">
        <f>_xlfn.FORECAST.LINEAR(Sheet3!CA36,Sheet2!$AH$2:$AH$40,Sheet2!$AG$2:$AG$40)</f>
        <v>3.187054260569129E-2</v>
      </c>
      <c r="AX36" s="183">
        <f>_xlfn.FORECAST.LINEAR(Sheet3!CB36,Sheet2!$AH$2:$AH$40,Sheet2!$AG$2:$AG$40)</f>
        <v>3.0585236294588723E-2</v>
      </c>
      <c r="AY36" s="183">
        <f>_xlfn.FORECAST.LINEAR(Sheet3!CC36,Sheet2!$AH$2:$AH$40,Sheet2!$AG$2:$AG$40)</f>
        <v>2.9645552273581247E-2</v>
      </c>
      <c r="AZ36" s="183">
        <f>_xlfn.FORECAST.LINEAR(Sheet3!CD36,Sheet2!$AH$2:$AH$40,Sheet2!$AG$2:$AG$40)</f>
        <v>2.9025273424451575E-2</v>
      </c>
      <c r="BA36" s="183">
        <f>_xlfn.FORECAST.LINEAR(Sheet3!CE36,Sheet2!$AH$2:$AH$40,Sheet2!$AG$2:$AG$40)</f>
        <v>2.8059432645322069E-2</v>
      </c>
      <c r="BB36" s="183">
        <f>_xlfn.FORECAST.LINEAR(Sheet3!CF36,Sheet2!$AH$2:$AH$40,Sheet2!$AG$2:$AG$40)</f>
        <v>2.7242092619724764E-2</v>
      </c>
      <c r="BC36" s="183">
        <f>_xlfn.FORECAST.LINEAR(Sheet3!CG36,Sheet2!$AH$2:$AH$40,Sheet2!$AG$2:$AG$40)</f>
        <v>2.6297716351994072E-2</v>
      </c>
      <c r="BD36" s="186">
        <f>_xlfn.FORECAST.LINEAR(Sheet3!DF36,Sheet2!$AB$12:$AB$37,Sheet2!$AA$12:$AA$37)/1000</f>
        <v>3.221097904255335E-2</v>
      </c>
      <c r="BE36" s="183">
        <f>_xlfn.FORECAST.LINEAR(Sheet3!BZ36,Sheet2!$AB$12:$AB$37,Sheet2!$AA$12:$AA$37)/1000</f>
        <v>3.2155140350347514E-2</v>
      </c>
      <c r="BF36" s="183">
        <f>_xlfn.FORECAST.LINEAR(Sheet3!CA36,Sheet2!$AB$12:$AB$37,Sheet2!$AA$12:$AA$37)/1000</f>
        <v>3.1896290370635495E-2</v>
      </c>
      <c r="BG36" s="183">
        <f>_xlfn.FORECAST.LINEAR(Sheet3!CB36,Sheet2!$AB$12:$AB$37,Sheet2!$AA$12:$AA$37)/1000</f>
        <v>3.1608925629853485E-2</v>
      </c>
      <c r="BH36" s="183">
        <f>_xlfn.FORECAST.LINEAR(Sheet3!CC36,Sheet2!$AB$12:$AB$37,Sheet2!$AA$12:$AA$37)/1000</f>
        <v>3.1398834033180181E-2</v>
      </c>
      <c r="BI36" s="183">
        <f>_xlfn.FORECAST.LINEAR(Sheet3!CD36,Sheet2!$AB$12:$AB$37,Sheet2!$AA$12:$AA$37)/1000</f>
        <v>3.1260154039817502E-2</v>
      </c>
      <c r="BJ36" s="183">
        <f>_xlfn.FORECAST.LINEAR(Sheet3!CE36,Sheet2!$AB$12:$AB$37,Sheet2!$AA$12:$AA$37)/1000</f>
        <v>3.1044214397466279E-2</v>
      </c>
      <c r="BK36" s="183">
        <f>_xlfn.FORECAST.LINEAR(Sheet3!CF36,Sheet2!$AB$12:$AB$37,Sheet2!$AA$12:$AA$37)/1000</f>
        <v>3.0861476086327784E-2</v>
      </c>
      <c r="BL36" s="183">
        <f>_xlfn.FORECAST.LINEAR(Sheet3!CG36,Sheet2!$AB$12:$AB$37,Sheet2!$AA$12:$AA$37)/1000</f>
        <v>3.0650335411896393E-2</v>
      </c>
      <c r="BM36" s="186">
        <f t="shared" si="122"/>
        <v>0.85743599109302582</v>
      </c>
      <c r="BN36" s="183">
        <f t="shared" si="123"/>
        <v>0.8596131907175677</v>
      </c>
      <c r="BO36" s="183">
        <f t="shared" si="124"/>
        <v>0.86997827422619967</v>
      </c>
      <c r="BP36" s="183">
        <f t="shared" si="125"/>
        <v>0.88163634337180474</v>
      </c>
      <c r="BQ36" s="183">
        <f t="shared" si="126"/>
        <v>0.89049887801284144</v>
      </c>
      <c r="BR36" s="183">
        <f t="shared" si="127"/>
        <v>0.89635314979075842</v>
      </c>
      <c r="BS36" s="183">
        <f t="shared" si="128"/>
        <v>0.90575774384661911</v>
      </c>
      <c r="BT36" s="183">
        <f t="shared" si="129"/>
        <v>0.91375486900062697</v>
      </c>
      <c r="BU36" s="183">
        <f t="shared" si="130"/>
        <v>0.92329782389787551</v>
      </c>
      <c r="BV36" s="186">
        <f t="shared" si="222"/>
        <v>1.1061567259930585</v>
      </c>
      <c r="BW36" s="183">
        <f t="shared" si="223"/>
        <v>1.1059472733552778</v>
      </c>
      <c r="BX36" s="183">
        <f t="shared" si="224"/>
        <v>1.1042523714792492</v>
      </c>
      <c r="BY36" s="183">
        <f t="shared" si="225"/>
        <v>1.1031824235020062</v>
      </c>
      <c r="BZ36" s="183">
        <f t="shared" si="226"/>
        <v>1.1016213172507223</v>
      </c>
      <c r="CA36" s="183">
        <f t="shared" si="227"/>
        <v>1.1011074291033436</v>
      </c>
      <c r="CB36" s="183">
        <f t="shared" si="228"/>
        <v>1.0995747690932354</v>
      </c>
      <c r="CC36" s="183">
        <f t="shared" si="229"/>
        <v>1.0989042894948058</v>
      </c>
      <c r="CD36" s="183">
        <f t="shared" si="230"/>
        <v>1.0974614861753953</v>
      </c>
      <c r="CE36" s="187">
        <f xml:space="preserve"> -0.0000000019505*Sheet3!DF36^3 + 0.0000015497*Sheet3!DF36^2  + 0.00016911*Sheet3!DF36 + 1.8585</f>
        <v>1.8954759658125</v>
      </c>
      <c r="CF36" s="185">
        <f xml:space="preserve"> -0.0000000019505*Sheet3!BZ36^3 + 0.0000015497*Sheet3!BZ36^2  + 0.00016911*Sheet3!BZ36 + 1.8585</f>
        <v>1.8950364065247789</v>
      </c>
      <c r="CG36" s="185">
        <f xml:space="preserve"> -0.0000000019505*Sheet3!CA36^3 + 0.0000015497*Sheet3!CA36^2  + 0.00016911*Sheet3!CA36 + 1.8585</f>
        <v>1.8930211946744824</v>
      </c>
      <c r="CH36" s="185">
        <f xml:space="preserve"> -0.0000000019505*Sheet3!CB36^3 + 0.0000015497*Sheet3!CB36^2  + 0.00016911*Sheet3!CB36 + 1.8585</f>
        <v>1.8908282368811384</v>
      </c>
      <c r="CI36" s="185">
        <f xml:space="preserve"> -0.0000000019505*Sheet3!CC36^3 + 0.0000015497*Sheet3!CC36^2  + 0.00016911*Sheet3!CC36 + 1.8585</f>
        <v>1.8892552739519992</v>
      </c>
      <c r="CJ36" s="185">
        <f xml:space="preserve"> -0.0000000019505*Sheet3!CD36^3 + 0.0000015497*Sheet3!CD36^2  + 0.00016911*Sheet3!CD36 + 1.8585</f>
        <v>1.8882313232695325</v>
      </c>
      <c r="CK36" s="185">
        <f xml:space="preserve"> -0.0000000019505*Sheet3!CE36^3 + 0.0000015497*Sheet3!CE36^2  + 0.00016911*Sheet3!CE36 + 1.8585</f>
        <v>1.886660102832864</v>
      </c>
      <c r="CL36" s="185">
        <f xml:space="preserve"> -0.0000000019505*Sheet3!CF36^3 + 0.0000015497*Sheet3!CF36^2  + 0.00016911*Sheet3!CF36 + 1.8585</f>
        <v>1.8853529320426095</v>
      </c>
      <c r="CM36" s="185">
        <f xml:space="preserve"> -0.0000000019505*Sheet3!CG36^3 + 0.0000015497*Sheet3!CG36^2  + 0.00016911*Sheet3!CG36 + 1.8585</f>
        <v>1.8838687815532009</v>
      </c>
      <c r="CN36" s="186">
        <f>_xlfn.FORECAST.LINEAR(Sheet3!DF36,New!$LU$2:$LU$14,New!$LT$2:$LT$14)</f>
        <v>1.0182325575068421</v>
      </c>
      <c r="CO36" s="183">
        <f>_xlfn.FORECAST.LINEAR(Sheet3!BZ36,New!$LU$2:$LU$14,New!$LT$2:$LT$14)</f>
        <v>1.0180487370022193</v>
      </c>
      <c r="CP36" s="183">
        <f>_xlfn.FORECAST.LINEAR(Sheet3!CA36,New!$LU$2:$LU$14,New!$LT$2:$LT$14)</f>
        <v>1.0171966050483261</v>
      </c>
      <c r="CQ36" s="183">
        <f>_xlfn.FORECAST.LINEAR(Sheet3!CB36,New!$LU$2:$LU$14,New!$LT$2:$LT$14)</f>
        <v>1.0162506027410627</v>
      </c>
      <c r="CR36" s="183">
        <f>_xlfn.FORECAST.LINEAR(Sheet3!CC36,New!$LU$2:$LU$14,New!$LT$2:$LT$14)</f>
        <v>1.0155589829736245</v>
      </c>
      <c r="CS36" s="183">
        <f>_xlfn.FORECAST.LINEAR(Sheet3!CD36,New!$LU$2:$LU$14,New!$LT$2:$LT$14)</f>
        <v>1.0151024496030538</v>
      </c>
      <c r="CT36" s="183">
        <f>_xlfn.FORECAST.LINEAR(Sheet3!CE36,New!$LU$2:$LU$14,New!$LT$2:$LT$14)</f>
        <v>1.01439157811848</v>
      </c>
      <c r="CU36" s="183">
        <f>_xlfn.FORECAST.LINEAR(Sheet3!CF36,New!$LU$2:$LU$14,New!$LT$2:$LT$14)</f>
        <v>1.0137900051367286</v>
      </c>
      <c r="CV36" s="183">
        <f>_xlfn.FORECAST.LINEAR(Sheet3!CG36,New!$LU$2:$LU$14,New!$LT$2:$LT$14)</f>
        <v>1.0130949318141433</v>
      </c>
      <c r="CW36" s="186">
        <f>EXP((17.625*Sheet3!BA36)/(243.04+Sheet3!BA36)) / EXP((17.625*Sheet3!DF36)/(243.04+Sheet3!DF36))</f>
        <v>7.9892913666668522E-2</v>
      </c>
      <c r="CX36" s="183">
        <f>EXP((17.625*(Sheet3!BC36+273))/(243.04+(Sheet3!BC36+273)))/EXP((17.625*(Sheet3!BZ36+273))/(243.04+(Sheet3!BZ36+273)))</f>
        <v>0.47959442272579667</v>
      </c>
      <c r="CY36" s="183">
        <f>EXP((17.625*(Sheet3!BE36+273))/(243.04+(Sheet3!BE36+273))) / EXP((17.625*(Sheet3!CA36+273))/(243.04+(Sheet3!CA36+273)))</f>
        <v>0.50360560268795551</v>
      </c>
      <c r="CZ36" s="183">
        <f>EXP((17.625*(Sheet3!BG36+273))/(243.04+(Sheet3!BG36+273))) / EXP((17.625*(Sheet3!CB36+273))/(243.04+(Sheet3!CB36+273)))</f>
        <v>0.53145926957864364</v>
      </c>
      <c r="DA36" s="183">
        <f>EXP((17.625*(Sheet3!BI36+273))/(243.04+(Sheet3!BI36+273))) / EXP((17.625*(Sheet3!CC36+273))/(243.04+(Sheet3!CC36+273)))</f>
        <v>0.5523187235285012</v>
      </c>
      <c r="DB36" s="183">
        <f>EXP((17.625*(Sheet3!BK36+273))/(243.04+(Sheet3!BK36+273)))/EXP((17.625*(Sheet3!CD36+273))/(243.04+(Sheet3!CD36+273)))</f>
        <v>0.56776430302459902</v>
      </c>
      <c r="DC36" s="183">
        <f>EXP((17.625*(Sheet3!BM36+273))/(243.04+(Sheet3!BM36+273))) / EXP((17.625*(Sheet3!CE36+273))/(243.04+(Sheet3!CE36+273)))</f>
        <v>0.59130905234739861</v>
      </c>
      <c r="DD36" s="183">
        <f>EXP((17.625*(Sheet3!BO36+273))/(243.04+(Sheet3!BO36+273))) / EXP((17.625*(Sheet3!CF36+273))/(243.04+(Sheet3!CF36+273)))</f>
        <v>0.61369370141623958</v>
      </c>
      <c r="DE36" s="183">
        <f>EXP((17.625*(Sheet3!BQ36+273))/(243.04+(Sheet3!BQ36+273))) / EXP((17.625*(Sheet3!CG36+273))/(243.04+(Sheet3!CG36+273)))</f>
        <v>0.63928970459871381</v>
      </c>
      <c r="DF36" s="186">
        <f>((Sheet3!DA36-Sheet3!DB36)/New!$LQ$3)/(((Sheet3!DA36-Sheet3!DB36)/New!$LQ$3)+(Sheet3!DB36/New!$LP$3))</f>
        <v>0.84812694386820764</v>
      </c>
      <c r="DG36" s="183">
        <f>((Sheet3!DA36-Sheet3!DB36)/New!$LQ$3)/(((Sheet3!DA36-Sheet3!DB36)/New!$LQ$3)+((Sheet3!DB36-(Sheet3!B36*0.004))/New!$LP$3))</f>
        <v>0.84812694386820764</v>
      </c>
      <c r="DH36" s="183" cm="1">
        <f t="array" ref="DH36">((Sheet3!DA36-Sheet3!DB36)/New!$LQ$3)/(((Sheet3!DA36-Sheet3!DB36)/New!$LQ$3)+((Sheet3!DB36-(SUM(Sheet3!B36:C36*0.004)))/New!$LP$3))</f>
        <v>0.85395130240250705</v>
      </c>
      <c r="DI36" s="183" cm="1">
        <f t="array" ref="DI36">((Sheet3!DA36-Sheet3!DB36)/New!$LQ$3)/(((Sheet3!DA36-Sheet3!DB36)/New!$LQ$3)+((Sheet3!DB36-(SUM(Sheet3!B36:D36*0.004)))/New!$LP$3))</f>
        <v>0.85395130240250705</v>
      </c>
      <c r="DJ36" s="183" cm="1">
        <f t="array" ref="DJ36">((Sheet3!DA36-Sheet3!DB36)/New!$LQ$3)/(((Sheet3!DA36-Sheet3!DB36)/New!$LQ$3)+((Sheet3!DB36-(SUM(Sheet3!B36:E36*0.004)))/New!$LP$3))</f>
        <v>0.86033791556844874</v>
      </c>
      <c r="DK36" s="183" cm="1">
        <f t="array" ref="DK36">((Sheet3!DA36-Sheet3!DB36)/New!$LQ$3)/(((Sheet3!DA36-Sheet3!DB36)/New!$LQ$3)+((Sheet3!DB36-(SUM(Sheet3!B36:F36*0.004)))/New!$LP$3))</f>
        <v>0.86034996513417983</v>
      </c>
      <c r="DL36" s="183" cm="1">
        <f t="array" ref="DL36">((Sheet3!DA36-Sheet3!DB36)/New!$LQ$3)/(((Sheet3!DA36-Sheet3!DB36)/New!$LQ$3)+((Sheet3!DB36-(SUM(Sheet3!B36:G36*0.004)))/New!$LP$3))</f>
        <v>0.86647842666861474</v>
      </c>
      <c r="DM36" s="183" cm="1">
        <f t="array" ref="DM36">((Sheet3!DA36-Sheet3!DB36)/New!$LQ$3)/(((Sheet3!DA36-Sheet3!DB36)/New!$LQ$3)+((Sheet3!DB36-(SUM(Sheet3!B36:H36*0.004)))/New!$LP$3))</f>
        <v>0.86647842666861474</v>
      </c>
      <c r="DN36" s="183" cm="1">
        <f t="array" ref="DN36">((Sheet3!DA36-Sheet3!DB36)/New!$LQ$3)/(((Sheet3!DA36-Sheet3!DB36)/New!$LQ$3)+((Sheet3!DB36-(SUM(Sheet3!B36:I36*0.004)))/New!$LP$3))</f>
        <v>0.87214965167206304</v>
      </c>
      <c r="DO36" s="186">
        <f>(Sheet3!DB36/$LP$3) / ((Sheet3!DB36/$LP$3) + ((Sheet3!DA36-Sheet3!DB36)/$LQ$3))</f>
        <v>0.15187305613179242</v>
      </c>
      <c r="DP36" s="183">
        <f>((Sheet3!$DB36-(Sheet3!B36/4000)) / $LP$3) / (((Sheet3!$DA36-Sheet3!DB36) / $LQ$3) + (Sheet3!$DB36-((Sheet3!B36/4000)))/$LP$3)</f>
        <v>0.15187305613179242</v>
      </c>
      <c r="DQ36" s="183">
        <f>((Sheet3!$DB36-(SUM(Sheet3!B36:C36)/4000))/$LP$3)/(((Sheet3!$DA36-Sheet3!$DB36)/$LQ$3)+(Sheet3!$DB36-(SUM(Sheet3!B36:C36)/4000))/$LP$3)</f>
        <v>0.15151136234843068</v>
      </c>
      <c r="DR36" s="183">
        <f>((Sheet3!$DB36-(SUM(Sheet3!B36:D36)/4000))/$LP$3)/(((Sheet3!$DA36-Sheet3!$DB36)/$LQ$3)+(Sheet3!$DB36-(SUM(Sheet3!B36:D36)/4000))/$LP$3)</f>
        <v>0.15151136234843068</v>
      </c>
      <c r="DS36" s="183">
        <f>((Sheet3!$DB36-(SUM(Sheet3!B36:E36)/4000))/$LP$3)/(((Sheet3!$DA36-Sheet3!$DB36)/$LQ$3)+(Sheet3!$DB36-(SUM(Sheet3!B36:E36)/4000))/$LP$3)</f>
        <v>0.15112003448120911</v>
      </c>
      <c r="DT36" s="183">
        <f>((Sheet3!$DB36-(SUM(Sheet3!B36:F36)/4000))/$LP$3)/(((Sheet3!$DA36-Sheet3!$DB36)/$LQ$3)+(Sheet3!$DB36-(SUM(Sheet3!B36:F36)/4000))/$LP$3)</f>
        <v>0.151119301318872</v>
      </c>
      <c r="DU36" s="183">
        <f>((Sheet3!$DB36-(SUM(Sheet3!B36:G36)/4000))/$LP$3)/(((Sheet3!$DA36-Sheet3!$DB36)/$LQ$3)+(Sheet3!$DB36-(SUM(Sheet3!B36:G36)/4000))/$LP$3)</f>
        <v>0.15074889246153092</v>
      </c>
      <c r="DV36" s="183">
        <f>((Sheet3!$DB36-(SUM(Sheet3!B36:H36)/4000))/$LP$3)/(((Sheet3!$DA36-Sheet3!$DB36)/$LQ$3)+(Sheet3!$DB36-(SUM(Sheet3!B36:H36)/4000))/$LP$3)</f>
        <v>0.15074889246153092</v>
      </c>
      <c r="DW36" s="183">
        <f>((Sheet3!$DB36-(SUM(Sheet3!B36:I36)/4000))/$LP$3)/(((Sheet3!$DA36-Sheet3!$DB36)/$LQ$3)+(Sheet3!$DB36-(SUM(Sheet3!B36:I36)/4000))/$LP$3)</f>
        <v>0.15041047450337769</v>
      </c>
      <c r="DX36" s="186">
        <f>($LR$2*($LP$3/1000))/($LP$2*(Sheet3!DF36+273))*DO36</f>
        <v>8.5938914824813528E-2</v>
      </c>
      <c r="DY36" s="183">
        <f>(($LR$2*($LP$3/1000))/($LP$2*(Sheet3!BZ36+273)))*(DP36)</f>
        <v>8.615713073251248E-2</v>
      </c>
      <c r="DZ36" s="183">
        <f>(($LR$2*($LP$3/1000))/($LP$2*(Sheet3!CA36+273)))*(DQ36)</f>
        <v>8.6975724945595967E-2</v>
      </c>
      <c r="EA36" s="183">
        <f>(($LR$2*($LP$3/1000))/($LP$2*(Sheet3!CB36+273)))*(DR36)</f>
        <v>8.8141235677811375E-2</v>
      </c>
      <c r="EB36" s="183">
        <f>(($LR$2*($LP$3/1000))/($LP$2*(Sheet3!CC36+273)))*(DS36)</f>
        <v>8.878339351491811E-2</v>
      </c>
      <c r="EC36" s="183">
        <f>(($LR$2*($LP$3/1000))/($LP$2*(Sheet3!CD36+273)))*(DT36)</f>
        <v>8.936660889099525E-2</v>
      </c>
      <c r="ED36" s="183">
        <f>(($LR$2*($LP$3/1000))/($LP$2*(Sheet3!CE36+273)))*(DU36)</f>
        <v>9.006953143460418E-2</v>
      </c>
      <c r="EE36" s="183">
        <f>(($LR$2*($LP$3/1000))/($LP$2*(Sheet3!CF36+273)))*(DV36)</f>
        <v>9.0864774224786005E-2</v>
      </c>
      <c r="EF36" s="183">
        <f>(($LR$2*($LP$3/1000))/($LP$2*(Sheet3!CG36+273)))*(DW36)</f>
        <v>9.1595199470554445E-2</v>
      </c>
      <c r="EG36" s="186">
        <f>(($LR$2*($LQ$3/1000))/($LQ$2*(Sheet3!DF36+273)))*(1-DO36)</f>
        <v>0.77149707626821229</v>
      </c>
      <c r="EH36" s="183">
        <f>(($LR$2*($LQ$3/1000))/($LQ$2*(Sheet3!BZ36+273)))*(1-DP36)</f>
        <v>0.77345605998505518</v>
      </c>
      <c r="EI36" s="183">
        <f>(($LR$2*($LQ$3/1000))/($LQ$2*(Sheet3!CA36+273)))*(1-DQ36)</f>
        <v>0.78300254928060364</v>
      </c>
      <c r="EJ36" s="183">
        <f>(($LR$2*($LQ$3/1000))/($LQ$2*(Sheet3!CB36+273)))*(1-DR36)</f>
        <v>0.79349510769399334</v>
      </c>
      <c r="EK36" s="183">
        <f>(($LR$2*($LQ$3/1000))/($LQ$2*(Sheet3!CC36+273)))*(1-DS36)</f>
        <v>0.80171548449792329</v>
      </c>
      <c r="EL36" s="183">
        <f>(($LR$2*($LQ$3/1000))/($LQ$2*(Sheet3!CD36+273)))*(1-DT36)</f>
        <v>0.80698654089976318</v>
      </c>
      <c r="EM36" s="183">
        <f>(($LR$2*($LQ$3/1000))/($LQ$2*(Sheet3!CE36+273)))*(1-DU36)</f>
        <v>0.81568821241201495</v>
      </c>
      <c r="EN36" s="183">
        <f>(($LR$2*($LQ$3/1000))/($LQ$2*(Sheet3!CF36+273)))*(1-DV36)</f>
        <v>0.82289009477584096</v>
      </c>
      <c r="EO36" s="183">
        <f>(($LR$2*($LQ$3/1000))/($LQ$2*(Sheet3!CG36+273)))*(1-DW36)</f>
        <v>0.83170262442732112</v>
      </c>
      <c r="EP36" s="186">
        <f t="shared" si="132"/>
        <v>9631.1826733655089</v>
      </c>
      <c r="EQ36" s="183">
        <f xml:space="preserve"> (($FV36-(Sheet3!B36/4000))*0.018)/(0.011*JO36*3600)</f>
        <v>9649.9304560028504</v>
      </c>
      <c r="ER36" s="183">
        <f>((($FV36-(SUM(Sheet3!B36:C36)/4000))*0.018)/(0.011*JP36*3600))</f>
        <v>9733.4687499968677</v>
      </c>
      <c r="ES36" s="183">
        <f>((($FV36-(SUM(Sheet3!B36:D36)/4000))*0.018)/(0.011*JQ36*3600))</f>
        <v>9832.9017769074126</v>
      </c>
      <c r="ET36" s="183">
        <f>((($FV36-(SUM(Sheet3!B36:E36)/4000))*0.018)/(0.011*JR36))/3600</f>
        <v>9902.1022641485906</v>
      </c>
      <c r="EU36" s="183">
        <f>((($FV36-(SUM(Sheet3!B36:F36)/4000))*0.018)/(0.011*JS36))/3600</f>
        <v>9951.5395796884932</v>
      </c>
      <c r="EV36" s="183">
        <f>((($FV36-(SUM(Sheet3!B36:G36)/4000))*0.018)/(0.011*JT36))/3600</f>
        <v>10024.912141648661</v>
      </c>
      <c r="EW36" s="183">
        <f>((($FV36-(SUM(Sheet3!B36:H36)/4000))*0.018)/(0.011*JU36))/3600</f>
        <v>10091.857130552615</v>
      </c>
      <c r="EX36" s="183">
        <f>((($FV36-(SUM(Sheet3!B36:I36)/4000))*0.018)/(0.011*JV36))/3600</f>
        <v>10166.041500233732</v>
      </c>
      <c r="EY36" s="186">
        <f t="shared" si="133"/>
        <v>77.041325341110792</v>
      </c>
      <c r="EZ36" s="183">
        <f t="shared" si="134"/>
        <v>77.150848638760849</v>
      </c>
      <c r="FA36" s="183">
        <f t="shared" si="135"/>
        <v>77.629107574828382</v>
      </c>
      <c r="FB36" s="183">
        <f t="shared" si="136"/>
        <v>78.21079145931931</v>
      </c>
      <c r="FC36" s="183">
        <f t="shared" si="137"/>
        <v>78.604731990227833</v>
      </c>
      <c r="FD36" s="183">
        <f t="shared" si="138"/>
        <v>78.894349734426811</v>
      </c>
      <c r="FE36" s="183">
        <f t="shared" si="139"/>
        <v>79.313551006014535</v>
      </c>
      <c r="FF36" s="183">
        <f t="shared" si="140"/>
        <v>79.706338081464665</v>
      </c>
      <c r="FG36" s="183">
        <f t="shared" si="141"/>
        <v>80.131637479064224</v>
      </c>
      <c r="FH36" s="186">
        <f t="shared" si="185"/>
        <v>138.87531818916685</v>
      </c>
      <c r="FI36" s="183">
        <f t="shared" si="186"/>
        <v>138.70094680069147</v>
      </c>
      <c r="FJ36" s="183">
        <f t="shared" si="187"/>
        <v>137.82480581618231</v>
      </c>
      <c r="FK36" s="183">
        <f t="shared" si="188"/>
        <v>136.91568965320985</v>
      </c>
      <c r="FL36" s="183">
        <f t="shared" si="189"/>
        <v>136.17934452027026</v>
      </c>
      <c r="FM36" s="183">
        <f t="shared" si="190"/>
        <v>135.73474150012825</v>
      </c>
      <c r="FN36" s="183">
        <f t="shared" si="191"/>
        <v>134.97778180825608</v>
      </c>
      <c r="FO36" s="183">
        <f t="shared" si="192"/>
        <v>134.38510120618614</v>
      </c>
      <c r="FP36" s="183">
        <f t="shared" si="193"/>
        <v>133.6420938821831</v>
      </c>
      <c r="FQ36" s="314">
        <f>Sheet3!CV36</f>
        <v>2</v>
      </c>
      <c r="FR36" s="183">
        <v>10000</v>
      </c>
      <c r="FS36" s="183">
        <v>10</v>
      </c>
      <c r="FT36" s="183">
        <v>0.13153846153846158</v>
      </c>
      <c r="FU36" s="183">
        <v>17.940000000000001</v>
      </c>
      <c r="FV36" s="183">
        <v>439</v>
      </c>
      <c r="FW36" s="183">
        <v>44</v>
      </c>
      <c r="FX36" s="183">
        <v>882</v>
      </c>
      <c r="FY36" s="183">
        <v>8.08</v>
      </c>
      <c r="FZ36" s="183">
        <v>8.8800000000000008</v>
      </c>
      <c r="GA36" s="183">
        <v>115</v>
      </c>
      <c r="GB36" s="186">
        <f>EXP($LP$6-($LQ$6/('Trial and Error method'!T36+$LP$8))) / ($LR$2/1000)</f>
        <v>2.9986145723617508E-2</v>
      </c>
      <c r="GC36" s="183">
        <f>EXP($LP$6-($LQ$6/('Trial and Error method'!U36+$LP$8))) / ($LR$2/1000)</f>
        <v>4.1326859761450889E-2</v>
      </c>
      <c r="GD36" s="183">
        <f>EXP($LP$6-($LQ$6/('Trial and Error method'!V36+$LP$8))) / ($LR$2/1000)</f>
        <v>3.9231349115736884E-2</v>
      </c>
      <c r="GE36" s="183">
        <f>EXP($LP$6-($LQ$6/('Trial and Error method'!W36+$LP$8))) / ($LR$2/1000)</f>
        <v>3.7278453175454106E-2</v>
      </c>
      <c r="GF36" s="183">
        <f>EXP($LP$6-($LQ$6/('Trial and Error method'!X36+$LP$8))) / ($LR$2/1000)</f>
        <v>3.5489192341326352E-2</v>
      </c>
      <c r="GG36" s="183">
        <f>EXP($LP$6-($LQ$6/('Trial and Error method'!Y36+$LP$8))) / ($LR$2/1000)</f>
        <v>3.3997671474387911E-2</v>
      </c>
      <c r="GH36" s="183">
        <f>EXP($LP$6-($LQ$6/('Trial and Error method'!Z36+$LP$8))) / ($LR$2/1000)</f>
        <v>3.2410657005507673E-2</v>
      </c>
      <c r="GI36" s="183">
        <f>EXP($LP$6-($LQ$6/('Trial and Error method'!AA36+$LP$8))) / ($LR$2/1000)</f>
        <v>3.1033095680372526E-2</v>
      </c>
      <c r="GJ36" s="183">
        <f>EXP($LP$6-($LQ$6/('Trial and Error method'!AB36+$LP$8))) / ($LR$2/1000)</f>
        <v>2.9626977904694627E-2</v>
      </c>
      <c r="GK36" s="188">
        <f t="shared" si="142"/>
        <v>0.90770689392991177</v>
      </c>
      <c r="GL36" s="165">
        <f t="shared" si="143"/>
        <v>0.90227164895256928</v>
      </c>
      <c r="GM36" s="165">
        <f t="shared" si="144"/>
        <v>0.90346612536246051</v>
      </c>
      <c r="GN36" s="165">
        <f t="shared" si="145"/>
        <v>0.90440303881961615</v>
      </c>
      <c r="GO36" s="165">
        <f t="shared" si="146"/>
        <v>0.90546518477615834</v>
      </c>
      <c r="GP36" s="165">
        <f t="shared" si="147"/>
        <v>0.90618039066388179</v>
      </c>
      <c r="GQ36" s="165">
        <f t="shared" si="148"/>
        <v>0.90713412662558868</v>
      </c>
      <c r="GR36" s="165">
        <f t="shared" si="149"/>
        <v>0.90779375494196057</v>
      </c>
      <c r="GS36" s="165">
        <f t="shared" si="150"/>
        <v>0.90864371629840723</v>
      </c>
      <c r="GT36" s="188">
        <f t="shared" si="194"/>
        <v>9.5362832820646587E-2</v>
      </c>
      <c r="GU36" s="165">
        <f t="shared" si="195"/>
        <v>9.5933505744046507E-2</v>
      </c>
      <c r="GV36" s="165">
        <f t="shared" si="196"/>
        <v>9.5805502892894787E-2</v>
      </c>
      <c r="GW36" s="165">
        <f t="shared" si="197"/>
        <v>9.5724925595039118E-2</v>
      </c>
      <c r="GX36" s="165">
        <f t="shared" si="198"/>
        <v>9.5614767342536072E-2</v>
      </c>
      <c r="GY36" s="165">
        <f t="shared" si="199"/>
        <v>9.5552079127997194E-2</v>
      </c>
      <c r="GZ36" s="165">
        <f t="shared" si="200"/>
        <v>9.5460009407497395E-2</v>
      </c>
      <c r="HA36" s="165">
        <f t="shared" si="201"/>
        <v>9.5412223546160718E-2</v>
      </c>
      <c r="HB36" s="165">
        <f t="shared" si="202"/>
        <v>9.5327254767090627E-2</v>
      </c>
      <c r="HC36" s="188">
        <f>BV36*Sheet3!DF36</f>
        <v>127.20802348920172</v>
      </c>
      <c r="HD36" s="165">
        <f>BW36*Sheet3!BZ36</f>
        <v>126.09710716246566</v>
      </c>
      <c r="HE36" s="165">
        <f>BX36*Sheet3!CA36</f>
        <v>120.87339391876475</v>
      </c>
      <c r="HF36" s="165">
        <f>BY36*Sheet3!CB36</f>
        <v>115.1770684695956</v>
      </c>
      <c r="HG36" s="165">
        <f>BZ36*Sheet3!CC36</f>
        <v>110.94091080422835</v>
      </c>
      <c r="HH36" s="165">
        <f>CA36*Sheet3!CD36</f>
        <v>108.20174100877405</v>
      </c>
      <c r="HI36" s="165">
        <f>CB36*Sheet3!CE36</f>
        <v>103.87235890062836</v>
      </c>
      <c r="HJ36" s="165">
        <f>CC36*Sheet3!CF36</f>
        <v>100.27490263230055</v>
      </c>
      <c r="HK36" s="165">
        <f>CD36*Sheet3!CG36</f>
        <v>96.065194034624</v>
      </c>
      <c r="HL36" s="188">
        <f>(CE36*Sheet3!DF36)+2501</f>
        <v>2718.9797360684374</v>
      </c>
      <c r="HM36" s="165">
        <f>(CF36*Sheet3!BZ36)+2501</f>
        <v>2717.0669089633579</v>
      </c>
      <c r="HN36" s="165">
        <f>(CG36*Sheet3!CA36)+2501</f>
        <v>2708.2134074332475</v>
      </c>
      <c r="HO36" s="165">
        <f>(CH36*Sheet3!CB36)+2501</f>
        <v>2698.4107352183605</v>
      </c>
      <c r="HP36" s="165">
        <f>(CI36*Sheet3!CC36)+2501</f>
        <v>2691.2611156409057</v>
      </c>
      <c r="HQ36" s="165">
        <f>(CJ36*Sheet3!CD36)+2501</f>
        <v>2686.5494851864169</v>
      </c>
      <c r="HR36" s="165">
        <f>(CK36*Sheet3!CE36)+2501</f>
        <v>2679.2251110459365</v>
      </c>
      <c r="HS36" s="165">
        <f>(CL36*Sheet3!CF36)+2501</f>
        <v>2673.0382598333545</v>
      </c>
      <c r="HT36" s="165">
        <f>(CM36*Sheet3!CG36)+2501</f>
        <v>2665.9025704458804</v>
      </c>
      <c r="HU36" s="188">
        <f>-0.0021*(Sheet3!DF36^2) - 2.2115*(Sheet3!DF36) + 2499</f>
        <v>2216.9050000000002</v>
      </c>
      <c r="HV36" s="165">
        <f>-0.0021*(Sheet3!BZ36^2) - 2.2115*(Sheet3!BZ36) + 2499</f>
        <v>2219.550893398321</v>
      </c>
      <c r="HW36" s="165">
        <f>-0.0021*(Sheet3!CA36^2) - 2.2115*(Sheet3!CA36) + 2499</f>
        <v>2231.763410488722</v>
      </c>
      <c r="HX36" s="165">
        <f>-0.0021*(Sheet3!CB36^2) - 2.2115*(Sheet3!CB36) + 2499</f>
        <v>2245.2191574247336</v>
      </c>
      <c r="HY36" s="165">
        <f>-0.0021*(Sheet3!CC36^2) - 2.2115*(Sheet3!CC36) + 2499</f>
        <v>2254.9886405035591</v>
      </c>
      <c r="HZ36" s="165">
        <f>-0.0021*(Sheet3!CD36^2) - 2.2115*(Sheet3!CD36) + 2499</f>
        <v>2261.405948031042</v>
      </c>
      <c r="IA36" s="165">
        <f>-0.0021*(Sheet3!CE36^2) - 2.2115*(Sheet3!CE36) + 2499</f>
        <v>2271.3485771497139</v>
      </c>
      <c r="IB36" s="165">
        <f>-0.0021*(Sheet3!CF36^2) - 2.2115*(Sheet3!CF36) + 2499</f>
        <v>2279.7151124187758</v>
      </c>
      <c r="IC36" s="165">
        <f>-0.0021*(Sheet3!CG36^2) - 2.2115*(Sheet3!CG36) + 2499</f>
        <v>2289.3279358585646</v>
      </c>
      <c r="ID36" s="188">
        <f t="shared" si="203"/>
        <v>0.70632577867848723</v>
      </c>
      <c r="IE36" s="165">
        <f t="shared" si="204"/>
        <v>0.70670937878408457</v>
      </c>
      <c r="IF36" s="165">
        <f t="shared" si="205"/>
        <v>0.70818226560046971</v>
      </c>
      <c r="IG36" s="165">
        <f t="shared" si="206"/>
        <v>0.71027452151801262</v>
      </c>
      <c r="IH36" s="165">
        <f t="shared" si="207"/>
        <v>0.71147130769392175</v>
      </c>
      <c r="II36" s="165">
        <f t="shared" si="208"/>
        <v>0.71253969914143322</v>
      </c>
      <c r="IJ36" s="165">
        <f t="shared" si="209"/>
        <v>0.71386991161914115</v>
      </c>
      <c r="IK36" s="165">
        <f t="shared" si="210"/>
        <v>0.7153528115178639</v>
      </c>
      <c r="IL36" s="165">
        <f t="shared" si="211"/>
        <v>0.71676007439640688</v>
      </c>
      <c r="IM36" s="188">
        <f t="shared" si="212"/>
        <v>25.768153279939842</v>
      </c>
      <c r="IN36" s="165">
        <f t="shared" si="151"/>
        <v>23.538524031828537</v>
      </c>
      <c r="IO36" s="165">
        <f t="shared" si="152"/>
        <v>24.00717526833904</v>
      </c>
      <c r="IP36" s="165">
        <f t="shared" si="153"/>
        <v>24.551329433866268</v>
      </c>
      <c r="IQ36" s="165">
        <f t="shared" si="154"/>
        <v>24.931190644428359</v>
      </c>
      <c r="IR36" s="165">
        <f t="shared" si="155"/>
        <v>25.307880715085478</v>
      </c>
      <c r="IS36" s="165">
        <f t="shared" si="156"/>
        <v>25.658446083587702</v>
      </c>
      <c r="IT36" s="165">
        <f t="shared" si="157"/>
        <v>26.039704745271408</v>
      </c>
      <c r="IU36" s="165">
        <f t="shared" si="158"/>
        <v>26.359228338830988</v>
      </c>
      <c r="IV36" s="188">
        <f>_xlfn.FORECAST.LINEAR(Sheet3!DF36,Sheet2!$AK$2:$AK$69,Sheet2!$AJ$2:$AJ$69)</f>
        <v>1.2811804086396453E-5</v>
      </c>
      <c r="IW36" s="165">
        <f>_xlfn.FORECAST.LINEAR(Sheet3!BZ36,Sheet2!$AK$2:$AK$69,Sheet2!$AJ$2:$AJ$69)</f>
        <v>1.2777397016388604E-5</v>
      </c>
      <c r="IX36" s="165">
        <f>_xlfn.FORECAST.LINEAR(Sheet3!CA36,Sheet2!$AK$2:$AK$69,Sheet2!$AJ$2:$AJ$69)</f>
        <v>1.2617897052803287E-5</v>
      </c>
      <c r="IY36" s="165">
        <f>_xlfn.FORECAST.LINEAR(Sheet3!CB36,Sheet2!$AK$2:$AK$69,Sheet2!$AJ$2:$AJ$69)</f>
        <v>1.2440826667318115E-5</v>
      </c>
      <c r="IZ36" s="165">
        <f>_xlfn.FORECAST.LINEAR(Sheet3!CC36,Sheet2!$AK$2:$AK$69,Sheet2!$AJ$2:$AJ$69)</f>
        <v>1.2311370980065389E-5</v>
      </c>
      <c r="JA36" s="165">
        <f>_xlfn.FORECAST.LINEAR(Sheet3!CD36,Sheet2!$AK$2:$AK$69,Sheet2!$AJ$2:$AJ$69)</f>
        <v>1.2225918186458959E-5</v>
      </c>
      <c r="JB36" s="165">
        <f>_xlfn.FORECAST.LINEAR(Sheet3!CE36,Sheet2!$AK$2:$AK$69,Sheet2!$AJ$2:$AJ$69)</f>
        <v>1.2092859010136194E-5</v>
      </c>
      <c r="JC36" s="165">
        <f>_xlfn.FORECAST.LINEAR(Sheet3!CF36,Sheet2!$AK$2:$AK$69,Sheet2!$AJ$2:$AJ$69)</f>
        <v>1.1980258058787232E-5</v>
      </c>
      <c r="JD36" s="165">
        <f>_xlfn.FORECAST.LINEAR(Sheet3!CG36,Sheet2!$AK$2:$AK$69,Sheet2!$AJ$2:$AJ$69)</f>
        <v>1.1850155943574965E-5</v>
      </c>
      <c r="JE36" s="188">
        <f>_xlfn.FORECAST.LINEAR(Sheet3!DF36,New!$MC$2:$MC$18,New!$MB$2:$MB$18)</f>
        <v>2.214324918296784E-5</v>
      </c>
      <c r="JF36" s="165">
        <f>_xlfn.FORECAST.LINEAR(Sheet3!BZ36,New!$MC$2:$MC$18,New!$MB$2:$MB$18)</f>
        <v>2.2102802841699675E-5</v>
      </c>
      <c r="JG36" s="165">
        <f>_xlfn.FORECAST.LINEAR(Sheet3!CA36,New!$MC$2:$MC$18,New!$MB$2:$MB$18)</f>
        <v>2.1915306784698593E-5</v>
      </c>
      <c r="JH36" s="165">
        <f>_xlfn.FORECAST.LINEAR(Sheet3!CB36,New!$MC$2:$MC$18,New!$MB$2:$MB$18)</f>
        <v>2.1707156272661817E-5</v>
      </c>
      <c r="JI36" s="165">
        <f>_xlfn.FORECAST.LINEAR(Sheet3!CC36,New!$MC$2:$MC$18,New!$MB$2:$MB$18)</f>
        <v>2.1554977987660091E-5</v>
      </c>
      <c r="JJ36" s="165">
        <f>_xlfn.FORECAST.LINEAR(Sheet3!CD36,New!$MC$2:$MC$18,New!$MB$2:$MB$18)</f>
        <v>2.1454526166225273E-5</v>
      </c>
      <c r="JK36" s="165">
        <f>_xlfn.FORECAST.LINEAR(Sheet3!CE36,New!$MC$2:$MC$18,New!$MB$2:$MB$18)</f>
        <v>2.1298111892845295E-5</v>
      </c>
      <c r="JL36" s="165">
        <f>_xlfn.FORECAST.LINEAR(Sheet3!CF36,New!$MC$2:$MC$18,New!$MB$2:$MB$18)</f>
        <v>2.1165746756716547E-5</v>
      </c>
      <c r="JM36" s="165">
        <f>_xlfn.FORECAST.LINEAR(Sheet3!CG36,New!$MC$2:$MC$18,New!$MB$2:$MB$18)</f>
        <v>2.1012808580045728E-5</v>
      </c>
      <c r="JN36" s="188">
        <f t="shared" si="159"/>
        <v>2.0718686511604252E-5</v>
      </c>
      <c r="JO36" s="165">
        <f t="shared" si="160"/>
        <v>2.0678434466988825E-5</v>
      </c>
      <c r="JP36" s="165">
        <f t="shared" si="161"/>
        <v>2.0495192752520253E-5</v>
      </c>
      <c r="JQ36" s="165">
        <f t="shared" si="162"/>
        <v>2.0287939685344891E-5</v>
      </c>
      <c r="JR36" s="165">
        <f t="shared" si="163"/>
        <v>2.0140029969765595E-5</v>
      </c>
      <c r="JS36" s="165">
        <f t="shared" si="164"/>
        <v>2.0039966794114413E-5</v>
      </c>
      <c r="JT36" s="165">
        <f t="shared" si="165"/>
        <v>1.9887569441665799E-5</v>
      </c>
      <c r="JU36" s="165">
        <f t="shared" si="166"/>
        <v>1.9755643959727667E-5</v>
      </c>
      <c r="JV36" s="165">
        <f t="shared" si="167"/>
        <v>1.9606328578868908E-5</v>
      </c>
      <c r="JW36" s="188">
        <f t="shared" si="231"/>
        <v>1.0286695457519455</v>
      </c>
      <c r="JX36" s="165">
        <f t="shared" si="232"/>
        <v>1.0291467444522211</v>
      </c>
      <c r="JY36" s="165">
        <f t="shared" si="233"/>
        <v>1.031391607529152</v>
      </c>
      <c r="JZ36" s="165">
        <f t="shared" si="234"/>
        <v>1.0339486417392252</v>
      </c>
      <c r="KA36" s="165">
        <f t="shared" si="235"/>
        <v>1.0358628620125592</v>
      </c>
      <c r="KB36" s="165">
        <f t="shared" si="236"/>
        <v>1.0371477916342773</v>
      </c>
      <c r="KC36" s="165">
        <f t="shared" si="237"/>
        <v>1.0391833333156368</v>
      </c>
      <c r="KD36" s="165">
        <f t="shared" si="238"/>
        <v>1.0409398663729508</v>
      </c>
      <c r="KE36" s="165">
        <f t="shared" si="239"/>
        <v>1.0430093669008391</v>
      </c>
      <c r="KF36" s="188">
        <f t="shared" si="75"/>
        <v>0.95677344983303514</v>
      </c>
      <c r="KG36" s="165">
        <f t="shared" si="240"/>
        <v>0.95639354256592979</v>
      </c>
      <c r="KH36" s="165">
        <f t="shared" si="241"/>
        <v>0.95461292336626913</v>
      </c>
      <c r="KI36" s="165">
        <f t="shared" si="242"/>
        <v>0.95259777893666464</v>
      </c>
      <c r="KJ36" s="165">
        <f t="shared" si="243"/>
        <v>0.95109826288762245</v>
      </c>
      <c r="KK36" s="165">
        <f t="shared" si="244"/>
        <v>0.95009601362954821</v>
      </c>
      <c r="KL36" s="165">
        <f t="shared" si="245"/>
        <v>0.94851531825911573</v>
      </c>
      <c r="KM36" s="165">
        <f t="shared" si="246"/>
        <v>0.94715817083309506</v>
      </c>
      <c r="KN36" s="165">
        <f t="shared" si="247"/>
        <v>0.94556733525856995</v>
      </c>
      <c r="KO36" s="188">
        <f t="shared" si="213"/>
        <v>0.60531865439238242</v>
      </c>
      <c r="KP36" s="165">
        <f t="shared" si="214"/>
        <v>0.60471464082808857</v>
      </c>
      <c r="KQ36" s="165">
        <f t="shared" si="215"/>
        <v>0.60163582710163266</v>
      </c>
      <c r="KR36" s="165">
        <f t="shared" si="216"/>
        <v>0.59814716800499257</v>
      </c>
      <c r="KS36" s="165">
        <f t="shared" si="217"/>
        <v>0.59557193273460018</v>
      </c>
      <c r="KT36" s="165">
        <f t="shared" si="218"/>
        <v>0.59384406237784126</v>
      </c>
      <c r="KU36" s="165">
        <f t="shared" si="219"/>
        <v>0.59113878510944218</v>
      </c>
      <c r="KV36" s="165">
        <f t="shared" si="220"/>
        <v>0.58880829721579786</v>
      </c>
      <c r="KW36" s="165">
        <f t="shared" si="221"/>
        <v>0.58619522052893547</v>
      </c>
      <c r="KX36" s="188">
        <f>AVERAGE(Sheet3!J36:P36)*KO36^(1/3)/ID36^(1/3)</f>
        <v>127.23855971283078</v>
      </c>
      <c r="KY36" s="165">
        <f>Sheet3!J36*KP36^(1/3)/IE36^(1/3)</f>
        <v>119.63572306823112</v>
      </c>
      <c r="KZ36" s="165">
        <f>Sheet3!K36*KQ36^(1/3)/IF36^(1/3)</f>
        <v>119.67953766236057</v>
      </c>
      <c r="LA36" s="165">
        <f>Sheet3!L36*KR36^(1/3)/IG36^(1/3)</f>
        <v>122.15503737065281</v>
      </c>
      <c r="LB36" s="165">
        <f>Sheet3!M36*KS36^(1/3)/IH36^(1/3)</f>
        <v>124.66099567865911</v>
      </c>
      <c r="LC36" s="165">
        <f>Sheet3!N36*KT36^(1/3)/II36^(1/3)</f>
        <v>128.94673073394381</v>
      </c>
      <c r="LD36" s="165">
        <f>Sheet3!O36*KU36^(1/3)/IJ36^(1/3)</f>
        <v>133.24549749090289</v>
      </c>
      <c r="LE36" s="165">
        <f>Sheet3!P36*KV36^(1/3)/IK36^(1/3)</f>
        <v>135.66653123003147</v>
      </c>
      <c r="LF36" s="165">
        <f>Sheet3!Q36*KW36^(1/3)/IL36^(1/3)</f>
        <v>133.67836024573643</v>
      </c>
      <c r="LG36" s="186">
        <f t="shared" si="248"/>
        <v>27.297749400637535</v>
      </c>
      <c r="LH36" s="183">
        <f t="shared" si="249"/>
        <v>27.297749400637535</v>
      </c>
      <c r="LI36" s="183">
        <f t="shared" si="250"/>
        <v>27.459906910283586</v>
      </c>
      <c r="LJ36" s="183">
        <f t="shared" si="251"/>
        <v>27.459906910283586</v>
      </c>
      <c r="LK36" s="183">
        <f t="shared" si="252"/>
        <v>27.637813456041258</v>
      </c>
      <c r="LL36" s="183">
        <f t="shared" si="253"/>
        <v>27.638149203545328</v>
      </c>
      <c r="LM36" s="183">
        <f t="shared" si="254"/>
        <v>27.808956534017561</v>
      </c>
      <c r="LN36" s="183">
        <f t="shared" si="255"/>
        <v>27.808956534017561</v>
      </c>
      <c r="LO36" s="183">
        <f t="shared" si="256"/>
        <v>27.967098610601294</v>
      </c>
      <c r="LP36" s="220"/>
      <c r="LQ36" s="220"/>
      <c r="LR36" s="220"/>
      <c r="LS36" s="220"/>
      <c r="LT36" s="220"/>
      <c r="LU36" s="220"/>
      <c r="LV36" s="220"/>
      <c r="LW36" s="220"/>
      <c r="LX36" s="220"/>
      <c r="LY36" s="220"/>
      <c r="LZ36" s="222">
        <v>143.63</v>
      </c>
      <c r="MA36" s="220">
        <v>1.4E-5</v>
      </c>
      <c r="MB36" s="220"/>
      <c r="MC36" s="220"/>
      <c r="MD36" s="188">
        <f>Sheet3!DP36</f>
        <v>218.32834468874574</v>
      </c>
      <c r="ME36" s="264">
        <v>350</v>
      </c>
      <c r="MF36" s="264">
        <v>165.37</v>
      </c>
      <c r="MG36" s="264">
        <v>16.239999999999998</v>
      </c>
      <c r="MH36" s="264">
        <v>113.6</v>
      </c>
      <c r="MI36" s="264">
        <v>26.58</v>
      </c>
      <c r="MJ36" s="264">
        <v>0.23400000000000001</v>
      </c>
      <c r="MK36" s="273">
        <v>340</v>
      </c>
      <c r="ML36" s="267">
        <v>146.08000000000001</v>
      </c>
      <c r="MM36" s="267">
        <v>92.76</v>
      </c>
      <c r="MN36" s="267">
        <v>12.35</v>
      </c>
      <c r="MO36" s="267">
        <v>25.2</v>
      </c>
      <c r="MP36" s="274">
        <v>0.27200000000000002</v>
      </c>
      <c r="MQ36"/>
      <c r="MR36"/>
      <c r="MS36"/>
    </row>
    <row r="37" spans="1:357" ht="15" thickBot="1" x14ac:dyDescent="0.35">
      <c r="A37" s="184" t="str">
        <f>Sheet3!A37</f>
        <v>27.12.2022</v>
      </c>
      <c r="B37" s="186">
        <f t="shared" si="102"/>
        <v>0.89709883004404312</v>
      </c>
      <c r="C37" s="183">
        <f t="shared" si="168"/>
        <v>0.89582249022930271</v>
      </c>
      <c r="D37" s="183">
        <f t="shared" si="169"/>
        <v>0.88877975220196337</v>
      </c>
      <c r="E37" s="183">
        <f t="shared" si="170"/>
        <v>0.88219633581959966</v>
      </c>
      <c r="F37" s="183">
        <f t="shared" si="171"/>
        <v>0.87397874234301631</v>
      </c>
      <c r="G37" s="183">
        <f t="shared" si="172"/>
        <v>0.86952871025736889</v>
      </c>
      <c r="H37" s="183">
        <f t="shared" si="173"/>
        <v>0.86238999375935876</v>
      </c>
      <c r="I37" s="183">
        <f t="shared" si="174"/>
        <v>0.85747690433541623</v>
      </c>
      <c r="J37" s="183">
        <f t="shared" si="175"/>
        <v>0.85110490113264003</v>
      </c>
      <c r="K37" s="186">
        <f xml:space="preserve"> (6.057 * (10^(-6)))
+ (4.055 * (10^(-8)) * (Sheet3!DF37 + 273))
+ (1.25 * (10^(-10)) * (Sheet3!DF37 + 273)^2)
- (3.367 * (10^(-14)) * (DD37 + 273)^3)</f>
        <v>4.4158771763853718E-5</v>
      </c>
      <c r="L37" s="183">
        <f xml:space="preserve"> (6.057 * (10^(-6)))
+ (4.055 * (10^(-8)) * (Sheet3!BZ37 + 273))
+ (1.25 * (10^(-10)) * (Sheet3!BZ37 + 273)^2)
- (3.367 * (10^(-14)) * (BX37 + 273)^3)</f>
        <v>4.3995442500965748E-5</v>
      </c>
      <c r="M37" s="183">
        <f xml:space="preserve"> (6.057 * (10^(-6)))
+ (4.055 * (10^(-8)) * (Sheet3!CA37 + 273))
+ (1.25 * (10^(-10)) * (Sheet3!CA37 + 273)^2)
- (3.367 * (10^(-14)) * (BY37 + 273)^3)</f>
        <v>4.316076774853126E-5</v>
      </c>
      <c r="N37" s="183">
        <f xml:space="preserve"> (6.057 * (10^(-6)))
+ (4.055 * (10^(-8)) * (Sheet3!CB37 + 273))
+ (1.25 * (10^(-10)) * (Sheet3!CB37 + 273)^2)
- (3.367 * (10^(-14)) * (BZ37 + 273)^3)</f>
        <v>4.2437892217093379E-5</v>
      </c>
      <c r="O37" s="183">
        <f xml:space="preserve"> (6.057 * (10^(-6)))
+ (4.055 * (10^(-8)) * (Sheet3!CC37 + 273))
+ (1.25 * (10^(-10)) * (Sheet3!CC37 + 273)^2)
- (3.367 * (10^(-14)) * (CA37 + 273)^3)</f>
        <v>4.152744267821844E-5</v>
      </c>
      <c r="P37" s="183">
        <f xml:space="preserve"> (6.057 * (10^(-6)))
+ (4.055 * (10^(-8)) * (Sheet3!CD37 + 273))
+ (1.25 * (10^(-10)) * (Sheet3!CD37 + 273)^2)
- (3.367 * (10^(-14)) * (CB37 + 273)^3)</f>
        <v>4.1067029943765863E-5</v>
      </c>
      <c r="Q37" s="183">
        <f xml:space="preserve"> (6.057 * (10^(-6)))
+ (4.055 * (10^(-8)) * (Sheet3!CE37 + 273))
+ (1.25 * (10^(-10)) * (Sheet3!CE37 + 273)^2)
- (3.367 * (10^(-14)) * (CC37 + 273)^3)</f>
        <v>4.0304404097733695E-5</v>
      </c>
      <c r="R37" s="183">
        <f xml:space="preserve"> (6.057 * (10^(-6)))
+ (4.055 * (10^(-8)) * (Sheet3!CF37 + 273))
+ (1.25 * (10^(-10)) * (Sheet3!CF37 + 273)^2)
- (3.367 * (10^(-14)) * (CD37 + 273)^3)</f>
        <v>3.9820816718613083E-5</v>
      </c>
      <c r="S37" s="183">
        <f xml:space="preserve"> (6.057 * (10^(-6)))
+ (4.055 * (10^(-8)) * (Sheet3!CG37 + 273))
+ (1.25 * (10^(-10)) * (Sheet3!CG37 + 273)^2)
- (3.367 * (10^(-14)) * (CE37 + 273)^3)</f>
        <v>3.915247816981936E-5</v>
      </c>
      <c r="T37" s="188">
        <f t="shared" si="104"/>
        <v>4.4158771763853718E-5</v>
      </c>
      <c r="U37" s="165">
        <f t="shared" si="105"/>
        <v>4.3995442500965748E-5</v>
      </c>
      <c r="V37" s="165">
        <f t="shared" si="106"/>
        <v>4.316076774853126E-5</v>
      </c>
      <c r="W37" s="165">
        <f t="shared" si="107"/>
        <v>4.2437892217093379E-5</v>
      </c>
      <c r="X37" s="165">
        <f t="shared" si="108"/>
        <v>4.152744267821844E-5</v>
      </c>
      <c r="Y37" s="165">
        <f t="shared" si="109"/>
        <v>4.1067029943765863E-5</v>
      </c>
      <c r="Z37" s="165">
        <f t="shared" si="110"/>
        <v>4.0304404097733695E-5</v>
      </c>
      <c r="AA37" s="165">
        <f t="shared" si="111"/>
        <v>3.9820816718613083E-5</v>
      </c>
      <c r="AB37" s="165">
        <f t="shared" si="112"/>
        <v>3.915247816981936E-5</v>
      </c>
      <c r="AC37" s="186">
        <f t="shared" si="176"/>
        <v>3.9614782485535097E-5</v>
      </c>
      <c r="AD37" s="183">
        <f t="shared" si="177"/>
        <v>3.9412106859955239E-5</v>
      </c>
      <c r="AE37" s="183">
        <f t="shared" si="178"/>
        <v>3.8360416464386108E-5</v>
      </c>
      <c r="AF37" s="183">
        <f t="shared" si="179"/>
        <v>3.7438553013826887E-5</v>
      </c>
      <c r="AG37" s="183">
        <f t="shared" si="180"/>
        <v>3.6294102124631053E-5</v>
      </c>
      <c r="AH37" s="183">
        <f t="shared" si="181"/>
        <v>3.5708961581103477E-5</v>
      </c>
      <c r="AI37" s="183">
        <f t="shared" si="182"/>
        <v>3.4758114798319236E-5</v>
      </c>
      <c r="AJ37" s="183">
        <f t="shared" si="183"/>
        <v>3.4145430647984334E-5</v>
      </c>
      <c r="AK37" s="183">
        <f t="shared" si="184"/>
        <v>3.3322866061821953E-5</v>
      </c>
      <c r="AL37" s="186">
        <f t="shared" si="113"/>
        <v>3.5067063335493739E-2</v>
      </c>
      <c r="AM37" s="183">
        <f t="shared" si="114"/>
        <v>3.4971703871556369E-2</v>
      </c>
      <c r="AN37" s="183">
        <f t="shared" si="115"/>
        <v>3.4464292888134573E-2</v>
      </c>
      <c r="AO37" s="183">
        <f t="shared" si="116"/>
        <v>3.4022132282122773E-2</v>
      </c>
      <c r="AP37" s="183">
        <f t="shared" si="117"/>
        <v>3.3457664752137337E-2</v>
      </c>
      <c r="AQ37" s="183">
        <f t="shared" si="118"/>
        <v>3.3170224548180798E-2</v>
      </c>
      <c r="AR37" s="183">
        <f t="shared" si="119"/>
        <v>3.2689117789462485E-2</v>
      </c>
      <c r="AS37" s="183">
        <f t="shared" si="120"/>
        <v>3.238195320648396E-2</v>
      </c>
      <c r="AT37" s="183">
        <f t="shared" si="121"/>
        <v>3.1957599015284104E-2</v>
      </c>
      <c r="AU37" s="186">
        <f>_xlfn.FORECAST.LINEAR(Sheet3!DF37,Sheet2!$AH$2:$AH$40,Sheet2!$AG$2:$AG$40)</f>
        <v>4.0902410270024961E-2</v>
      </c>
      <c r="AV37" s="183">
        <f>_xlfn.FORECAST.LINEAR(Sheet3!BZ37,Sheet2!$AH$2:$AH$40,Sheet2!$AG$2:$AG$40)</f>
        <v>4.0624418295658278E-2</v>
      </c>
      <c r="AW37" s="183">
        <f>_xlfn.FORECAST.LINEAR(Sheet3!CA37,Sheet2!$AH$2:$AH$40,Sheet2!$AG$2:$AG$40)</f>
        <v>3.9151824276182801E-2</v>
      </c>
      <c r="AX37" s="183">
        <f>_xlfn.FORECAST.LINEAR(Sheet3!CB37,Sheet2!$AH$2:$AH$40,Sheet2!$AG$2:$AG$40)</f>
        <v>3.786432716680084E-2</v>
      </c>
      <c r="AY37" s="183">
        <f>_xlfn.FORECAST.LINEAR(Sheet3!CC37,Sheet2!$AH$2:$AH$40,Sheet2!$AG$2:$AG$40)</f>
        <v>3.6226252582092569E-2</v>
      </c>
      <c r="AZ37" s="183">
        <f>_xlfn.FORECAST.LINEAR(Sheet3!CD37,Sheet2!$AH$2:$AH$40,Sheet2!$AG$2:$AG$40)</f>
        <v>3.5390663071646192E-2</v>
      </c>
      <c r="BA37" s="183">
        <f>_xlfn.FORECAST.LINEAR(Sheet3!CE37,Sheet2!$AH$2:$AH$40,Sheet2!$AG$2:$AG$40)</f>
        <v>3.3995700479874838E-2</v>
      </c>
      <c r="BB37" s="183">
        <f>_xlfn.FORECAST.LINEAR(Sheet3!CF37,Sheet2!$AH$2:$AH$40,Sheet2!$AG$2:$AG$40)</f>
        <v>3.3103907460799886E-2</v>
      </c>
      <c r="BC37" s="183">
        <f>_xlfn.FORECAST.LINEAR(Sheet3!CG37,Sheet2!$AH$2:$AH$40,Sheet2!$AG$2:$AG$40)</f>
        <v>3.1873476066796594E-2</v>
      </c>
      <c r="BD37" s="186">
        <f>_xlfn.FORECAST.LINEAR(Sheet3!DF37,Sheet2!$AB$12:$AB$37,Sheet2!$AA$12:$AA$37)/1000</f>
        <v>3.3915606923988664E-2</v>
      </c>
      <c r="BE37" s="183">
        <f>_xlfn.FORECAST.LINEAR(Sheet3!BZ37,Sheet2!$AB$12:$AB$37,Sheet2!$AA$12:$AA$37)/1000</f>
        <v>3.3853454353069724E-2</v>
      </c>
      <c r="BF37" s="183">
        <f>_xlfn.FORECAST.LINEAR(Sheet3!CA37,Sheet2!$AB$12:$AB$37,Sheet2!$AA$12:$AA$37)/1000</f>
        <v>3.3524216415756009E-2</v>
      </c>
      <c r="BG37" s="183">
        <f>_xlfn.FORECAST.LINEAR(Sheet3!CB37,Sheet2!$AB$12:$AB$37,Sheet2!$AA$12:$AA$37)/1000</f>
        <v>3.3236361863188096E-2</v>
      </c>
      <c r="BH37" s="183">
        <f>_xlfn.FORECAST.LINEAR(Sheet3!CC37,Sheet2!$AB$12:$AB$37,Sheet2!$AA$12:$AA$37)/1000</f>
        <v>3.2870126301789114E-2</v>
      </c>
      <c r="BI37" s="183">
        <f>_xlfn.FORECAST.LINEAR(Sheet3!CD37,Sheet2!$AB$12:$AB$37,Sheet2!$AA$12:$AA$37)/1000</f>
        <v>3.2683307828250602E-2</v>
      </c>
      <c r="BJ37" s="183">
        <f>_xlfn.FORECAST.LINEAR(Sheet3!CE37,Sheet2!$AB$12:$AB$37,Sheet2!$AA$12:$AA$37)/1000</f>
        <v>3.2371426481273398E-2</v>
      </c>
      <c r="BK37" s="183">
        <f>_xlfn.FORECAST.LINEAR(Sheet3!CF37,Sheet2!$AB$12:$AB$37,Sheet2!$AA$12:$AA$37)/1000</f>
        <v>3.2172042204121711E-2</v>
      </c>
      <c r="BL37" s="183">
        <f>_xlfn.FORECAST.LINEAR(Sheet3!CG37,Sheet2!$AB$12:$AB$37,Sheet2!$AA$12:$AA$37)/1000</f>
        <v>3.1896946224639199E-2</v>
      </c>
      <c r="BM37" s="186">
        <f t="shared" si="122"/>
        <v>0.79667097637690643</v>
      </c>
      <c r="BN37" s="183">
        <f t="shared" si="123"/>
        <v>0.79876119368901122</v>
      </c>
      <c r="BO37" s="183">
        <f t="shared" si="124"/>
        <v>0.8101191962263683</v>
      </c>
      <c r="BP37" s="183">
        <f t="shared" si="125"/>
        <v>0.82022657638074681</v>
      </c>
      <c r="BQ37" s="183">
        <f t="shared" si="126"/>
        <v>0.83356029276836829</v>
      </c>
      <c r="BR37" s="183">
        <f t="shared" si="127"/>
        <v>0.84047558665531619</v>
      </c>
      <c r="BS37" s="183">
        <f t="shared" si="128"/>
        <v>0.85240409804268447</v>
      </c>
      <c r="BT37" s="183">
        <f t="shared" si="129"/>
        <v>0.8601267075200123</v>
      </c>
      <c r="BU37" s="183">
        <f t="shared" si="130"/>
        <v>0.87112887392919214</v>
      </c>
      <c r="BV37" s="186">
        <f t="shared" si="222"/>
        <v>1.1111255302392764</v>
      </c>
      <c r="BW37" s="183">
        <f t="shared" si="223"/>
        <v>1.1108877642355037</v>
      </c>
      <c r="BX37" s="183">
        <f t="shared" si="224"/>
        <v>1.1090142735467985</v>
      </c>
      <c r="BY37" s="183">
        <f t="shared" si="225"/>
        <v>1.1079205985721792</v>
      </c>
      <c r="BZ37" s="183">
        <f t="shared" si="226"/>
        <v>1.1059170400448426</v>
      </c>
      <c r="CA37" s="183">
        <f t="shared" si="227"/>
        <v>1.1052132616970907</v>
      </c>
      <c r="CB37" s="183">
        <f t="shared" si="228"/>
        <v>1.1033199163014715</v>
      </c>
      <c r="CC37" s="183">
        <f t="shared" si="229"/>
        <v>1.1025746760405597</v>
      </c>
      <c r="CD37" s="183">
        <f t="shared" si="230"/>
        <v>1.100903840644605</v>
      </c>
      <c r="CE37" s="187">
        <f xml:space="preserve"> -0.0000000019505*Sheet3!DF37^3 + 0.0000015497*Sheet3!DF37^2  + 0.00016911*Sheet3!DF37 + 1.8585</f>
        <v>1.9096570494375</v>
      </c>
      <c r="CF37" s="185">
        <f xml:space="preserve"> -0.0000000019505*Sheet3!BZ37^3 + 0.0000015497*Sheet3!BZ37^2  + 0.00016911*Sheet3!BZ37 + 1.8585</f>
        <v>1.9091159022988038</v>
      </c>
      <c r="CG37" s="185">
        <f xml:space="preserve"> -0.0000000019505*Sheet3!CA37^3 + 0.0000015497*Sheet3!CA37^2  + 0.00016911*Sheet3!CA37 + 1.8585</f>
        <v>1.9062779175822269</v>
      </c>
      <c r="CH37" s="185">
        <f xml:space="preserve"> -0.0000000019505*Sheet3!CB37^3 + 0.0000015497*Sheet3!CB37^2  + 0.00016911*Sheet3!CB37 + 1.8585</f>
        <v>1.9038373718055028</v>
      </c>
      <c r="CI37" s="185">
        <f xml:space="preserve"> -0.0000000019505*Sheet3!CC37^3 + 0.0000015497*Sheet3!CC37^2  + 0.00016911*Sheet3!CC37 + 1.8585</f>
        <v>1.9007896989389936</v>
      </c>
      <c r="CJ37" s="185">
        <f xml:space="preserve"> -0.0000000019505*Sheet3!CD37^3 + 0.0000015497*Sheet3!CD37^2  + 0.00016911*Sheet3!CD37 + 1.8585</f>
        <v>1.8992607556145784</v>
      </c>
      <c r="CK37" s="185">
        <f xml:space="preserve"> -0.0000000019505*Sheet3!CE37^3 + 0.0000015497*Sheet3!CE37^2  + 0.00016911*Sheet3!CE37 + 1.8585</f>
        <v>1.896748385104611</v>
      </c>
      <c r="CL37" s="185">
        <f xml:space="preserve"> -0.0000000019505*Sheet3!CF37^3 + 0.0000015497*Sheet3!CF37^2  + 0.00016911*Sheet3!CF37 + 1.8585</f>
        <v>1.8951692776597679</v>
      </c>
      <c r="CM37" s="185">
        <f xml:space="preserve"> -0.0000000019505*Sheet3!CG37^3 + 0.0000015497*Sheet3!CG37^2  + 0.00016911*Sheet3!CG37 + 1.8585</f>
        <v>1.8930262534434166</v>
      </c>
      <c r="CN37" s="186">
        <f>_xlfn.FORECAST.LINEAR(Sheet3!DF37,New!$LU$2:$LU$14,New!$LT$2:$LT$14)</f>
        <v>1.023844178140866</v>
      </c>
      <c r="CO37" s="183">
        <f>_xlfn.FORECAST.LINEAR(Sheet3!BZ37,New!$LU$2:$LU$14,New!$LT$2:$LT$14)</f>
        <v>1.0236395724006779</v>
      </c>
      <c r="CP37" s="183">
        <f>_xlfn.FORECAST.LINEAR(Sheet3!CA37,New!$LU$2:$LU$14,New!$LT$2:$LT$14)</f>
        <v>1.0225557238829723</v>
      </c>
      <c r="CQ37" s="183">
        <f>_xlfn.FORECAST.LINEAR(Sheet3!CB37,New!$LU$2:$LU$14,New!$LT$2:$LT$14)</f>
        <v>1.0216081091194336</v>
      </c>
      <c r="CR37" s="183">
        <f>_xlfn.FORECAST.LINEAR(Sheet3!CC37,New!$LU$2:$LU$14,New!$LT$2:$LT$14)</f>
        <v>1.0204024647347312</v>
      </c>
      <c r="CS37" s="183">
        <f>_xlfn.FORECAST.LINEAR(Sheet3!CD37,New!$LU$2:$LU$14,New!$LT$2:$LT$14)</f>
        <v>1.0197874598927108</v>
      </c>
      <c r="CT37" s="183">
        <f>_xlfn.FORECAST.LINEAR(Sheet3!CE37,New!$LU$2:$LU$14,New!$LT$2:$LT$14)</f>
        <v>1.0187607491242638</v>
      </c>
      <c r="CU37" s="183">
        <f>_xlfn.FORECAST.LINEAR(Sheet3!CF37,New!$LU$2:$LU$14,New!$LT$2:$LT$14)</f>
        <v>1.0181043777625434</v>
      </c>
      <c r="CV37" s="183">
        <f>_xlfn.FORECAST.LINEAR(Sheet3!CG37,New!$LU$2:$LU$14,New!$LT$2:$LT$14)</f>
        <v>1.0171987641141844</v>
      </c>
      <c r="CW37" s="186">
        <f>EXP((17.625*Sheet3!BA37)/(243.04+Sheet3!BA37)) / EXP((17.625*Sheet3!DF37)/(243.04+Sheet3!DF37))</f>
        <v>3.1215458166542462E-2</v>
      </c>
      <c r="CX37" s="183">
        <f>EXP((17.625*(Sheet3!BC37+273))/(243.04+(Sheet3!BC37+273)))/EXP((17.625*(Sheet3!BZ37+273))/(243.04+(Sheet3!BZ37+273)))</f>
        <v>0.35108362045984365</v>
      </c>
      <c r="CY37" s="183">
        <f>EXP((17.625*(Sheet3!BE37+273))/(243.04+(Sheet3!BE37+273))) / EXP((17.625*(Sheet3!CA37+273))/(243.04+(Sheet3!CA37+273)))</f>
        <v>0.37164827391546668</v>
      </c>
      <c r="CZ37" s="183">
        <f>EXP((17.625*(Sheet3!BG37+273))/(243.04+(Sheet3!BG37+273))) / EXP((17.625*(Sheet3!CB37+273))/(243.04+(Sheet3!CB37+273)))</f>
        <v>0.39046741946757813</v>
      </c>
      <c r="DA37" s="183">
        <f>EXP((17.625*(Sheet3!BI37+273))/(243.04+(Sheet3!BI37+273))) / EXP((17.625*(Sheet3!CC37+273))/(243.04+(Sheet3!CC37+273)))</f>
        <v>0.41621868130678269</v>
      </c>
      <c r="DB37" s="183">
        <f>EXP((17.625*(Sheet3!BK37+273))/(243.04+(Sheet3!BK37+273)))/EXP((17.625*(Sheet3!CD37+273))/(243.04+(Sheet3!CD37+273)))</f>
        <v>0.43073297831673235</v>
      </c>
      <c r="DC37" s="183">
        <f>EXP((17.625*(Sheet3!BM37+273))/(243.04+(Sheet3!BM37+273))) / EXP((17.625*(Sheet3!CE37+273))/(243.04+(Sheet3!CE37+273)))</f>
        <v>0.45520220204130368</v>
      </c>
      <c r="DD37" s="183">
        <f>EXP((17.625*(Sheet3!BO37+273))/(243.04+(Sheet3!BO37+273))) / EXP((17.625*(Sheet3!CF37+273))/(243.04+(Sheet3!CF37+273)))</f>
        <v>0.4726526818466748</v>
      </c>
      <c r="DE37" s="183">
        <f>EXP((17.625*(Sheet3!BQ37+273))/(243.04+(Sheet3!BQ37+273))) / EXP((17.625*(Sheet3!CG37+273))/(243.04+(Sheet3!CG37+273)))</f>
        <v>0.49692810516524732</v>
      </c>
      <c r="DF37" s="186">
        <f>((Sheet3!DA37-Sheet3!DB37)/New!$LQ$3)/(((Sheet3!DA37-Sheet3!DB37)/New!$LQ$3)+(Sheet3!DB37/New!$LP$3))</f>
        <v>0.85055069573991748</v>
      </c>
      <c r="DG37" s="183">
        <f>((Sheet3!DA37-Sheet3!DB37)/New!$LQ$3)/(((Sheet3!DA37-Sheet3!DB37)/New!$LQ$3)+((Sheet3!DB37-(Sheet3!B37*0.004))/New!$LP$3))</f>
        <v>0.85055069573991748</v>
      </c>
      <c r="DH37" s="183" cm="1">
        <f t="array" ref="DH37">((Sheet3!DA37-Sheet3!DB37)/New!$LQ$3)/(((Sheet3!DA37-Sheet3!DB37)/New!$LQ$3)+((Sheet3!DB37-(SUM(Sheet3!B37:C37*0.004)))/New!$LP$3))</f>
        <v>0.85551258739979186</v>
      </c>
      <c r="DI37" s="183" cm="1">
        <f t="array" ref="DI37">((Sheet3!DA37-Sheet3!DB37)/New!$LQ$3)/(((Sheet3!DA37-Sheet3!DB37)/New!$LQ$3)+((Sheet3!DB37-(SUM(Sheet3!B37:D37*0.004)))/New!$LP$3))</f>
        <v>0.85551258739979186</v>
      </c>
      <c r="DJ37" s="183" cm="1">
        <f t="array" ref="DJ37">((Sheet3!DA37-Sheet3!DB37)/New!$LQ$3)/(((Sheet3!DA37-Sheet3!DB37)/New!$LQ$3)+((Sheet3!DB37-(SUM(Sheet3!B37:E37*0.004)))/New!$LP$3))</f>
        <v>0.86056593376244617</v>
      </c>
      <c r="DK37" s="183" cm="1">
        <f t="array" ref="DK37">((Sheet3!DA37-Sheet3!DB37)/New!$LQ$3)/(((Sheet3!DA37-Sheet3!DB37)/New!$LQ$3)+((Sheet3!DB37-(SUM(Sheet3!B37:F37*0.004)))/New!$LP$3))</f>
        <v>0.86056593376244617</v>
      </c>
      <c r="DL37" s="183" cm="1">
        <f t="array" ref="DL37">((Sheet3!DA37-Sheet3!DB37)/New!$LQ$3)/(((Sheet3!DA37-Sheet3!DB37)/New!$LQ$3)+((Sheet3!DB37-(SUM(Sheet3!B37:G37*0.004)))/New!$LP$3))</f>
        <v>0.86657678239119473</v>
      </c>
      <c r="DM37" s="183" cm="1">
        <f t="array" ref="DM37">((Sheet3!DA37-Sheet3!DB37)/New!$LQ$3)/(((Sheet3!DA37-Sheet3!DB37)/New!$LQ$3)+((Sheet3!DB37-(SUM(Sheet3!B37:H37*0.004)))/New!$LP$3))</f>
        <v>0.86657678239119473</v>
      </c>
      <c r="DN37" s="183" cm="1">
        <f t="array" ref="DN37">((Sheet3!DA37-Sheet3!DB37)/New!$LQ$3)/(((Sheet3!DA37-Sheet3!DB37)/New!$LQ$3)+((Sheet3!DB37-(SUM(Sheet3!B37:I37*0.004)))/New!$LP$3))</f>
        <v>0.8720462842399902</v>
      </c>
      <c r="DO37" s="186">
        <f>(Sheet3!DB37/$LP$3) / ((Sheet3!DB37/$LP$3) + ((Sheet3!DA37-Sheet3!DB37)/$LQ$3))</f>
        <v>0.14944930426008254</v>
      </c>
      <c r="DP37" s="183">
        <f>((Sheet3!$DB37-(Sheet3!B37/4000)) / $LP$3) / (((Sheet3!$DA37-Sheet3!DB37) / $LQ$3) + (Sheet3!$DB37-((Sheet3!B37/4000)))/$LP$3)</f>
        <v>0.14944930426008254</v>
      </c>
      <c r="DQ37" s="183">
        <f>((Sheet3!$DB37-(SUM(Sheet3!B37:C37)/4000))/$LP$3)/(((Sheet3!$DA37-Sheet3!$DB37)/$LQ$3)+(Sheet3!$DB37-(SUM(Sheet3!B37:C37)/4000))/$LP$3)</f>
        <v>0.14914087288303807</v>
      </c>
      <c r="DR37" s="183">
        <f>((Sheet3!$DB37-(SUM(Sheet3!B37:D37)/4000))/$LP$3)/(((Sheet3!$DA37-Sheet3!$DB37)/$LQ$3)+(Sheet3!$DB37-(SUM(Sheet3!B37:D37)/4000))/$LP$3)</f>
        <v>0.14914087288303807</v>
      </c>
      <c r="DS37" s="183">
        <f>((Sheet3!$DB37-(SUM(Sheet3!B37:E37)/4000))/$LP$3)/(((Sheet3!$DA37-Sheet3!$DB37)/$LQ$3)+(Sheet3!$DB37-(SUM(Sheet3!B37:E37)/4000))/$LP$3)</f>
        <v>0.14883018636723166</v>
      </c>
      <c r="DT37" s="183">
        <f>((Sheet3!$DB37-(SUM(Sheet3!B37:F37)/4000))/$LP$3)/(((Sheet3!$DA37-Sheet3!$DB37)/$LQ$3)+(Sheet3!$DB37-(SUM(Sheet3!B37:F37)/4000))/$LP$3)</f>
        <v>0.14883018636723166</v>
      </c>
      <c r="DU37" s="183">
        <f>((Sheet3!$DB37-(SUM(Sheet3!B37:G37)/4000))/$LP$3)/(((Sheet3!$DA37-Sheet3!$DB37)/$LQ$3)+(Sheet3!$DB37-(SUM(Sheet3!B37:G37)/4000))/$LP$3)</f>
        <v>0.14846505991687603</v>
      </c>
      <c r="DV37" s="183">
        <f>((Sheet3!$DB37-(SUM(Sheet3!B37:H37)/4000))/$LP$3)/(((Sheet3!$DA37-Sheet3!$DB37)/$LQ$3)+(Sheet3!$DB37-(SUM(Sheet3!B37:H37)/4000))/$LP$3)</f>
        <v>0.14846505991687603</v>
      </c>
      <c r="DW37" s="183">
        <f>((Sheet3!$DB37-(SUM(Sheet3!B37:I37)/4000))/$LP$3)/(((Sheet3!$DA37-Sheet3!$DB37)/$LQ$3)+(Sheet3!$DB37-(SUM(Sheet3!B37:I37)/4000))/$LP$3)</f>
        <v>0.14813692422459845</v>
      </c>
      <c r="DX37" s="186">
        <f>($LR$2*($LP$3/1000))/($LP$2*(Sheet3!DF37+273))*DO37</f>
        <v>7.8497978804433127E-2</v>
      </c>
      <c r="DY37" s="183">
        <f>(($LR$2*($LP$3/1000))/($LP$2*(Sheet3!BZ37+273)))*(DP37)</f>
        <v>7.8703933130783083E-2</v>
      </c>
      <c r="DZ37" s="183">
        <f>(($LR$2*($LP$3/1000))/($LP$2*(Sheet3!CA37+273)))*(DQ37)</f>
        <v>7.9648487551048919E-2</v>
      </c>
      <c r="EA37" s="183">
        <f>(($LR$2*($LP$3/1000))/($LP$2*(Sheet3!CB37+273)))*(DR37)</f>
        <v>8.0642214827417236E-2</v>
      </c>
      <c r="EB37" s="183">
        <f>(($LR$2*($LP$3/1000))/($LP$2*(Sheet3!CC37+273)))*(DS37)</f>
        <v>8.1772247892763106E-2</v>
      </c>
      <c r="EC37" s="183">
        <f>(($LR$2*($LP$3/1000))/($LP$2*(Sheet3!CD37+273)))*(DT37)</f>
        <v>8.2450638083467587E-2</v>
      </c>
      <c r="ED37" s="183">
        <f>(($LR$2*($LP$3/1000))/($LP$2*(Sheet3!CE37+273)))*(DU37)</f>
        <v>8.3403481937215584E-2</v>
      </c>
      <c r="EE37" s="183">
        <f>(($LR$2*($LP$3/1000))/($LP$2*(Sheet3!CF37+273)))*(DV37)</f>
        <v>8.4159100688380034E-2</v>
      </c>
      <c r="EF37" s="183">
        <f>(($LR$2*($LP$3/1000))/($LP$2*(Sheet3!CG37+273)))*(DW37)</f>
        <v>8.5036048429176669E-2</v>
      </c>
      <c r="EG37" s="186">
        <f>(($LR$2*($LQ$3/1000))/($LQ$2*(Sheet3!DF37+273)))*(1-DO37)</f>
        <v>0.71817299757247333</v>
      </c>
      <c r="EH37" s="183">
        <f>(($LR$2*($LQ$3/1000))/($LQ$2*(Sheet3!BZ37+273)))*(1-DP37)</f>
        <v>0.72005726055822816</v>
      </c>
      <c r="EI37" s="183">
        <f>(($LR$2*($LQ$3/1000))/($LQ$2*(Sheet3!CA37+273)))*(1-DQ37)</f>
        <v>0.73047070867531938</v>
      </c>
      <c r="EJ37" s="183">
        <f>(($LR$2*($LQ$3/1000))/($LQ$2*(Sheet3!CB37+273)))*(1-DR37)</f>
        <v>0.73958436155332963</v>
      </c>
      <c r="EK37" s="183">
        <f>(($LR$2*($LQ$3/1000))/($LQ$2*(Sheet3!CC37+273)))*(1-DS37)</f>
        <v>0.75178804487560513</v>
      </c>
      <c r="EL37" s="183">
        <f>(($LR$2*($LQ$3/1000))/($LQ$2*(Sheet3!CD37+273)))*(1-DT37)</f>
        <v>0.75802494857184854</v>
      </c>
      <c r="EM37" s="183">
        <f>(($LR$2*($LQ$3/1000))/($LQ$2*(Sheet3!CE37+273)))*(1-DU37)</f>
        <v>0.76900061610546888</v>
      </c>
      <c r="EN37" s="183">
        <f>(($LR$2*($LQ$3/1000))/($LQ$2*(Sheet3!CF37+273)))*(1-DV37)</f>
        <v>0.77596760683163224</v>
      </c>
      <c r="EO37" s="183">
        <f>(($LR$2*($LQ$3/1000))/($LQ$2*(Sheet3!CG37+273)))*(1-DW37)</f>
        <v>0.78609282550001547</v>
      </c>
      <c r="EP37" s="186">
        <f t="shared" si="132"/>
        <v>9869.1441747182071</v>
      </c>
      <c r="EQ37" s="183">
        <f xml:space="preserve"> (($FV37-(Sheet3!B37/4000))*0.018)/(0.011*JO37*3600)</f>
        <v>9889.2820152122713</v>
      </c>
      <c r="ER37" s="183">
        <f>((($FV37-(SUM(Sheet3!B37:C37)/4000))*0.018)/(0.011*JP37*3600))</f>
        <v>9993.6325296056948</v>
      </c>
      <c r="ES37" s="183">
        <f>((($FV37-(SUM(Sheet3!B37:D37)/4000))*0.018)/(0.011*JQ37*3600))</f>
        <v>10090.060838139043</v>
      </c>
      <c r="ET37" s="183">
        <f>((($FV37-(SUM(Sheet3!B37:E37)/4000))*0.018)/(0.011*JR37))/3600</f>
        <v>10211.644508556958</v>
      </c>
      <c r="EU37" s="183">
        <f>((($FV37-(SUM(Sheet3!B37:F37)/4000))*0.018)/(0.011*JS37))/3600</f>
        <v>10276.829564086385</v>
      </c>
      <c r="EV37" s="183">
        <f>((($FV37-(SUM(Sheet3!B37:G37)/4000))*0.018)/(0.011*JT37))/3600</f>
        <v>10382.913793629001</v>
      </c>
      <c r="EW37" s="183">
        <f>((($FV37-(SUM(Sheet3!B37:H37)/4000))*0.018)/(0.011*JU37))/3600</f>
        <v>10454.934557063281</v>
      </c>
      <c r="EX37" s="183">
        <f>((($FV37-(SUM(Sheet3!B37:I37)/4000))*0.018)/(0.011*JV37))/3600</f>
        <v>10551.726427599775</v>
      </c>
      <c r="EY37" s="186">
        <f t="shared" si="133"/>
        <v>77.825984118139743</v>
      </c>
      <c r="EZ37" s="183">
        <f t="shared" si="134"/>
        <v>77.939196107986888</v>
      </c>
      <c r="FA37" s="183">
        <f t="shared" si="135"/>
        <v>78.518239181041437</v>
      </c>
      <c r="FB37" s="183">
        <f t="shared" si="136"/>
        <v>79.060785723499535</v>
      </c>
      <c r="FC37" s="183">
        <f t="shared" si="137"/>
        <v>79.737157326877266</v>
      </c>
      <c r="FD37" s="183">
        <f t="shared" si="138"/>
        <v>80.104396939530517</v>
      </c>
      <c r="FE37" s="183">
        <f t="shared" si="139"/>
        <v>80.692393130361452</v>
      </c>
      <c r="FF37" s="183">
        <f t="shared" si="140"/>
        <v>81.098640144619466</v>
      </c>
      <c r="FG37" s="183">
        <f t="shared" si="141"/>
        <v>81.635633901173662</v>
      </c>
      <c r="FH37" s="186">
        <f t="shared" si="185"/>
        <v>151.61826190099646</v>
      </c>
      <c r="FI37" s="183">
        <f t="shared" si="186"/>
        <v>151.42591590420423</v>
      </c>
      <c r="FJ37" s="183">
        <f t="shared" si="187"/>
        <v>150.33753289977867</v>
      </c>
      <c r="FK37" s="183">
        <f t="shared" si="188"/>
        <v>149.43425056741472</v>
      </c>
      <c r="FL37" s="183">
        <f t="shared" si="189"/>
        <v>148.21217100728285</v>
      </c>
      <c r="FM37" s="183">
        <f t="shared" si="190"/>
        <v>147.61560187671301</v>
      </c>
      <c r="FN37" s="183">
        <f t="shared" si="191"/>
        <v>146.54239687511105</v>
      </c>
      <c r="FO37" s="183">
        <f t="shared" si="192"/>
        <v>145.89624279291942</v>
      </c>
      <c r="FP37" s="183">
        <f t="shared" si="193"/>
        <v>144.93771408734673</v>
      </c>
      <c r="FQ37" s="314">
        <f>Sheet3!CV37</f>
        <v>2</v>
      </c>
      <c r="FR37" s="183">
        <v>10000</v>
      </c>
      <c r="FS37" s="183">
        <v>10</v>
      </c>
      <c r="FT37" s="183">
        <v>0.12778021978021981</v>
      </c>
      <c r="FU37" s="183">
        <v>16.309999999999999</v>
      </c>
      <c r="FV37" s="183">
        <v>477</v>
      </c>
      <c r="FW37" s="183">
        <v>47</v>
      </c>
      <c r="FX37" s="183">
        <v>940.5</v>
      </c>
      <c r="FY37" s="183">
        <v>8.17</v>
      </c>
      <c r="FZ37" s="183">
        <v>9.85</v>
      </c>
      <c r="GA37" s="183">
        <v>145</v>
      </c>
      <c r="GB37" s="186">
        <f>EXP($LP$6-($LQ$6/('Trial and Error method'!T37+$LP$8))) / ($LR$2/1000)</f>
        <v>3.1842351324528465E-2</v>
      </c>
      <c r="GC37" s="183">
        <f>EXP($LP$6-($LQ$6/('Trial and Error method'!U37+$LP$8))) / ($LR$2/1000)</f>
        <v>4.5090797979187948E-2</v>
      </c>
      <c r="GD37" s="183">
        <f>EXP($LP$6-($LQ$6/('Trial and Error method'!V37+$LP$8))) / ($LR$2/1000)</f>
        <v>4.2462558771767966E-2</v>
      </c>
      <c r="GE37" s="183">
        <f>EXP($LP$6-($LQ$6/('Trial and Error method'!W37+$LP$8))) / ($LR$2/1000)</f>
        <v>4.0177891863674257E-2</v>
      </c>
      <c r="GF37" s="183">
        <f>EXP($LP$6-($LQ$6/('Trial and Error method'!X37+$LP$8))) / ($LR$2/1000)</f>
        <v>3.7838727237908203E-2</v>
      </c>
      <c r="GG37" s="183">
        <f>EXP($LP$6-($LQ$6/('Trial and Error method'!Y37+$LP$8))) / ($LR$2/1000)</f>
        <v>3.6029054340553889E-2</v>
      </c>
      <c r="GH37" s="183">
        <f>EXP($LP$6-($LQ$6/('Trial and Error method'!Z37+$LP$8))) / ($LR$2/1000)</f>
        <v>3.40564514820835E-2</v>
      </c>
      <c r="GI37" s="183">
        <f>EXP($LP$6-($LQ$6/('Trial and Error method'!AA37+$LP$8))) / ($LR$2/1000)</f>
        <v>3.2455976938252071E-2</v>
      </c>
      <c r="GJ37" s="183">
        <f>EXP($LP$6-($LQ$6/('Trial and Error method'!AB37+$LP$8))) / ($LR$2/1000)</f>
        <v>3.0776716038252216E-2</v>
      </c>
      <c r="GK37" s="188">
        <f t="shared" si="142"/>
        <v>0.90808524486708297</v>
      </c>
      <c r="GL37" s="165">
        <f t="shared" si="143"/>
        <v>0.9017237031560138</v>
      </c>
      <c r="GM37" s="165">
        <f t="shared" si="144"/>
        <v>0.903148473645211</v>
      </c>
      <c r="GN37" s="165">
        <f t="shared" si="145"/>
        <v>0.90424669981424866</v>
      </c>
      <c r="GO37" s="165">
        <f t="shared" si="146"/>
        <v>0.90553213776780406</v>
      </c>
      <c r="GP37" s="165">
        <f t="shared" si="147"/>
        <v>0.9064008444610554</v>
      </c>
      <c r="GQ37" s="165">
        <f t="shared" si="148"/>
        <v>0.90753765375329287</v>
      </c>
      <c r="GR37" s="165">
        <f t="shared" si="149"/>
        <v>0.9083050899952364</v>
      </c>
      <c r="GS37" s="165">
        <f t="shared" si="150"/>
        <v>0.90928123111233172</v>
      </c>
      <c r="GT37" s="188">
        <f t="shared" si="194"/>
        <v>0.10049334068115776</v>
      </c>
      <c r="GU37" s="165">
        <f t="shared" si="195"/>
        <v>0.10119155613261949</v>
      </c>
      <c r="GV37" s="165">
        <f t="shared" si="196"/>
        <v>0.10100527881575765</v>
      </c>
      <c r="GW37" s="165">
        <f t="shared" si="197"/>
        <v>0.10087420455103172</v>
      </c>
      <c r="GX37" s="165">
        <f t="shared" si="198"/>
        <v>0.10071463430308095</v>
      </c>
      <c r="GY37" s="165">
        <f t="shared" si="199"/>
        <v>0.10061876075725727</v>
      </c>
      <c r="GZ37" s="165">
        <f t="shared" si="200"/>
        <v>0.10048403889878028</v>
      </c>
      <c r="HA37" s="165">
        <f t="shared" si="201"/>
        <v>0.10040571532316171</v>
      </c>
      <c r="HB37" s="165">
        <f t="shared" si="202"/>
        <v>0.10028764703178911</v>
      </c>
      <c r="HC37" s="188">
        <f>BV37*Sheet3!DF37</f>
        <v>161.11320188469509</v>
      </c>
      <c r="HD37" s="165">
        <f>BW37*Sheet3!BZ37</f>
        <v>159.86360083640523</v>
      </c>
      <c r="HE37" s="165">
        <f>BX37*Sheet3!CA37</f>
        <v>153.16802424760624</v>
      </c>
      <c r="HF37" s="165">
        <f>BY37*Sheet3!CB37</f>
        <v>147.40425438537963</v>
      </c>
      <c r="HG37" s="165">
        <f>BZ37*Sheet3!CC37</f>
        <v>140.0095736979153</v>
      </c>
      <c r="HH37" s="165">
        <f>CA37*Sheet3!CD37</f>
        <v>136.28670389563788</v>
      </c>
      <c r="HI37" s="165">
        <f>CB37*Sheet3!CE37</f>
        <v>129.99727716074119</v>
      </c>
      <c r="HJ37" s="165">
        <f>CC37*Sheet3!CF37</f>
        <v>126.04054269308995</v>
      </c>
      <c r="HK37" s="165">
        <f>CD37*Sheet3!CG37</f>
        <v>120.51956503518184</v>
      </c>
      <c r="HL37" s="188">
        <f>(CE37*Sheet3!DF37)+2501</f>
        <v>2777.9002721684374</v>
      </c>
      <c r="HM37" s="165">
        <f>(CF37*Sheet3!BZ37)+2501</f>
        <v>2775.7335530926134</v>
      </c>
      <c r="HN37" s="165">
        <f>(CG37*Sheet3!CA37)+2501</f>
        <v>2764.2795891518249</v>
      </c>
      <c r="HO37" s="165">
        <f>(CH37*Sheet3!CB37)+2501</f>
        <v>2754.2976899460796</v>
      </c>
      <c r="HP37" s="165">
        <f>(CI37*Sheet3!CC37)+2501</f>
        <v>2741.640794744465</v>
      </c>
      <c r="HQ37" s="165">
        <f>(CJ37*Sheet3!CD37)+2501</f>
        <v>2735.202752709994</v>
      </c>
      <c r="HR37" s="165">
        <f>(CK37*Sheet3!CE37)+2501</f>
        <v>2724.4819854872076</v>
      </c>
      <c r="HS37" s="165">
        <f>(CL37*Sheet3!CF37)+2501</f>
        <v>2717.6457922916429</v>
      </c>
      <c r="HT37" s="165">
        <f>(CM37*Sheet3!CG37)+2501</f>
        <v>2708.2358113780356</v>
      </c>
      <c r="HU37" s="188">
        <f>-0.0021*(Sheet3!DF37^2) - 2.2115*(Sheet3!DF37) + 2499</f>
        <v>2134.1799999999998</v>
      </c>
      <c r="HV37" s="165">
        <f>-0.0021*(Sheet3!BZ37^2) - 2.2115*(Sheet3!BZ37) + 2499</f>
        <v>2137.2626415679806</v>
      </c>
      <c r="HW37" s="165">
        <f>-0.0021*(Sheet3!CA37^2) - 2.2115*(Sheet3!CA37) + 2499</f>
        <v>2153.5083608708701</v>
      </c>
      <c r="HX37" s="165">
        <f>-0.0021*(Sheet3!CB37^2) - 2.2115*(Sheet3!CB37) + 2499</f>
        <v>2167.5965449533792</v>
      </c>
      <c r="HY37" s="165">
        <f>-0.0021*(Sheet3!CC37^2) - 2.2115*(Sheet3!CC37) + 2499</f>
        <v>2185.3650422224746</v>
      </c>
      <c r="HZ37" s="165">
        <f>-0.0021*(Sheet3!CD37^2) - 2.2115*(Sheet3!CD37) + 2499</f>
        <v>2194.361632611502</v>
      </c>
      <c r="IA37" s="165">
        <f>-0.0021*(Sheet3!CE37^2) - 2.2115*(Sheet3!CE37) + 2499</f>
        <v>2209.2796926055562</v>
      </c>
      <c r="IB37" s="165">
        <f>-0.0021*(Sheet3!CF37^2) - 2.2115*(Sheet3!CF37) + 2499</f>
        <v>2218.7504340818664</v>
      </c>
      <c r="IC37" s="165">
        <f>-0.0021*(Sheet3!CG37^2) - 2.2115*(Sheet3!CG37) + 2499</f>
        <v>2231.7325775028621</v>
      </c>
      <c r="ID37" s="188">
        <f t="shared" si="203"/>
        <v>0.69611330313374353</v>
      </c>
      <c r="IE37" s="165">
        <f t="shared" si="204"/>
        <v>0.69644099495079925</v>
      </c>
      <c r="IF37" s="165">
        <f t="shared" si="205"/>
        <v>0.69796923349374118</v>
      </c>
      <c r="IG37" s="165">
        <f t="shared" si="206"/>
        <v>0.69959261344975765</v>
      </c>
      <c r="IH37" s="165">
        <f t="shared" si="207"/>
        <v>0.70148536542632001</v>
      </c>
      <c r="II37" s="165">
        <f t="shared" si="208"/>
        <v>0.70262872386608044</v>
      </c>
      <c r="IJ37" s="165">
        <f t="shared" si="209"/>
        <v>0.70427719449213022</v>
      </c>
      <c r="IK37" s="165">
        <f t="shared" si="210"/>
        <v>0.70558326196941035</v>
      </c>
      <c r="IL37" s="165">
        <f t="shared" si="211"/>
        <v>0.70714108709740831</v>
      </c>
      <c r="IM37" s="188">
        <f t="shared" si="212"/>
        <v>25.223266433225472</v>
      </c>
      <c r="IN37" s="165">
        <f t="shared" si="151"/>
        <v>22.569920191407022</v>
      </c>
      <c r="IO37" s="165">
        <f t="shared" si="152"/>
        <v>23.204209493872405</v>
      </c>
      <c r="IP37" s="165">
        <f t="shared" si="153"/>
        <v>23.825254551749715</v>
      </c>
      <c r="IQ37" s="165">
        <f t="shared" si="154"/>
        <v>24.429024925512355</v>
      </c>
      <c r="IR37" s="165">
        <f t="shared" si="155"/>
        <v>24.905807293324695</v>
      </c>
      <c r="IS37" s="165">
        <f t="shared" si="156"/>
        <v>25.398407497297164</v>
      </c>
      <c r="IT37" s="165">
        <f t="shared" si="157"/>
        <v>25.843949499679276</v>
      </c>
      <c r="IU37" s="165">
        <f t="shared" si="158"/>
        <v>26.266999523739678</v>
      </c>
      <c r="IV37" s="188">
        <f>_xlfn.FORECAST.LINEAR(Sheet3!DF37,Sheet2!$AK$2:$AK$69,Sheet2!$AJ$2:$AJ$69)</f>
        <v>1.386217343669711E-5</v>
      </c>
      <c r="IW37" s="165">
        <f>_xlfn.FORECAST.LINEAR(Sheet3!BZ37,Sheet2!$AK$2:$AK$69,Sheet2!$AJ$2:$AJ$69)</f>
        <v>1.3823875837410705E-5</v>
      </c>
      <c r="IX37" s="165">
        <f>_xlfn.FORECAST.LINEAR(Sheet3!CA37,Sheet2!$AK$2:$AK$69,Sheet2!$AJ$2:$AJ$69)</f>
        <v>1.3621003737243392E-5</v>
      </c>
      <c r="IY37" s="165">
        <f>_xlfn.FORECAST.LINEAR(Sheet3!CB37,Sheet2!$AK$2:$AK$69,Sheet2!$AJ$2:$AJ$69)</f>
        <v>1.3443631536157923E-5</v>
      </c>
      <c r="IZ37" s="165">
        <f>_xlfn.FORECAST.LINEAR(Sheet3!CC37,Sheet2!$AK$2:$AK$69,Sheet2!$AJ$2:$AJ$69)</f>
        <v>1.3217961985123868E-5</v>
      </c>
      <c r="JA37" s="165">
        <f>_xlfn.FORECAST.LINEAR(Sheet3!CD37,Sheet2!$AK$2:$AK$69,Sheet2!$AJ$2:$AJ$69)</f>
        <v>1.3102846891201094E-5</v>
      </c>
      <c r="JB37" s="165">
        <f>_xlfn.FORECAST.LINEAR(Sheet3!CE37,Sheet2!$AK$2:$AK$69,Sheet2!$AJ$2:$AJ$69)</f>
        <v>1.2910669694428087E-5</v>
      </c>
      <c r="JC37" s="165">
        <f>_xlfn.FORECAST.LINEAR(Sheet3!CF37,Sheet2!$AK$2:$AK$69,Sheet2!$AJ$2:$AJ$69)</f>
        <v>1.2787811717075494E-5</v>
      </c>
      <c r="JD37" s="165">
        <f>_xlfn.FORECAST.LINEAR(Sheet3!CG37,Sheet2!$AK$2:$AK$69,Sheet2!$AJ$2:$AJ$69)</f>
        <v>1.2618301181441132E-5</v>
      </c>
      <c r="JE37" s="188">
        <f>_xlfn.FORECAST.LINEAR(Sheet3!DF37,New!$MC$2:$MC$18,New!$MB$2:$MB$18)</f>
        <v>2.337798370672098E-5</v>
      </c>
      <c r="JF37" s="165">
        <f>_xlfn.FORECAST.LINEAR(Sheet3!BZ37,New!$MC$2:$MC$18,New!$MB$2:$MB$18)</f>
        <v>2.3332963954381241E-5</v>
      </c>
      <c r="JG37" s="165">
        <f>_xlfn.FORECAST.LINEAR(Sheet3!CA37,New!$MC$2:$MC$18,New!$MB$2:$MB$18)</f>
        <v>2.3094482903966753E-5</v>
      </c>
      <c r="JH37" s="165">
        <f>_xlfn.FORECAST.LINEAR(Sheet3!CB37,New!$MC$2:$MC$18,New!$MB$2:$MB$18)</f>
        <v>2.2885977600406987E-5</v>
      </c>
      <c r="JI37" s="165">
        <f>_xlfn.FORECAST.LINEAR(Sheet3!CC37,New!$MC$2:$MC$18,New!$MB$2:$MB$18)</f>
        <v>2.2620697596242867E-5</v>
      </c>
      <c r="JJ37" s="165">
        <f>_xlfn.FORECAST.LINEAR(Sheet3!CD37,New!$MC$2:$MC$18,New!$MB$2:$MB$18)</f>
        <v>2.2485377024835443E-5</v>
      </c>
      <c r="JK37" s="165">
        <f>_xlfn.FORECAST.LINEAR(Sheet3!CE37,New!$MC$2:$MC$18,New!$MB$2:$MB$18)</f>
        <v>2.2259468091500885E-5</v>
      </c>
      <c r="JL37" s="165">
        <f>_xlfn.FORECAST.LINEAR(Sheet3!CF37,New!$MC$2:$MC$18,New!$MB$2:$MB$18)</f>
        <v>2.2115045573733864E-5</v>
      </c>
      <c r="JM37" s="165">
        <f>_xlfn.FORECAST.LINEAR(Sheet3!CG37,New!$MC$2:$MC$18,New!$MB$2:$MB$18)</f>
        <v>2.1915781847666724E-5</v>
      </c>
      <c r="JN37" s="188">
        <f t="shared" si="159"/>
        <v>2.1969299260376099E-5</v>
      </c>
      <c r="JO37" s="165">
        <f t="shared" si="160"/>
        <v>2.1924562519772359E-5</v>
      </c>
      <c r="JP37" s="165">
        <f t="shared" si="161"/>
        <v>2.1690447691988161E-5</v>
      </c>
      <c r="JQ37" s="165">
        <f t="shared" si="162"/>
        <v>2.1483157248865792E-5</v>
      </c>
      <c r="JR37" s="165">
        <f t="shared" si="163"/>
        <v>2.1222262914054298E-5</v>
      </c>
      <c r="JS37" s="165">
        <f t="shared" si="164"/>
        <v>2.1087651906069196E-5</v>
      </c>
      <c r="JT37" s="165">
        <f t="shared" si="165"/>
        <v>2.0866296191189966E-5</v>
      </c>
      <c r="JU37" s="165">
        <f t="shared" si="166"/>
        <v>2.0722554824514452E-5</v>
      </c>
      <c r="JV37" s="165">
        <f t="shared" si="167"/>
        <v>2.0527252675818713E-5</v>
      </c>
      <c r="JW37" s="188">
        <f t="shared" si="231"/>
        <v>1.0152024173422087</v>
      </c>
      <c r="JX37" s="165">
        <f t="shared" si="232"/>
        <v>1.0156587499550789</v>
      </c>
      <c r="JY37" s="165">
        <f t="shared" si="233"/>
        <v>1.0181173322702104</v>
      </c>
      <c r="JZ37" s="165">
        <f t="shared" si="234"/>
        <v>1.0203254935075359</v>
      </c>
      <c r="KA37" s="165">
        <f t="shared" si="235"/>
        <v>1.0232174691578229</v>
      </c>
      <c r="KB37" s="165">
        <f t="shared" si="236"/>
        <v>1.0247296450142129</v>
      </c>
      <c r="KC37" s="165">
        <f t="shared" si="237"/>
        <v>1.0273119940720903</v>
      </c>
      <c r="KD37" s="165">
        <f t="shared" si="238"/>
        <v>1.0290020398419908</v>
      </c>
      <c r="KE37" s="165">
        <f t="shared" si="239"/>
        <v>1.0313858506284392</v>
      </c>
      <c r="KF37" s="188">
        <f t="shared" si="75"/>
        <v>0.9677010468805306</v>
      </c>
      <c r="KG37" s="165">
        <f t="shared" si="240"/>
        <v>0.96732412615876484</v>
      </c>
      <c r="KH37" s="165">
        <f t="shared" si="241"/>
        <v>0.96530152298146277</v>
      </c>
      <c r="KI37" s="165">
        <f t="shared" si="242"/>
        <v>0.96349654407557583</v>
      </c>
      <c r="KJ37" s="165">
        <f t="shared" si="243"/>
        <v>0.96114905167254427</v>
      </c>
      <c r="KK37" s="165">
        <f t="shared" si="244"/>
        <v>0.9599289369895404</v>
      </c>
      <c r="KL37" s="165">
        <f t="shared" si="245"/>
        <v>0.95785691243747295</v>
      </c>
      <c r="KM37" s="165">
        <f t="shared" si="246"/>
        <v>0.95650869292780427</v>
      </c>
      <c r="KN37" s="165">
        <f t="shared" si="247"/>
        <v>0.9546174759360625</v>
      </c>
      <c r="KO37" s="188">
        <f t="shared" si="213"/>
        <v>0.62448242981937563</v>
      </c>
      <c r="KP37" s="165">
        <f t="shared" si="214"/>
        <v>0.62388750639459822</v>
      </c>
      <c r="KQ37" s="165">
        <f t="shared" si="215"/>
        <v>0.62034092238916172</v>
      </c>
      <c r="KR37" s="165">
        <f t="shared" si="216"/>
        <v>0.61717804015183375</v>
      </c>
      <c r="KS37" s="165">
        <f t="shared" si="217"/>
        <v>0.61308329744732637</v>
      </c>
      <c r="KT37" s="165">
        <f t="shared" si="218"/>
        <v>0.61095584805305381</v>
      </c>
      <c r="KU37" s="165">
        <f t="shared" si="219"/>
        <v>0.60736160536292705</v>
      </c>
      <c r="KV37" s="165">
        <f t="shared" si="220"/>
        <v>0.60502135122441503</v>
      </c>
      <c r="KW37" s="165">
        <f t="shared" si="221"/>
        <v>0.60185124502086729</v>
      </c>
      <c r="KX37" s="188">
        <f>AVERAGE(Sheet3!J37:P37)*KO37^(1/3)/ID37^(1/3)</f>
        <v>109.64619288082683</v>
      </c>
      <c r="KY37" s="165">
        <f>Sheet3!J37*KP37^(1/3)/IE37^(1/3)</f>
        <v>102.17863063660467</v>
      </c>
      <c r="KZ37" s="165">
        <f>Sheet3!K37*KQ37^(1/3)/IF37^(1/3)</f>
        <v>102.02062005693271</v>
      </c>
      <c r="LA37" s="165">
        <f>Sheet3!L37*KR37^(1/3)/IG37^(1/3)</f>
        <v>104.65684889171537</v>
      </c>
      <c r="LB37" s="165">
        <f>Sheet3!M37*KS37^(1/3)/IH37^(1/3)</f>
        <v>107.47218133263173</v>
      </c>
      <c r="LC37" s="165">
        <f>Sheet3!N37*KT37^(1/3)/II37^(1/3)</f>
        <v>111.65542478285681</v>
      </c>
      <c r="LD37" s="165">
        <f>Sheet3!O37*KU37^(1/3)/IJ37^(1/3)</f>
        <v>115.32862758855005</v>
      </c>
      <c r="LE37" s="165">
        <f>Sheet3!P37*KV37^(1/3)/IK37^(1/3)</f>
        <v>117.8372523191651</v>
      </c>
      <c r="LF37" s="165">
        <f>Sheet3!Q37*KW37^(1/3)/IL37^(1/3)</f>
        <v>118.40896671672127</v>
      </c>
      <c r="LG37" s="186">
        <f t="shared" si="248"/>
        <v>27.324277364873399</v>
      </c>
      <c r="LH37" s="183">
        <f t="shared" si="249"/>
        <v>27.324277364873399</v>
      </c>
      <c r="LI37" s="183">
        <f t="shared" si="250"/>
        <v>27.462417356085904</v>
      </c>
      <c r="LJ37" s="183">
        <f t="shared" si="251"/>
        <v>27.462417356085904</v>
      </c>
      <c r="LK37" s="183">
        <f t="shared" si="252"/>
        <v>27.603165249166121</v>
      </c>
      <c r="LL37" s="183">
        <f t="shared" si="253"/>
        <v>27.603165249166121</v>
      </c>
      <c r="LM37" s="183">
        <f t="shared" si="254"/>
        <v>27.770661672451524</v>
      </c>
      <c r="LN37" s="183">
        <f t="shared" si="255"/>
        <v>27.770661672451524</v>
      </c>
      <c r="LO37" s="183">
        <f t="shared" si="256"/>
        <v>27.923147081496261</v>
      </c>
      <c r="LP37" s="220"/>
      <c r="LQ37" s="220"/>
      <c r="LR37" s="220"/>
      <c r="LS37" s="220"/>
      <c r="LT37" s="220"/>
      <c r="LU37" s="220"/>
      <c r="LV37" s="220"/>
      <c r="LW37" s="220"/>
      <c r="LX37" s="220"/>
      <c r="LY37" s="220"/>
      <c r="LZ37" s="222">
        <v>147.91999999999999</v>
      </c>
      <c r="MA37" s="220">
        <v>1.4E-5</v>
      </c>
      <c r="MB37" s="220"/>
      <c r="MC37" s="220"/>
      <c r="MD37" s="188">
        <f>Sheet3!DP37</f>
        <v>197.70464916099542</v>
      </c>
      <c r="ME37" s="263">
        <v>360</v>
      </c>
      <c r="MF37" s="263">
        <v>186.74</v>
      </c>
      <c r="MG37" s="263">
        <v>23.03</v>
      </c>
      <c r="MH37" s="263">
        <v>144</v>
      </c>
      <c r="MI37" s="263">
        <v>29.13</v>
      </c>
      <c r="MJ37" s="263">
        <v>0.20200000000000001</v>
      </c>
      <c r="MK37" s="273">
        <v>350</v>
      </c>
      <c r="ML37" s="267">
        <v>165.37</v>
      </c>
      <c r="MM37" s="267">
        <v>113.6</v>
      </c>
      <c r="MN37" s="267">
        <v>16.239999999999998</v>
      </c>
      <c r="MO37" s="267">
        <v>26.58</v>
      </c>
      <c r="MP37" s="274">
        <v>0.23400000000000001</v>
      </c>
      <c r="MQ37"/>
      <c r="MR37"/>
      <c r="MS37"/>
    </row>
    <row r="38" spans="1:357" ht="15" thickBot="1" x14ac:dyDescent="0.35">
      <c r="A38" s="184" t="str">
        <f>Sheet3!A38</f>
        <v>28.12.2022</v>
      </c>
      <c r="B38" s="186">
        <f t="shared" si="102"/>
        <v>0.93301691630968453</v>
      </c>
      <c r="C38" s="183">
        <f t="shared" si="168"/>
        <v>0.89799384451568987</v>
      </c>
      <c r="D38" s="183">
        <f t="shared" si="169"/>
        <v>0.88873327246900224</v>
      </c>
      <c r="E38" s="183">
        <f t="shared" si="170"/>
        <v>0.88088474064726963</v>
      </c>
      <c r="F38" s="183">
        <f t="shared" si="171"/>
        <v>0.87133954521469326</v>
      </c>
      <c r="G38" s="183">
        <f t="shared" si="172"/>
        <v>0.86626025069135337</v>
      </c>
      <c r="H38" s="183">
        <f t="shared" si="173"/>
        <v>0.85776236272163686</v>
      </c>
      <c r="I38" s="183">
        <f t="shared" si="174"/>
        <v>0.85129067597512553</v>
      </c>
      <c r="J38" s="183">
        <f t="shared" si="175"/>
        <v>0.84254369869389933</v>
      </c>
      <c r="K38" s="186">
        <f xml:space="preserve"> (6.057 * (10^(-6)))
+ (4.055 * (10^(-8)) * (Sheet3!DF38 + 273))
+ (1.25 * (10^(-10)) * (Sheet3!DF38 + 273)^2)
- (3.367 * (10^(-14)) * (DD38 + 273)^3)</f>
        <v>4.8622592618521153E-5</v>
      </c>
      <c r="L38" s="183">
        <f xml:space="preserve"> (6.057 * (10^(-6)))
+ (4.055 * (10^(-8)) * (Sheet3!BZ38 + 273))
+ (1.25 * (10^(-10)) * (Sheet3!BZ38 + 273)^2)
- (3.367 * (10^(-14)) * (BX38 + 273)^3)</f>
        <v>4.4232711418990693E-5</v>
      </c>
      <c r="M38" s="183">
        <f xml:space="preserve"> (6.057 * (10^(-6)))
+ (4.055 * (10^(-8)) * (Sheet3!CA38 + 273))
+ (1.25 * (10^(-10)) * (Sheet3!CA38 + 273)^2)
- (3.367 * (10^(-14)) * (BY38 + 273)^3)</f>
        <v>4.3151158399559928E-5</v>
      </c>
      <c r="N38" s="183">
        <f xml:space="preserve"> (6.057 * (10^(-6)))
+ (4.055 * (10^(-8)) * (Sheet3!CB38 + 273))
+ (1.25 * (10^(-10)) * (Sheet3!CB38 + 273)^2)
- (3.367 * (10^(-14)) * (BZ38 + 273)^3)</f>
        <v>4.229856923024855E-5</v>
      </c>
      <c r="O38" s="183">
        <f xml:space="preserve"> (6.057 * (10^(-6)))
+ (4.055 * (10^(-8)) * (Sheet3!CC38 + 273))
+ (1.25 * (10^(-10)) * (Sheet3!CC38 + 273)^2)
- (3.367 * (10^(-14)) * (CA38 + 273)^3)</f>
        <v>4.1261169606584023E-5</v>
      </c>
      <c r="P38" s="183">
        <f xml:space="preserve"> (6.057 * (10^(-6)))
+ (4.055 * (10^(-8)) * (Sheet3!CD38 + 273))
+ (1.25 * (10^(-10)) * (Sheet3!CD38 + 273)^2)
- (3.367 * (10^(-14)) * (CB38 + 273)^3)</f>
        <v>4.074586558024196E-5</v>
      </c>
      <c r="Q38" s="183">
        <f xml:space="preserve"> (6.057 * (10^(-6)))
+ (4.055 * (10^(-8)) * (Sheet3!CE38 + 273))
+ (1.25 * (10^(-10)) * (Sheet3!CE38 + 273)^2)
- (3.367 * (10^(-14)) * (CC38 + 273)^3)</f>
        <v>3.9870555714563663E-5</v>
      </c>
      <c r="R38" s="183">
        <f xml:space="preserve"> (6.057 * (10^(-6)))
+ (4.055 * (10^(-8)) * (Sheet3!CF38 + 273))
+ (1.25 * (10^(-10)) * (Sheet3!CF38 + 273)^2)
- (3.367 * (10^(-14)) * (CD38 + 273)^3)</f>
        <v>3.9251555450022363E-5</v>
      </c>
      <c r="S38" s="183">
        <f xml:space="preserve"> (6.057 * (10^(-6)))
+ (4.055 * (10^(-8)) * (Sheet3!CG38 + 273))
+ (1.25 * (10^(-10)) * (Sheet3!CG38 + 273)^2)
- (3.367 * (10^(-14)) * (CE38 + 273)^3)</f>
        <v>3.8387538637388229E-5</v>
      </c>
      <c r="T38" s="188">
        <f t="shared" si="104"/>
        <v>4.8622592618521153E-5</v>
      </c>
      <c r="U38" s="165">
        <f t="shared" si="105"/>
        <v>4.4232711418990693E-5</v>
      </c>
      <c r="V38" s="165">
        <f t="shared" si="106"/>
        <v>4.3151158399559928E-5</v>
      </c>
      <c r="W38" s="165">
        <f t="shared" si="107"/>
        <v>4.229856923024855E-5</v>
      </c>
      <c r="X38" s="165">
        <f t="shared" si="108"/>
        <v>4.1261169606584023E-5</v>
      </c>
      <c r="Y38" s="165">
        <f t="shared" si="109"/>
        <v>4.074586558024196E-5</v>
      </c>
      <c r="Z38" s="165">
        <f t="shared" si="110"/>
        <v>3.9870555714563663E-5</v>
      </c>
      <c r="AA38" s="165">
        <f t="shared" si="111"/>
        <v>3.9251555450022363E-5</v>
      </c>
      <c r="AB38" s="165">
        <f t="shared" si="112"/>
        <v>3.8387538637388229E-5</v>
      </c>
      <c r="AC38" s="186">
        <f t="shared" si="176"/>
        <v>4.5365701427914636E-5</v>
      </c>
      <c r="AD38" s="183">
        <f t="shared" si="177"/>
        <v>3.9720702580492508E-5</v>
      </c>
      <c r="AE38" s="183">
        <f t="shared" si="178"/>
        <v>3.834987021526917E-5</v>
      </c>
      <c r="AF38" s="183">
        <f t="shared" si="179"/>
        <v>3.7260164186138073E-5</v>
      </c>
      <c r="AG38" s="183">
        <f t="shared" si="180"/>
        <v>3.5952488760027246E-5</v>
      </c>
      <c r="AH38" s="183">
        <f t="shared" si="181"/>
        <v>3.5296523732176587E-5</v>
      </c>
      <c r="AI38" s="183">
        <f t="shared" si="182"/>
        <v>3.4199462072748786E-5</v>
      </c>
      <c r="AJ38" s="183">
        <f t="shared" si="183"/>
        <v>3.3414483172124661E-5</v>
      </c>
      <c r="AK38" s="183">
        <f t="shared" si="184"/>
        <v>3.2343178787300047E-5</v>
      </c>
      <c r="AL38" s="186">
        <f t="shared" si="113"/>
        <v>3.770315172407903E-2</v>
      </c>
      <c r="AM38" s="183">
        <f t="shared" si="114"/>
        <v>3.5130493848495342E-2</v>
      </c>
      <c r="AN38" s="183">
        <f t="shared" si="115"/>
        <v>3.4471430443787719E-2</v>
      </c>
      <c r="AO38" s="183">
        <f t="shared" si="116"/>
        <v>3.3946831802749086E-2</v>
      </c>
      <c r="AP38" s="183">
        <f t="shared" si="117"/>
        <v>3.3298884872667703E-2</v>
      </c>
      <c r="AQ38" s="183">
        <f t="shared" si="118"/>
        <v>3.297422638435657E-2</v>
      </c>
      <c r="AR38" s="183">
        <f t="shared" si="119"/>
        <v>3.2416639479112837E-2</v>
      </c>
      <c r="AS38" s="183">
        <f t="shared" si="120"/>
        <v>3.2018497667122586E-2</v>
      </c>
      <c r="AT38" s="183">
        <f t="shared" si="121"/>
        <v>3.1460759084772041E-2</v>
      </c>
      <c r="AU38" s="186">
        <f>_xlfn.FORECAST.LINEAR(Sheet3!DF38,Sheet2!$AH$2:$AH$40,Sheet2!$AG$2:$AG$40)</f>
        <v>4.852675892229126E-2</v>
      </c>
      <c r="AV38" s="183">
        <f>_xlfn.FORECAST.LINEAR(Sheet3!BZ38,Sheet2!$AH$2:$AH$40,Sheet2!$AG$2:$AG$40)</f>
        <v>4.1040356506904248E-2</v>
      </c>
      <c r="AW38" s="183">
        <f>_xlfn.FORECAST.LINEAR(Sheet3!CA38,Sheet2!$AH$2:$AH$40,Sheet2!$AG$2:$AG$40)</f>
        <v>3.9134798944017203E-2</v>
      </c>
      <c r="AX38" s="183">
        <f>_xlfn.FORECAST.LINEAR(Sheet3!CB38,Sheet2!$AH$2:$AH$40,Sheet2!$AG$2:$AG$40)</f>
        <v>3.7614877486962205E-2</v>
      </c>
      <c r="AY38" s="183">
        <f>_xlfn.FORECAST.LINEAR(Sheet3!CC38,Sheet2!$AH$2:$AH$40,Sheet2!$AG$2:$AG$40)</f>
        <v>3.5743625406969445E-2</v>
      </c>
      <c r="AZ38" s="183">
        <f>_xlfn.FORECAST.LINEAR(Sheet3!CD38,Sheet2!$AH$2:$AH$40,Sheet2!$AG$2:$AG$40)</f>
        <v>3.4804894463583327E-2</v>
      </c>
      <c r="BA38" s="183">
        <f>_xlfn.FORECAST.LINEAR(Sheet3!CE38,Sheet2!$AH$2:$AH$40,Sheet2!$AG$2:$AG$40)</f>
        <v>3.319592204491098E-2</v>
      </c>
      <c r="BB38" s="183">
        <f>_xlfn.FORECAST.LINEAR(Sheet3!CF38,Sheet2!$AH$2:$AH$40,Sheet2!$AG$2:$AG$40)</f>
        <v>3.2046799094828812E-2</v>
      </c>
      <c r="BC38" s="183">
        <f>_xlfn.FORECAST.LINEAR(Sheet3!CG38,Sheet2!$AH$2:$AH$40,Sheet2!$AG$2:$AG$40)</f>
        <v>3.0438573744927248E-2</v>
      </c>
      <c r="BD38" s="186">
        <f>_xlfn.FORECAST.LINEAR(Sheet3!DF38,Sheet2!$AB$12:$AB$37,Sheet2!$AA$12:$AA$37)/1000</f>
        <v>3.5620234805423978E-2</v>
      </c>
      <c r="BE38" s="183">
        <f>_xlfn.FORECAST.LINEAR(Sheet3!BZ38,Sheet2!$AB$12:$AB$37,Sheet2!$AA$12:$AA$37)/1000</f>
        <v>3.3946448509578224E-2</v>
      </c>
      <c r="BF38" s="183">
        <f>_xlfn.FORECAST.LINEAR(Sheet3!CA38,Sheet2!$AB$12:$AB$37,Sheet2!$AA$12:$AA$37)/1000</f>
        <v>3.3520409945561137E-2</v>
      </c>
      <c r="BG38" s="183">
        <f>_xlfn.FORECAST.LINEAR(Sheet3!CB38,Sheet2!$AB$12:$AB$37,Sheet2!$AA$12:$AA$37)/1000</f>
        <v>3.3180590688670561E-2</v>
      </c>
      <c r="BH38" s="183">
        <f>_xlfn.FORECAST.LINEAR(Sheet3!CC38,Sheet2!$AB$12:$AB$37,Sheet2!$AA$12:$AA$37)/1000</f>
        <v>3.2762222036575757E-2</v>
      </c>
      <c r="BI38" s="183">
        <f>_xlfn.FORECAST.LINEAR(Sheet3!CD38,Sheet2!$AB$12:$AB$37,Sheet2!$AA$12:$AA$37)/1000</f>
        <v>3.2552343525998145E-2</v>
      </c>
      <c r="BJ38" s="183">
        <f>_xlfn.FORECAST.LINEAR(Sheet3!CE38,Sheet2!$AB$12:$AB$37,Sheet2!$AA$12:$AA$37)/1000</f>
        <v>3.2192614535310658E-2</v>
      </c>
      <c r="BK38" s="183">
        <f>_xlfn.FORECAST.LINEAR(Sheet3!CF38,Sheet2!$AB$12:$AB$37,Sheet2!$AA$12:$AA$37)/1000</f>
        <v>3.1935697241880612E-2</v>
      </c>
      <c r="BL38" s="183">
        <f>_xlfn.FORECAST.LINEAR(Sheet3!CG38,Sheet2!$AB$12:$AB$37,Sheet2!$AA$12:$AA$37)/1000</f>
        <v>3.1576135278478218E-2</v>
      </c>
      <c r="BM38" s="186">
        <f t="shared" si="122"/>
        <v>0.74269769889272963</v>
      </c>
      <c r="BN38" s="183">
        <f t="shared" si="123"/>
        <v>0.79496907008011741</v>
      </c>
      <c r="BO38" s="183">
        <f t="shared" si="124"/>
        <v>0.80956786534098302</v>
      </c>
      <c r="BP38" s="183">
        <f t="shared" si="125"/>
        <v>0.82152064469861386</v>
      </c>
      <c r="BQ38" s="183">
        <f t="shared" si="126"/>
        <v>0.83683906015671095</v>
      </c>
      <c r="BR38" s="183">
        <f t="shared" si="127"/>
        <v>0.84468413059927561</v>
      </c>
      <c r="BS38" s="183">
        <f t="shared" si="128"/>
        <v>0.85858964928322423</v>
      </c>
      <c r="BT38" s="183">
        <f t="shared" si="129"/>
        <v>0.86872166477830748</v>
      </c>
      <c r="BU38" s="183">
        <f t="shared" si="130"/>
        <v>0.88341762735968987</v>
      </c>
      <c r="BV38" s="186">
        <f t="shared" si="222"/>
        <v>1.1190202540536507</v>
      </c>
      <c r="BW38" s="183">
        <f t="shared" si="223"/>
        <v>1.1125437578844135</v>
      </c>
      <c r="BX38" s="183">
        <f t="shared" si="224"/>
        <v>1.1103046171696833</v>
      </c>
      <c r="BY38" s="183">
        <f t="shared" si="225"/>
        <v>1.1090113799977996</v>
      </c>
      <c r="BZ38" s="183">
        <f t="shared" si="226"/>
        <v>1.1067735907352856</v>
      </c>
      <c r="CA38" s="183">
        <f t="shared" si="227"/>
        <v>1.1059827296788938</v>
      </c>
      <c r="CB38" s="183">
        <f t="shared" si="228"/>
        <v>1.1039847326833612</v>
      </c>
      <c r="CC38" s="183">
        <f t="shared" si="229"/>
        <v>1.1030254933099601</v>
      </c>
      <c r="CD38" s="183">
        <f t="shared" si="230"/>
        <v>1.1010839567951045</v>
      </c>
      <c r="CE38" s="187">
        <f xml:space="preserve"> -0.0000000019505*Sheet3!DF38^3 + 0.0000015497*Sheet3!DF38^2  + 0.00016911*Sheet3!DF38 + 1.8585</f>
        <v>1.9251003515625</v>
      </c>
      <c r="CF38" s="185">
        <f xml:space="preserve"> -0.0000000019505*Sheet3!BZ38^3 + 0.0000015497*Sheet3!BZ38^2  + 0.00016911*Sheet3!BZ38 + 1.8585</f>
        <v>1.9099262034154578</v>
      </c>
      <c r="CG38" s="185">
        <f xml:space="preserve"> -0.0000000019505*Sheet3!CA38^3 + 0.0000015497*Sheet3!CA38^2  + 0.00016911*Sheet3!CA38 + 1.8585</f>
        <v>1.9062453931247318</v>
      </c>
      <c r="CH38" s="185">
        <f xml:space="preserve"> -0.0000000019505*Sheet3!CB38^3 + 0.0000015497*Sheet3!CB38^2  + 0.00016911*Sheet3!CB38 + 1.8585</f>
        <v>1.9033690518191102</v>
      </c>
      <c r="CI38" s="185">
        <f xml:space="preserve"> -0.0000000019505*Sheet3!CC38^3 + 0.0000015497*Sheet3!CC38^2  + 0.00016911*Sheet3!CC38 + 1.8585</f>
        <v>1.8999044382647923</v>
      </c>
      <c r="CJ38" s="185">
        <f xml:space="preserve"> -0.0000000019505*Sheet3!CD38^3 + 0.0000015497*Sheet3!CD38^2  + 0.00016911*Sheet3!CD38 + 1.8585</f>
        <v>1.8981995793878472</v>
      </c>
      <c r="CK38" s="185">
        <f xml:space="preserve"> -0.0000000019505*Sheet3!CE38^3 + 0.0000015497*Sheet3!CE38^2  + 0.00016911*Sheet3!CE38 + 1.8585</f>
        <v>1.8953312139322269</v>
      </c>
      <c r="CL38" s="185">
        <f xml:space="preserve"> -0.0000000019505*Sheet3!CF38^3 + 0.0000015497*Sheet3!CF38^2  + 0.00016911*Sheet3!CF38 + 1.8585</f>
        <v>1.8933255792781112</v>
      </c>
      <c r="CM38" s="185">
        <f xml:space="preserve"> -0.0000000019505*Sheet3!CG38^3 + 0.0000015497*Sheet3!CG38^2  + 0.00016911*Sheet3!CG38 + 1.8585</f>
        <v>1.8905810289354874</v>
      </c>
      <c r="CN38" s="186">
        <f>_xlfn.FORECAST.LINEAR(Sheet3!DF38,New!$LU$2:$LU$14,New!$LT$2:$LT$14)</f>
        <v>1.0294557987748898</v>
      </c>
      <c r="CO38" s="183">
        <f>_xlfn.FORECAST.LINEAR(Sheet3!BZ38,New!$LU$2:$LU$14,New!$LT$2:$LT$14)</f>
        <v>1.0239457083809642</v>
      </c>
      <c r="CP38" s="183">
        <f>_xlfn.FORECAST.LINEAR(Sheet3!CA38,New!$LU$2:$LU$14,New!$LT$2:$LT$14)</f>
        <v>1.0225431930151383</v>
      </c>
      <c r="CQ38" s="183">
        <f>_xlfn.FORECAST.LINEAR(Sheet3!CB38,New!$LU$2:$LU$14,New!$LT$2:$LT$14)</f>
        <v>1.0214245108824724</v>
      </c>
      <c r="CR38" s="183">
        <f>_xlfn.FORECAST.LINEAR(Sheet3!CC38,New!$LU$2:$LU$14,New!$LT$2:$LT$14)</f>
        <v>1.0200472448021201</v>
      </c>
      <c r="CS38" s="183">
        <f>_xlfn.FORECAST.LINEAR(Sheet3!CD38,New!$LU$2:$LU$14,New!$LT$2:$LT$14)</f>
        <v>1.0193563265123149</v>
      </c>
      <c r="CT38" s="183">
        <f>_xlfn.FORECAST.LINEAR(Sheet3!CE38,New!$LU$2:$LU$14,New!$LT$2:$LT$14)</f>
        <v>1.0181721017036141</v>
      </c>
      <c r="CU38" s="183">
        <f>_xlfn.FORECAST.LINEAR(Sheet3!CF38,New!$LU$2:$LU$14,New!$LT$2:$LT$14)</f>
        <v>1.0173263321366892</v>
      </c>
      <c r="CV38" s="183">
        <f>_xlfn.FORECAST.LINEAR(Sheet3!CG38,New!$LU$2:$LU$14,New!$LT$2:$LT$14)</f>
        <v>1.0161426571804049</v>
      </c>
      <c r="CW38" s="186">
        <f>EXP((17.625*Sheet3!BA38)/(243.04+Sheet3!BA38)) / EXP((17.625*Sheet3!DF38)/(243.04+Sheet3!DF38))</f>
        <v>1.4318106898854498E-2</v>
      </c>
      <c r="CX38" s="183">
        <f>EXP((17.625*(Sheet3!BC38+273))/(243.04+(Sheet3!BC38+273)))/EXP((17.625*(Sheet3!BZ38+273))/(243.04+(Sheet3!BZ38+273)))</f>
        <v>0.34668884225672769</v>
      </c>
      <c r="CY38" s="183">
        <f>EXP((17.625*(Sheet3!BE38+273))/(243.04+(Sheet3!BE38+273))) / EXP((17.625*(Sheet3!CA38+273))/(243.04+(Sheet3!CA38+273)))</f>
        <v>0.37319674146765336</v>
      </c>
      <c r="CZ38" s="183">
        <f>EXP((17.625*(Sheet3!BG38+273))/(243.04+(Sheet3!BG38+273))) / EXP((17.625*(Sheet3!CB38+273))/(243.04+(Sheet3!CB38+273)))</f>
        <v>0.39578883267346848</v>
      </c>
      <c r="DA38" s="183">
        <f>EXP((17.625*(Sheet3!BI38+273))/(243.04+(Sheet3!BI38+273))) / EXP((17.625*(Sheet3!CC38+273))/(243.04+(Sheet3!CC38+273)))</f>
        <v>0.42599626616294373</v>
      </c>
      <c r="DB38" s="183">
        <f>EXP((17.625*(Sheet3!BK38+273))/(243.04+(Sheet3!BK38+273)))/EXP((17.625*(Sheet3!CD38+273))/(243.04+(Sheet3!CD38+273)))</f>
        <v>0.4428331577003915</v>
      </c>
      <c r="DC38" s="183">
        <f>EXP((17.625*(Sheet3!BM38+273))/(243.04+(Sheet3!BM38+273))) / EXP((17.625*(Sheet3!CE38+273))/(243.04+(Sheet3!CE38+273)))</f>
        <v>0.47261071468650606</v>
      </c>
      <c r="DD38" s="183">
        <f>EXP((17.625*(Sheet3!BO38+273))/(243.04+(Sheet3!BO38+273))) / EXP((17.625*(Sheet3!CF38+273))/(243.04+(Sheet3!CF38+273)))</f>
        <v>0.49636509009033325</v>
      </c>
      <c r="DE38" s="183">
        <f>EXP((17.625*(Sheet3!BQ38+273))/(243.04+(Sheet3!BQ38+273))) / EXP((17.625*(Sheet3!CG38+273))/(243.04+(Sheet3!CG38+273)))</f>
        <v>0.53104555312158153</v>
      </c>
      <c r="DF38" s="186">
        <f>((Sheet3!DA38-Sheet3!DB38)/New!$LQ$3)/(((Sheet3!DA38-Sheet3!DB38)/New!$LQ$3)+(Sheet3!DB38/New!$LP$3))</f>
        <v>0.84845234045893403</v>
      </c>
      <c r="DG38" s="183">
        <f>((Sheet3!DA38-Sheet3!DB38)/New!$LQ$3)/(((Sheet3!DA38-Sheet3!DB38)/New!$LQ$3)+((Sheet3!DB38-(Sheet3!B38*0.004))/New!$LP$3))</f>
        <v>0.84845234045893403</v>
      </c>
      <c r="DH38" s="183" cm="1">
        <f t="array" ref="DH38">((Sheet3!DA38-Sheet3!DB38)/New!$LQ$3)/(((Sheet3!DA38-Sheet3!DB38)/New!$LQ$3)+((Sheet3!DB38-(SUM(Sheet3!B38:C38*0.004)))/New!$LP$3))</f>
        <v>0.85329388248214444</v>
      </c>
      <c r="DI38" s="183" cm="1">
        <f t="array" ref="DI38">((Sheet3!DA38-Sheet3!DB38)/New!$LQ$3)/(((Sheet3!DA38-Sheet3!DB38)/New!$LQ$3)+((Sheet3!DB38-(SUM(Sheet3!B38:D38*0.004)))/New!$LP$3))</f>
        <v>0.85329388248214444</v>
      </c>
      <c r="DJ38" s="183" cm="1">
        <f t="array" ref="DJ38">((Sheet3!DA38-Sheet3!DB38)/New!$LQ$3)/(((Sheet3!DA38-Sheet3!DB38)/New!$LQ$3)+((Sheet3!DB38-(SUM(Sheet3!B38:E38*0.004)))/New!$LP$3))</f>
        <v>0.85858056012333128</v>
      </c>
      <c r="DK38" s="183" cm="1">
        <f t="array" ref="DK38">((Sheet3!DA38-Sheet3!DB38)/New!$LQ$3)/(((Sheet3!DA38-Sheet3!DB38)/New!$LQ$3)+((Sheet3!DB38-(SUM(Sheet3!B38:F38*0.004)))/New!$LP$3))</f>
        <v>0.85858056012333128</v>
      </c>
      <c r="DL38" s="183" cm="1">
        <f t="array" ref="DL38">((Sheet3!DA38-Sheet3!DB38)/New!$LQ$3)/(((Sheet3!DA38-Sheet3!DB38)/New!$LQ$3)+((Sheet3!DB38-(SUM(Sheet3!B38:G38*0.004)))/New!$LP$3))</f>
        <v>0.86391182454110749</v>
      </c>
      <c r="DM38" s="183" cm="1">
        <f t="array" ref="DM38">((Sheet3!DA38-Sheet3!DB38)/New!$LQ$3)/(((Sheet3!DA38-Sheet3!DB38)/New!$LQ$3)+((Sheet3!DB38-(SUM(Sheet3!B38:H38*0.004)))/New!$LP$3))</f>
        <v>0.86391182454110749</v>
      </c>
      <c r="DN38" s="183" cm="1">
        <f t="array" ref="DN38">((Sheet3!DA38-Sheet3!DB38)/New!$LQ$3)/(((Sheet3!DA38-Sheet3!DB38)/New!$LQ$3)+((Sheet3!DB38-(SUM(Sheet3!B38:I38*0.004)))/New!$LP$3))</f>
        <v>0.86897508783511324</v>
      </c>
      <c r="DO38" s="186">
        <f>(Sheet3!DB38/$LP$3) / ((Sheet3!DB38/$LP$3) + ((Sheet3!DA38-Sheet3!DB38)/$LQ$3))</f>
        <v>0.15154765954106597</v>
      </c>
      <c r="DP38" s="183">
        <f>((Sheet3!$DB38-(Sheet3!B38/4000)) / $LP$3) / (((Sheet3!$DA38-Sheet3!DB38) / $LQ$3) + (Sheet3!$DB38-((Sheet3!B38/4000)))/$LP$3)</f>
        <v>0.15154765954106597</v>
      </c>
      <c r="DQ38" s="183">
        <f>((Sheet3!$DB38-(SUM(Sheet3!B38:C38)/4000))/$LP$3)/(((Sheet3!$DA38-Sheet3!$DB38)/$LQ$3)+(Sheet3!$DB38-(SUM(Sheet3!B38:C38)/4000))/$LP$3)</f>
        <v>0.15124667334343894</v>
      </c>
      <c r="DR38" s="183">
        <f>((Sheet3!$DB38-(SUM(Sheet3!B38:D38)/4000))/$LP$3)/(((Sheet3!$DA38-Sheet3!$DB38)/$LQ$3)+(Sheet3!$DB38-(SUM(Sheet3!B38:D38)/4000))/$LP$3)</f>
        <v>0.15124667334343894</v>
      </c>
      <c r="DS38" s="183">
        <f>((Sheet3!$DB38-(SUM(Sheet3!B38:E38)/4000))/$LP$3)/(((Sheet3!$DA38-Sheet3!$DB38)/$LQ$3)+(Sheet3!$DB38-(SUM(Sheet3!B38:E38)/4000))/$LP$3)</f>
        <v>0.15092165159665144</v>
      </c>
      <c r="DT38" s="183">
        <f>((Sheet3!$DB38-(SUM(Sheet3!B38:F38)/4000))/$LP$3)/(((Sheet3!$DA38-Sheet3!$DB38)/$LQ$3)+(Sheet3!$DB38-(SUM(Sheet3!B38:F38)/4000))/$LP$3)</f>
        <v>0.15092165159665144</v>
      </c>
      <c r="DU38" s="183">
        <f>((Sheet3!$DB38-(SUM(Sheet3!B38:G38)/4000))/$LP$3)/(((Sheet3!$DA38-Sheet3!$DB38)/$LQ$3)+(Sheet3!$DB38-(SUM(Sheet3!B38:G38)/4000))/$LP$3)</f>
        <v>0.15059766951934109</v>
      </c>
      <c r="DV38" s="183">
        <f>((Sheet3!$DB38-(SUM(Sheet3!B38:H38)/4000))/$LP$3)/(((Sheet3!$DA38-Sheet3!$DB38)/$LQ$3)+(Sheet3!$DB38-(SUM(Sheet3!B38:H38)/4000))/$LP$3)</f>
        <v>0.15059766951934109</v>
      </c>
      <c r="DW38" s="183">
        <f>((Sheet3!$DB38-(SUM(Sheet3!B38:I38)/4000))/$LP$3)/(((Sheet3!$DA38-Sheet3!$DB38)/$LQ$3)+(Sheet3!$DB38-(SUM(Sheet3!B38:I38)/4000))/$LP$3)</f>
        <v>0.15029342959157627</v>
      </c>
      <c r="DX38" s="186">
        <f>($LR$2*($LP$3/1000))/($LP$2*(Sheet3!DF38+273))*DO38</f>
        <v>7.426976988927296E-2</v>
      </c>
      <c r="DY38" s="183">
        <f>(($LR$2*($LP$3/1000))/($LP$2*(Sheet3!BZ38+273)))*(DP38)</f>
        <v>7.9496907008011736E-2</v>
      </c>
      <c r="DZ38" s="183">
        <f>(($LR$2*($LP$3/1000))/($LP$2*(Sheet3!CA38+273)))*(DQ38)</f>
        <v>8.078625163649146E-2</v>
      </c>
      <c r="EA38" s="183">
        <f>(($LR$2*($LP$3/1000))/($LP$2*(Sheet3!CB38+273)))*(DR38)</f>
        <v>8.1979011727746215E-2</v>
      </c>
      <c r="EB38" s="183">
        <f>(($LR$2*($LP$3/1000))/($LP$2*(Sheet3!CC38+273)))*(DS38)</f>
        <v>8.3317317687960038E-2</v>
      </c>
      <c r="EC38" s="183">
        <f>(($LR$2*($LP$3/1000))/($LP$2*(Sheet3!CD38+273)))*(DT38)</f>
        <v>8.4098388096199794E-2</v>
      </c>
      <c r="ED38" s="183">
        <f>(($LR$2*($LP$3/1000))/($LP$2*(Sheet3!CE38+273)))*(DU38)</f>
        <v>8.528826850931126E-2</v>
      </c>
      <c r="EE38" s="183">
        <f>(($LR$2*($LP$3/1000))/($LP$2*(Sheet3!CF38+273)))*(DV38)</f>
        <v>8.6294735403952466E-2</v>
      </c>
      <c r="EF38" s="183">
        <f>(($LR$2*($LP$3/1000))/($LP$2*(Sheet3!CG38+273)))*(DW38)</f>
        <v>8.7566603839059884E-2</v>
      </c>
      <c r="EG38" s="186">
        <f>(($LR$2*($LQ$3/1000))/($LQ$2*(Sheet3!DF38+273)))*(1-DO38)</f>
        <v>0.66842792900345671</v>
      </c>
      <c r="EH38" s="183">
        <f>(($LR$2*($LQ$3/1000))/($LQ$2*(Sheet3!BZ38+273)))*(1-DP38)</f>
        <v>0.7154721630721057</v>
      </c>
      <c r="EI38" s="183">
        <f>(($LR$2*($LQ$3/1000))/($LQ$2*(Sheet3!CA38+273)))*(1-DQ38)</f>
        <v>0.72878161370449157</v>
      </c>
      <c r="EJ38" s="183">
        <f>(($LR$2*($LQ$3/1000))/($LQ$2*(Sheet3!CB38+273)))*(1-DR38)</f>
        <v>0.73954163297086761</v>
      </c>
      <c r="EK38" s="183">
        <f>(($LR$2*($LQ$3/1000))/($LQ$2*(Sheet3!CC38+273)))*(1-DS38)</f>
        <v>0.75352174246875092</v>
      </c>
      <c r="EL38" s="183">
        <f>(($LR$2*($LQ$3/1000))/($LQ$2*(Sheet3!CD38+273)))*(1-DT38)</f>
        <v>0.76058574250307587</v>
      </c>
      <c r="EM38" s="183">
        <f>(($LR$2*($LQ$3/1000))/($LQ$2*(Sheet3!CE38+273)))*(1-DU38)</f>
        <v>0.77330138077391297</v>
      </c>
      <c r="EN38" s="183">
        <f>(($LR$2*($LQ$3/1000))/($LQ$2*(Sheet3!CF38+273)))*(1-DV38)</f>
        <v>0.78242692937435498</v>
      </c>
      <c r="EO38" s="183">
        <f>(($LR$2*($LQ$3/1000))/($LQ$2*(Sheet3!CG38+273)))*(1-DW38)</f>
        <v>0.79585102352062997</v>
      </c>
      <c r="EP38" s="186">
        <f t="shared" si="132"/>
        <v>9806.625908973585</v>
      </c>
      <c r="EQ38" s="183">
        <f xml:space="preserve"> (($FV38-(Sheet3!B38/4000))*0.018)/(0.011*JO38*3600)</f>
        <v>10343.893982469606</v>
      </c>
      <c r="ER38" s="183">
        <f>((($FV38-(SUM(Sheet3!B38:C38)/4000))*0.018)/(0.011*JP38*3600))</f>
        <v>10486.479320559778</v>
      </c>
      <c r="ES38" s="183">
        <f>((($FV38-(SUM(Sheet3!B38:D38)/4000))*0.018)/(0.011*JQ38*3600))</f>
        <v>10606.252066886755</v>
      </c>
      <c r="ET38" s="183">
        <f>((($FV38-(SUM(Sheet3!B38:E38)/4000))*0.018)/(0.011*JR38))/3600</f>
        <v>10753.305203267309</v>
      </c>
      <c r="EU38" s="183">
        <f>((($FV38-(SUM(Sheet3!B38:F38)/4000))*0.018)/(0.011*JS38))/3600</f>
        <v>10830.840176146898</v>
      </c>
      <c r="EV38" s="183">
        <f>((($FV38-(SUM(Sheet3!B38:G38)/4000))*0.018)/(0.011*JT38))/3600</f>
        <v>10962.041075260615</v>
      </c>
      <c r="EW38" s="183">
        <f>((($FV38-(SUM(Sheet3!B38:H38)/4000))*0.018)/(0.011*JU38))/3600</f>
        <v>11060.939182983513</v>
      </c>
      <c r="EX38" s="183">
        <f>((($FV38-(SUM(Sheet3!B38:I38)/4000))*0.018)/(0.011*JV38))/3600</f>
        <v>11198.2161879347</v>
      </c>
      <c r="EY38" s="186">
        <f t="shared" si="133"/>
        <v>77.182137154016672</v>
      </c>
      <c r="EZ38" s="183">
        <f t="shared" si="134"/>
        <v>80.151807716228447</v>
      </c>
      <c r="FA38" s="183">
        <f t="shared" si="135"/>
        <v>80.933450084675641</v>
      </c>
      <c r="FB38" s="183">
        <f t="shared" si="136"/>
        <v>81.597183383438903</v>
      </c>
      <c r="FC38" s="183">
        <f t="shared" si="137"/>
        <v>82.403854665445962</v>
      </c>
      <c r="FD38" s="183">
        <f t="shared" si="138"/>
        <v>82.834268688016365</v>
      </c>
      <c r="FE38" s="183">
        <f t="shared" si="139"/>
        <v>83.553815524285739</v>
      </c>
      <c r="FF38" s="183">
        <f t="shared" si="140"/>
        <v>84.103810264749626</v>
      </c>
      <c r="FG38" s="183">
        <f t="shared" si="141"/>
        <v>84.858837863788821</v>
      </c>
      <c r="FH38" s="186">
        <f t="shared" si="185"/>
        <v>161.66721263925379</v>
      </c>
      <c r="FI38" s="183">
        <f t="shared" si="186"/>
        <v>156.4318104400414</v>
      </c>
      <c r="FJ38" s="183">
        <f t="shared" si="187"/>
        <v>154.99398862053675</v>
      </c>
      <c r="FK38" s="183">
        <f t="shared" si="188"/>
        <v>153.88699221642628</v>
      </c>
      <c r="FL38" s="183">
        <f t="shared" si="189"/>
        <v>152.44202608715148</v>
      </c>
      <c r="FM38" s="183">
        <f t="shared" si="190"/>
        <v>151.74421822784836</v>
      </c>
      <c r="FN38" s="183">
        <f t="shared" si="191"/>
        <v>150.47410638639292</v>
      </c>
      <c r="FO38" s="183">
        <f t="shared" si="192"/>
        <v>149.6043140421115</v>
      </c>
      <c r="FP38" s="183">
        <f t="shared" si="193"/>
        <v>148.31796968035511</v>
      </c>
      <c r="FQ38" s="314">
        <f>Sheet3!CV38</f>
        <v>2</v>
      </c>
      <c r="FR38" s="183">
        <v>10000</v>
      </c>
      <c r="FS38" s="183">
        <v>10</v>
      </c>
      <c r="FT38" s="183">
        <v>0.12843956043956045</v>
      </c>
      <c r="FU38" s="183">
        <v>15.41</v>
      </c>
      <c r="FV38" s="183">
        <v>500</v>
      </c>
      <c r="FW38" s="183">
        <v>50</v>
      </c>
      <c r="FX38" s="183">
        <v>999</v>
      </c>
      <c r="FY38" s="183">
        <v>8.32</v>
      </c>
      <c r="FZ38" s="183">
        <v>10.62</v>
      </c>
      <c r="GA38" s="183">
        <v>175</v>
      </c>
      <c r="GB38" s="186">
        <f>EXP($LP$6-($LQ$6/('Trial and Error method'!T38+$LP$8))) / ($LR$2/1000)</f>
        <v>3.2752613098502872E-2</v>
      </c>
      <c r="GC38" s="183">
        <f>EXP($LP$6-($LQ$6/('Trial and Error method'!U38+$LP$8))) / ($LR$2/1000)</f>
        <v>6.8401183361562382E-2</v>
      </c>
      <c r="GD38" s="183">
        <f>EXP($LP$6-($LQ$6/('Trial and Error method'!V38+$LP$8))) / ($LR$2/1000)</f>
        <v>6.5113346832535973E-2</v>
      </c>
      <c r="GE38" s="183">
        <f>EXP($LP$6-($LQ$6/('Trial and Error method'!W38+$LP$8))) / ($LR$2/1000)</f>
        <v>6.0959854995320639E-2</v>
      </c>
      <c r="GF38" s="183">
        <f>EXP($LP$6-($LQ$6/('Trial and Error method'!X38+$LP$8))) / ($LR$2/1000)</f>
        <v>5.5730206949339667E-2</v>
      </c>
      <c r="GG38" s="183">
        <f>EXP($LP$6-($LQ$6/('Trial and Error method'!Y38+$LP$8))) / ($LR$2/1000)</f>
        <v>5.0556217847852331E-2</v>
      </c>
      <c r="GH38" s="183">
        <f>EXP($LP$6-($LQ$6/('Trial and Error method'!Z38+$LP$8))) / ($LR$2/1000)</f>
        <v>4.4885049699683634E-2</v>
      </c>
      <c r="GI38" s="183">
        <f>EXP($LP$6-($LQ$6/('Trial and Error method'!AA38+$LP$8))) / ($LR$2/1000)</f>
        <v>3.9617927583697969E-2</v>
      </c>
      <c r="GJ38" s="183">
        <f>EXP($LP$6-($LQ$6/('Trial and Error method'!AB38+$LP$8))) / ($LR$2/1000)</f>
        <v>3.4469655888223177E-2</v>
      </c>
      <c r="GK38" s="188">
        <f t="shared" si="142"/>
        <v>0.90655298914118576</v>
      </c>
      <c r="GL38" s="165">
        <f t="shared" si="143"/>
        <v>0.8893779039560642</v>
      </c>
      <c r="GM38" s="165">
        <f t="shared" si="144"/>
        <v>0.89112631767842632</v>
      </c>
      <c r="GN38" s="165">
        <f t="shared" si="145"/>
        <v>0.89313627689800934</v>
      </c>
      <c r="GO38" s="165">
        <f t="shared" si="146"/>
        <v>0.8958313054385163</v>
      </c>
      <c r="GP38" s="165">
        <f t="shared" si="147"/>
        <v>0.89832681682406967</v>
      </c>
      <c r="GQ38" s="165">
        <f t="shared" si="148"/>
        <v>0.90122554752691053</v>
      </c>
      <c r="GR38" s="165">
        <f t="shared" si="149"/>
        <v>0.90375681039125999</v>
      </c>
      <c r="GS38" s="165">
        <f t="shared" si="150"/>
        <v>0.90638540038830273</v>
      </c>
      <c r="GT38" s="188">
        <f t="shared" si="194"/>
        <v>0.1038245775637423</v>
      </c>
      <c r="GU38" s="165">
        <f t="shared" si="195"/>
        <v>0.10565947225876984</v>
      </c>
      <c r="GV38" s="165">
        <f t="shared" si="196"/>
        <v>0.10541963819410179</v>
      </c>
      <c r="GW38" s="165">
        <f t="shared" si="197"/>
        <v>0.10517305680602969</v>
      </c>
      <c r="GX38" s="165">
        <f t="shared" si="198"/>
        <v>0.10484082955956729</v>
      </c>
      <c r="GY38" s="165">
        <f t="shared" si="199"/>
        <v>0.10455213213914463</v>
      </c>
      <c r="GZ38" s="165">
        <f t="shared" si="200"/>
        <v>0.10421324739517521</v>
      </c>
      <c r="HA38" s="165">
        <f t="shared" si="201"/>
        <v>0.1039339521599647</v>
      </c>
      <c r="HB38" s="165">
        <f t="shared" si="202"/>
        <v>0.10363374387618557</v>
      </c>
      <c r="HC38" s="188">
        <f>BV38*Sheet3!DF38</f>
        <v>195.82854445938887</v>
      </c>
      <c r="HD38" s="165">
        <f>BW38*Sheet3!BZ38</f>
        <v>161.92271768984173</v>
      </c>
      <c r="HE38" s="165">
        <f>BX38*Sheet3!CA38</f>
        <v>153.27185599318048</v>
      </c>
      <c r="HF38" s="165">
        <f>BY38*Sheet3!CB38</f>
        <v>146.4608557184834</v>
      </c>
      <c r="HG38" s="165">
        <f>BZ38*Sheet3!CC38</f>
        <v>138.0162246179959</v>
      </c>
      <c r="HH38" s="165">
        <f>CA38*Sheet3!CD38</f>
        <v>133.83245333578969</v>
      </c>
      <c r="HI38" s="165">
        <f>CB38*Sheet3!CE38</f>
        <v>126.60143672586958</v>
      </c>
      <c r="HJ38" s="165">
        <f>CC38*Sheet3!CF38</f>
        <v>121.50407608989478</v>
      </c>
      <c r="HK38" s="165">
        <f>CD38*Sheet3!CG38</f>
        <v>114.32256333199885</v>
      </c>
      <c r="HL38" s="188">
        <f>(CE38*Sheet3!DF38)+2501</f>
        <v>2837.8925615234375</v>
      </c>
      <c r="HM38" s="165">
        <f>(CF38*Sheet3!BZ38)+2501</f>
        <v>2778.975980047881</v>
      </c>
      <c r="HN38" s="165">
        <f>(CG38*Sheet3!CA38)+2501</f>
        <v>2764.147396547326</v>
      </c>
      <c r="HO38" s="165">
        <f>(CH38*Sheet3!CB38)+2501</f>
        <v>2752.3671772043117</v>
      </c>
      <c r="HP38" s="165">
        <f>(CI38*Sheet3!CC38)+2501</f>
        <v>2737.9207576863814</v>
      </c>
      <c r="HQ38" s="165">
        <f>(CJ38*Sheet3!CD38)+2501</f>
        <v>2730.6968115444233</v>
      </c>
      <c r="HR38" s="165">
        <f>(CK38*Sheet3!CE38)+2501</f>
        <v>2718.3505191253653</v>
      </c>
      <c r="HS38" s="165">
        <f>(CL38*Sheet3!CF38)+2501</f>
        <v>2709.5597990643237</v>
      </c>
      <c r="HT38" s="165">
        <f>(CM38*Sheet3!CG38)+2501</f>
        <v>2697.2939048207136</v>
      </c>
      <c r="HU38" s="188">
        <f>-0.0021*(Sheet3!DF38^2) - 2.2115*(Sheet3!DF38) + 2499</f>
        <v>2047.675</v>
      </c>
      <c r="HV38" s="165">
        <f>-0.0021*(Sheet3!BZ38^2) - 2.2115*(Sheet3!BZ38) + 2499</f>
        <v>2132.6484543550969</v>
      </c>
      <c r="HW38" s="165">
        <f>-0.0021*(Sheet3!CA38^2) - 2.2115*(Sheet3!CA38) + 2499</f>
        <v>2153.6953604836681</v>
      </c>
      <c r="HX38" s="165">
        <f>-0.0021*(Sheet3!CB38^2) - 2.2115*(Sheet3!CB38) + 2499</f>
        <v>2170.313633882965</v>
      </c>
      <c r="HY38" s="165">
        <f>-0.0021*(Sheet3!CC38^2) - 2.2115*(Sheet3!CC38) + 2499</f>
        <v>2190.5669109738369</v>
      </c>
      <c r="HZ38" s="165">
        <f>-0.0021*(Sheet3!CD38^2) - 2.2115*(Sheet3!CD38) + 2499</f>
        <v>2200.6413918445633</v>
      </c>
      <c r="IA38" s="165">
        <f>-0.0021*(Sheet3!CE38^2) - 2.2115*(Sheet3!CE38) + 2499</f>
        <v>2217.7756422256284</v>
      </c>
      <c r="IB38" s="165">
        <f>-0.0021*(Sheet3!CF38^2) - 2.2115*(Sheet3!CF38) + 2499</f>
        <v>2229.9098227653931</v>
      </c>
      <c r="IC38" s="165">
        <f>-0.0021*(Sheet3!CG38^2) - 2.2115*(Sheet3!CG38) + 2499</f>
        <v>2246.7477251673104</v>
      </c>
      <c r="ID38" s="188">
        <f t="shared" si="203"/>
        <v>0.68784091630800626</v>
      </c>
      <c r="IE38" s="165">
        <f t="shared" si="204"/>
        <v>0.69581872101488518</v>
      </c>
      <c r="IF38" s="165">
        <f t="shared" si="205"/>
        <v>0.69790903763353185</v>
      </c>
      <c r="IG38" s="165">
        <f t="shared" si="206"/>
        <v>0.69987502574200577</v>
      </c>
      <c r="IH38" s="165">
        <f t="shared" si="207"/>
        <v>0.70213902742544798</v>
      </c>
      <c r="II38" s="165">
        <f t="shared" si="208"/>
        <v>0.70347322228423159</v>
      </c>
      <c r="IJ38" s="165">
        <f t="shared" si="209"/>
        <v>0.70555414436558284</v>
      </c>
      <c r="IK38" s="165">
        <f t="shared" si="210"/>
        <v>0.7073254602751281</v>
      </c>
      <c r="IL38" s="165">
        <f t="shared" si="211"/>
        <v>0.70962107449512746</v>
      </c>
      <c r="IM38" s="188">
        <f t="shared" si="212"/>
        <v>25.2557071119877</v>
      </c>
      <c r="IN38" s="165">
        <f t="shared" si="151"/>
        <v>18.735770484817685</v>
      </c>
      <c r="IO38" s="165">
        <f t="shared" si="152"/>
        <v>19.555864257809564</v>
      </c>
      <c r="IP38" s="165">
        <f t="shared" si="153"/>
        <v>20.608735450687771</v>
      </c>
      <c r="IQ38" s="165">
        <f t="shared" si="154"/>
        <v>21.861748295304015</v>
      </c>
      <c r="IR38" s="165">
        <f t="shared" si="155"/>
        <v>23.092254595383693</v>
      </c>
      <c r="IS38" s="165">
        <f t="shared" si="156"/>
        <v>24.432470009477765</v>
      </c>
      <c r="IT38" s="165">
        <f t="shared" si="157"/>
        <v>25.721035756602735</v>
      </c>
      <c r="IU38" s="165">
        <f t="shared" si="158"/>
        <v>26.968277550070422</v>
      </c>
      <c r="IV38" s="188">
        <f>_xlfn.FORECAST.LINEAR(Sheet3!DF38,Sheet2!$AK$2:$AK$69,Sheet2!$AJ$2:$AJ$69)</f>
        <v>1.4912542786997764E-5</v>
      </c>
      <c r="IW38" s="165">
        <f>_xlfn.FORECAST.LINEAR(Sheet3!BZ38,Sheet2!$AK$2:$AK$69,Sheet2!$AJ$2:$AJ$69)</f>
        <v>1.3881177617357743E-5</v>
      </c>
      <c r="IX38" s="165">
        <f>_xlfn.FORECAST.LINEAR(Sheet3!CA38,Sheet2!$AK$2:$AK$69,Sheet2!$AJ$2:$AJ$69)</f>
        <v>1.361865824021787E-5</v>
      </c>
      <c r="IY38" s="165">
        <f>_xlfn.FORECAST.LINEAR(Sheet3!CB38,Sheet2!$AK$2:$AK$69,Sheet2!$AJ$2:$AJ$69)</f>
        <v>1.3409266069664344E-5</v>
      </c>
      <c r="IZ38" s="165">
        <f>_xlfn.FORECAST.LINEAR(Sheet3!CC38,Sheet2!$AK$2:$AK$69,Sheet2!$AJ$2:$AJ$69)</f>
        <v>1.3151472791686887E-5</v>
      </c>
      <c r="JA38" s="165">
        <f>_xlfn.FORECAST.LINEAR(Sheet3!CD38,Sheet2!$AK$2:$AK$69,Sheet2!$AJ$2:$AJ$69)</f>
        <v>1.3022148405292448E-5</v>
      </c>
      <c r="JB38" s="165">
        <f>_xlfn.FORECAST.LINEAR(Sheet3!CE38,Sheet2!$AK$2:$AK$69,Sheet2!$AJ$2:$AJ$69)</f>
        <v>1.2800488117819867E-5</v>
      </c>
      <c r="JC38" s="165">
        <f>_xlfn.FORECAST.LINEAR(Sheet3!CF38,Sheet2!$AK$2:$AK$69,Sheet2!$AJ$2:$AJ$69)</f>
        <v>1.2642179050181073E-5</v>
      </c>
      <c r="JD38" s="165">
        <f>_xlfn.FORECAST.LINEAR(Sheet3!CG38,Sheet2!$AK$2:$AK$69,Sheet2!$AJ$2:$AJ$69)</f>
        <v>1.2420621682731586E-5</v>
      </c>
      <c r="JE38" s="188">
        <f>_xlfn.FORECAST.LINEAR(Sheet3!DF38,New!$MC$2:$MC$18,New!$MB$2:$MB$18)</f>
        <v>2.4612718230474119E-5</v>
      </c>
      <c r="JF38" s="165">
        <f>_xlfn.FORECAST.LINEAR(Sheet3!BZ38,New!$MC$2:$MC$18,New!$MB$2:$MB$18)</f>
        <v>2.3400323579786209E-5</v>
      </c>
      <c r="JG38" s="165">
        <f>_xlfn.FORECAST.LINEAR(Sheet3!CA38,New!$MC$2:$MC$18,New!$MB$2:$MB$18)</f>
        <v>2.3091725715600637E-5</v>
      </c>
      <c r="JH38" s="165">
        <f>_xlfn.FORECAST.LINEAR(Sheet3!CB38,New!$MC$2:$MC$18,New!$MB$2:$MB$18)</f>
        <v>2.2845580165074018E-5</v>
      </c>
      <c r="JI38" s="165">
        <f>_xlfn.FORECAST.LINEAR(Sheet3!CC38,New!$MC$2:$MC$18,New!$MB$2:$MB$18)</f>
        <v>2.254253794452641E-5</v>
      </c>
      <c r="JJ38" s="165">
        <f>_xlfn.FORECAST.LINEAR(Sheet3!CD38,New!$MC$2:$MC$18,New!$MB$2:$MB$18)</f>
        <v>2.2390514006852775E-5</v>
      </c>
      <c r="JK38" s="165">
        <f>_xlfn.FORECAST.LINEAR(Sheet3!CE38,New!$MC$2:$MC$18,New!$MB$2:$MB$18)</f>
        <v>2.2129946988775656E-5</v>
      </c>
      <c r="JL38" s="165">
        <f>_xlfn.FORECAST.LINEAR(Sheet3!CF38,New!$MC$2:$MC$18,New!$MB$2:$MB$18)</f>
        <v>2.194385085870404E-5</v>
      </c>
      <c r="JM38" s="165">
        <f>_xlfn.FORECAST.LINEAR(Sheet3!CG38,New!$MC$2:$MC$18,New!$MB$2:$MB$18)</f>
        <v>2.1683404825598224E-5</v>
      </c>
      <c r="JN38" s="188">
        <f t="shared" si="159"/>
        <v>2.3175425409544848E-5</v>
      </c>
      <c r="JO38" s="165">
        <f t="shared" si="160"/>
        <v>2.1971679877800322E-5</v>
      </c>
      <c r="JP38" s="165">
        <f t="shared" si="161"/>
        <v>2.1667858058810939E-5</v>
      </c>
      <c r="JQ38" s="165">
        <f t="shared" si="162"/>
        <v>2.1423170411340321E-5</v>
      </c>
      <c r="JR38" s="165">
        <f t="shared" si="163"/>
        <v>2.112486856802759E-5</v>
      </c>
      <c r="JS38" s="165">
        <f t="shared" si="164"/>
        <v>2.0973641508550329E-5</v>
      </c>
      <c r="JT38" s="165">
        <f t="shared" si="165"/>
        <v>2.0717400932982796E-5</v>
      </c>
      <c r="JU38" s="165">
        <f t="shared" si="166"/>
        <v>2.0532162436023992E-5</v>
      </c>
      <c r="JV38" s="165">
        <f t="shared" si="167"/>
        <v>2.0275672466566211E-5</v>
      </c>
      <c r="JW38" s="188">
        <f t="shared" si="231"/>
        <v>1.0035703029941236</v>
      </c>
      <c r="JX38" s="165">
        <f t="shared" si="232"/>
        <v>1.0149768761651807</v>
      </c>
      <c r="JY38" s="165">
        <f t="shared" si="233"/>
        <v>1.0181461701347971</v>
      </c>
      <c r="JZ38" s="165">
        <f t="shared" si="234"/>
        <v>1.0207598323279741</v>
      </c>
      <c r="KA38" s="165">
        <f t="shared" si="235"/>
        <v>1.0240877730160511</v>
      </c>
      <c r="KB38" s="165">
        <f t="shared" si="236"/>
        <v>1.0258050735362521</v>
      </c>
      <c r="KC38" s="165">
        <f t="shared" si="237"/>
        <v>1.0288262165723316</v>
      </c>
      <c r="KD38" s="165">
        <f t="shared" si="238"/>
        <v>1.0310463342133067</v>
      </c>
      <c r="KE38" s="165">
        <f t="shared" si="239"/>
        <v>1.0342448771894188</v>
      </c>
      <c r="KF38" s="188">
        <f t="shared" si="75"/>
        <v>0.97747175171162648</v>
      </c>
      <c r="KG38" s="165">
        <f t="shared" si="240"/>
        <v>0.96788751420955099</v>
      </c>
      <c r="KH38" s="165">
        <f t="shared" si="241"/>
        <v>0.96527787998253911</v>
      </c>
      <c r="KI38" s="165">
        <f t="shared" si="242"/>
        <v>0.96314279405602299</v>
      </c>
      <c r="KJ38" s="165">
        <f t="shared" si="243"/>
        <v>0.96044622402925073</v>
      </c>
      <c r="KK38" s="165">
        <f t="shared" si="244"/>
        <v>0.95906426784376364</v>
      </c>
      <c r="KL38" s="165">
        <f t="shared" si="245"/>
        <v>0.95664866701035423</v>
      </c>
      <c r="KM38" s="165">
        <f t="shared" si="246"/>
        <v>0.95488609133191626</v>
      </c>
      <c r="KN38" s="165">
        <f t="shared" si="247"/>
        <v>0.95236521679718722</v>
      </c>
      <c r="KO38" s="188">
        <f t="shared" si="213"/>
        <v>0.64176721064532383</v>
      </c>
      <c r="KP38" s="165">
        <f t="shared" si="214"/>
        <v>0.62484092837014704</v>
      </c>
      <c r="KQ38" s="165">
        <f t="shared" si="215"/>
        <v>0.62025498290174075</v>
      </c>
      <c r="KR38" s="165">
        <f t="shared" si="216"/>
        <v>0.61650923053624795</v>
      </c>
      <c r="KS38" s="165">
        <f t="shared" si="217"/>
        <v>0.61180150083437701</v>
      </c>
      <c r="KT38" s="165">
        <f t="shared" si="218"/>
        <v>0.60939088989059265</v>
      </c>
      <c r="KU38" s="165">
        <f t="shared" si="219"/>
        <v>0.60519778989906514</v>
      </c>
      <c r="KV38" s="165">
        <f t="shared" si="220"/>
        <v>0.60213956921203049</v>
      </c>
      <c r="KW38" s="165">
        <f t="shared" si="221"/>
        <v>0.59788676477626379</v>
      </c>
      <c r="KX38" s="188">
        <f>AVERAGE(Sheet3!J38:P38)*KO38^(1/3)/ID38^(1/3)</f>
        <v>98.040151173652376</v>
      </c>
      <c r="KY38" s="165">
        <f>Sheet3!J38*KP38^(1/3)/IE38^(1/3)</f>
        <v>84.536073373658226</v>
      </c>
      <c r="KZ38" s="165">
        <f>Sheet3!K38*KQ38^(1/3)/IF38^(1/3)</f>
        <v>86.494741560357923</v>
      </c>
      <c r="LA38" s="165">
        <f>Sheet3!L38*KR38^(1/3)/IG38^(1/3)</f>
        <v>90.621619423868978</v>
      </c>
      <c r="LB38" s="165">
        <f>Sheet3!M38*KS38^(1/3)/IH38^(1/3)</f>
        <v>95.021344469352314</v>
      </c>
      <c r="LC38" s="165">
        <f>Sheet3!N38*KT38^(1/3)/II38^(1/3)</f>
        <v>100.15969011805367</v>
      </c>
      <c r="LD38" s="165">
        <f>Sheet3!O38*KU38^(1/3)/IJ38^(1/3)</f>
        <v>104.89143342077558</v>
      </c>
      <c r="LE38" s="165">
        <f>Sheet3!P38*KV38^(1/3)/IK38^(1/3)</f>
        <v>109.23239580297071</v>
      </c>
      <c r="LF38" s="165">
        <f>Sheet3!Q38*KW38^(1/3)/IL38^(1/3)</f>
        <v>109.88265007787231</v>
      </c>
      <c r="LG38" s="186">
        <f t="shared" si="248"/>
        <v>27.301310866323035</v>
      </c>
      <c r="LH38" s="183">
        <f t="shared" si="249"/>
        <v>27.301310866323035</v>
      </c>
      <c r="LI38" s="183">
        <f t="shared" si="250"/>
        <v>27.436099656964956</v>
      </c>
      <c r="LJ38" s="183">
        <f t="shared" si="251"/>
        <v>27.436099656964956</v>
      </c>
      <c r="LK38" s="183">
        <f t="shared" si="252"/>
        <v>27.583346574685351</v>
      </c>
      <c r="LL38" s="183">
        <f t="shared" si="253"/>
        <v>27.583346574685351</v>
      </c>
      <c r="LM38" s="183">
        <f t="shared" si="254"/>
        <v>27.731903455101403</v>
      </c>
      <c r="LN38" s="183">
        <f t="shared" si="255"/>
        <v>27.731903455101403</v>
      </c>
      <c r="LO38" s="183">
        <f t="shared" si="256"/>
        <v>27.873054677797128</v>
      </c>
      <c r="LP38" s="220"/>
      <c r="LQ38" s="220"/>
      <c r="LR38" s="220"/>
      <c r="LS38" s="220"/>
      <c r="LT38" s="220"/>
      <c r="LU38" s="220"/>
      <c r="LV38" s="220"/>
      <c r="LW38" s="220"/>
      <c r="LX38" s="220"/>
      <c r="LY38" s="220"/>
      <c r="LZ38" s="222">
        <v>151.85</v>
      </c>
      <c r="MA38" s="220">
        <v>1.4E-5</v>
      </c>
      <c r="MB38" s="220"/>
      <c r="MC38" s="220"/>
      <c r="MD38" s="188">
        <f>Sheet3!DP38</f>
        <v>185.08560494500946</v>
      </c>
      <c r="ME38" s="264">
        <v>370</v>
      </c>
      <c r="MF38" s="264">
        <v>210.53</v>
      </c>
      <c r="MG38" s="264">
        <v>56.52</v>
      </c>
      <c r="MH38" s="264">
        <v>203</v>
      </c>
      <c r="MI38" s="264">
        <v>33.729999999999997</v>
      </c>
      <c r="MJ38" s="264">
        <v>0.16600000000000001</v>
      </c>
      <c r="MK38" s="273">
        <v>360</v>
      </c>
      <c r="ML38" s="267">
        <v>186.74</v>
      </c>
      <c r="MM38" s="267">
        <v>144</v>
      </c>
      <c r="MN38" s="267">
        <v>23.03</v>
      </c>
      <c r="MO38" s="267">
        <v>29.13</v>
      </c>
      <c r="MP38" s="274">
        <v>0.20200000000000001</v>
      </c>
      <c r="MQ38"/>
      <c r="MR38"/>
      <c r="MS38"/>
    </row>
    <row r="39" spans="1:357" ht="15" thickBot="1" x14ac:dyDescent="0.35">
      <c r="A39" s="184" t="str">
        <f>Sheet3!A39</f>
        <v>28.12.2022</v>
      </c>
      <c r="B39" s="186">
        <f t="shared" si="102"/>
        <v>0.96533812522915508</v>
      </c>
      <c r="C39" s="183">
        <f t="shared" si="168"/>
        <v>0.96502271354227664</v>
      </c>
      <c r="D39" s="183">
        <f t="shared" si="169"/>
        <v>0.95646394597075857</v>
      </c>
      <c r="E39" s="183">
        <f t="shared" si="170"/>
        <v>0.9469854333572123</v>
      </c>
      <c r="F39" s="183">
        <f t="shared" si="171"/>
        <v>0.93818180261993189</v>
      </c>
      <c r="G39" s="183">
        <f t="shared" si="172"/>
        <v>0.93015637778446036</v>
      </c>
      <c r="H39" s="183">
        <f t="shared" si="173"/>
        <v>0.92189341121892943</v>
      </c>
      <c r="I39" s="183">
        <f t="shared" si="174"/>
        <v>0.91774775597343916</v>
      </c>
      <c r="J39" s="183">
        <f t="shared" si="175"/>
        <v>0.90913883798432893</v>
      </c>
      <c r="K39" s="186">
        <f xml:space="preserve"> (6.057 * (10^(-6)))
+ (4.055 * (10^(-8)) * (Sheet3!DF39 + 273))
+ (1.25 * (10^(-10)) * (Sheet3!DF39 + 273)^2)
- (3.367 * (10^(-14)) * (DD39 + 273)^3)</f>
        <v>5.3313087550107818E-5</v>
      </c>
      <c r="L39" s="183">
        <f xml:space="preserve"> (6.057 * (10^(-6)))
+ (4.055 * (10^(-8)) * (Sheet3!BZ39 + 273))
+ (1.25 * (10^(-10)) * (Sheet3!BZ39 + 273)^2)
- (3.367 * (10^(-14)) * (BX39 + 273)^3)</f>
        <v>5.3239006774195574E-5</v>
      </c>
      <c r="M39" s="183">
        <f xml:space="preserve"> (6.057 * (10^(-6)))
+ (4.055 * (10^(-8)) * (Sheet3!CA39 + 273))
+ (1.25 * (10^(-10)) * (Sheet3!CA39 + 273)^2)
- (3.367 * (10^(-14)) * (BY39 + 273)^3)</f>
        <v>5.1881480852109581E-5</v>
      </c>
      <c r="N39" s="183">
        <f xml:space="preserve"> (6.057 * (10^(-6)))
+ (4.055 * (10^(-8)) * (Sheet3!CB39 + 273))
+ (1.25 * (10^(-10)) * (Sheet3!CB39 + 273)^2)
- (3.367 * (10^(-14)) * (BZ39 + 273)^3)</f>
        <v>5.0483165027000228E-5</v>
      </c>
      <c r="O39" s="183">
        <f xml:space="preserve"> (6.057 * (10^(-6)))
+ (4.055 * (10^(-8)) * (Sheet3!CC39 + 273))
+ (1.25 * (10^(-10)) * (Sheet3!CC39 + 273)^2)
- (3.367 * (10^(-14)) * (CA39 + 273)^3)</f>
        <v>4.9206279404946651E-5</v>
      </c>
      <c r="P39" s="183">
        <f xml:space="preserve"> (6.057 * (10^(-6)))
+ (4.055 * (10^(-8)) * (Sheet3!CD39 + 273))
+ (1.25 * (10^(-10)) * (Sheet3!CD39 + 273)^2)
- (3.367 * (10^(-14)) * (CB39 + 273)^3)</f>
        <v>4.8121535588958887E-5</v>
      </c>
      <c r="Q39" s="183">
        <f xml:space="preserve"> (6.057 * (10^(-6)))
+ (4.055 * (10^(-8)) * (Sheet3!CE39 + 273))
+ (1.25 * (10^(-10)) * (Sheet3!CE39 + 273)^2)
- (3.367 * (10^(-14)) * (CC39 + 273)^3)</f>
        <v>4.7013909235617697E-5</v>
      </c>
      <c r="R39" s="183">
        <f xml:space="preserve"> (6.057 * (10^(-6)))
+ (4.055 * (10^(-8)) * (Sheet3!CF39 + 273))
+ (1.25 * (10^(-10)) * (Sheet3!CF39 + 273)^2)
- (3.367 * (10^(-14)) * (CD39 + 273)^3)</f>
        <v>4.6490850973847612E-5</v>
      </c>
      <c r="S39" s="183">
        <f xml:space="preserve"> (6.057 * (10^(-6)))
+ (4.055 * (10^(-8)) * (Sheet3!CG39 + 273))
+ (1.25 * (10^(-10)) * (Sheet3!CG39 + 273)^2)
- (3.367 * (10^(-14)) * (CE39 + 273)^3)</f>
        <v>4.5379973888319287E-5</v>
      </c>
      <c r="T39" s="188">
        <f t="shared" si="104"/>
        <v>5.3313087550107818E-5</v>
      </c>
      <c r="U39" s="165">
        <f t="shared" si="105"/>
        <v>5.3239006774195574E-5</v>
      </c>
      <c r="V39" s="165">
        <f t="shared" si="106"/>
        <v>5.1881480852109581E-5</v>
      </c>
      <c r="W39" s="165">
        <f t="shared" si="107"/>
        <v>5.0483165027000228E-5</v>
      </c>
      <c r="X39" s="165">
        <f t="shared" si="108"/>
        <v>4.9206279404946651E-5</v>
      </c>
      <c r="Y39" s="165">
        <f t="shared" si="109"/>
        <v>4.8121535588958887E-5</v>
      </c>
      <c r="Z39" s="165">
        <f t="shared" si="110"/>
        <v>4.7013909235617697E-5</v>
      </c>
      <c r="AA39" s="165">
        <f t="shared" si="111"/>
        <v>4.6490850973847612E-5</v>
      </c>
      <c r="AB39" s="165">
        <f t="shared" si="112"/>
        <v>4.5379973888319287E-5</v>
      </c>
      <c r="AC39" s="186">
        <f t="shared" si="176"/>
        <v>5.1465155985798892E-5</v>
      </c>
      <c r="AD39" s="183">
        <f t="shared" si="177"/>
        <v>5.137685078352986E-5</v>
      </c>
      <c r="AE39" s="183">
        <f t="shared" si="178"/>
        <v>4.9622765898615085E-5</v>
      </c>
      <c r="AF39" s="183">
        <f t="shared" si="179"/>
        <v>4.7806821910337474E-5</v>
      </c>
      <c r="AG39" s="183">
        <f t="shared" si="180"/>
        <v>4.6164435912352879E-5</v>
      </c>
      <c r="AH39" s="183">
        <f t="shared" si="181"/>
        <v>4.4760553236851999E-5</v>
      </c>
      <c r="AI39" s="183">
        <f t="shared" si="182"/>
        <v>4.334181315996073E-5</v>
      </c>
      <c r="AJ39" s="183">
        <f t="shared" si="183"/>
        <v>4.2666874154544223E-5</v>
      </c>
      <c r="AK39" s="183">
        <f t="shared" si="184"/>
        <v>4.1256696728585788E-5</v>
      </c>
      <c r="AL39" s="186">
        <f t="shared" si="113"/>
        <v>4.0336477147669969E-2</v>
      </c>
      <c r="AM39" s="183">
        <f t="shared" si="114"/>
        <v>4.029960766628457E-2</v>
      </c>
      <c r="AN39" s="183">
        <f t="shared" si="115"/>
        <v>3.955183369736355E-2</v>
      </c>
      <c r="AO39" s="183">
        <f t="shared" si="116"/>
        <v>3.8774632341261966E-2</v>
      </c>
      <c r="AP39" s="183">
        <f t="shared" si="117"/>
        <v>3.8050299021739453E-2</v>
      </c>
      <c r="AQ39" s="183">
        <f t="shared" si="118"/>
        <v>3.74300265894787E-2</v>
      </c>
      <c r="AR39" s="183">
        <f t="shared" si="119"/>
        <v>3.6785382845717578E-2</v>
      </c>
      <c r="AS39" s="183">
        <f t="shared" si="120"/>
        <v>3.6479453089864999E-2</v>
      </c>
      <c r="AT39" s="183">
        <f t="shared" si="121"/>
        <v>3.582427445327438E-2</v>
      </c>
      <c r="AU39" s="186">
        <f>_xlfn.FORECAST.LINEAR(Sheet3!DF39,Sheet2!$AH$2:$AH$40,Sheet2!$AG$2:$AG$40)</f>
        <v>5.615110757455756E-2</v>
      </c>
      <c r="AV39" s="183">
        <f>_xlfn.FORECAST.LINEAR(Sheet3!BZ39,Sheet2!$AH$2:$AH$40,Sheet2!$AG$2:$AG$40)</f>
        <v>5.6043360351287201E-2</v>
      </c>
      <c r="AW39" s="183">
        <f>_xlfn.FORECAST.LINEAR(Sheet3!CA39,Sheet2!$AH$2:$AH$40,Sheet2!$AG$2:$AG$40)</f>
        <v>5.3871777693554182E-2</v>
      </c>
      <c r="AX39" s="183">
        <f>_xlfn.FORECAST.LINEAR(Sheet3!CB39,Sheet2!$AH$2:$AH$40,Sheet2!$AG$2:$AG$40)</f>
        <v>5.1603769462244299E-2</v>
      </c>
      <c r="AY39" s="183">
        <f>_xlfn.FORECAST.LINEAR(Sheet3!CC39,Sheet2!$AH$2:$AH$40,Sheet2!$AG$2:$AG$40)</f>
        <v>4.9503933741613333E-2</v>
      </c>
      <c r="AZ39" s="183">
        <f>_xlfn.FORECAST.LINEAR(Sheet3!CD39,Sheet2!$AH$2:$AH$40,Sheet2!$AG$2:$AG$40)</f>
        <v>4.7697609341429477E-2</v>
      </c>
      <c r="BA39" s="183">
        <f>_xlfn.FORECAST.LINEAR(Sheet3!CE39,Sheet2!$AH$2:$AH$40,Sheet2!$AG$2:$AG$40)</f>
        <v>4.5831106484856207E-2</v>
      </c>
      <c r="BB39" s="183">
        <f>_xlfn.FORECAST.LINEAR(Sheet3!CF39,Sheet2!$AH$2:$AH$40,Sheet2!$AG$2:$AG$40)</f>
        <v>4.4941663930401769E-2</v>
      </c>
      <c r="BC39" s="183">
        <f>_xlfn.FORECAST.LINEAR(Sheet3!CG39,Sheet2!$AH$2:$AH$40,Sheet2!$AG$2:$AG$40)</f>
        <v>4.3046066682334252E-2</v>
      </c>
      <c r="BD39" s="186">
        <f>_xlfn.FORECAST.LINEAR(Sheet3!DF39,Sheet2!$AB$12:$AB$37,Sheet2!$AA$12:$AA$37)/1000</f>
        <v>3.7324862686859299E-2</v>
      </c>
      <c r="BE39" s="183">
        <f>_xlfn.FORECAST.LINEAR(Sheet3!BZ39,Sheet2!$AB$12:$AB$37,Sheet2!$AA$12:$AA$37)/1000</f>
        <v>3.7300772901710334E-2</v>
      </c>
      <c r="BF39" s="183">
        <f>_xlfn.FORECAST.LINEAR(Sheet3!CA39,Sheet2!$AB$12:$AB$37,Sheet2!$AA$12:$AA$37)/1000</f>
        <v>3.6815257284043397E-2</v>
      </c>
      <c r="BG39" s="183">
        <f>_xlfn.FORECAST.LINEAR(Sheet3!CB39,Sheet2!$AB$12:$AB$37,Sheet2!$AA$12:$AA$37)/1000</f>
        <v>3.6308183140042069E-2</v>
      </c>
      <c r="BH39" s="183">
        <f>_xlfn.FORECAST.LINEAR(Sheet3!CC39,Sheet2!$AB$12:$AB$37,Sheet2!$AA$12:$AA$37)/1000</f>
        <v>3.5838708476818561E-2</v>
      </c>
      <c r="BI39" s="183">
        <f>_xlfn.FORECAST.LINEAR(Sheet3!CD39,Sheet2!$AB$12:$AB$37,Sheet2!$AA$12:$AA$37)/1000</f>
        <v>3.543485615107856E-2</v>
      </c>
      <c r="BJ39" s="183">
        <f>_xlfn.FORECAST.LINEAR(Sheet3!CE39,Sheet2!$AB$12:$AB$37,Sheet2!$AA$12:$AA$37)/1000</f>
        <v>3.5017549315412316E-2</v>
      </c>
      <c r="BK39" s="183">
        <f>_xlfn.FORECAST.LINEAR(Sheet3!CF39,Sheet2!$AB$12:$AB$37,Sheet2!$AA$12:$AA$37)/1000</f>
        <v>3.4818690547744682E-2</v>
      </c>
      <c r="BL39" s="183">
        <f>_xlfn.FORECAST.LINEAR(Sheet3!CG39,Sheet2!$AB$12:$AB$37,Sheet2!$AA$12:$AA$37)/1000</f>
        <v>3.4394878879574514E-2</v>
      </c>
      <c r="BM39" s="186">
        <f t="shared" si="122"/>
        <v>0.69570538070709398</v>
      </c>
      <c r="BN39" s="183">
        <f t="shared" si="123"/>
        <v>0.6963229809038155</v>
      </c>
      <c r="BO39" s="183">
        <f t="shared" si="124"/>
        <v>0.7090756303942245</v>
      </c>
      <c r="BP39" s="183">
        <f t="shared" si="125"/>
        <v>0.72282860256923787</v>
      </c>
      <c r="BQ39" s="183">
        <f t="shared" si="126"/>
        <v>0.73612373999845038</v>
      </c>
      <c r="BR39" s="183">
        <f t="shared" si="127"/>
        <v>0.7478880946442138</v>
      </c>
      <c r="BS39" s="183">
        <f t="shared" si="128"/>
        <v>0.76052309439481447</v>
      </c>
      <c r="BT39" s="183">
        <f t="shared" si="129"/>
        <v>0.7666574036967424</v>
      </c>
      <c r="BU39" s="183">
        <f t="shared" si="130"/>
        <v>0.78015138395268913</v>
      </c>
      <c r="BV39" s="186">
        <f t="shared" si="222"/>
        <v>1.1265729260837043</v>
      </c>
      <c r="BW39" s="183">
        <f t="shared" si="223"/>
        <v>1.1264777279638183</v>
      </c>
      <c r="BX39" s="183">
        <f t="shared" si="224"/>
        <v>1.1240693232562518</v>
      </c>
      <c r="BY39" s="183">
        <f t="shared" si="225"/>
        <v>1.1220765478190515</v>
      </c>
      <c r="BZ39" s="183">
        <f t="shared" si="226"/>
        <v>1.1196949432542707</v>
      </c>
      <c r="CA39" s="183">
        <f t="shared" si="227"/>
        <v>1.1181191095814444</v>
      </c>
      <c r="CB39" s="183">
        <f t="shared" si="228"/>
        <v>1.115978423956117</v>
      </c>
      <c r="CC39" s="183">
        <f t="shared" si="229"/>
        <v>1.1152087228155358</v>
      </c>
      <c r="CD39" s="183">
        <f t="shared" si="230"/>
        <v>1.1130228170566583</v>
      </c>
      <c r="CE39" s="187">
        <f xml:space="preserve"> -0.0000000019505*Sheet3!DF39^3 + 0.0000015497*Sheet3!DF39^2  + 0.00016911*Sheet3!DF39 + 1.8585</f>
        <v>1.9414898911875</v>
      </c>
      <c r="CF39" s="185">
        <f xml:space="preserve"> -0.0000000019505*Sheet3!BZ39^3 + 0.0000015497*Sheet3!BZ39^2  + 0.00016911*Sheet3!BZ39 + 1.8585</f>
        <v>1.9412531398223916</v>
      </c>
      <c r="CG39" s="185">
        <f xml:space="preserve"> -0.0000000019505*Sheet3!CA39^3 + 0.0000015497*Sheet3!CA39^2  + 0.00016911*Sheet3!CA39 + 1.8585</f>
        <v>1.9365097903808153</v>
      </c>
      <c r="CH39" s="185">
        <f xml:space="preserve"> -0.0000000019505*Sheet3!CB39^3 + 0.0000015497*Sheet3!CB39^2  + 0.00016911*Sheet3!CB39 + 1.8585</f>
        <v>1.9316187013574488</v>
      </c>
      <c r="CI39" s="185">
        <f xml:space="preserve"> -0.0000000019505*Sheet3!CC39^3 + 0.0000015497*Sheet3!CC39^2  + 0.00016911*Sheet3!CC39 + 1.8585</f>
        <v>1.9271546903332093</v>
      </c>
      <c r="CJ39" s="185">
        <f xml:space="preserve"> -0.0000000019505*Sheet3!CD39^3 + 0.0000015497*Sheet3!CD39^2  + 0.00016911*Sheet3!CD39 + 1.8585</f>
        <v>1.923369373273462</v>
      </c>
      <c r="CK39" s="185">
        <f xml:space="preserve"> -0.0000000019505*Sheet3!CE39^3 + 0.0000015497*Sheet3!CE39^2  + 0.00016911*Sheet3!CE39 + 1.8585</f>
        <v>1.9195158168295654</v>
      </c>
      <c r="CL39" s="185">
        <f xml:space="preserve"> -0.0000000019505*Sheet3!CF39^3 + 0.0000015497*Sheet3!CF39^2  + 0.00016911*Sheet3!CF39 + 1.8585</f>
        <v>1.9177015071578452</v>
      </c>
      <c r="CM39" s="185">
        <f xml:space="preserve"> -0.0000000019505*Sheet3!CG39^3 + 0.0000015497*Sheet3!CG39^2  + 0.00016911*Sheet3!CG39 + 1.8585</f>
        <v>1.9138851608619643</v>
      </c>
      <c r="CN39" s="186">
        <f>_xlfn.FORECAST.LINEAR(Sheet3!DF39,New!$LU$2:$LU$14,New!$LT$2:$LT$14)</f>
        <v>1.0350674194089138</v>
      </c>
      <c r="CO39" s="183">
        <f>_xlfn.FORECAST.LINEAR(Sheet3!BZ39,New!$LU$2:$LU$14,New!$LT$2:$LT$14)</f>
        <v>1.0349881160390211</v>
      </c>
      <c r="CP39" s="183">
        <f>_xlfn.FORECAST.LINEAR(Sheet3!CA39,New!$LU$2:$LU$14,New!$LT$2:$LT$14)</f>
        <v>1.033389802713331</v>
      </c>
      <c r="CQ39" s="183">
        <f>_xlfn.FORECAST.LINEAR(Sheet3!CB39,New!$LU$2:$LU$14,New!$LT$2:$LT$14)</f>
        <v>1.0317205189004546</v>
      </c>
      <c r="CR39" s="183">
        <f>_xlfn.FORECAST.LINEAR(Sheet3!CC39,New!$LU$2:$LU$14,New!$LT$2:$LT$14)</f>
        <v>1.0301750122617399</v>
      </c>
      <c r="CS39" s="183">
        <f>_xlfn.FORECAST.LINEAR(Sheet3!CD39,New!$LU$2:$LU$14,New!$LT$2:$LT$14)</f>
        <v>1.0288455338055311</v>
      </c>
      <c r="CT39" s="183">
        <f>_xlfn.FORECAST.LINEAR(Sheet3!CE39,New!$LU$2:$LU$14,New!$LT$2:$LT$14)</f>
        <v>1.0274717632159216</v>
      </c>
      <c r="CU39" s="183">
        <f>_xlfn.FORECAST.LINEAR(Sheet3!CF39,New!$LU$2:$LU$14,New!$LT$2:$LT$14)</f>
        <v>1.0268171218269984</v>
      </c>
      <c r="CV39" s="183">
        <f>_xlfn.FORECAST.LINEAR(Sheet3!CG39,New!$LU$2:$LU$14,New!$LT$2:$LT$14)</f>
        <v>1.0254219373835518</v>
      </c>
      <c r="CW39" s="186">
        <f>EXP((17.625*Sheet3!BA39)/(243.04+Sheet3!BA39)) / EXP((17.625*Sheet3!DF39)/(243.04+Sheet3!DF39))</f>
        <v>7.2692175201000079E-3</v>
      </c>
      <c r="CX39" s="183">
        <f>EXP((17.625*(Sheet3!BC39+273))/(243.04+(Sheet3!BC39+273)))/EXP((17.625*(Sheet3!BZ39+273))/(243.04+(Sheet3!BZ39+273)))</f>
        <v>0.20443264935532404</v>
      </c>
      <c r="CY39" s="183">
        <f>EXP((17.625*(Sheet3!BE39+273))/(243.04+(Sheet3!BE39+273))) / EXP((17.625*(Sheet3!CA39+273))/(243.04+(Sheet3!CA39+273)))</f>
        <v>0.21945454124387695</v>
      </c>
      <c r="CZ39" s="183">
        <f>EXP((17.625*(Sheet3!BG39+273))/(243.04+(Sheet3!BG39+273))) / EXP((17.625*(Sheet3!CB39+273))/(243.04+(Sheet3!CB39+273)))</f>
        <v>0.23655845323832225</v>
      </c>
      <c r="DA39" s="183">
        <f>EXP((17.625*(Sheet3!BI39+273))/(243.04+(Sheet3!BI39+273))) / EXP((17.625*(Sheet3!CC39+273))/(243.04+(Sheet3!CC39+273)))</f>
        <v>0.2538412811879337</v>
      </c>
      <c r="DB39" s="183">
        <f>EXP((17.625*(Sheet3!BK39+273))/(243.04+(Sheet3!BK39+273)))/EXP((17.625*(Sheet3!CD39+273))/(243.04+(Sheet3!CD39+273)))</f>
        <v>0.2705379139982661</v>
      </c>
      <c r="DC39" s="183">
        <f>EXP((17.625*(Sheet3!BM39+273))/(243.04+(Sheet3!BM39+273))) / EXP((17.625*(Sheet3!CE39+273))/(243.04+(Sheet3!CE39+273)))</f>
        <v>0.28880914984425471</v>
      </c>
      <c r="DD39" s="183">
        <f>EXP((17.625*(Sheet3!BO39+273))/(243.04+(Sheet3!BO39+273))) / EXP((17.625*(Sheet3!CF39+273))/(243.04+(Sheet3!CF39+273)))</f>
        <v>0.29836368094555515</v>
      </c>
      <c r="DE39" s="183">
        <f>EXP((17.625*(Sheet3!BQ39+273))/(243.04+(Sheet3!BQ39+273))) / EXP((17.625*(Sheet3!CG39+273))/(243.04+(Sheet3!CG39+273)))</f>
        <v>0.31951693987254914</v>
      </c>
      <c r="DF39" s="186">
        <f>((Sheet3!DA39-Sheet3!DB39)/New!$LQ$3)/(((Sheet3!DA39-Sheet3!DB39)/New!$LQ$3)+(Sheet3!DB39/New!$LP$3))</f>
        <v>0.84709243710873527</v>
      </c>
      <c r="DG39" s="183">
        <f>((Sheet3!DA39-Sheet3!DB39)/New!$LQ$3)/(((Sheet3!DA39-Sheet3!DB39)/New!$LQ$3)+((Sheet3!DB39-(Sheet3!B39*0.004))/New!$LP$3))</f>
        <v>0.84709243710873527</v>
      </c>
      <c r="DH39" s="183" cm="1">
        <f t="array" ref="DH39">((Sheet3!DA39-Sheet3!DB39)/New!$LQ$3)/(((Sheet3!DA39-Sheet3!DB39)/New!$LQ$3)+((Sheet3!DB39-(SUM(Sheet3!B39:C39*0.004)))/New!$LP$3))</f>
        <v>0.85089257000273244</v>
      </c>
      <c r="DI39" s="183" cm="1">
        <f t="array" ref="DI39">((Sheet3!DA39-Sheet3!DB39)/New!$LQ$3)/(((Sheet3!DA39-Sheet3!DB39)/New!$LQ$3)+((Sheet3!DB39-(SUM(Sheet3!B39:D39*0.004)))/New!$LP$3))</f>
        <v>0.85089257000273244</v>
      </c>
      <c r="DJ39" s="183" cm="1">
        <f t="array" ref="DJ39">((Sheet3!DA39-Sheet3!DB39)/New!$LQ$3)/(((Sheet3!DA39-Sheet3!DB39)/New!$LQ$3)+((Sheet3!DB39-(SUM(Sheet3!B39:E39*0.004)))/New!$LP$3))</f>
        <v>0.85515512872949517</v>
      </c>
      <c r="DK39" s="183" cm="1">
        <f t="array" ref="DK39">((Sheet3!DA39-Sheet3!DB39)/New!$LQ$3)/(((Sheet3!DA39-Sheet3!DB39)/New!$LQ$3)+((Sheet3!DB39-(SUM(Sheet3!B39:F39*0.004)))/New!$LP$3))</f>
        <v>0.8551650914317861</v>
      </c>
      <c r="DL39" s="183" cm="1">
        <f t="array" ref="DL39">((Sheet3!DA39-Sheet3!DB39)/New!$LQ$3)/(((Sheet3!DA39-Sheet3!DB39)/New!$LQ$3)+((Sheet3!DB39-(SUM(Sheet3!B39:G39*0.004)))/New!$LP$3))</f>
        <v>0.85930968832836752</v>
      </c>
      <c r="DM39" s="183" cm="1">
        <f t="array" ref="DM39">((Sheet3!DA39-Sheet3!DB39)/New!$LQ$3)/(((Sheet3!DA39-Sheet3!DB39)/New!$LQ$3)+((Sheet3!DB39-(SUM(Sheet3!B39:H39*0.004)))/New!$LP$3))</f>
        <v>0.85930968832836752</v>
      </c>
      <c r="DN39" s="183" cm="1">
        <f t="array" ref="DN39">((Sheet3!DA39-Sheet3!DB39)/New!$LQ$3)/(((Sheet3!DA39-Sheet3!DB39)/New!$LQ$3)+((Sheet3!DB39-(SUM(Sheet3!B39:I39*0.004)))/New!$LP$3))</f>
        <v>0.86376900379576138</v>
      </c>
      <c r="DO39" s="186">
        <f>(Sheet3!DB39/$LP$3) / ((Sheet3!DB39/$LP$3) + ((Sheet3!DA39-Sheet3!DB39)/$LQ$3))</f>
        <v>0.15290756289126475</v>
      </c>
      <c r="DP39" s="183">
        <f>((Sheet3!$DB39-(Sheet3!B39/4000)) / $LP$3) / (((Sheet3!$DA39-Sheet3!DB39) / $LQ$3) + (Sheet3!$DB39-((Sheet3!B39/4000)))/$LP$3)</f>
        <v>0.15290756289126475</v>
      </c>
      <c r="DQ39" s="183">
        <f>((Sheet3!$DB39-(SUM(Sheet3!B39:C39)/4000))/$LP$3)/(((Sheet3!$DA39-Sheet3!$DB39)/$LQ$3)+(Sheet3!$DB39-(SUM(Sheet3!B39:C39)/4000))/$LP$3)</f>
        <v>0.15267104929284361</v>
      </c>
      <c r="DR39" s="183">
        <f>((Sheet3!$DB39-(SUM(Sheet3!B39:D39)/4000))/$LP$3)/(((Sheet3!$DA39-Sheet3!$DB39)/$LQ$3)+(Sheet3!$DB39-(SUM(Sheet3!B39:D39)/4000))/$LP$3)</f>
        <v>0.15267104929284361</v>
      </c>
      <c r="DS39" s="183">
        <f>((Sheet3!$DB39-(SUM(Sheet3!B39:E39)/4000))/$LP$3)/(((Sheet3!$DA39-Sheet3!$DB39)/$LQ$3)+(Sheet3!$DB39-(SUM(Sheet3!B39:E39)/4000))/$LP$3)</f>
        <v>0.15240810145814218</v>
      </c>
      <c r="DT39" s="183">
        <f>((Sheet3!$DB39-(SUM(Sheet3!B39:F39)/4000))/$LP$3)/(((Sheet3!$DA39-Sheet3!$DB39)/$LQ$3)+(Sheet3!$DB39-(SUM(Sheet3!B39:F39)/4000))/$LP$3)</f>
        <v>0.15240748976134227</v>
      </c>
      <c r="DU39" s="183">
        <f>((Sheet3!$DB39-(SUM(Sheet3!B39:G39)/4000))/$LP$3)/(((Sheet3!$DA39-Sheet3!$DB39)/$LQ$3)+(Sheet3!$DB39-(SUM(Sheet3!B39:G39)/4000))/$LP$3)</f>
        <v>0.15215417141727075</v>
      </c>
      <c r="DV39" s="183">
        <f>((Sheet3!$DB39-(SUM(Sheet3!B39:H39)/4000))/$LP$3)/(((Sheet3!$DA39-Sheet3!$DB39)/$LQ$3)+(Sheet3!$DB39-(SUM(Sheet3!B39:H39)/4000))/$LP$3)</f>
        <v>0.15215417141727075</v>
      </c>
      <c r="DW39" s="183">
        <f>((Sheet3!$DB39-(SUM(Sheet3!B39:I39)/4000))/$LP$3)/(((Sheet3!$DA39-Sheet3!$DB39)/$LQ$3)+(Sheet3!$DB39-(SUM(Sheet3!B39:I39)/4000))/$LP$3)</f>
        <v>0.15188416570645855</v>
      </c>
      <c r="DX39" s="186">
        <f>($LR$2*($LP$3/1000))/($LP$2*(Sheet3!DF39+273))*DO39</f>
        <v>7.0233114623763762E-2</v>
      </c>
      <c r="DY39" s="183">
        <f>(($LR$2*($LP$3/1000))/($LP$2*(Sheet3!BZ39+273)))*(DP39)</f>
        <v>7.0295462834099473E-2</v>
      </c>
      <c r="DZ39" s="183">
        <f>(($LR$2*($LP$3/1000))/($LP$2*(Sheet3!CA39+273)))*(DQ39)</f>
        <v>7.1465370701464026E-2</v>
      </c>
      <c r="EA39" s="183">
        <f>(($LR$2*($LP$3/1000))/($LP$2*(Sheet3!CB39+273)))*(DR39)</f>
        <v>7.2851486952826117E-2</v>
      </c>
      <c r="EB39" s="183">
        <f>(($LR$2*($LP$3/1000))/($LP$2*(Sheet3!CC39+273)))*(DS39)</f>
        <v>7.4055868299282512E-2</v>
      </c>
      <c r="EC39" s="183">
        <f>(($LR$2*($LP$3/1000))/($LP$2*(Sheet3!CD39+273)))*(DT39)</f>
        <v>7.5239071030122381E-2</v>
      </c>
      <c r="ED39" s="183">
        <f>(($LR$2*($LP$3/1000))/($LP$2*(Sheet3!CE39+273)))*(DU39)</f>
        <v>7.6375250413293058E-2</v>
      </c>
      <c r="EE39" s="183">
        <f>(($LR$2*($LP$3/1000))/($LP$2*(Sheet3!CF39+273)))*(DV39)</f>
        <v>7.6991286155666083E-2</v>
      </c>
      <c r="EF39" s="183">
        <f>(($LR$2*($LP$3/1000))/($LP$2*(Sheet3!CG39+273)))*(DW39)</f>
        <v>7.8198917581776911E-2</v>
      </c>
      <c r="EG39" s="186">
        <f>(($LR$2*($LQ$3/1000))/($LQ$2*(Sheet3!DF39+273)))*(1-DO39)</f>
        <v>0.62547226608333018</v>
      </c>
      <c r="EH39" s="183">
        <f>(($LR$2*($LQ$3/1000))/($LQ$2*(Sheet3!BZ39+273)))*(1-DP39)</f>
        <v>0.62602751806971602</v>
      </c>
      <c r="EI39" s="183">
        <f>(($LR$2*($LQ$3/1000))/($LQ$2*(Sheet3!CA39+273)))*(1-DQ39)</f>
        <v>0.63761025969276042</v>
      </c>
      <c r="EJ39" s="183">
        <f>(($LR$2*($LQ$3/1000))/($LQ$2*(Sheet3!CB39+273)))*(1-DR39)</f>
        <v>0.6499771156164118</v>
      </c>
      <c r="EK39" s="183">
        <f>(($LR$2*($LQ$3/1000))/($LQ$2*(Sheet3!CC39+273)))*(1-DS39)</f>
        <v>0.66206787169916792</v>
      </c>
      <c r="EL39" s="183">
        <f>(($LR$2*($LQ$3/1000))/($LQ$2*(Sheet3!CD39+273)))*(1-DT39)</f>
        <v>0.6726490236140914</v>
      </c>
      <c r="EM39" s="183">
        <f>(($LR$2*($LQ$3/1000))/($LQ$2*(Sheet3!CE39+273)))*(1-DU39)</f>
        <v>0.6841478439815214</v>
      </c>
      <c r="EN39" s="183">
        <f>(($LR$2*($LQ$3/1000))/($LQ$2*(Sheet3!CF39+273)))*(1-DV39)</f>
        <v>0.68966611754107632</v>
      </c>
      <c r="EO39" s="183">
        <f>(($LR$2*($LQ$3/1000))/($LQ$2*(Sheet3!CG39+273)))*(1-DW39)</f>
        <v>0.70195246637091224</v>
      </c>
      <c r="EP39" s="186">
        <f t="shared" si="132"/>
        <v>9785.463944230265</v>
      </c>
      <c r="EQ39" s="183">
        <f xml:space="preserve"> (($FV39-(Sheet3!B39/4000))*0.018)/(0.011*JO39*3600)</f>
        <v>9792.4080231874286</v>
      </c>
      <c r="ER39" s="183">
        <f>((($FV39-(SUM(Sheet3!B39:C39)/4000))*0.018)/(0.011*JP39*3600))</f>
        <v>9931.7471409692535</v>
      </c>
      <c r="ES39" s="183">
        <f>((($FV39-(SUM(Sheet3!B39:D39)/4000))*0.018)/(0.011*JQ39*3600))</f>
        <v>10084.628643757109</v>
      </c>
      <c r="ET39" s="183">
        <f>((($FV39-(SUM(Sheet3!B39:E39)/4000))*0.018)/(0.011*JR39))/3600</f>
        <v>10227.283266866387</v>
      </c>
      <c r="EU39" s="183">
        <f>((($FV39-(SUM(Sheet3!B39:F39)/4000))*0.018)/(0.011*JS39))/3600</f>
        <v>10356.143669728406</v>
      </c>
      <c r="EV39" s="183">
        <f>((($FV39-(SUM(Sheet3!B39:G39)/4000))*0.018)/(0.011*JT39))/3600</f>
        <v>10489.623320723029</v>
      </c>
      <c r="EW39" s="183">
        <f>((($FV39-(SUM(Sheet3!B39:H39)/4000))*0.018)/(0.011*JU39))/3600</f>
        <v>10556.011442231204</v>
      </c>
      <c r="EX39" s="183">
        <f>((($FV39-(SUM(Sheet3!B39:I39)/4000))*0.018)/(0.011*JV39))/3600</f>
        <v>10696.901960859515</v>
      </c>
      <c r="EY39" s="186">
        <f t="shared" si="133"/>
        <v>76.804738692900244</v>
      </c>
      <c r="EZ39" s="183">
        <f t="shared" si="134"/>
        <v>76.842406700306242</v>
      </c>
      <c r="FA39" s="183">
        <f t="shared" si="135"/>
        <v>77.593008329924885</v>
      </c>
      <c r="FB39" s="183">
        <f t="shared" si="136"/>
        <v>78.422238724032155</v>
      </c>
      <c r="FC39" s="183">
        <f t="shared" si="137"/>
        <v>79.190006520471471</v>
      </c>
      <c r="FD39" s="183">
        <f t="shared" si="138"/>
        <v>79.889181256161038</v>
      </c>
      <c r="FE39" s="183">
        <f t="shared" si="139"/>
        <v>80.607482177673035</v>
      </c>
      <c r="FF39" s="183">
        <f t="shared" si="140"/>
        <v>80.967919591384756</v>
      </c>
      <c r="FG39" s="183">
        <f t="shared" si="141"/>
        <v>81.726256474100282</v>
      </c>
      <c r="FH39" s="186">
        <f t="shared" si="185"/>
        <v>172.11292150660748</v>
      </c>
      <c r="FI39" s="183">
        <f t="shared" si="186"/>
        <v>172.03993567530102</v>
      </c>
      <c r="FJ39" s="183">
        <f t="shared" si="187"/>
        <v>170.49698675240742</v>
      </c>
      <c r="FK39" s="183">
        <f t="shared" si="188"/>
        <v>168.93297077239023</v>
      </c>
      <c r="FL39" s="183">
        <f t="shared" si="189"/>
        <v>167.40019042430202</v>
      </c>
      <c r="FM39" s="183">
        <f t="shared" si="190"/>
        <v>166.12523214609953</v>
      </c>
      <c r="FN39" s="183">
        <f t="shared" si="191"/>
        <v>164.73206067416996</v>
      </c>
      <c r="FO39" s="183">
        <f t="shared" si="192"/>
        <v>164.09252358432676</v>
      </c>
      <c r="FP39" s="183">
        <f t="shared" si="193"/>
        <v>162.65465788704782</v>
      </c>
      <c r="FQ39" s="314">
        <f>Sheet3!CV39</f>
        <v>2</v>
      </c>
      <c r="FR39" s="183">
        <v>10000</v>
      </c>
      <c r="FS39" s="183">
        <v>10</v>
      </c>
      <c r="FT39" s="183">
        <v>0.1103076923076923</v>
      </c>
      <c r="FU39" s="183">
        <v>12.49</v>
      </c>
      <c r="FV39" s="183">
        <v>525</v>
      </c>
      <c r="FW39" s="183">
        <v>53</v>
      </c>
      <c r="FX39" s="183">
        <v>1051.5</v>
      </c>
      <c r="FY39" s="183">
        <v>8.2100000000000009</v>
      </c>
      <c r="FZ39" s="183">
        <v>11.12</v>
      </c>
      <c r="GA39" s="183">
        <v>205</v>
      </c>
      <c r="GB39" s="186">
        <f>EXP($LP$6-($LQ$6/('Trial and Error method'!T39+$LP$8))) / ($LR$2/1000)</f>
        <v>3.6616775624250295E-2</v>
      </c>
      <c r="GC39" s="183">
        <f>EXP($LP$6-($LQ$6/('Trial and Error method'!U39+$LP$8))) / ($LR$2/1000)</f>
        <v>5.3284619248191084E-2</v>
      </c>
      <c r="GD39" s="183">
        <f>EXP($LP$6-($LQ$6/('Trial and Error method'!V39+$LP$8))) / ($LR$2/1000)</f>
        <v>4.9750467646525097E-2</v>
      </c>
      <c r="GE39" s="183">
        <f>EXP($LP$6-($LQ$6/('Trial and Error method'!W39+$LP$8))) / ($LR$2/1000)</f>
        <v>4.6496742539933487E-2</v>
      </c>
      <c r="GF39" s="183">
        <f>EXP($LP$6-($LQ$6/('Trial and Error method'!X39+$LP$8))) / ($LR$2/1000)</f>
        <v>4.3484437821022306E-2</v>
      </c>
      <c r="GG39" s="183">
        <f>EXP($LP$6-($LQ$6/('Trial and Error method'!Y39+$LP$8))) / ($LR$2/1000)</f>
        <v>4.0851261956125103E-2</v>
      </c>
      <c r="GH39" s="183">
        <f>EXP($LP$6-($LQ$6/('Trial and Error method'!Z39+$LP$8))) / ($LR$2/1000)</f>
        <v>3.8264989759636561E-2</v>
      </c>
      <c r="GI39" s="183">
        <f>EXP($LP$6-($LQ$6/('Trial and Error method'!AA39+$LP$8))) / ($LR$2/1000)</f>
        <v>3.6289350295229707E-2</v>
      </c>
      <c r="GJ39" s="183">
        <f>EXP($LP$6-($LQ$6/('Trial and Error method'!AB39+$LP$8))) / ($LR$2/1000)</f>
        <v>3.3965910493251886E-2</v>
      </c>
      <c r="GK39" s="188">
        <f t="shared" si="142"/>
        <v>0.90399152308043218</v>
      </c>
      <c r="GL39" s="165">
        <f t="shared" si="143"/>
        <v>0.8959810204708335</v>
      </c>
      <c r="GM39" s="165">
        <f t="shared" si="144"/>
        <v>0.89780625970527295</v>
      </c>
      <c r="GN39" s="165">
        <f t="shared" si="145"/>
        <v>0.8993718228118408</v>
      </c>
      <c r="GO39" s="165">
        <f t="shared" si="146"/>
        <v>0.90095661174067354</v>
      </c>
      <c r="GP39" s="165">
        <f t="shared" si="147"/>
        <v>0.90222145856528613</v>
      </c>
      <c r="GQ39" s="165">
        <f t="shared" si="148"/>
        <v>0.90359451862462214</v>
      </c>
      <c r="GR39" s="165">
        <f t="shared" si="149"/>
        <v>0.90454179479419172</v>
      </c>
      <c r="GS39" s="165">
        <f t="shared" si="150"/>
        <v>0.90579608787796795</v>
      </c>
      <c r="GT39" s="188">
        <f t="shared" si="194"/>
        <v>0.10763145510310503</v>
      </c>
      <c r="GU39" s="165">
        <f t="shared" si="195"/>
        <v>0.10858050833567041</v>
      </c>
      <c r="GV39" s="165">
        <f t="shared" si="196"/>
        <v>0.10825906938759702</v>
      </c>
      <c r="GW39" s="165">
        <f t="shared" si="197"/>
        <v>0.10798402220256763</v>
      </c>
      <c r="GX39" s="165">
        <f t="shared" si="198"/>
        <v>0.10771182716070782</v>
      </c>
      <c r="GY39" s="165">
        <f t="shared" si="199"/>
        <v>0.10750601786193166</v>
      </c>
      <c r="GZ39" s="165">
        <f t="shared" si="200"/>
        <v>0.10728293514171772</v>
      </c>
      <c r="HA39" s="165">
        <f t="shared" si="201"/>
        <v>0.10714966544767758</v>
      </c>
      <c r="HB39" s="165">
        <f t="shared" si="202"/>
        <v>0.10694181846093537</v>
      </c>
      <c r="HC39" s="188">
        <f>BV39*Sheet3!DF39</f>
        <v>230.94744984715939</v>
      </c>
      <c r="HD39" s="165">
        <f>BW39*Sheet3!BZ39</f>
        <v>230.45035305365309</v>
      </c>
      <c r="HE39" s="165">
        <f>BX39*Sheet3!CA39</f>
        <v>220.35285908780554</v>
      </c>
      <c r="HF39" s="165">
        <f>BY39*Sheet3!CB39</f>
        <v>209.94871910737712</v>
      </c>
      <c r="HG39" s="165">
        <f>BZ39*Sheet3!CC39</f>
        <v>200.25178690950145</v>
      </c>
      <c r="HH39" s="165">
        <f>CA39*Sheet3!CD39</f>
        <v>192.02297325683847</v>
      </c>
      <c r="HI39" s="165">
        <f>CB39*Sheet3!CE39</f>
        <v>183.45931813306765</v>
      </c>
      <c r="HJ39" s="165">
        <f>CC39*Sheet3!CF39</f>
        <v>179.42983822887334</v>
      </c>
      <c r="HK39" s="165">
        <f>CD39*Sheet3!CG39</f>
        <v>170.77640944150284</v>
      </c>
      <c r="HL39" s="188">
        <f>(CE39*Sheet3!DF39)+2501</f>
        <v>2899.0054276934375</v>
      </c>
      <c r="HM39" s="165">
        <f>(CF39*Sheet3!BZ39)+2501</f>
        <v>2898.1338805315036</v>
      </c>
      <c r="HN39" s="165">
        <f>(CG39*Sheet3!CA39)+2501</f>
        <v>2880.6166838943814</v>
      </c>
      <c r="HO39" s="165">
        <f>(CH39*Sheet3!CB39)+2501</f>
        <v>2862.4199699138976</v>
      </c>
      <c r="HP39" s="165">
        <f>(CI39*Sheet3!CC39)+2501</f>
        <v>2845.6618855566403</v>
      </c>
      <c r="HQ39" s="165">
        <f>(CJ39*Sheet3!CD39)+2501</f>
        <v>2831.3146351423752</v>
      </c>
      <c r="HR39" s="165">
        <f>(CK39*Sheet3!CE39)+2501</f>
        <v>2816.5554402681159</v>
      </c>
      <c r="HS39" s="165">
        <f>(CL39*Sheet3!CF39)+2501</f>
        <v>2809.5457136058594</v>
      </c>
      <c r="HT39" s="165">
        <f>(CM39*Sheet3!CG39)+2501</f>
        <v>2794.656545801739</v>
      </c>
      <c r="HU39" s="188">
        <f>-0.0021*(Sheet3!DF39^2) - 2.2115*(Sheet3!DF39) + 2499</f>
        <v>1957.3899999999999</v>
      </c>
      <c r="HV39" s="165">
        <f>-0.0021*(Sheet3!BZ39^2) - 2.2115*(Sheet3!BZ39) + 2499</f>
        <v>1958.6922387730929</v>
      </c>
      <c r="HW39" s="165">
        <f>-0.0021*(Sheet3!CA39^2) - 2.2115*(Sheet3!CA39) + 2499</f>
        <v>1984.77717327352</v>
      </c>
      <c r="HX39" s="165">
        <f>-0.0021*(Sheet3!CB39^2) - 2.2115*(Sheet3!CB39) + 2499</f>
        <v>2011.6929928208958</v>
      </c>
      <c r="HY39" s="165">
        <f>-0.0021*(Sheet3!CC39^2) - 2.2115*(Sheet3!CC39) + 2499</f>
        <v>2036.3148071480232</v>
      </c>
      <c r="HZ39" s="165">
        <f>-0.0021*(Sheet3!CD39^2) - 2.2115*(Sheet3!CD39) + 2499</f>
        <v>2057.2656232599111</v>
      </c>
      <c r="IA39" s="165">
        <f>-0.0021*(Sheet3!CE39^2) - 2.2115*(Sheet3!CE39) + 2499</f>
        <v>2078.6915372385033</v>
      </c>
      <c r="IB39" s="165">
        <f>-0.0021*(Sheet3!CF39^2) - 2.2115*(Sheet3!CF39) + 2499</f>
        <v>2088.8219069509428</v>
      </c>
      <c r="IC39" s="165">
        <f>-0.0021*(Sheet3!CG39^2) - 2.2115*(Sheet3!CG39) + 2499</f>
        <v>2110.2403016101057</v>
      </c>
      <c r="ID39" s="188">
        <f t="shared" si="203"/>
        <v>0.68110888526730518</v>
      </c>
      <c r="IE39" s="165">
        <f t="shared" si="204"/>
        <v>0.68119101816315986</v>
      </c>
      <c r="IF39" s="165">
        <f t="shared" si="205"/>
        <v>0.68274322562255851</v>
      </c>
      <c r="IG39" s="165">
        <f t="shared" si="206"/>
        <v>0.6846545006857756</v>
      </c>
      <c r="IH39" s="165">
        <f t="shared" si="207"/>
        <v>0.68635529177440768</v>
      </c>
      <c r="II39" s="165">
        <f t="shared" si="208"/>
        <v>0.68807739303438353</v>
      </c>
      <c r="IJ39" s="165">
        <f t="shared" si="209"/>
        <v>0.68976695795505427</v>
      </c>
      <c r="IK39" s="165">
        <f t="shared" si="210"/>
        <v>0.69070046511742411</v>
      </c>
      <c r="IL39" s="165">
        <f t="shared" si="211"/>
        <v>0.69256277616811945</v>
      </c>
      <c r="IM39" s="188">
        <f t="shared" si="212"/>
        <v>24.499763244570495</v>
      </c>
      <c r="IN39" s="165">
        <f t="shared" si="151"/>
        <v>21.187389133949555</v>
      </c>
      <c r="IO39" s="165">
        <f t="shared" si="152"/>
        <v>22.114558729236961</v>
      </c>
      <c r="IP39" s="165">
        <f t="shared" si="153"/>
        <v>23.064319063050363</v>
      </c>
      <c r="IQ39" s="165">
        <f t="shared" si="154"/>
        <v>23.890792301656948</v>
      </c>
      <c r="IR39" s="165">
        <f t="shared" si="155"/>
        <v>24.672716300436775</v>
      </c>
      <c r="IS39" s="165">
        <f t="shared" si="156"/>
        <v>25.398213356857532</v>
      </c>
      <c r="IT39" s="165">
        <f t="shared" si="157"/>
        <v>25.932466674510771</v>
      </c>
      <c r="IU39" s="165">
        <f t="shared" si="158"/>
        <v>26.610958772784489</v>
      </c>
      <c r="IV39" s="188">
        <f>_xlfn.FORECAST.LINEAR(Sheet3!DF39,Sheet2!$AK$2:$AK$69,Sheet2!$AJ$2:$AJ$69)</f>
        <v>1.5962912137298422E-5</v>
      </c>
      <c r="IW39" s="165">
        <f>_xlfn.FORECAST.LINEAR(Sheet3!BZ39,Sheet2!$AK$2:$AK$69,Sheet2!$AJ$2:$AJ$69)</f>
        <v>1.5948068327543006E-5</v>
      </c>
      <c r="IX39" s="165">
        <f>_xlfn.FORECAST.LINEAR(Sheet3!CA39,Sheet2!$AK$2:$AK$69,Sheet2!$AJ$2:$AJ$69)</f>
        <v>1.564889996977789E-5</v>
      </c>
      <c r="IY39" s="165">
        <f>_xlfn.FORECAST.LINEAR(Sheet3!CB39,Sheet2!$AK$2:$AK$69,Sheet2!$AJ$2:$AJ$69)</f>
        <v>1.5336447530750275E-5</v>
      </c>
      <c r="IZ39" s="165">
        <f>_xlfn.FORECAST.LINEAR(Sheet3!CC39,Sheet2!$AK$2:$AK$69,Sheet2!$AJ$2:$AJ$69)</f>
        <v>1.504716339879211E-5</v>
      </c>
      <c r="JA39" s="165">
        <f>_xlfn.FORECAST.LINEAR(Sheet3!CD39,Sheet2!$AK$2:$AK$69,Sheet2!$AJ$2:$AJ$69)</f>
        <v>1.4798314890783578E-5</v>
      </c>
      <c r="JB39" s="165">
        <f>_xlfn.FORECAST.LINEAR(Sheet3!CE39,Sheet2!$AK$2:$AK$69,Sheet2!$AJ$2:$AJ$69)</f>
        <v>1.4541175890167384E-5</v>
      </c>
      <c r="JC39" s="165">
        <f>_xlfn.FORECAST.LINEAR(Sheet3!CF39,Sheet2!$AK$2:$AK$69,Sheet2!$AJ$2:$AJ$69)</f>
        <v>1.4418641724868638E-5</v>
      </c>
      <c r="JD39" s="165">
        <f>_xlfn.FORECAST.LINEAR(Sheet3!CG39,Sheet2!$AK$2:$AK$69,Sheet2!$AJ$2:$AJ$69)</f>
        <v>1.4157494531751683E-5</v>
      </c>
      <c r="JE39" s="188">
        <f>_xlfn.FORECAST.LINEAR(Sheet3!DF39,New!$MC$2:$MC$18,New!$MB$2:$MB$18)</f>
        <v>2.5847452754227255E-5</v>
      </c>
      <c r="JF39" s="165">
        <f>_xlfn.FORECAST.LINEAR(Sheet3!BZ39,New!$MC$2:$MC$18,New!$MB$2:$MB$18)</f>
        <v>2.5830003497578836E-5</v>
      </c>
      <c r="JG39" s="165">
        <f>_xlfn.FORECAST.LINEAR(Sheet3!CA39,New!$MC$2:$MC$18,New!$MB$2:$MB$18)</f>
        <v>2.5478323872081967E-5</v>
      </c>
      <c r="JH39" s="165">
        <f>_xlfn.FORECAST.LINEAR(Sheet3!CB39,New!$MC$2:$MC$18,New!$MB$2:$MB$18)</f>
        <v>2.5111028488426838E-5</v>
      </c>
      <c r="JI39" s="165">
        <f>_xlfn.FORECAST.LINEAR(Sheet3!CC39,New!$MC$2:$MC$18,New!$MB$2:$MB$18)</f>
        <v>2.4770968008938874E-5</v>
      </c>
      <c r="JJ39" s="165">
        <f>_xlfn.FORECAST.LINEAR(Sheet3!CD39,New!$MC$2:$MC$18,New!$MB$2:$MB$18)</f>
        <v>2.4478440581387181E-5</v>
      </c>
      <c r="JK39" s="165">
        <f>_xlfn.FORECAST.LINEAR(Sheet3!CE39,New!$MC$2:$MC$18,New!$MB$2:$MB$18)</f>
        <v>2.4176167479669852E-5</v>
      </c>
      <c r="JL39" s="165">
        <f>_xlfn.FORECAST.LINEAR(Sheet3!CF39,New!$MC$2:$MC$18,New!$MB$2:$MB$18)</f>
        <v>2.4032125610787894E-5</v>
      </c>
      <c r="JM39" s="165">
        <f>_xlfn.FORECAST.LINEAR(Sheet3!CG39,New!$MC$2:$MC$18,New!$MB$2:$MB$18)</f>
        <v>2.3725140782041285E-5</v>
      </c>
      <c r="JN39" s="188">
        <f t="shared" si="159"/>
        <v>2.4386821615859017E-5</v>
      </c>
      <c r="JO39" s="165">
        <f t="shared" si="160"/>
        <v>2.436952821729823E-5</v>
      </c>
      <c r="JP39" s="165">
        <f t="shared" si="161"/>
        <v>2.402320387109168E-5</v>
      </c>
      <c r="JQ39" s="165">
        <f t="shared" si="162"/>
        <v>2.3659015596110918E-5</v>
      </c>
      <c r="JR39" s="165">
        <f t="shared" si="163"/>
        <v>2.3324231519047568E-5</v>
      </c>
      <c r="JS39" s="165">
        <f t="shared" si="164"/>
        <v>2.3033999594673928E-5</v>
      </c>
      <c r="JT39" s="165">
        <f t="shared" si="165"/>
        <v>2.2736408767433653E-5</v>
      </c>
      <c r="JU39" s="165">
        <f t="shared" si="166"/>
        <v>2.2593416551465307E-5</v>
      </c>
      <c r="JV39" s="165">
        <f t="shared" si="167"/>
        <v>2.2291150360402149E-5</v>
      </c>
      <c r="JW39" s="188">
        <f t="shared" si="231"/>
        <v>0.99342087640971777</v>
      </c>
      <c r="JX39" s="165">
        <f t="shared" si="232"/>
        <v>0.99355529240502816</v>
      </c>
      <c r="JY39" s="165">
        <f t="shared" si="233"/>
        <v>0.99631695093913586</v>
      </c>
      <c r="JZ39" s="165">
        <f t="shared" si="234"/>
        <v>0.99931244171799816</v>
      </c>
      <c r="KA39" s="165">
        <f t="shared" si="235"/>
        <v>1.0021929957034521</v>
      </c>
      <c r="KB39" s="165">
        <f t="shared" si="236"/>
        <v>1.0047579587880646</v>
      </c>
      <c r="KC39" s="165">
        <f t="shared" si="237"/>
        <v>1.0074974339003178</v>
      </c>
      <c r="KD39" s="165">
        <f t="shared" si="238"/>
        <v>1.0088360634542262</v>
      </c>
      <c r="KE39" s="165">
        <f t="shared" si="239"/>
        <v>1.0117635953324702</v>
      </c>
      <c r="KF39" s="188">
        <f t="shared" si="75"/>
        <v>0.98626119619886909</v>
      </c>
      <c r="KG39" s="165">
        <f t="shared" si="240"/>
        <v>0.98614313292748557</v>
      </c>
      <c r="KH39" s="165">
        <f t="shared" si="241"/>
        <v>0.98372740646071233</v>
      </c>
      <c r="KI39" s="165">
        <f t="shared" si="242"/>
        <v>0.98112842460100846</v>
      </c>
      <c r="KJ39" s="165">
        <f t="shared" si="243"/>
        <v>0.97864980257106338</v>
      </c>
      <c r="KK39" s="165">
        <f t="shared" si="244"/>
        <v>0.9764595631360673</v>
      </c>
      <c r="KL39" s="165">
        <f t="shared" si="245"/>
        <v>0.97413761165095902</v>
      </c>
      <c r="KM39" s="165">
        <f t="shared" si="246"/>
        <v>0.97300944321394733</v>
      </c>
      <c r="KN39" s="165">
        <f t="shared" si="247"/>
        <v>0.97055677221182024</v>
      </c>
      <c r="KO39" s="188">
        <f t="shared" si="213"/>
        <v>0.65750037438086006</v>
      </c>
      <c r="KP39" s="165">
        <f t="shared" si="214"/>
        <v>0.65736480478843873</v>
      </c>
      <c r="KQ39" s="165">
        <f t="shared" si="215"/>
        <v>0.65301927966375617</v>
      </c>
      <c r="KR39" s="165">
        <f t="shared" si="216"/>
        <v>0.64835783903188504</v>
      </c>
      <c r="KS39" s="165">
        <f t="shared" si="217"/>
        <v>0.643926044874643</v>
      </c>
      <c r="KT39" s="165">
        <f t="shared" si="218"/>
        <v>0.64001957554023681</v>
      </c>
      <c r="KU39" s="165">
        <f t="shared" si="219"/>
        <v>0.63589161381528869</v>
      </c>
      <c r="KV39" s="165">
        <f t="shared" si="220"/>
        <v>0.63388880191132668</v>
      </c>
      <c r="KW39" s="165">
        <f t="shared" si="221"/>
        <v>0.6296357175566849</v>
      </c>
      <c r="KX39" s="188">
        <f>AVERAGE(Sheet3!J39:P39)*KO39^(1/3)/ID39^(1/3)</f>
        <v>85.911743264495996</v>
      </c>
      <c r="KY39" s="165">
        <f>Sheet3!J39*KP39^(1/3)/IE39^(1/3)</f>
        <v>75.334644706116151</v>
      </c>
      <c r="KZ39" s="165">
        <f>Sheet3!K39*KQ39^(1/3)/IF39^(1/3)</f>
        <v>76.686493896735641</v>
      </c>
      <c r="LA39" s="165">
        <f>Sheet3!L39*KR39^(1/3)/IG39^(1/3)</f>
        <v>79.739511289514581</v>
      </c>
      <c r="LB39" s="165">
        <f>Sheet3!M39*KS39^(1/3)/IH39^(1/3)</f>
        <v>83.83755351964912</v>
      </c>
      <c r="LC39" s="165">
        <f>Sheet3!N39*KT39^(1/3)/II39^(1/3)</f>
        <v>89.061993561060476</v>
      </c>
      <c r="LD39" s="165">
        <f>Sheet3!O39*KU39^(1/3)/IJ39^(1/3)</f>
        <v>93.068227048226547</v>
      </c>
      <c r="LE39" s="165">
        <f>Sheet3!P39*KV39^(1/3)/IK39^(1/3)</f>
        <v>97.883969627465021</v>
      </c>
      <c r="LF39" s="165">
        <f>Sheet3!Q39*KW39^(1/3)/IL39^(1/3)</f>
        <v>101.97887760121954</v>
      </c>
      <c r="LG39" s="186">
        <f t="shared" si="248"/>
        <v>27.28642672415511</v>
      </c>
      <c r="LH39" s="183">
        <f t="shared" si="249"/>
        <v>27.28642672415511</v>
      </c>
      <c r="LI39" s="183">
        <f t="shared" si="250"/>
        <v>27.392217780289712</v>
      </c>
      <c r="LJ39" s="183">
        <f t="shared" si="251"/>
        <v>27.392217780289712</v>
      </c>
      <c r="LK39" s="183">
        <f t="shared" si="252"/>
        <v>27.510924475774612</v>
      </c>
      <c r="LL39" s="183">
        <f t="shared" si="253"/>
        <v>27.511201975915107</v>
      </c>
      <c r="LM39" s="183">
        <f t="shared" si="254"/>
        <v>27.62666597207166</v>
      </c>
      <c r="LN39" s="183">
        <f t="shared" si="255"/>
        <v>27.62666597207166</v>
      </c>
      <c r="LO39" s="183">
        <f t="shared" si="256"/>
        <v>27.750943595127101</v>
      </c>
      <c r="LP39" s="220"/>
      <c r="LQ39" s="220"/>
      <c r="LR39" s="220"/>
      <c r="LS39" s="220"/>
      <c r="LT39" s="220"/>
      <c r="LU39" s="220"/>
      <c r="LV39" s="220"/>
      <c r="LW39" s="220"/>
      <c r="LX39" s="220"/>
      <c r="LY39" s="220"/>
      <c r="LZ39" s="222">
        <v>155.47</v>
      </c>
      <c r="MA39" s="220">
        <v>1.4E-5</v>
      </c>
      <c r="MB39" s="220"/>
      <c r="MC39" s="220"/>
      <c r="MD39" s="188">
        <f>Sheet3!DP39</f>
        <v>170.62675932183896</v>
      </c>
      <c r="MF39" s="165"/>
      <c r="MK39" s="275">
        <v>370</v>
      </c>
      <c r="ML39" s="276">
        <v>210.53</v>
      </c>
      <c r="MM39" s="276">
        <v>203</v>
      </c>
      <c r="MN39" s="276">
        <v>56.52</v>
      </c>
      <c r="MO39" s="276">
        <v>33.729999999999997</v>
      </c>
      <c r="MP39" s="277">
        <v>0.16600000000000001</v>
      </c>
      <c r="MQ39"/>
      <c r="MR39"/>
      <c r="MS39"/>
    </row>
    <row r="40" spans="1:357" x14ac:dyDescent="0.3">
      <c r="A40" s="184" t="str">
        <f>Sheet3!A40</f>
        <v>29.12.2022</v>
      </c>
      <c r="B40" s="186">
        <f t="shared" si="102"/>
        <v>0.80967337341882817</v>
      </c>
      <c r="C40" s="183">
        <f t="shared" si="168"/>
        <v>0.80933877647415287</v>
      </c>
      <c r="D40" s="183">
        <f t="shared" si="169"/>
        <v>0.80363646183334636</v>
      </c>
      <c r="E40" s="183">
        <f t="shared" si="170"/>
        <v>0.79757570440566483</v>
      </c>
      <c r="F40" s="183">
        <f t="shared" si="171"/>
        <v>0.79165163029954644</v>
      </c>
      <c r="G40" s="183">
        <f t="shared" si="172"/>
        <v>0.78743462291751054</v>
      </c>
      <c r="H40" s="183">
        <f t="shared" si="173"/>
        <v>0.78371161658567923</v>
      </c>
      <c r="I40" s="183">
        <f t="shared" si="174"/>
        <v>0.77774446423233812</v>
      </c>
      <c r="J40" s="183">
        <f t="shared" si="175"/>
        <v>0.77369283287703716</v>
      </c>
      <c r="K40" s="186">
        <f xml:space="preserve"> (6.057 * (10^(-6)))
+ (4.055 * (10^(-8)) * (Sheet3!DF40 + 273))
+ (1.25 * (10^(-10)) * (Sheet3!DF40 + 273)^2)
- (3.367 * (10^(-14)) * (DD40 + 273)^3)</f>
        <v>3.5902863986041412E-5</v>
      </c>
      <c r="L40" s="183">
        <f xml:space="preserve"> (6.057 * (10^(-6)))
+ (4.055 * (10^(-8)) * (Sheet3!BZ40 + 273))
+ (1.25 * (10^(-10)) * (Sheet3!BZ40 + 273)^2)
- (3.367 * (10^(-14)) * (BX40 + 273)^3)</f>
        <v>3.5867241838567327E-5</v>
      </c>
      <c r="M40" s="183">
        <f xml:space="preserve"> (6.057 * (10^(-6)))
+ (4.055 * (10^(-8)) * (Sheet3!CA40 + 273))
+ (1.25 * (10^(-10)) * (Sheet3!CA40 + 273)^2)
- (3.367 * (10^(-14)) * (BY40 + 273)^3)</f>
        <v>3.5284808403790492E-5</v>
      </c>
      <c r="N40" s="183">
        <f xml:space="preserve"> (6.057 * (10^(-6)))
+ (4.055 * (10^(-8)) * (Sheet3!CB40 + 273))
+ (1.25 * (10^(-10)) * (Sheet3!CB40 + 273)^2)
- (3.367 * (10^(-14)) * (BZ40 + 273)^3)</f>
        <v>3.4819174954898801E-5</v>
      </c>
      <c r="O40" s="183">
        <f xml:space="preserve"> (6.057 * (10^(-6)))
+ (4.055 * (10^(-8)) * (Sheet3!CC40 + 273))
+ (1.25 * (10^(-10)) * (Sheet3!CC40 + 273)^2)
- (3.367 * (10^(-14)) * (CA40 + 273)^3)</f>
        <v>3.4266817038254422E-5</v>
      </c>
      <c r="P40" s="183">
        <f xml:space="preserve"> (6.057 * (10^(-6)))
+ (4.055 * (10^(-8)) * (Sheet3!CD40 + 273))
+ (1.25 * (10^(-10)) * (Sheet3!CD40 + 273)^2)
- (3.367 * (10^(-14)) * (CB40 + 273)^3)</f>
        <v>3.3955092080807202E-5</v>
      </c>
      <c r="Q40" s="183">
        <f xml:space="preserve"> (6.057 * (10^(-6)))
+ (4.055 * (10^(-8)) * (Sheet3!CE40 + 273))
+ (1.25 * (10^(-10)) * (Sheet3!CE40 + 273)^2)
- (3.367 * (10^(-14)) * (CC40 + 273)^3)</f>
        <v>3.3566246667379702E-5</v>
      </c>
      <c r="R40" s="183">
        <f xml:space="preserve"> (6.057 * (10^(-6)))
+ (4.055 * (10^(-8)) * (Sheet3!CF40 + 273))
+ (1.25 * (10^(-10)) * (Sheet3!CF40 + 273)^2)
- (3.367 * (10^(-14)) * (CD40 + 273)^3)</f>
        <v>3.3140010385866034E-5</v>
      </c>
      <c r="S40" s="183">
        <f xml:space="preserve"> (6.057 * (10^(-6)))
+ (4.055 * (10^(-8)) * (Sheet3!CG40 + 273))
+ (1.25 * (10^(-10)) * (Sheet3!CG40 + 273)^2)
- (3.367 * (10^(-14)) * (CE40 + 273)^3)</f>
        <v>3.2738982065771292E-5</v>
      </c>
      <c r="T40" s="188">
        <f t="shared" si="104"/>
        <v>3.5902863986041412E-5</v>
      </c>
      <c r="U40" s="165">
        <f t="shared" si="105"/>
        <v>3.5867241838567327E-5</v>
      </c>
      <c r="V40" s="165">
        <f t="shared" si="106"/>
        <v>3.5284808403790492E-5</v>
      </c>
      <c r="W40" s="165">
        <f t="shared" si="107"/>
        <v>3.4819174954898801E-5</v>
      </c>
      <c r="X40" s="165">
        <f t="shared" si="108"/>
        <v>3.4266817038254422E-5</v>
      </c>
      <c r="Y40" s="165">
        <f t="shared" si="109"/>
        <v>3.3955092080807202E-5</v>
      </c>
      <c r="Z40" s="165">
        <f t="shared" si="110"/>
        <v>3.3566246667379702E-5</v>
      </c>
      <c r="AA40" s="165">
        <f t="shared" si="111"/>
        <v>3.3140010385866034E-5</v>
      </c>
      <c r="AB40" s="165">
        <f t="shared" si="112"/>
        <v>3.2738982065771292E-5</v>
      </c>
      <c r="AC40" s="186">
        <f t="shared" si="176"/>
        <v>2.9069592998975505E-5</v>
      </c>
      <c r="AD40" s="183">
        <f t="shared" si="177"/>
        <v>2.9028749625128627E-5</v>
      </c>
      <c r="AE40" s="183">
        <f t="shared" si="178"/>
        <v>2.8356158582089718E-5</v>
      </c>
      <c r="AF40" s="183">
        <f t="shared" si="179"/>
        <v>2.7770927991477495E-5</v>
      </c>
      <c r="AG40" s="183">
        <f t="shared" si="180"/>
        <v>2.7127381573510388E-5</v>
      </c>
      <c r="AH40" s="183">
        <f t="shared" si="181"/>
        <v>2.6737415128779766E-5</v>
      </c>
      <c r="AI40" s="183">
        <f t="shared" si="182"/>
        <v>2.6306257438405813E-5</v>
      </c>
      <c r="AJ40" s="183">
        <f t="shared" si="183"/>
        <v>2.5774459622209498E-5</v>
      </c>
      <c r="AK40" s="183">
        <f t="shared" si="184"/>
        <v>2.5329915779977103E-5</v>
      </c>
      <c r="AL40" s="186">
        <f t="shared" si="113"/>
        <v>2.9748980645433836E-2</v>
      </c>
      <c r="AM40" s="183">
        <f t="shared" si="114"/>
        <v>2.9725596245919726E-2</v>
      </c>
      <c r="AN40" s="183">
        <f t="shared" si="115"/>
        <v>2.9324547744545904E-2</v>
      </c>
      <c r="AO40" s="183">
        <f t="shared" si="116"/>
        <v>2.8996048763621329E-2</v>
      </c>
      <c r="AP40" s="183">
        <f t="shared" si="117"/>
        <v>2.8610662365956364E-2</v>
      </c>
      <c r="AQ40" s="183">
        <f t="shared" si="118"/>
        <v>2.8387654264937764E-2</v>
      </c>
      <c r="AR40" s="183">
        <f t="shared" si="119"/>
        <v>2.8117815347896636E-2</v>
      </c>
      <c r="AS40" s="183">
        <f t="shared" si="120"/>
        <v>2.7809470057120571E-2</v>
      </c>
      <c r="AT40" s="183">
        <f t="shared" si="121"/>
        <v>2.753183691216551E-2</v>
      </c>
      <c r="AU40" s="186">
        <f>_xlfn.FORECAST.LINEAR(Sheet3!DF40,Sheet2!$AH$2:$AH$40,Sheet2!$AG$2:$AG$40)</f>
        <v>2.5653712965492358E-2</v>
      </c>
      <c r="AV40" s="183">
        <f>_xlfn.FORECAST.LINEAR(Sheet3!BZ40,Sheet2!$AH$2:$AH$40,Sheet2!$AG$2:$AG$40)</f>
        <v>2.558769997897798E-2</v>
      </c>
      <c r="AW40" s="183">
        <f>_xlfn.FORECAST.LINEAR(Sheet3!CA40,Sheet2!$AH$2:$AH$40,Sheet2!$AG$2:$AG$40)</f>
        <v>2.4443972517399409E-2</v>
      </c>
      <c r="AX40" s="183">
        <f>_xlfn.FORECAST.LINEAR(Sheet3!CB40,Sheet2!$AH$2:$AH$40,Sheet2!$AG$2:$AG$40)</f>
        <v>2.3522334923901288E-2</v>
      </c>
      <c r="AY40" s="183">
        <f>_xlfn.FORECAST.LINEAR(Sheet3!CC40,Sheet2!$AH$2:$AH$40,Sheet2!$AG$2:$AG$40)</f>
        <v>2.2420549765313127E-2</v>
      </c>
      <c r="AZ40" s="183">
        <f>_xlfn.FORECAST.LINEAR(Sheet3!CD40,Sheet2!$AH$2:$AH$40,Sheet2!$AG$2:$AG$40)</f>
        <v>2.1794536278976977E-2</v>
      </c>
      <c r="BA40" s="183">
        <f>_xlfn.FORECAST.LINEAR(Sheet3!CE40,Sheet2!$AH$2:$AH$40,Sheet2!$AG$2:$AG$40)</f>
        <v>2.1009389120728791E-2</v>
      </c>
      <c r="BB40" s="183">
        <f>_xlfn.FORECAST.LINEAR(Sheet3!CF40,Sheet2!$AH$2:$AH$40,Sheet2!$AG$2:$AG$40)</f>
        <v>2.0143123179854637E-2</v>
      </c>
      <c r="BC40" s="183">
        <f>_xlfn.FORECAST.LINEAR(Sheet3!CG40,Sheet2!$AH$2:$AH$40,Sheet2!$AG$2:$AG$40)</f>
        <v>1.9335072287345528E-2</v>
      </c>
      <c r="BD40" s="186">
        <f>_xlfn.FORECAST.LINEAR(Sheet3!DF40,Sheet2!$AB$12:$AB$37,Sheet2!$AA$12:$AA$37)/1000</f>
        <v>3.0506351161118033E-2</v>
      </c>
      <c r="BE40" s="183">
        <f>_xlfn.FORECAST.LINEAR(Sheet3!BZ40,Sheet2!$AB$12:$AB$37,Sheet2!$AA$12:$AA$37)/1000</f>
        <v>3.049159218530496E-2</v>
      </c>
      <c r="BF40" s="183">
        <f>_xlfn.FORECAST.LINEAR(Sheet3!CA40,Sheet2!$AB$12:$AB$37,Sheet2!$AA$12:$AA$37)/1000</f>
        <v>3.0235881198217483E-2</v>
      </c>
      <c r="BG40" s="183">
        <f>_xlfn.FORECAST.LINEAR(Sheet3!CB40,Sheet2!$AB$12:$AB$37,Sheet2!$AA$12:$AA$37)/1000</f>
        <v>3.0029824365023102E-2</v>
      </c>
      <c r="BH40" s="183">
        <f>_xlfn.FORECAST.LINEAR(Sheet3!CC40,Sheet2!$AB$12:$AB$37,Sheet2!$AA$12:$AA$37)/1000</f>
        <v>2.9783490706065528E-2</v>
      </c>
      <c r="BI40" s="183">
        <f>_xlfn.FORECAST.LINEAR(Sheet3!CD40,Sheet2!$AB$12:$AB$37,Sheet2!$AA$12:$AA$37)/1000</f>
        <v>2.9643528580560432E-2</v>
      </c>
      <c r="BJ40" s="183">
        <f>_xlfn.FORECAST.LINEAR(Sheet3!CE40,Sheet2!$AB$12:$AB$37,Sheet2!$AA$12:$AA$37)/1000</f>
        <v>2.9467987849408041E-2</v>
      </c>
      <c r="BK40" s="183">
        <f>_xlfn.FORECAST.LINEAR(Sheet3!CF40,Sheet2!$AB$12:$AB$37,Sheet2!$AA$12:$AA$37)/1000</f>
        <v>2.9274310836078784E-2</v>
      </c>
      <c r="BL40" s="183">
        <f>_xlfn.FORECAST.LINEAR(Sheet3!CG40,Sheet2!$AB$12:$AB$37,Sheet2!$AA$12:$AA$37)/1000</f>
        <v>2.9093649360087615E-2</v>
      </c>
      <c r="BM40" s="186">
        <f t="shared" si="122"/>
        <v>0.92619438378270835</v>
      </c>
      <c r="BN40" s="183">
        <f t="shared" si="123"/>
        <v>0.92688119973203675</v>
      </c>
      <c r="BO40" s="183">
        <f t="shared" si="124"/>
        <v>0.9391876272557268</v>
      </c>
      <c r="BP40" s="183">
        <f t="shared" si="125"/>
        <v>0.94894238114421847</v>
      </c>
      <c r="BQ40" s="183">
        <f t="shared" si="126"/>
        <v>0.96127762301332376</v>
      </c>
      <c r="BR40" s="183">
        <f t="shared" si="127"/>
        <v>0.96819687288729239</v>
      </c>
      <c r="BS40" s="183">
        <f t="shared" si="128"/>
        <v>0.97747742052029585</v>
      </c>
      <c r="BT40" s="183">
        <f t="shared" si="129"/>
        <v>0.98739946550877289</v>
      </c>
      <c r="BU40" s="183">
        <f t="shared" si="130"/>
        <v>0.99724984396478633</v>
      </c>
      <c r="BV40" s="186">
        <f t="shared" si="222"/>
        <v>1.1049204067774057</v>
      </c>
      <c r="BW40" s="183">
        <f t="shared" si="223"/>
        <v>1.1047860243298937</v>
      </c>
      <c r="BX40" s="183">
        <f t="shared" si="224"/>
        <v>1.1011121730415516</v>
      </c>
      <c r="BY40" s="183">
        <f t="shared" si="225"/>
        <v>1.1002935973979933</v>
      </c>
      <c r="BZ40" s="183">
        <f t="shared" si="226"/>
        <v>1.0971631262900452</v>
      </c>
      <c r="CA40" s="183">
        <f t="shared" si="227"/>
        <v>1.0965953820334846</v>
      </c>
      <c r="CB40" s="183">
        <f t="shared" si="228"/>
        <v>1.0934924141561639</v>
      </c>
      <c r="CC40" s="183">
        <f t="shared" si="229"/>
        <v>1.0927234327739694</v>
      </c>
      <c r="CD40" s="183">
        <f t="shared" si="230"/>
        <v>1.0899271362296203</v>
      </c>
      <c r="CE40" s="187">
        <f xml:space="preserve"> -0.0000000019505*Sheet3!DF40^3 + 0.0000015497*Sheet3!DF40^2  + 0.00016911*Sheet3!DF40 + 1.8585</f>
        <v>1.8828730816875001</v>
      </c>
      <c r="CF40" s="185">
        <f xml:space="preserve"> -0.0000000019505*Sheet3!BZ40^3 + 0.0000015497*Sheet3!BZ40^2  + 0.00016911*Sheet3!BZ40 + 1.8585</f>
        <v>1.8827717787825886</v>
      </c>
      <c r="CG40" s="185">
        <f xml:space="preserve"> -0.0000000019505*Sheet3!CA40^3 + 0.0000015497*Sheet3!CA40^2  + 0.00016911*Sheet3!CA40 + 1.8585</f>
        <v>1.8810393775998602</v>
      </c>
      <c r="CH40" s="185">
        <f xml:space="preserve"> -0.0000000019505*Sheet3!CB40^3 + 0.0000015497*Sheet3!CB40^2  + 0.00016911*Sheet3!CB40 + 1.8585</f>
        <v>1.879675158964061</v>
      </c>
      <c r="CI40" s="185">
        <f xml:space="preserve"> -0.0000000019505*Sheet3!CC40^3 + 0.0000015497*Sheet3!CC40^2  + 0.00016911*Sheet3!CC40 + 1.8585</f>
        <v>1.8780823473281452</v>
      </c>
      <c r="CJ40" s="185">
        <f xml:space="preserve"> -0.0000000019505*Sheet3!CD40^3 + 0.0000015497*Sheet3!CD40^2  + 0.00016911*Sheet3!CD40 + 1.8585</f>
        <v>1.8771961496422751</v>
      </c>
      <c r="CK40" s="185">
        <f xml:space="preserve"> -0.0000000019505*Sheet3!CE40^3 + 0.0000015497*Sheet3!CE40^2  + 0.00016911*Sheet3!CE40 + 1.8585</f>
        <v>1.8761042756917901</v>
      </c>
      <c r="CL40" s="185">
        <f xml:space="preserve"> -0.0000000019505*Sheet3!CF40^3 + 0.0000015497*Sheet3!CF40^2  + 0.00016911*Sheet3!CF40 + 1.8585</f>
        <v>1.8749252824906297</v>
      </c>
      <c r="CM40" s="185">
        <f xml:space="preserve"> -0.0000000019505*Sheet3!CG40^3 + 0.0000015497*Sheet3!CG40^2  + 0.00016911*Sheet3!CG40 + 1.8585</f>
        <v>1.8738502111810353</v>
      </c>
      <c r="CN40" s="186">
        <f>_xlfn.FORECAST.LINEAR(Sheet3!DF40,New!$LU$2:$LU$14,New!$LT$2:$LT$14)</f>
        <v>1.0126209368728181</v>
      </c>
      <c r="CO40" s="183">
        <f>_xlfn.FORECAST.LINEAR(Sheet3!BZ40,New!$LU$2:$LU$14,New!$LT$2:$LT$14)</f>
        <v>1.0125723504487008</v>
      </c>
      <c r="CP40" s="183">
        <f>_xlfn.FORECAST.LINEAR(Sheet3!CA40,New!$LU$2:$LU$14,New!$LT$2:$LT$14)</f>
        <v>1.0117305520320994</v>
      </c>
      <c r="CQ40" s="183">
        <f>_xlfn.FORECAST.LINEAR(Sheet3!CB40,New!$LU$2:$LU$14,New!$LT$2:$LT$14)</f>
        <v>1.0110522146720642</v>
      </c>
      <c r="CR40" s="183">
        <f>_xlfn.FORECAST.LINEAR(Sheet3!CC40,New!$LU$2:$LU$14,New!$LT$2:$LT$14)</f>
        <v>1.0102412863407166</v>
      </c>
      <c r="CS40" s="183">
        <f>_xlfn.FORECAST.LINEAR(Sheet3!CD40,New!$LU$2:$LU$14,New!$LT$2:$LT$14)</f>
        <v>1.0097805322019278</v>
      </c>
      <c r="CT40" s="183">
        <f>_xlfn.FORECAST.LINEAR(Sheet3!CE40,New!$LU$2:$LU$14,New!$LT$2:$LT$14)</f>
        <v>1.0092026535928924</v>
      </c>
      <c r="CU40" s="183">
        <f>_xlfn.FORECAST.LINEAR(Sheet3!CF40,New!$LU$2:$LU$14,New!$LT$2:$LT$14)</f>
        <v>1.0085650704956246</v>
      </c>
      <c r="CV40" s="183">
        <f>_xlfn.FORECAST.LINEAR(Sheet3!CG40,New!$LU$2:$LU$14,New!$LT$2:$LT$14)</f>
        <v>1.0079703344376929</v>
      </c>
      <c r="CW40" s="186">
        <f>EXP((17.625*Sheet3!BA40)/(243.04+Sheet3!BA40)) / EXP((17.625*Sheet3!DF40)/(243.04+Sheet3!DF40))</f>
        <v>0.25054222724360542</v>
      </c>
      <c r="CX40" s="183">
        <f>EXP((17.625*(Sheet3!BC40+273))/(243.04+(Sheet3!BC40+273)))/EXP((17.625*(Sheet3!BZ40+273))/(243.04+(Sheet3!BZ40+273)))</f>
        <v>0.6768166096664574</v>
      </c>
      <c r="CY40" s="183">
        <f>EXP((17.625*(Sheet3!BE40+273))/(243.04+(Sheet3!BE40+273))) / EXP((17.625*(Sheet3!CA40+273))/(243.04+(Sheet3!CA40+273)))</f>
        <v>0.71259603410862293</v>
      </c>
      <c r="CZ40" s="183">
        <f>EXP((17.625*(Sheet3!BG40+273))/(243.04+(Sheet3!BG40+273))) / EXP((17.625*(Sheet3!CB40+273))/(243.04+(Sheet3!CB40+273)))</f>
        <v>0.73906614758025579</v>
      </c>
      <c r="DA40" s="183">
        <f>EXP((17.625*(Sheet3!BI40+273))/(243.04+(Sheet3!BI40+273))) / EXP((17.625*(Sheet3!CC40+273))/(243.04+(Sheet3!CC40+273)))</f>
        <v>0.77328256121885031</v>
      </c>
      <c r="DB40" s="183">
        <f>EXP((17.625*(Sheet3!BK40+273))/(243.04+(Sheet3!BK40+273)))/EXP((17.625*(Sheet3!CD40+273))/(243.04+(Sheet3!CD40+273)))</f>
        <v>0.79713079941323139</v>
      </c>
      <c r="DC40" s="183">
        <f>EXP((17.625*(Sheet3!BM40+273))/(243.04+(Sheet3!BM40+273))) / EXP((17.625*(Sheet3!CE40+273))/(243.04+(Sheet3!CE40+273)))</f>
        <v>0.82099869325468255</v>
      </c>
      <c r="DD40" s="183">
        <f>EXP((17.625*(Sheet3!BO40+273))/(243.04+(Sheet3!BO40+273))) / EXP((17.625*(Sheet3!CF40+273))/(243.04+(Sheet3!CF40+273)))</f>
        <v>0.85703089454516479</v>
      </c>
      <c r="DE40" s="183">
        <f>EXP((17.625*(Sheet3!BQ40+273))/(243.04+(Sheet3!BQ40+273))) / EXP((17.625*(Sheet3!CG40+273))/(243.04+(Sheet3!CG40+273)))</f>
        <v>0.88519306740678094</v>
      </c>
      <c r="DF40" s="186">
        <f>((Sheet3!DA40-Sheet3!DB40)/New!$LQ$3)/(((Sheet3!DA40-Sheet3!DB40)/New!$LQ$3)+(Sheet3!DB40/New!$LP$3))</f>
        <v>0.83982364165754719</v>
      </c>
      <c r="DG40" s="183">
        <f>((Sheet3!DA40-Sheet3!DB40)/New!$LQ$3)/(((Sheet3!DA40-Sheet3!DB40)/New!$LQ$3)+((Sheet3!DB40-(Sheet3!B40*0.004))/New!$LP$3))</f>
        <v>0.84043904035419981</v>
      </c>
      <c r="DH40" s="183" cm="1">
        <f t="array" ref="DH40">((Sheet3!DA40-Sheet3!DB40)/New!$LQ$3)/(((Sheet3!DA40-Sheet3!DB40)/New!$LQ$3)+((Sheet3!DB40-(SUM(Sheet3!B40:C40*0.004)))/New!$LP$3))</f>
        <v>0.86207489472383259</v>
      </c>
      <c r="DI40" s="183" cm="1">
        <f t="array" ref="DI40">((Sheet3!DA40-Sheet3!DB40)/New!$LQ$3)/(((Sheet3!DA40-Sheet3!DB40)/New!$LQ$3)+((Sheet3!DB40-(SUM(Sheet3!B40:D40*0.004)))/New!$LP$3))</f>
        <v>0.86264223815066376</v>
      </c>
      <c r="DJ40" s="183" cm="1">
        <f t="array" ref="DJ40">((Sheet3!DA40-Sheet3!DB40)/New!$LQ$3)/(((Sheet3!DA40-Sheet3!DB40)/New!$LQ$3)+((Sheet3!DB40-(SUM(Sheet3!B40:E40*0.004)))/New!$LP$3))</f>
        <v>0.8813269579938503</v>
      </c>
      <c r="DK40" s="183" cm="1">
        <f t="array" ref="DK40">((Sheet3!DA40-Sheet3!DB40)/New!$LQ$3)/(((Sheet3!DA40-Sheet3!DB40)/New!$LQ$3)+((Sheet3!DB40-(SUM(Sheet3!B40:F40*0.004)))/New!$LP$3))</f>
        <v>0.88187755135364354</v>
      </c>
      <c r="DL40" s="183" cm="1">
        <f t="array" ref="DL40">((Sheet3!DA40-Sheet3!DB40)/New!$LQ$3)/(((Sheet3!DA40-Sheet3!DB40)/New!$LQ$3)+((Sheet3!DB40-(SUM(Sheet3!B40:G40*0.004)))/New!$LP$3))</f>
        <v>0.9036336327645702</v>
      </c>
      <c r="DM40" s="183" cm="1">
        <f t="array" ref="DM40">((Sheet3!DA40-Sheet3!DB40)/New!$LQ$3)/(((Sheet3!DA40-Sheet3!DB40)/New!$LQ$3)+((Sheet3!DB40-(SUM(Sheet3!B40:H40*0.004)))/New!$LP$3))</f>
        <v>0.90434614009001824</v>
      </c>
      <c r="DN40" s="183" cm="1">
        <f t="array" ref="DN40">((Sheet3!DA40-Sheet3!DB40)/New!$LQ$3)/(((Sheet3!DA40-Sheet3!DB40)/New!$LQ$3)+((Sheet3!DB40-(SUM(Sheet3!B40:I40*0.004)))/New!$LP$3))</f>
        <v>0.92434360415988848</v>
      </c>
      <c r="DO40" s="186">
        <f>(Sheet3!DB40/$LP$3) / ((Sheet3!DB40/$LP$3) + ((Sheet3!DA40-Sheet3!DB40)/$LQ$3))</f>
        <v>0.16017635834245281</v>
      </c>
      <c r="DP40" s="183">
        <f>((Sheet3!$DB40-(Sheet3!B40/4000)) / $LP$3) / (((Sheet3!$DA40-Sheet3!DB40) / $LQ$3) + (Sheet3!$DB40-((Sheet3!B40/4000)))/$LP$3)</f>
        <v>0.160137922328421</v>
      </c>
      <c r="DQ40" s="183">
        <f>((Sheet3!$DB40-(SUM(Sheet3!B40:C40)/4000))/$LP$3)/(((Sheet3!$DA40-Sheet3!$DB40)/$LQ$3)+(Sheet3!$DB40-(SUM(Sheet3!B40:C40)/4000))/$LP$3)</f>
        <v>0.15881936173962377</v>
      </c>
      <c r="DR40" s="183">
        <f>((Sheet3!$DB40-(SUM(Sheet3!B40:D40)/4000))/$LP$3)/(((Sheet3!$DA40-Sheet3!$DB40)/$LQ$3)+(Sheet3!$DB40-(SUM(Sheet3!B40:D40)/4000))/$LP$3)</f>
        <v>0.15878562164601692</v>
      </c>
      <c r="DS40" s="183">
        <f>((Sheet3!$DB40-(SUM(Sheet3!B40:E40)/4000))/$LP$3)/(((Sheet3!$DA40-Sheet3!$DB40)/$LQ$3)+(Sheet3!$DB40-(SUM(Sheet3!B40:E40)/4000))/$LP$3)</f>
        <v>0.15769725872987511</v>
      </c>
      <c r="DT40" s="183">
        <f>((Sheet3!$DB40-(SUM(Sheet3!B40:F40)/4000))/$LP$3)/(((Sheet3!$DA40-Sheet3!$DB40)/$LQ$3)+(Sheet3!$DB40-(SUM(Sheet3!B40:F40)/4000))/$LP$3)</f>
        <v>0.15766584508935319</v>
      </c>
      <c r="DU40" s="183">
        <f>((Sheet3!$DB40-(SUM(Sheet3!B40:G40)/4000))/$LP$3)/(((Sheet3!$DA40-Sheet3!$DB40)/$LQ$3)+(Sheet3!$DB40-(SUM(Sheet3!B40:G40)/4000))/$LP$3)</f>
        <v>0.15645342396093698</v>
      </c>
      <c r="DV40" s="183">
        <f>((Sheet3!$DB40-(SUM(Sheet3!B40:H40)/4000))/$LP$3)/(((Sheet3!$DA40-Sheet3!$DB40)/$LQ$3)+(Sheet3!$DB40-(SUM(Sheet3!B40:H40)/4000))/$LP$3)</f>
        <v>0.1564146464103639</v>
      </c>
      <c r="DW40" s="183">
        <f>((Sheet3!$DB40-(SUM(Sheet3!B40:I40)/4000))/$LP$3)/(((Sheet3!$DA40-Sheet3!$DB40)/$LQ$3)+(Sheet3!$DB40-(SUM(Sheet3!B40:I40)/4000))/$LP$3)</f>
        <v>0.15534929473650816</v>
      </c>
      <c r="DX40" s="186">
        <f>($LR$2*($LP$3/1000))/($LP$2*(Sheet3!DF40+273))*DO40</f>
        <v>9.8232737673923612E-2</v>
      </c>
      <c r="DY40" s="183">
        <f>(($LR$2*($LP$3/1000))/($LP$2*(Sheet3!BZ40+273)))*(DP40)</f>
        <v>9.8280472676820399E-2</v>
      </c>
      <c r="DZ40" s="183">
        <f>(($LR$2*($LP$3/1000))/($LP$2*(Sheet3!CA40+273)))*(DQ40)</f>
        <v>9.8713029267149879E-2</v>
      </c>
      <c r="EA40" s="183">
        <f>(($LR$2*($LP$3/1000))/($LP$2*(Sheet3!CB40+273)))*(DR40)</f>
        <v>9.9715758250082234E-2</v>
      </c>
      <c r="EB40" s="183">
        <f>(($LR$2*($LP$3/1000))/($LP$2*(Sheet3!CC40+273)))*(DS40)</f>
        <v>0.10027571197402783</v>
      </c>
      <c r="EC40" s="183">
        <f>(($LR$2*($LP$3/1000))/($LP$2*(Sheet3!CD40+273)))*(DT40)</f>
        <v>0.1009761000689615</v>
      </c>
      <c r="ED40" s="183">
        <f>(($LR$2*($LP$3/1000))/($LP$2*(Sheet3!CE40+273)))*(DU40)</f>
        <v>0.10111079896225855</v>
      </c>
      <c r="EE40" s="183">
        <f>(($LR$2*($LP$3/1000))/($LP$2*(Sheet3!CF40+273)))*(DV40)</f>
        <v>0.1021102351484081</v>
      </c>
      <c r="EF40" s="183">
        <f>(($LR$2*($LP$3/1000))/($LP$2*(Sheet3!CG40+273)))*(DW40)</f>
        <v>0.10238266408452133</v>
      </c>
      <c r="EG40" s="186">
        <f>(($LR$2*($LQ$3/1000))/($LQ$2*(Sheet3!DF40+273)))*(1-DO40)</f>
        <v>0.82796164610878475</v>
      </c>
      <c r="EH40" s="183">
        <f>(($LR$2*($LQ$3/1000))/($LQ$2*(Sheet3!BZ40+273)))*(1-DP40)</f>
        <v>0.82860072705521637</v>
      </c>
      <c r="EI40" s="183">
        <f>(($LR$2*($LQ$3/1000))/($LQ$2*(Sheet3!CA40+273)))*(1-DQ40)</f>
        <v>0.84047459798857693</v>
      </c>
      <c r="EJ40" s="183">
        <f>(($LR$2*($LQ$3/1000))/($LQ$2*(Sheet3!CB40+273)))*(1-DR40)</f>
        <v>0.8492266228941362</v>
      </c>
      <c r="EK40" s="183">
        <f>(($LR$2*($LQ$3/1000))/($LQ$2*(Sheet3!CC40+273)))*(1-DS40)</f>
        <v>0.86100191103929591</v>
      </c>
      <c r="EL40" s="183">
        <f>(($LR$2*($LQ$3/1000))/($LQ$2*(Sheet3!CD40+273)))*(1-DT40)</f>
        <v>0.86722077281833088</v>
      </c>
      <c r="EM40" s="183">
        <f>(($LR$2*($LQ$3/1000))/($LQ$2*(Sheet3!CE40+273)))*(1-DU40)</f>
        <v>0.87636662155803735</v>
      </c>
      <c r="EN40" s="183">
        <f>(($LR$2*($LQ$3/1000))/($LQ$2*(Sheet3!CF40+273)))*(1-DV40)</f>
        <v>0.88528923036036478</v>
      </c>
      <c r="EO40" s="183">
        <f>(($LR$2*($LQ$3/1000))/($LQ$2*(Sheet3!CG40+273)))*(1-DW40)</f>
        <v>0.89486717988026498</v>
      </c>
      <c r="EP40" s="186">
        <f t="shared" si="132"/>
        <v>3090.9670348924938</v>
      </c>
      <c r="EQ40" s="183">
        <f xml:space="preserve"> (($FV40-(Sheet3!B40/4000))*0.018)/(0.011*JO40*3600)</f>
        <v>3092.5141671319911</v>
      </c>
      <c r="ER40" s="183">
        <f>((($FV40-(SUM(Sheet3!B40:C40)/4000))*0.018)/(0.011*JP40*3600))</f>
        <v>3117.0043790053305</v>
      </c>
      <c r="ES40" s="183">
        <f>((($FV40-(SUM(Sheet3!B40:D40)/4000))*0.018)/(0.011*JQ40*3600))</f>
        <v>3141.190288747945</v>
      </c>
      <c r="ET40" s="183">
        <f>((($FV40-(SUM(Sheet3!B40:E40)/4000))*0.018)/(0.011*JR40))/3600</f>
        <v>3166.3717406948654</v>
      </c>
      <c r="EU40" s="183">
        <f>((($FV40-(SUM(Sheet3!B40:F40)/4000))*0.018)/(0.011*JS40))/3600</f>
        <v>3183.276670420415</v>
      </c>
      <c r="EV40" s="183">
        <f>((($FV40-(SUM(Sheet3!B40:G40)/4000))*0.018)/(0.011*JT40))/3600</f>
        <v>3199.9305643645125</v>
      </c>
      <c r="EW40" s="183">
        <f>((($FV40-(SUM(Sheet3!B40:H40)/4000))*0.018)/(0.011*JU40))/3600</f>
        <v>3223.9319369035707</v>
      </c>
      <c r="EX40" s="183">
        <f>((($FV40-(SUM(Sheet3!B40:I40)/4000))*0.018)/(0.011*JV40))/3600</f>
        <v>3242.3614462000951</v>
      </c>
      <c r="EY40" s="186">
        <f t="shared" si="133"/>
        <v>37.929131737905465</v>
      </c>
      <c r="EZ40" s="183">
        <f t="shared" si="134"/>
        <v>37.942921721949773</v>
      </c>
      <c r="FA40" s="183">
        <f t="shared" si="135"/>
        <v>38.1501550318402</v>
      </c>
      <c r="FB40" s="183">
        <f t="shared" si="136"/>
        <v>38.374570757194611</v>
      </c>
      <c r="FC40" s="183">
        <f t="shared" si="137"/>
        <v>38.591576295990563</v>
      </c>
      <c r="FD40" s="183">
        <f t="shared" si="138"/>
        <v>38.748556932159595</v>
      </c>
      <c r="FE40" s="183">
        <f t="shared" si="139"/>
        <v>38.883818707646476</v>
      </c>
      <c r="FF40" s="183">
        <f t="shared" si="140"/>
        <v>39.106990437479027</v>
      </c>
      <c r="FG40" s="183">
        <f t="shared" si="141"/>
        <v>39.260919760778322</v>
      </c>
      <c r="FH40" s="186">
        <f t="shared" si="185"/>
        <v>62.686278109392219</v>
      </c>
      <c r="FI40" s="183">
        <f t="shared" si="186"/>
        <v>62.65977619428979</v>
      </c>
      <c r="FJ40" s="183">
        <f t="shared" si="187"/>
        <v>62.15200237183479</v>
      </c>
      <c r="FK40" s="183">
        <f t="shared" si="188"/>
        <v>61.817273608814006</v>
      </c>
      <c r="FL40" s="183">
        <f t="shared" si="189"/>
        <v>61.340586643035053</v>
      </c>
      <c r="FM40" s="183">
        <f t="shared" si="190"/>
        <v>61.110035414189127</v>
      </c>
      <c r="FN40" s="183">
        <f t="shared" si="191"/>
        <v>60.740446357927354</v>
      </c>
      <c r="FO40" s="183">
        <f t="shared" si="192"/>
        <v>60.419148866398537</v>
      </c>
      <c r="FP40" s="183">
        <f t="shared" si="193"/>
        <v>60.051402215298047</v>
      </c>
      <c r="FQ40" s="314">
        <f>Sheet3!CV40</f>
        <v>2</v>
      </c>
      <c r="FR40" s="183">
        <v>3000</v>
      </c>
      <c r="FS40" s="183">
        <v>10</v>
      </c>
      <c r="FT40" s="183">
        <v>9.510743801652892E-2</v>
      </c>
      <c r="FU40" s="183">
        <v>40.76</v>
      </c>
      <c r="FV40" s="183">
        <v>132</v>
      </c>
      <c r="FW40" s="183">
        <v>14</v>
      </c>
      <c r="FX40" s="183">
        <v>265</v>
      </c>
      <c r="FY40" s="183">
        <v>8.4</v>
      </c>
      <c r="FZ40" s="183">
        <v>15.65</v>
      </c>
      <c r="GA40" s="183">
        <v>85</v>
      </c>
      <c r="GB40" s="186">
        <f>EXP($LP$6-($LQ$6/('Trial and Error method'!T40+$LP$8))) / ($LR$2/1000)</f>
        <v>6.1271326814016813E-2</v>
      </c>
      <c r="GC40" s="183">
        <f>EXP($LP$6-($LQ$6/('Trial and Error method'!U40+$LP$8))) / ($LR$2/1000)</f>
        <v>0.10254080757773605</v>
      </c>
      <c r="GD40" s="183">
        <f>EXP($LP$6-($LQ$6/('Trial and Error method'!V40+$LP$8))) / ($LR$2/1000)</f>
        <v>9.6294671389428113E-2</v>
      </c>
      <c r="GE40" s="183">
        <f>EXP($LP$6-($LQ$6/('Trial and Error method'!W40+$LP$8))) / ($LR$2/1000)</f>
        <v>9.1816004693191455E-2</v>
      </c>
      <c r="GF40" s="183">
        <f>EXP($LP$6-($LQ$6/('Trial and Error method'!X40+$LP$8))) / ($LR$2/1000)</f>
        <v>8.596027509637294E-2</v>
      </c>
      <c r="GG40" s="183">
        <f>EXP($LP$6-($LQ$6/('Trial and Error method'!Y40+$LP$8))) / ($LR$2/1000)</f>
        <v>8.1840161116916582E-2</v>
      </c>
      <c r="GH40" s="183">
        <f>EXP($LP$6-($LQ$6/('Trial and Error method'!Z40+$LP$8))) / ($LR$2/1000)</f>
        <v>7.6474969169383039E-2</v>
      </c>
      <c r="GI40" s="183">
        <f>EXP($LP$6-($LQ$6/('Trial and Error method'!AA40+$LP$8))) / ($LR$2/1000)</f>
        <v>7.2085742724757471E-2</v>
      </c>
      <c r="GJ40" s="183">
        <f>EXP($LP$6-($LQ$6/('Trial and Error method'!AB40+$LP$8))) / ($LR$2/1000)</f>
        <v>6.6962415216786308E-2</v>
      </c>
      <c r="GK40" s="188">
        <f t="shared" si="142"/>
        <v>0.88835871788245779</v>
      </c>
      <c r="GL40" s="165">
        <f t="shared" si="143"/>
        <v>0.86834229050027678</v>
      </c>
      <c r="GM40" s="165">
        <f t="shared" si="144"/>
        <v>0.87206944647776896</v>
      </c>
      <c r="GN40" s="165">
        <f t="shared" si="145"/>
        <v>0.87427173667679392</v>
      </c>
      <c r="GO40" s="165">
        <f t="shared" si="146"/>
        <v>0.87768267174149095</v>
      </c>
      <c r="GP40" s="165">
        <f t="shared" si="147"/>
        <v>0.87970241666644478</v>
      </c>
      <c r="GQ40" s="165">
        <f t="shared" si="148"/>
        <v>0.8829321633787649</v>
      </c>
      <c r="GR40" s="165">
        <f t="shared" si="149"/>
        <v>0.88508034754025433</v>
      </c>
      <c r="GS40" s="165">
        <f t="shared" si="150"/>
        <v>0.88811122714604451</v>
      </c>
      <c r="GT40" s="188">
        <f t="shared" si="194"/>
        <v>4.5731515364730503E-2</v>
      </c>
      <c r="GU40" s="165">
        <f t="shared" si="195"/>
        <v>4.6784485531322396E-2</v>
      </c>
      <c r="GV40" s="165">
        <f t="shared" si="196"/>
        <v>4.6580245929420699E-2</v>
      </c>
      <c r="GW40" s="165">
        <f t="shared" si="197"/>
        <v>4.6481048977132469E-2</v>
      </c>
      <c r="GX40" s="165">
        <f t="shared" si="198"/>
        <v>4.630403450006388E-2</v>
      </c>
      <c r="GY40" s="165">
        <f t="shared" si="199"/>
        <v>4.6212171419829112E-2</v>
      </c>
      <c r="GZ40" s="165">
        <f t="shared" si="200"/>
        <v>4.6039760218555721E-2</v>
      </c>
      <c r="HA40" s="165">
        <f t="shared" si="201"/>
        <v>4.5950764236052641E-2</v>
      </c>
      <c r="HB40" s="165">
        <f t="shared" si="202"/>
        <v>4.5791160846008337E-2</v>
      </c>
      <c r="HC40" s="188">
        <f>BV40*Sheet3!DF40</f>
        <v>93.918234576079485</v>
      </c>
      <c r="HD40" s="165">
        <f>BW40*Sheet3!BZ40</f>
        <v>93.619848965020935</v>
      </c>
      <c r="HE40" s="165">
        <f>BX40*Sheet3!CA40</f>
        <v>88.353195437327628</v>
      </c>
      <c r="HF40" s="165">
        <f>BY40*Sheet3!CB40</f>
        <v>84.297380861592728</v>
      </c>
      <c r="HG40" s="165">
        <f>BZ40*Sheet3!CC40</f>
        <v>79.301053967506419</v>
      </c>
      <c r="HH40" s="165">
        <f>CA40*Sheet3!CD40</f>
        <v>76.5588689733504</v>
      </c>
      <c r="HI40" s="165">
        <f>CB40*Sheet3!CE40</f>
        <v>72.964035195597674</v>
      </c>
      <c r="HJ40" s="165">
        <f>CC40*Sheet3!CF40</f>
        <v>69.188121262727648</v>
      </c>
      <c r="HK40" s="165">
        <f>CD40*Sheet3!CG40</f>
        <v>65.545657268824243</v>
      </c>
      <c r="HL40" s="188">
        <f>(CE40*Sheet3!DF40)+2501</f>
        <v>2661.0442119434374</v>
      </c>
      <c r="HM40" s="165">
        <f>(CF40*Sheet3!BZ40)+2501</f>
        <v>2660.5465598618002</v>
      </c>
      <c r="HN40" s="165">
        <f>(CG40*Sheet3!CA40)+2501</f>
        <v>2651.93452222521</v>
      </c>
      <c r="HO40" s="165">
        <f>(CH40*Sheet3!CB40)+2501</f>
        <v>2645.0085565761533</v>
      </c>
      <c r="HP40" s="165">
        <f>(CI40*Sheet3!CC40)+2501</f>
        <v>2636.7445451931076</v>
      </c>
      <c r="HQ40" s="165">
        <f>(CJ40*Sheet3!CD40)+2501</f>
        <v>2632.0565559661936</v>
      </c>
      <c r="HR40" s="165">
        <f>(CK40*Sheet3!CE40)+2501</f>
        <v>2626.1843511944453</v>
      </c>
      <c r="HS40" s="165">
        <f>(CL40*Sheet3!CF40)+2501</f>
        <v>2619.7149043506865</v>
      </c>
      <c r="HT40" s="165">
        <f>(CM40*Sheet3!CG40)+2501</f>
        <v>2613.68894922652</v>
      </c>
      <c r="HU40" s="188">
        <f>-0.0021*(Sheet3!DF40^2) - 2.2115*(Sheet3!DF40) + 2499</f>
        <v>2295.85</v>
      </c>
      <c r="HV40" s="165">
        <f>-0.0021*(Sheet3!BZ40^2) - 2.2115*(Sheet3!BZ40) + 2499</f>
        <v>2296.5170144131475</v>
      </c>
      <c r="HW40" s="165">
        <f>-0.0021*(Sheet3!CA40^2) - 2.2115*(Sheet3!CA40) + 2499</f>
        <v>2308.0285839498929</v>
      </c>
      <c r="HX40" s="165">
        <f>-0.0021*(Sheet3!CB40^2) - 2.2115*(Sheet3!CB40) + 2499</f>
        <v>2317.2429391831101</v>
      </c>
      <c r="HY40" s="165">
        <f>-0.0021*(Sheet3!CC40^2) - 2.2115*(Sheet3!CC40) + 2499</f>
        <v>2328.1858914747081</v>
      </c>
      <c r="HZ40" s="165">
        <f>-0.0021*(Sheet3!CD40^2) - 2.2115*(Sheet3!CD40) + 2499</f>
        <v>2334.3683031535102</v>
      </c>
      <c r="IA40" s="165">
        <f>-0.0021*(Sheet3!CE40^2) - 2.2115*(Sheet3!CE40) + 2499</f>
        <v>2342.0862708607337</v>
      </c>
      <c r="IB40" s="165">
        <f>-0.0021*(Sheet3!CF40^2) - 2.2115*(Sheet3!CF40) + 2499</f>
        <v>2350.5551214061124</v>
      </c>
      <c r="IC40" s="165">
        <f>-0.0021*(Sheet3!CG40^2) - 2.2115*(Sheet3!CG40) + 2499</f>
        <v>2358.4108580227958</v>
      </c>
      <c r="ID40" s="188">
        <f t="shared" si="203"/>
        <v>0.72096765711138067</v>
      </c>
      <c r="IE40" s="165">
        <f t="shared" si="204"/>
        <v>0.7210642915497929</v>
      </c>
      <c r="IF40" s="165">
        <f t="shared" si="205"/>
        <v>0.72202116003673644</v>
      </c>
      <c r="IG40" s="165">
        <f t="shared" si="206"/>
        <v>0.72402087396933301</v>
      </c>
      <c r="IH40" s="165">
        <f t="shared" si="207"/>
        <v>0.72524615331745335</v>
      </c>
      <c r="II40" s="165">
        <f t="shared" si="208"/>
        <v>0.72666768741168863</v>
      </c>
      <c r="IJ40" s="165">
        <f t="shared" si="209"/>
        <v>0.72706606996802092</v>
      </c>
      <c r="IK40" s="165">
        <f t="shared" si="210"/>
        <v>0.72911949795431286</v>
      </c>
      <c r="IL40" s="165">
        <f t="shared" si="211"/>
        <v>0.72980288149365879</v>
      </c>
      <c r="IM40" s="188">
        <f t="shared" si="212"/>
        <v>10.384306259259883</v>
      </c>
      <c r="IN40" s="165">
        <f t="shared" si="151"/>
        <v>6.1883127459844207</v>
      </c>
      <c r="IO40" s="165">
        <f t="shared" si="152"/>
        <v>6.7219381142606434</v>
      </c>
      <c r="IP40" s="165">
        <f t="shared" si="153"/>
        <v>7.2131556370451371</v>
      </c>
      <c r="IQ40" s="165">
        <f t="shared" si="154"/>
        <v>7.7335624670425283</v>
      </c>
      <c r="IR40" s="165">
        <f t="shared" si="155"/>
        <v>8.179788786292999</v>
      </c>
      <c r="IS40" s="165">
        <f t="shared" si="156"/>
        <v>8.6240040255004331</v>
      </c>
      <c r="IT40" s="165">
        <f t="shared" si="157"/>
        <v>9.108348376122084</v>
      </c>
      <c r="IU40" s="165">
        <f t="shared" si="158"/>
        <v>9.545285453143304</v>
      </c>
      <c r="IV40" s="188">
        <f>_xlfn.FORECAST.LINEAR(Sheet3!DF40,Sheet2!$AK$2:$AK$69,Sheet2!$AJ$2:$AJ$69)</f>
        <v>1.1761434736095797E-5</v>
      </c>
      <c r="IW40" s="165">
        <f>_xlfn.FORECAST.LINEAR(Sheet3!BZ40,Sheet2!$AK$2:$AK$69,Sheet2!$AJ$2:$AJ$69)</f>
        <v>1.1752340448712192E-5</v>
      </c>
      <c r="IX40" s="165">
        <f>_xlfn.FORECAST.LINEAR(Sheet3!CA40,Sheet2!$AK$2:$AK$69,Sheet2!$AJ$2:$AJ$69)</f>
        <v>1.1594774691225196E-5</v>
      </c>
      <c r="IY40" s="165">
        <f>_xlfn.FORECAST.LINEAR(Sheet3!CB40,Sheet2!$AK$2:$AK$69,Sheet2!$AJ$2:$AJ$69)</f>
        <v>1.1467805172326354E-5</v>
      </c>
      <c r="IZ40" s="165">
        <f>_xlfn.FORECAST.LINEAR(Sheet3!CC40,Sheet2!$AK$2:$AK$69,Sheet2!$AJ$2:$AJ$69)</f>
        <v>1.1316017601482102E-5</v>
      </c>
      <c r="JA40" s="165">
        <f>_xlfn.FORECAST.LINEAR(Sheet3!CD40,Sheet2!$AK$2:$AK$69,Sheet2!$AJ$2:$AJ$69)</f>
        <v>1.1229774774860198E-5</v>
      </c>
      <c r="JB40" s="165">
        <f>_xlfn.FORECAST.LINEAR(Sheet3!CE40,Sheet2!$AK$2:$AK$69,Sheet2!$AJ$2:$AJ$69)</f>
        <v>1.1121608877927556E-5</v>
      </c>
      <c r="JC40" s="165">
        <f>_xlfn.FORECAST.LINEAR(Sheet3!CF40,Sheet2!$AK$2:$AK$69,Sheet2!$AJ$2:$AJ$69)</f>
        <v>1.1002267641711515E-5</v>
      </c>
      <c r="JD40" s="165">
        <f>_xlfn.FORECAST.LINEAR(Sheet3!CG40,Sheet2!$AK$2:$AK$69,Sheet2!$AJ$2:$AJ$69)</f>
        <v>1.0890946408949899E-5</v>
      </c>
      <c r="JE40" s="188">
        <f>_xlfn.FORECAST.LINEAR(Sheet3!DF40,New!$MC$2:$MC$18,New!$MB$2:$MB$18)</f>
        <v>2.0908514659214704E-5</v>
      </c>
      <c r="JF40" s="165">
        <f>_xlfn.FORECAST.LINEAR(Sheet3!BZ40,New!$MC$2:$MC$18,New!$MB$2:$MB$18)</f>
        <v>2.0897824104888975E-5</v>
      </c>
      <c r="JG40" s="165">
        <f>_xlfn.FORECAST.LINEAR(Sheet3!CA40,New!$MC$2:$MC$18,New!$MB$2:$MB$18)</f>
        <v>2.0712601753841869E-5</v>
      </c>
      <c r="JH40" s="165">
        <f>_xlfn.FORECAST.LINEAR(Sheet3!CB40,New!$MC$2:$MC$18,New!$MB$2:$MB$18)</f>
        <v>2.0563346019748091E-5</v>
      </c>
      <c r="JI40" s="165">
        <f>_xlfn.FORECAST.LINEAR(Sheet3!CC40,New!$MC$2:$MC$18,New!$MB$2:$MB$18)</f>
        <v>2.0384916066566028E-5</v>
      </c>
      <c r="JJ40" s="165">
        <f>_xlfn.FORECAST.LINEAR(Sheet3!CD40,New!$MC$2:$MC$18,New!$MB$2:$MB$18)</f>
        <v>2.0283535542252707E-5</v>
      </c>
      <c r="JK40" s="165">
        <f>_xlfn.FORECAST.LINEAR(Sheet3!CE40,New!$MC$2:$MC$18,New!$MB$2:$MB$18)</f>
        <v>2.0156383919638029E-5</v>
      </c>
      <c r="JL40" s="165">
        <f>_xlfn.FORECAST.LINEAR(Sheet3!CF40,New!$MC$2:$MC$18,New!$MB$2:$MB$18)</f>
        <v>2.0016095415959635E-5</v>
      </c>
      <c r="JM40" s="165">
        <f>_xlfn.FORECAST.LINEAR(Sheet3!CG40,New!$MC$2:$MC$18,New!$MB$2:$MB$18)</f>
        <v>1.9885234619918525E-5</v>
      </c>
      <c r="JN40" s="188">
        <f t="shared" si="159"/>
        <v>1.9411400808448559E-5</v>
      </c>
      <c r="JO40" s="165">
        <f t="shared" si="160"/>
        <v>1.9401101684790131E-5</v>
      </c>
      <c r="JP40" s="165">
        <f t="shared" si="161"/>
        <v>1.9228689409167682E-5</v>
      </c>
      <c r="JQ40" s="165">
        <f t="shared" si="162"/>
        <v>1.9080129719141455E-5</v>
      </c>
      <c r="JR40" s="165">
        <f t="shared" si="163"/>
        <v>1.89122039627213E-5</v>
      </c>
      <c r="JS40" s="165">
        <f t="shared" si="164"/>
        <v>1.8811305804965531E-5</v>
      </c>
      <c r="JT40" s="165">
        <f t="shared" si="165"/>
        <v>1.8695611635182436E-5</v>
      </c>
      <c r="JU40" s="165">
        <f t="shared" si="166"/>
        <v>1.8555863485923288E-5</v>
      </c>
      <c r="JV40" s="165">
        <f t="shared" si="167"/>
        <v>1.8435006564584527E-5</v>
      </c>
      <c r="JW40" s="188">
        <f t="shared" si="231"/>
        <v>1.0444458673781256</v>
      </c>
      <c r="JX40" s="165">
        <f t="shared" si="232"/>
        <v>1.0445942925159413</v>
      </c>
      <c r="JY40" s="165">
        <f t="shared" si="233"/>
        <v>1.0472013890897804</v>
      </c>
      <c r="JZ40" s="165">
        <f t="shared" si="234"/>
        <v>1.0493523033534111</v>
      </c>
      <c r="KA40" s="165">
        <f t="shared" si="235"/>
        <v>1.051984464689562</v>
      </c>
      <c r="KB40" s="165">
        <f t="shared" si="236"/>
        <v>1.0535104426804831</v>
      </c>
      <c r="KC40" s="165">
        <f t="shared" si="237"/>
        <v>1.0554564385866054</v>
      </c>
      <c r="KD40" s="165">
        <f t="shared" si="238"/>
        <v>1.057646090875388</v>
      </c>
      <c r="KE40" s="165">
        <f t="shared" si="239"/>
        <v>1.0597300939518204</v>
      </c>
      <c r="KF40" s="188">
        <f t="shared" si="75"/>
        <v>0.94446821821306282</v>
      </c>
      <c r="KG40" s="165">
        <f t="shared" si="240"/>
        <v>0.94435489127980743</v>
      </c>
      <c r="KH40" s="165">
        <f t="shared" si="241"/>
        <v>0.94237153528417217</v>
      </c>
      <c r="KI40" s="165">
        <f t="shared" si="242"/>
        <v>0.94074546586281349</v>
      </c>
      <c r="KJ40" s="165">
        <f t="shared" si="243"/>
        <v>0.93876805802514274</v>
      </c>
      <c r="KK40" s="165">
        <f t="shared" si="244"/>
        <v>0.93762790621319769</v>
      </c>
      <c r="KL40" s="165">
        <f t="shared" si="245"/>
        <v>0.93618052123529905</v>
      </c>
      <c r="KM40" s="165">
        <f t="shared" si="246"/>
        <v>0.93456067466449266</v>
      </c>
      <c r="KN40" s="165">
        <f t="shared" si="247"/>
        <v>0.93302753396838622</v>
      </c>
      <c r="KO40" s="188">
        <f t="shared" si="213"/>
        <v>0.58374831505924063</v>
      </c>
      <c r="KP40" s="165">
        <f t="shared" si="214"/>
        <v>0.58358529148211125</v>
      </c>
      <c r="KQ40" s="165">
        <f t="shared" si="215"/>
        <v>0.58024253042073115</v>
      </c>
      <c r="KR40" s="165">
        <f t="shared" si="216"/>
        <v>0.57746145856049602</v>
      </c>
      <c r="KS40" s="165">
        <f t="shared" si="217"/>
        <v>0.57414229964223673</v>
      </c>
      <c r="KT40" s="165">
        <f t="shared" si="218"/>
        <v>0.57220329642336232</v>
      </c>
      <c r="KU40" s="165">
        <f t="shared" si="219"/>
        <v>0.56981012505923434</v>
      </c>
      <c r="KV40" s="165">
        <f t="shared" si="220"/>
        <v>0.56706865329782841</v>
      </c>
      <c r="KW40" s="165">
        <f t="shared" si="221"/>
        <v>0.56464325882465338</v>
      </c>
      <c r="KX40" s="188">
        <f>AVERAGE(Sheet3!J40:P40)*KO40^(1/3)/ID40^(1/3)</f>
        <v>129.15475077494162</v>
      </c>
      <c r="KY40" s="165">
        <f>Sheet3!J40*KP40^(1/3)/IE40^(1/3)</f>
        <v>112.9420590654249</v>
      </c>
      <c r="KZ40" s="165">
        <f>Sheet3!K40*KQ40^(1/3)/IF40^(1/3)</f>
        <v>117.49316683057874</v>
      </c>
      <c r="LA40" s="165">
        <f>Sheet3!L40*KR40^(1/3)/IG40^(1/3)</f>
        <v>123.79422852555419</v>
      </c>
      <c r="LB40" s="165">
        <f>Sheet3!M40*KS40^(1/3)/IH40^(1/3)</f>
        <v>128.72406689480729</v>
      </c>
      <c r="LC40" s="165">
        <f>Sheet3!N40*KT40^(1/3)/II40^(1/3)</f>
        <v>132.86499815267891</v>
      </c>
      <c r="LD40" s="165">
        <f>Sheet3!O40*KU40^(1/3)/IJ40^(1/3)</f>
        <v>138.26493546189539</v>
      </c>
      <c r="LE40" s="165">
        <f>Sheet3!P40*KV40^(1/3)/IK40^(1/3)</f>
        <v>143.41287579034915</v>
      </c>
      <c r="LF40" s="165">
        <f>Sheet3!Q40*KW40^(1/3)/IL40^(1/3)</f>
        <v>145.96326377169245</v>
      </c>
      <c r="LG40" s="186">
        <f t="shared" si="248"/>
        <v>27.206869757941853</v>
      </c>
      <c r="LH40" s="183">
        <f t="shared" si="249"/>
        <v>27.223999279404133</v>
      </c>
      <c r="LI40" s="183">
        <f t="shared" si="250"/>
        <v>27.826819752941514</v>
      </c>
      <c r="LJ40" s="183">
        <f t="shared" si="251"/>
        <v>27.842642190796219</v>
      </c>
      <c r="LK40" s="183">
        <f t="shared" si="252"/>
        <v>28.364144819520607</v>
      </c>
      <c r="LL40" s="183">
        <f t="shared" si="253"/>
        <v>28.379524086486214</v>
      </c>
      <c r="LM40" s="183">
        <f t="shared" si="254"/>
        <v>28.987738437518235</v>
      </c>
      <c r="LN40" s="183">
        <f t="shared" si="255"/>
        <v>29.007674072089635</v>
      </c>
      <c r="LO40" s="183">
        <f t="shared" si="256"/>
        <v>29.567608321148565</v>
      </c>
      <c r="LP40" s="220"/>
      <c r="LQ40" s="220"/>
      <c r="LR40" s="220"/>
      <c r="LS40" s="220"/>
      <c r="LT40" s="220"/>
      <c r="LU40" s="220"/>
      <c r="LV40" s="220"/>
      <c r="LW40" s="220"/>
      <c r="LX40" s="220"/>
      <c r="LY40" s="220"/>
      <c r="LZ40" s="222">
        <v>158.84</v>
      </c>
      <c r="MA40" s="220">
        <v>1.4E-5</v>
      </c>
      <c r="MB40" s="220"/>
      <c r="MC40" s="220"/>
      <c r="MD40" s="188">
        <f>Sheet3!DP40</f>
        <v>213.12471080409878</v>
      </c>
      <c r="MF40" s="165"/>
      <c r="MP40"/>
      <c r="MQ40"/>
      <c r="MR40"/>
      <c r="MS40"/>
    </row>
    <row r="41" spans="1:357" x14ac:dyDescent="0.3">
      <c r="A41" s="184" t="str">
        <f>Sheet3!A41</f>
        <v>30.12.2022</v>
      </c>
      <c r="B41" s="186">
        <f t="shared" si="102"/>
        <v>0.85643915426854123</v>
      </c>
      <c r="C41" s="183">
        <f t="shared" si="168"/>
        <v>0.85804072064450887</v>
      </c>
      <c r="D41" s="183">
        <f t="shared" si="169"/>
        <v>0.84834858466191765</v>
      </c>
      <c r="E41" s="183">
        <f t="shared" si="170"/>
        <v>0.83927545971274298</v>
      </c>
      <c r="F41" s="183">
        <f t="shared" si="171"/>
        <v>0.83071979605695112</v>
      </c>
      <c r="G41" s="183">
        <f t="shared" si="172"/>
        <v>0.82554410581636661</v>
      </c>
      <c r="H41" s="183">
        <f t="shared" si="173"/>
        <v>0.81837606490635162</v>
      </c>
      <c r="I41" s="183">
        <f t="shared" si="174"/>
        <v>0.81100175983053979</v>
      </c>
      <c r="J41" s="183">
        <f t="shared" si="175"/>
        <v>0.80371807059708689</v>
      </c>
      <c r="K41" s="186">
        <f xml:space="preserve"> (6.057 * (10^(-6)))
+ (4.055 * (10^(-8)) * (Sheet3!DF41 + 273))
+ (1.25 * (10^(-10)) * (Sheet3!DF41 + 273)^2)
- (3.367 * (10^(-14)) * (DD41 + 273)^3)</f>
        <v>3.9918250288980784E-5</v>
      </c>
      <c r="L41" s="183">
        <f xml:space="preserve"> (6.057 * (10^(-6)))
+ (4.055 * (10^(-8)) * (Sheet3!BZ41 + 273))
+ (1.25 * (10^(-10)) * (Sheet3!BZ41 + 273)^2)
- (3.367 * (10^(-14)) * (BX41 + 273)^3)</f>
        <v>4.0039753583375362E-5</v>
      </c>
      <c r="M41" s="183">
        <f xml:space="preserve"> (6.057 * (10^(-6)))
+ (4.055 * (10^(-8)) * (Sheet3!CA41 + 273))
+ (1.25 * (10^(-10)) * (Sheet3!CA41 + 273)^2)
- (3.367 * (10^(-14)) * (BY41 + 273)^3)</f>
        <v>3.9023559973021737E-5</v>
      </c>
      <c r="N41" s="183">
        <f xml:space="preserve"> (6.057 * (10^(-6)))
+ (4.055 * (10^(-8)) * (Sheet3!CB41 + 273))
+ (1.25 * (10^(-10)) * (Sheet3!CB41 + 273)^2)
- (3.367 * (10^(-14)) * (BZ41 + 273)^3)</f>
        <v>3.8205720978174085E-5</v>
      </c>
      <c r="O41" s="183">
        <f xml:space="preserve"> (6.057 * (10^(-6)))
+ (4.055 * (10^(-8)) * (Sheet3!CC41 + 273))
+ (1.25 * (10^(-10)) * (Sheet3!CC41 + 273)^2)
- (3.367 * (10^(-14)) * (CA41 + 273)^3)</f>
        <v>3.7338354024067854E-5</v>
      </c>
      <c r="P41" s="183">
        <f xml:space="preserve"> (6.057 * (10^(-6)))
+ (4.055 * (10^(-8)) * (Sheet3!CD41 + 273))
+ (1.25 * (10^(-10)) * (Sheet3!CD41 + 273)^2)
- (3.367 * (10^(-14)) * (CB41 + 273)^3)</f>
        <v>3.6898910801676516E-5</v>
      </c>
      <c r="Q41" s="183">
        <f xml:space="preserve"> (6.057 * (10^(-6)))
+ (4.055 * (10^(-8)) * (Sheet3!CE41 + 273))
+ (1.25 * (10^(-10)) * (Sheet3!CE41 + 273)^2)
- (3.367 * (10^(-14)) * (CC41 + 273)^3)</f>
        <v>3.6193493489564605E-5</v>
      </c>
      <c r="R41" s="183">
        <f xml:space="preserve"> (6.057 * (10^(-6)))
+ (4.055 * (10^(-8)) * (Sheet3!CF41 + 273))
+ (1.25 * (10^(-10)) * (Sheet3!CF41 + 273)^2)
- (3.367 * (10^(-14)) * (CD41 + 273)^3)</f>
        <v>3.5599433449142704E-5</v>
      </c>
      <c r="S41" s="183">
        <f xml:space="preserve"> (6.057 * (10^(-6)))
+ (4.055 * (10^(-8)) * (Sheet3!CG41 + 273))
+ (1.25 * (10^(-10)) * (Sheet3!CG41 + 273)^2)
- (3.367 * (10^(-14)) * (CE41 + 273)^3)</f>
        <v>3.4916649696735636E-5</v>
      </c>
      <c r="T41" s="188">
        <f t="shared" si="104"/>
        <v>3.9918250288980784E-5</v>
      </c>
      <c r="U41" s="165">
        <f t="shared" si="105"/>
        <v>4.0039753583375362E-5</v>
      </c>
      <c r="V41" s="165">
        <f t="shared" si="106"/>
        <v>3.9023559973021737E-5</v>
      </c>
      <c r="W41" s="165">
        <f t="shared" si="107"/>
        <v>3.8205720978174085E-5</v>
      </c>
      <c r="X41" s="165">
        <f t="shared" si="108"/>
        <v>3.7338354024067854E-5</v>
      </c>
      <c r="Y41" s="165">
        <f t="shared" si="109"/>
        <v>3.6898910801676516E-5</v>
      </c>
      <c r="Z41" s="165">
        <f t="shared" si="110"/>
        <v>3.6193493489564605E-5</v>
      </c>
      <c r="AA41" s="165">
        <f t="shared" si="111"/>
        <v>3.5599433449142704E-5</v>
      </c>
      <c r="AB41" s="165">
        <f t="shared" si="112"/>
        <v>3.4916649696735636E-5</v>
      </c>
      <c r="AC41" s="186">
        <f t="shared" si="176"/>
        <v>3.4187552517374656E-5</v>
      </c>
      <c r="AD41" s="183">
        <f t="shared" si="177"/>
        <v>3.4355739019107952E-5</v>
      </c>
      <c r="AE41" s="183">
        <f t="shared" si="178"/>
        <v>3.3105581871582454E-5</v>
      </c>
      <c r="AF41" s="183">
        <f t="shared" si="179"/>
        <v>3.2065124037613844E-5</v>
      </c>
      <c r="AG41" s="183">
        <f t="shared" si="180"/>
        <v>3.1017709839975886E-5</v>
      </c>
      <c r="AH41" s="183">
        <f t="shared" si="181"/>
        <v>3.0461678323367909E-5</v>
      </c>
      <c r="AI41" s="183">
        <f t="shared" si="182"/>
        <v>2.9619888777203539E-5</v>
      </c>
      <c r="AJ41" s="183">
        <f t="shared" si="183"/>
        <v>2.8871203176224917E-5</v>
      </c>
      <c r="AK41" s="183">
        <f t="shared" si="184"/>
        <v>2.8063142325974725E-5</v>
      </c>
      <c r="AL41" s="186">
        <f t="shared" si="113"/>
        <v>3.2455772744742192E-2</v>
      </c>
      <c r="AM41" s="183">
        <f t="shared" si="114"/>
        <v>3.2536595545918832E-2</v>
      </c>
      <c r="AN41" s="183">
        <f t="shared" si="115"/>
        <v>3.1871654324192485E-2</v>
      </c>
      <c r="AO41" s="183">
        <f t="shared" si="116"/>
        <v>3.1330183982630003E-2</v>
      </c>
      <c r="AP41" s="183">
        <f t="shared" si="117"/>
        <v>3.0751006029683878E-2</v>
      </c>
      <c r="AQ41" s="183">
        <f t="shared" si="118"/>
        <v>3.045382792842153E-2</v>
      </c>
      <c r="AR41" s="183">
        <f t="shared" si="119"/>
        <v>2.9976757186253117E-2</v>
      </c>
      <c r="AS41" s="183">
        <f t="shared" si="120"/>
        <v>2.9567765522027171E-2</v>
      </c>
      <c r="AT41" s="183">
        <f t="shared" si="121"/>
        <v>2.9102627534151028E-2</v>
      </c>
      <c r="AU41" s="186">
        <f>_xlfn.FORECAST.LINEAR(Sheet3!DF41,Sheet2!$AH$2:$AH$40,Sheet2!$AG$2:$AG$40)</f>
        <v>3.3278061617758661E-2</v>
      </c>
      <c r="AV41" s="183">
        <f>_xlfn.FORECAST.LINEAR(Sheet3!BZ41,Sheet2!$AH$2:$AH$40,Sheet2!$AG$2:$AG$40)</f>
        <v>3.3508418924713373E-2</v>
      </c>
      <c r="AW41" s="183">
        <f>_xlfn.FORECAST.LINEAR(Sheet3!CA41,Sheet2!$AH$2:$AH$40,Sheet2!$AG$2:$AG$40)</f>
        <v>3.1621198650011201E-2</v>
      </c>
      <c r="AX41" s="183">
        <f>_xlfn.FORECAST.LINEAR(Sheet3!CB41,Sheet2!$AH$2:$AH$40,Sheet2!$AG$2:$AG$40)</f>
        <v>3.0083384586274752E-2</v>
      </c>
      <c r="AY41" s="183">
        <f>_xlfn.FORECAST.LINEAR(Sheet3!CC41,Sheet2!$AH$2:$AH$40,Sheet2!$AG$2:$AG$40)</f>
        <v>2.8433345770015703E-2</v>
      </c>
      <c r="AZ41" s="183">
        <f>_xlfn.FORECAST.LINEAR(Sheet3!CD41,Sheet2!$AH$2:$AH$40,Sheet2!$AG$2:$AG$40)</f>
        <v>2.7589580292233639E-2</v>
      </c>
      <c r="BA41" s="183">
        <f>_xlfn.FORECAST.LINEAR(Sheet3!CE41,Sheet2!$AH$2:$AH$40,Sheet2!$AG$2:$AG$40)</f>
        <v>2.6223975590114218E-2</v>
      </c>
      <c r="BB41" s="183">
        <f>_xlfn.FORECAST.LINEAR(Sheet3!CF41,Sheet2!$AH$2:$AH$40,Sheet2!$AG$2:$AG$40)</f>
        <v>2.5062923332473844E-2</v>
      </c>
      <c r="BC41" s="183">
        <f>_xlfn.FORECAST.LINEAR(Sheet3!CG41,Sheet2!$AH$2:$AH$40,Sheet2!$AG$2:$AG$40)</f>
        <v>2.3727848056101904E-2</v>
      </c>
      <c r="BD41" s="186">
        <f>_xlfn.FORECAST.LINEAR(Sheet3!DF41,Sheet2!$AB$12:$AB$37,Sheet2!$AA$12:$AA$37)/1000</f>
        <v>3.221097904255335E-2</v>
      </c>
      <c r="BE41" s="183">
        <f>_xlfn.FORECAST.LINEAR(Sheet3!BZ41,Sheet2!$AB$12:$AB$37,Sheet2!$AA$12:$AA$37)/1000</f>
        <v>3.2262481604416207E-2</v>
      </c>
      <c r="BF41" s="183">
        <f>_xlfn.FORECAST.LINEAR(Sheet3!CA41,Sheet2!$AB$12:$AB$37,Sheet2!$AA$12:$AA$37)/1000</f>
        <v>3.1840542833592674E-2</v>
      </c>
      <c r="BG41" s="183">
        <f>_xlfn.FORECAST.LINEAR(Sheet3!CB41,Sheet2!$AB$12:$AB$37,Sheet2!$AA$12:$AA$37)/1000</f>
        <v>3.1496723203999877E-2</v>
      </c>
      <c r="BH41" s="183">
        <f>_xlfn.FORECAST.LINEAR(Sheet3!CC41,Sheet2!$AB$12:$AB$37,Sheet2!$AA$12:$AA$37)/1000</f>
        <v>3.1127812717356589E-2</v>
      </c>
      <c r="BI41" s="183">
        <f>_xlfn.FORECAST.LINEAR(Sheet3!CD41,Sheet2!$AB$12:$AB$37,Sheet2!$AA$12:$AA$37)/1000</f>
        <v>3.0939166286767086E-2</v>
      </c>
      <c r="BJ41" s="183">
        <f>_xlfn.FORECAST.LINEAR(Sheet3!CE41,Sheet2!$AB$12:$AB$37,Sheet2!$AA$12:$AA$37)/1000</f>
        <v>3.0633848684382785E-2</v>
      </c>
      <c r="BK41" s="183">
        <f>_xlfn.FORECAST.LINEAR(Sheet3!CF41,Sheet2!$AB$12:$AB$37,Sheet2!$AA$12:$AA$37)/1000</f>
        <v>3.0374264273904796E-2</v>
      </c>
      <c r="BL41" s="183">
        <f>_xlfn.FORECAST.LINEAR(Sheet3!CG41,Sheet2!$AB$12:$AB$37,Sheet2!$AA$12:$AA$37)/1000</f>
        <v>3.0075772344467375E-2</v>
      </c>
      <c r="BM41" s="186">
        <f t="shared" si="122"/>
        <v>0.85535425106651164</v>
      </c>
      <c r="BN41" s="183">
        <f t="shared" si="123"/>
        <v>0.85342182871345351</v>
      </c>
      <c r="BO41" s="183">
        <f t="shared" si="124"/>
        <v>0.87037521707762577</v>
      </c>
      <c r="BP41" s="183">
        <f t="shared" si="125"/>
        <v>0.88441097598817497</v>
      </c>
      <c r="BQ41" s="183">
        <f t="shared" si="126"/>
        <v>0.90038597960850963</v>
      </c>
      <c r="BR41" s="183">
        <f t="shared" si="127"/>
        <v>0.90856984865543788</v>
      </c>
      <c r="BS41" s="183">
        <f t="shared" si="128"/>
        <v>0.92252030411535302</v>
      </c>
      <c r="BT41" s="183">
        <f t="shared" si="129"/>
        <v>0.93437947261602194</v>
      </c>
      <c r="BU41" s="183">
        <f t="shared" si="130"/>
        <v>0.94874812487561744</v>
      </c>
      <c r="BV41" s="186">
        <f t="shared" si="222"/>
        <v>1.1098848538969854</v>
      </c>
      <c r="BW41" s="183">
        <f t="shared" si="223"/>
        <v>1.1097088938955217</v>
      </c>
      <c r="BX41" s="183">
        <f t="shared" si="224"/>
        <v>1.106106296169844</v>
      </c>
      <c r="BY41" s="183">
        <f t="shared" si="225"/>
        <v>1.1047802383415821</v>
      </c>
      <c r="BZ41" s="183">
        <f t="shared" si="226"/>
        <v>1.1010850745045779</v>
      </c>
      <c r="CA41" s="183">
        <f t="shared" si="227"/>
        <v>1.100347196945997</v>
      </c>
      <c r="CB41" s="183">
        <f t="shared" si="228"/>
        <v>1.097047149211537</v>
      </c>
      <c r="CC41" s="183">
        <f t="shared" si="229"/>
        <v>1.0960499173391909</v>
      </c>
      <c r="CD41" s="183">
        <f t="shared" si="230"/>
        <v>1.0930624410528886</v>
      </c>
      <c r="CE41" s="187">
        <f xml:space="preserve"> -0.0000000019505*Sheet3!DF41^3 + 0.0000015497*Sheet3!DF41^2  + 0.00016911*Sheet3!DF41 + 1.8585</f>
        <v>1.8954759658125</v>
      </c>
      <c r="CF41" s="185">
        <f xml:space="preserve"> -0.0000000019505*Sheet3!BZ41^3 + 0.0000015497*Sheet3!BZ41^2  + 0.00016911*Sheet3!BZ41 + 1.8585</f>
        <v>1.895882892864591</v>
      </c>
      <c r="CG41" s="185">
        <f xml:space="preserve"> -0.0000000019505*Sheet3!CA41^3 + 0.0000015497*Sheet3!CA41^2  + 0.00016911*Sheet3!CA41 + 1.8585</f>
        <v>1.8925920870223609</v>
      </c>
      <c r="CH41" s="185">
        <f xml:space="preserve"> -0.0000000019505*Sheet3!CB41^3 + 0.0000015497*Sheet3!CB41^2  + 0.00016911*Sheet3!CB41 + 1.8585</f>
        <v>1.8899849422477917</v>
      </c>
      <c r="CI41" s="185">
        <f xml:space="preserve"> -0.0000000019505*Sheet3!CC41^3 + 0.0000015497*Sheet3!CC41^2  + 0.00016911*Sheet3!CC41 + 1.8585</f>
        <v>1.8872650001304876</v>
      </c>
      <c r="CJ41" s="185">
        <f xml:space="preserve"> -0.0000000019505*Sheet3!CD41^3 + 0.0000015497*Sheet3!CD41^2  + 0.00016911*Sheet3!CD41 + 1.8585</f>
        <v>1.8859061236148214</v>
      </c>
      <c r="CK41" s="185">
        <f xml:space="preserve"> -0.0000000019505*Sheet3!CE41^3 + 0.0000015497*Sheet3!CE41^2  + 0.00016911*Sheet3!CE41 + 1.8585</f>
        <v>1.883754091192487</v>
      </c>
      <c r="CL41" s="185">
        <f xml:space="preserve"> -0.0000000019505*Sheet3!CF41^3 + 0.0000015497*Sheet3!CF41^2  + 0.00016911*Sheet3!CF41 + 1.8585</f>
        <v>1.8819715368835046</v>
      </c>
      <c r="CM41" s="185">
        <f xml:space="preserve"> -0.0000000019505*Sheet3!CG41^3 + 0.0000015497*Sheet3!CG41^2  + 0.00016911*Sheet3!CG41 + 1.8585</f>
        <v>1.8799768719693051</v>
      </c>
      <c r="CN41" s="186">
        <f>_xlfn.FORECAST.LINEAR(Sheet3!DF41,New!$LU$2:$LU$14,New!$LT$2:$LT$14)</f>
        <v>1.0182325575068421</v>
      </c>
      <c r="CO41" s="183">
        <f>_xlfn.FORECAST.LINEAR(Sheet3!BZ41,New!$LU$2:$LU$14,New!$LT$2:$LT$14)</f>
        <v>1.0184021035068824</v>
      </c>
      <c r="CP41" s="183">
        <f>_xlfn.FORECAST.LINEAR(Sheet3!CA41,New!$LU$2:$LU$14,New!$LT$2:$LT$14)</f>
        <v>1.0170130846257326</v>
      </c>
      <c r="CQ41" s="183">
        <f>_xlfn.FORECAST.LINEAR(Sheet3!CB41,New!$LU$2:$LU$14,New!$LT$2:$LT$14)</f>
        <v>1.0158812332998111</v>
      </c>
      <c r="CR41" s="183">
        <f>_xlfn.FORECAST.LINEAR(Sheet3!CC41,New!$LU$2:$LU$14,New!$LT$2:$LT$14)</f>
        <v>1.014666783083725</v>
      </c>
      <c r="CS41" s="183">
        <f>_xlfn.FORECAST.LINEAR(Sheet3!CD41,New!$LU$2:$LU$14,New!$LT$2:$LT$14)</f>
        <v>1.0140457606224829</v>
      </c>
      <c r="CT41" s="183">
        <f>_xlfn.FORECAST.LINEAR(Sheet3!CE41,New!$LU$2:$LU$14,New!$LT$2:$LT$14)</f>
        <v>1.0130406576459741</v>
      </c>
      <c r="CU41" s="183">
        <f>_xlfn.FORECAST.LINEAR(Sheet3!CF41,New!$LU$2:$LU$14,New!$LT$2:$LT$14)</f>
        <v>1.0121861079521826</v>
      </c>
      <c r="CV41" s="183">
        <f>_xlfn.FORECAST.LINEAR(Sheet3!CG41,New!$LU$2:$LU$14,New!$LT$2:$LT$14)</f>
        <v>1.0112034750335479</v>
      </c>
      <c r="CW41" s="186">
        <f>EXP((17.625*Sheet3!BA41)/(243.04+Sheet3!BA41)) / EXP((17.625*Sheet3!DF41)/(243.04+Sheet3!DF41))</f>
        <v>8.2808564731250103E-2</v>
      </c>
      <c r="CX41" s="183">
        <f>EXP((17.625*(Sheet3!BC41+273))/(243.04+(Sheet3!BC41+273)))/EXP((17.625*(Sheet3!BZ41+273))/(243.04+(Sheet3!BZ41+273)))</f>
        <v>0.47438166760988443</v>
      </c>
      <c r="CY41" s="183">
        <f>EXP((17.625*(Sheet3!BE41+273))/(243.04+(Sheet3!BE41+273))) / EXP((17.625*(Sheet3!CA41+273))/(243.04+(Sheet3!CA41+273)))</f>
        <v>0.51331571782824803</v>
      </c>
      <c r="CZ41" s="183">
        <f>EXP((17.625*(Sheet3!BG41+273))/(243.04+(Sheet3!BG41+273))) / EXP((17.625*(Sheet3!CB41+273))/(243.04+(Sheet3!CB41+273)))</f>
        <v>0.54546150162632556</v>
      </c>
      <c r="DA41" s="183">
        <f>EXP((17.625*(Sheet3!BI41+273))/(243.04+(Sheet3!BI41+273))) / EXP((17.625*(Sheet3!CC41+273))/(243.04+(Sheet3!CC41+273)))</f>
        <v>0.58212120262194433</v>
      </c>
      <c r="DB41" s="183">
        <f>EXP((17.625*(Sheet3!BK41+273))/(243.04+(Sheet3!BK41+273)))/EXP((17.625*(Sheet3!CD41+273))/(243.04+(Sheet3!CD41+273)))</f>
        <v>0.60468016621963772</v>
      </c>
      <c r="DC41" s="183">
        <f>EXP((17.625*(Sheet3!BM41+273))/(243.04+(Sheet3!BM41+273))) / EXP((17.625*(Sheet3!CE41+273))/(243.04+(Sheet3!CE41+273)))</f>
        <v>0.63849737184417754</v>
      </c>
      <c r="DD41" s="183">
        <f>EXP((17.625*(Sheet3!BO41+273))/(243.04+(Sheet3!BO41+273))) / EXP((17.625*(Sheet3!CF41+273))/(243.04+(Sheet3!CF41+273)))</f>
        <v>0.67391062671815827</v>
      </c>
      <c r="DE41" s="183">
        <f>EXP((17.625*(Sheet3!BQ41+273))/(243.04+(Sheet3!BQ41+273))) / EXP((17.625*(Sheet3!CG41+273))/(243.04+(Sheet3!CG41+273)))</f>
        <v>0.7125694693020358</v>
      </c>
      <c r="DF41" s="186">
        <f>((Sheet3!DA41-Sheet3!DB41)/New!$LQ$3)/(((Sheet3!DA41-Sheet3!DB41)/New!$LQ$3)+(Sheet3!DB41/New!$LP$3))</f>
        <v>0.84207164113990118</v>
      </c>
      <c r="DG41" s="183">
        <f>((Sheet3!DA41-Sheet3!DB41)/New!$LQ$3)/(((Sheet3!DA41-Sheet3!DB41)/New!$LQ$3)+((Sheet3!DB41-(Sheet3!B41*0.004))/New!$LP$3))</f>
        <v>0.84493103911900169</v>
      </c>
      <c r="DH41" s="183" cm="1">
        <f t="array" ref="DH41">((Sheet3!DA41-Sheet3!DB41)/New!$LQ$3)/(((Sheet3!DA41-Sheet3!DB41)/New!$LQ$3)+((Sheet3!DB41-(SUM(Sheet3!B41:C41*0.004)))/New!$LP$3))</f>
        <v>0.86091215111911412</v>
      </c>
      <c r="DI41" s="183" cm="1">
        <f t="array" ref="DI41">((Sheet3!DA41-Sheet3!DB41)/New!$LQ$3)/(((Sheet3!DA41-Sheet3!DB41)/New!$LQ$3)+((Sheet3!DB41-(SUM(Sheet3!B41:D41*0.004)))/New!$LP$3))</f>
        <v>0.86126973964267561</v>
      </c>
      <c r="DJ41" s="183" cm="1">
        <f t="array" ref="DJ41">((Sheet3!DA41-Sheet3!DB41)/New!$LQ$3)/(((Sheet3!DA41-Sheet3!DB41)/New!$LQ$3)+((Sheet3!DB41-(SUM(Sheet3!B41:E41*0.004)))/New!$LP$3))</f>
        <v>0.8806565870472941</v>
      </c>
      <c r="DK41" s="183" cm="1">
        <f t="array" ref="DK41">((Sheet3!DA41-Sheet3!DB41)/New!$LQ$3)/(((Sheet3!DA41-Sheet3!DB41)/New!$LQ$3)+((Sheet3!DB41-(SUM(Sheet3!B41:F41*0.004)))/New!$LP$3))</f>
        <v>0.88103076932105617</v>
      </c>
      <c r="DL41" s="183" cm="1">
        <f t="array" ref="DL41">((Sheet3!DA41-Sheet3!DB41)/New!$LQ$3)/(((Sheet3!DA41-Sheet3!DB41)/New!$LQ$3)+((Sheet3!DB41-(SUM(Sheet3!B41:G41*0.004)))/New!$LP$3))</f>
        <v>0.90015409798713264</v>
      </c>
      <c r="DM41" s="183" cm="1">
        <f t="array" ref="DM41">((Sheet3!DA41-Sheet3!DB41)/New!$LQ$3)/(((Sheet3!DA41-Sheet3!DB41)/New!$LQ$3)+((Sheet3!DB41-(SUM(Sheet3!B41:H41*0.004)))/New!$LP$3))</f>
        <v>0.90063195717148015</v>
      </c>
      <c r="DN41" s="183" cm="1">
        <f t="array" ref="DN41">((Sheet3!DA41-Sheet3!DB41)/New!$LQ$3)/(((Sheet3!DA41-Sheet3!DB41)/New!$LQ$3)+((Sheet3!DB41-(SUM(Sheet3!B41:I41*0.004)))/New!$LP$3))</f>
        <v>0.91817937050662102</v>
      </c>
      <c r="DO41" s="186">
        <f>(Sheet3!DB41/$LP$3) / ((Sheet3!DB41/$LP$3) + ((Sheet3!DA41-Sheet3!DB41)/$LQ$3))</f>
        <v>0.15792835886009876</v>
      </c>
      <c r="DP41" s="183">
        <f>((Sheet3!$DB41-(Sheet3!B41/4000)) / $LP$3) / (((Sheet3!$DA41-Sheet3!DB41) / $LQ$3) + (Sheet3!$DB41-((Sheet3!B41/4000)))/$LP$3)</f>
        <v>0.1577502136013717</v>
      </c>
      <c r="DQ41" s="183">
        <f>((Sheet3!$DB41-(SUM(Sheet3!B41:C41)/4000))/$LP$3)/(((Sheet3!$DA41-Sheet3!$DB41)/$LQ$3)+(Sheet3!$DB41-(SUM(Sheet3!B41:C41)/4000))/$LP$3)</f>
        <v>0.15677501900942245</v>
      </c>
      <c r="DR41" s="183">
        <f>((Sheet3!$DB41-(SUM(Sheet3!B41:D41)/4000))/$LP$3)/(((Sheet3!$DA41-Sheet3!$DB41)/$LQ$3)+(Sheet3!$DB41-(SUM(Sheet3!B41:D41)/4000))/$LP$3)</f>
        <v>0.15675358696849848</v>
      </c>
      <c r="DS41" s="183">
        <f>((Sheet3!$DB41-(SUM(Sheet3!B41:E41)/4000))/$LP$3)/(((Sheet3!$DA41-Sheet3!$DB41)/$LQ$3)+(Sheet3!$DB41-(SUM(Sheet3!B41:E41)/4000))/$LP$3)</f>
        <v>0.15561612767102898</v>
      </c>
      <c r="DT41" s="183">
        <f>((Sheet3!$DB41-(SUM(Sheet3!B41:F41)/4000))/$LP$3)/(((Sheet3!$DA41-Sheet3!$DB41)/$LQ$3)+(Sheet3!$DB41-(SUM(Sheet3!B41:F41)/4000))/$LP$3)</f>
        <v>0.15559463667836287</v>
      </c>
      <c r="DU41" s="183">
        <f>((Sheet3!$DB41-(SUM(Sheet3!B41:G41)/4000))/$LP$3)/(((Sheet3!$DA41-Sheet3!$DB41)/$LQ$3)+(Sheet3!$DB41-(SUM(Sheet3!B41:G41)/4000))/$LP$3)</f>
        <v>0.15451869046373112</v>
      </c>
      <c r="DV41" s="183">
        <f>((Sheet3!$DB41-(SUM(Sheet3!B41:H41)/4000))/$LP$3)/(((Sheet3!$DA41-Sheet3!$DB41)/$LQ$3)+(Sheet3!$DB41-(SUM(Sheet3!B41:H41)/4000))/$LP$3)</f>
        <v>0.15449235522322299</v>
      </c>
      <c r="DW41" s="183">
        <f>((Sheet3!$DB41-(SUM(Sheet3!B41:I41)/4000))/$LP$3)/(((Sheet3!$DA41-Sheet3!$DB41)/$LQ$3)+(Sheet3!$DB41-(SUM(Sheet3!B41:I41)/4000))/$LP$3)</f>
        <v>0.15354319270414216</v>
      </c>
      <c r="DX41" s="186">
        <f>($LR$2*($LP$3/1000))/($LP$2*(Sheet3!DF41+273))*DO41</f>
        <v>8.9365369514411666E-2</v>
      </c>
      <c r="DY41" s="183">
        <f>(($LR$2*($LP$3/1000))/($LP$2*(Sheet3!BZ41+273)))*(DP41)</f>
        <v>8.9056520540747086E-2</v>
      </c>
      <c r="DZ41" s="183">
        <f>(($LR$2*($LP$3/1000))/($LP$2*(Sheet3!CA41+273)))*(DQ41)</f>
        <v>9.0228808111937842E-2</v>
      </c>
      <c r="EA41" s="183">
        <f>(($LR$2*($LP$3/1000))/($LP$2*(Sheet3!CB41+273)))*(DR41)</f>
        <v>9.1670524015043026E-2</v>
      </c>
      <c r="EB41" s="183">
        <f>(($LR$2*($LP$3/1000))/($LP$2*(Sheet3!CC41+273)))*(DS41)</f>
        <v>9.2606830792119066E-2</v>
      </c>
      <c r="EC41" s="183">
        <f>(($LR$2*($LP$3/1000))/($LP$2*(Sheet3!CD41+273)))*(DT41)</f>
        <v>9.3434849301002182E-2</v>
      </c>
      <c r="ED41" s="183">
        <f>(($LR$2*($LP$3/1000))/($LP$2*(Sheet3!CE41+273)))*(DU41)</f>
        <v>9.4172761276492892E-2</v>
      </c>
      <c r="EE41" s="183">
        <f>(($LR$2*($LP$3/1000))/($LP$2*(Sheet3!CF41+273)))*(DV41)</f>
        <v>9.5366104857382519E-2</v>
      </c>
      <c r="EF41" s="183">
        <f>(($LR$2*($LP$3/1000))/($LP$2*(Sheet3!CG41+273)))*(DW41)</f>
        <v>9.620105602154784E-2</v>
      </c>
      <c r="EG41" s="186">
        <f>(($LR$2*($LQ$3/1000))/($LQ$2*(Sheet3!DF41+273)))*(1-DO41)</f>
        <v>0.76598888155209999</v>
      </c>
      <c r="EH41" s="183">
        <f>(($LR$2*($LQ$3/1000))/($LQ$2*(Sheet3!BZ41+273)))*(1-DP41)</f>
        <v>0.76436530817270643</v>
      </c>
      <c r="EI41" s="183">
        <f>(($LR$2*($LQ$3/1000))/($LQ$2*(Sheet3!CA41+273)))*(1-DQ41)</f>
        <v>0.78014640896568799</v>
      </c>
      <c r="EJ41" s="183">
        <f>(($LR$2*($LQ$3/1000))/($LQ$2*(Sheet3!CB41+273)))*(1-DR41)</f>
        <v>0.79274045197313192</v>
      </c>
      <c r="EK41" s="183">
        <f>(($LR$2*($LQ$3/1000))/($LQ$2*(Sheet3!CC41+273)))*(1-DS41)</f>
        <v>0.80777914881639057</v>
      </c>
      <c r="EL41" s="183">
        <f>(($LR$2*($LQ$3/1000))/($LQ$2*(Sheet3!CD41+273)))*(1-DT41)</f>
        <v>0.81513499935443567</v>
      </c>
      <c r="EM41" s="183">
        <f>(($LR$2*($LQ$3/1000))/($LQ$2*(Sheet3!CE41+273)))*(1-DU41)</f>
        <v>0.82834754283886014</v>
      </c>
      <c r="EN41" s="183">
        <f>(($LR$2*($LQ$3/1000))/($LQ$2*(Sheet3!CF41+273)))*(1-DV41)</f>
        <v>0.83901336775863944</v>
      </c>
      <c r="EO41" s="183">
        <f>(($LR$2*($LQ$3/1000))/($LQ$2*(Sheet3!CG41+273)))*(1-DW41)</f>
        <v>0.85254706885406961</v>
      </c>
      <c r="EP41" s="186">
        <f t="shared" si="132"/>
        <v>2947.8887870673761</v>
      </c>
      <c r="EQ41" s="183">
        <f xml:space="preserve"> (($FV41-(Sheet3!B41/4000))*0.018)/(0.011*JO41*3600)</f>
        <v>2941.9543538798148</v>
      </c>
      <c r="ER41" s="183">
        <f>((($FV41-(SUM(Sheet3!B41:C41)/4000))*0.018)/(0.011*JP41*3600))</f>
        <v>2982.1996457099431</v>
      </c>
      <c r="ES41" s="183">
        <f>((($FV41-(SUM(Sheet3!B41:D41)/4000))*0.018)/(0.011*JQ41*3600))</f>
        <v>3018.7978000255248</v>
      </c>
      <c r="ET41" s="183">
        <f>((($FV41-(SUM(Sheet3!B41:E41)/4000))*0.018)/(0.011*JR41))/3600</f>
        <v>3054.8314219943381</v>
      </c>
      <c r="EU41" s="183">
        <f>((($FV41-(SUM(Sheet3!B41:F41)/4000))*0.018)/(0.011*JS41))/3600</f>
        <v>3075.7894315324138</v>
      </c>
      <c r="EV41" s="183">
        <f>((($FV41-(SUM(Sheet3!B41:G41)/4000))*0.018)/(0.011*JT41))/3600</f>
        <v>3106.2656090759342</v>
      </c>
      <c r="EW41" s="183">
        <f>((($FV41-(SUM(Sheet3!B41:H41)/4000))*0.018)/(0.011*JU41))/3600</f>
        <v>3136.229025170057</v>
      </c>
      <c r="EX41" s="183">
        <f>((($FV41-(SUM(Sheet3!B41:I41)/4000))*0.018)/(0.011*JV41))/3600</f>
        <v>3167.7341521188064</v>
      </c>
      <c r="EY41" s="186">
        <f t="shared" si="133"/>
        <v>36.547045317753131</v>
      </c>
      <c r="EZ41" s="183">
        <f t="shared" si="134"/>
        <v>36.490553773631696</v>
      </c>
      <c r="FA41" s="183">
        <f t="shared" si="135"/>
        <v>36.844606136793821</v>
      </c>
      <c r="FB41" s="183">
        <f t="shared" si="136"/>
        <v>37.178598503275261</v>
      </c>
      <c r="FC41" s="183">
        <f t="shared" si="137"/>
        <v>37.49199518578466</v>
      </c>
      <c r="FD41" s="183">
        <f t="shared" si="138"/>
        <v>37.683489963939955</v>
      </c>
      <c r="FE41" s="183">
        <f t="shared" si="139"/>
        <v>37.946760152911388</v>
      </c>
      <c r="FF41" s="183">
        <f t="shared" si="140"/>
        <v>38.221065572685099</v>
      </c>
      <c r="FG41" s="183">
        <f t="shared" si="141"/>
        <v>38.495620535681184</v>
      </c>
      <c r="FH41" s="186">
        <f t="shared" si="185"/>
        <v>65.897922073599432</v>
      </c>
      <c r="FI41" s="183">
        <f t="shared" si="186"/>
        <v>65.959910521069816</v>
      </c>
      <c r="FJ41" s="183">
        <f t="shared" si="187"/>
        <v>65.238808361272987</v>
      </c>
      <c r="FK41" s="183">
        <f t="shared" si="188"/>
        <v>64.711796184663697</v>
      </c>
      <c r="FL41" s="183">
        <f t="shared" si="189"/>
        <v>64.050920556830164</v>
      </c>
      <c r="FM41" s="183">
        <f t="shared" si="190"/>
        <v>63.755917728012619</v>
      </c>
      <c r="FN41" s="183">
        <f t="shared" si="191"/>
        <v>63.195600839378329</v>
      </c>
      <c r="FO41" s="183">
        <f t="shared" si="192"/>
        <v>62.783972491954351</v>
      </c>
      <c r="FP41" s="183">
        <f t="shared" si="193"/>
        <v>62.240205896996947</v>
      </c>
      <c r="FQ41" s="314">
        <f>Sheet3!CV41</f>
        <v>2</v>
      </c>
      <c r="FR41" s="183">
        <v>3000</v>
      </c>
      <c r="FS41" s="183">
        <v>10</v>
      </c>
      <c r="FT41" s="183">
        <v>9.1090909090909097E-2</v>
      </c>
      <c r="FU41" s="183">
        <v>39.04</v>
      </c>
      <c r="FV41" s="183">
        <v>134</v>
      </c>
      <c r="FW41" s="183">
        <v>14</v>
      </c>
      <c r="FX41" s="183">
        <v>270</v>
      </c>
      <c r="FY41" s="183">
        <v>8.27</v>
      </c>
      <c r="FZ41" s="183">
        <v>16.91</v>
      </c>
      <c r="GA41" s="183">
        <v>115</v>
      </c>
      <c r="GB41" s="186">
        <f>EXP($LP$6-($LQ$6/('Trial and Error method'!T41+$LP$8))) / ($LR$2/1000)</f>
        <v>6.8679261313960016E-2</v>
      </c>
      <c r="GC41" s="183">
        <f>EXP($LP$6-($LQ$6/('Trial and Error method'!U41+$LP$8))) / ($LR$2/1000)</f>
        <v>0.11663805908565053</v>
      </c>
      <c r="GD41" s="183">
        <f>EXP($LP$6-($LQ$6/('Trial and Error method'!V41+$LP$8))) / ($LR$2/1000)</f>
        <v>0.10788599524366339</v>
      </c>
      <c r="GE41" s="183">
        <f>EXP($LP$6-($LQ$6/('Trial and Error method'!W41+$LP$8))) / ($LR$2/1000)</f>
        <v>0.10140774557568101</v>
      </c>
      <c r="GF41" s="183">
        <f>EXP($LP$6-($LQ$6/('Trial and Error method'!X41+$LP$8))) / ($LR$2/1000)</f>
        <v>9.3656983446152489E-2</v>
      </c>
      <c r="GG41" s="183">
        <f>EXP($LP$6-($LQ$6/('Trial and Error method'!Y41+$LP$8))) / ($LR$2/1000)</f>
        <v>8.8771590228266292E-2</v>
      </c>
      <c r="GH41" s="183">
        <f>EXP($LP$6-($LQ$6/('Trial and Error method'!Z41+$LP$8))) / ($LR$2/1000)</f>
        <v>8.2183011121049185E-2</v>
      </c>
      <c r="GI41" s="183">
        <f>EXP($LP$6-($LQ$6/('Trial and Error method'!AA41+$LP$8))) / ($LR$2/1000)</f>
        <v>7.7041532972945123E-2</v>
      </c>
      <c r="GJ41" s="183">
        <f>EXP($LP$6-($LQ$6/('Trial and Error method'!AB41+$LP$8))) / ($LR$2/1000)</f>
        <v>7.0909474131007247E-2</v>
      </c>
      <c r="GK41" s="188">
        <f t="shared" si="142"/>
        <v>0.88594708060181604</v>
      </c>
      <c r="GL41" s="165">
        <f t="shared" si="143"/>
        <v>0.86264259158941659</v>
      </c>
      <c r="GM41" s="165">
        <f t="shared" si="144"/>
        <v>0.86743988905612968</v>
      </c>
      <c r="GN41" s="165">
        <f t="shared" si="145"/>
        <v>0.87062615815553213</v>
      </c>
      <c r="GO41" s="165">
        <f t="shared" si="146"/>
        <v>0.87499786118826162</v>
      </c>
      <c r="GP41" s="165">
        <f t="shared" si="147"/>
        <v>0.87739281880330322</v>
      </c>
      <c r="GQ41" s="165">
        <f t="shared" si="148"/>
        <v>0.88115435669846331</v>
      </c>
      <c r="GR41" s="165">
        <f t="shared" si="149"/>
        <v>0.88366743379930202</v>
      </c>
      <c r="GS41" s="165">
        <f t="shared" si="150"/>
        <v>0.88713233571252215</v>
      </c>
      <c r="GT41" s="188">
        <f t="shared" si="194"/>
        <v>4.6226468218849362E-2</v>
      </c>
      <c r="GU41" s="165">
        <f t="shared" si="195"/>
        <v>4.7468320984289693E-2</v>
      </c>
      <c r="GV41" s="165">
        <f t="shared" si="196"/>
        <v>4.7197889799112644E-2</v>
      </c>
      <c r="GW41" s="165">
        <f t="shared" si="197"/>
        <v>4.7037244435166076E-2</v>
      </c>
      <c r="GX41" s="165">
        <f t="shared" si="198"/>
        <v>4.6798310849277755E-2</v>
      </c>
      <c r="GY41" s="165">
        <f t="shared" si="199"/>
        <v>4.6680862622488391E-2</v>
      </c>
      <c r="GZ41" s="165">
        <f t="shared" si="200"/>
        <v>4.6481127844329867E-2</v>
      </c>
      <c r="HA41" s="165">
        <f t="shared" si="201"/>
        <v>4.6367902643933936E-2</v>
      </c>
      <c r="HB41" s="165">
        <f t="shared" si="202"/>
        <v>4.6188890103579537E-2</v>
      </c>
      <c r="HC41" s="188">
        <f>BV41*Sheet3!DF41</f>
        <v>127.63675819815333</v>
      </c>
      <c r="HD41" s="165">
        <f>BW41*Sheet3!BZ41</f>
        <v>128.62236433525055</v>
      </c>
      <c r="HE41" s="165">
        <f>BX41*Sheet3!CA41</f>
        <v>119.9911166819673</v>
      </c>
      <c r="HF41" s="165">
        <f>BY41*Sheet3!CB41</f>
        <v>113.16231401869126</v>
      </c>
      <c r="HG41" s="165">
        <f>BZ41*Sheet3!CC41</f>
        <v>105.63501295235586</v>
      </c>
      <c r="HH41" s="165">
        <f>CA41*Sheet3!CD41</f>
        <v>101.91105205469984</v>
      </c>
      <c r="HI41" s="165">
        <f>CB41*Sheet3!CE41</f>
        <v>95.710614628738583</v>
      </c>
      <c r="HJ41" s="165">
        <f>CC41*Sheet3!CF41</f>
        <v>90.616346918832548</v>
      </c>
      <c r="HK41" s="165">
        <f>CD41*Sheet3!CG41</f>
        <v>84.627276262805609</v>
      </c>
      <c r="HL41" s="188">
        <f>(CE41*Sheet3!DF41)+2501</f>
        <v>2718.9797360684374</v>
      </c>
      <c r="HM41" s="165">
        <f>(CF41*Sheet3!BZ41)+2501</f>
        <v>2720.7449633182418</v>
      </c>
      <c r="HN41" s="165">
        <f>(CG41*Sheet3!CA41)+2501</f>
        <v>2706.3095970356881</v>
      </c>
      <c r="HO41" s="165">
        <f>(CH41*Sheet3!CB41)+2501</f>
        <v>2694.5906002865299</v>
      </c>
      <c r="HP41" s="165">
        <f>(CI41*Sheet3!CC41)+2501</f>
        <v>2682.0589093880985</v>
      </c>
      <c r="HQ41" s="165">
        <f>(CJ41*Sheet3!CD41)+2501</f>
        <v>2675.6673028907799</v>
      </c>
      <c r="HR41" s="165">
        <f>(CK41*Sheet3!CE41)+2501</f>
        <v>2665.3459554195229</v>
      </c>
      <c r="HS41" s="165">
        <f>(CL41*Sheet3!CF41)+2501</f>
        <v>2656.5927179773039</v>
      </c>
      <c r="HT41" s="165">
        <f>(CM41*Sheet3!CG41)+2501</f>
        <v>2646.5519064021464</v>
      </c>
      <c r="HU41" s="188">
        <f>-0.0021*(Sheet3!DF41^2) - 2.2115*(Sheet3!DF41) + 2499</f>
        <v>2216.9050000000002</v>
      </c>
      <c r="HV41" s="165">
        <f>-0.0021*(Sheet3!BZ41^2) - 2.2115*(Sheet3!BZ41) + 2499</f>
        <v>2214.4609765279397</v>
      </c>
      <c r="HW41" s="165">
        <f>-0.0021*(Sheet3!CA41^2) - 2.2115*(Sheet3!CA41) + 2499</f>
        <v>2234.3821665930395</v>
      </c>
      <c r="HX41" s="165">
        <f>-0.0021*(Sheet3!CB41^2) - 2.2115*(Sheet3!CB41) + 2499</f>
        <v>2250.4438337368288</v>
      </c>
      <c r="HY41" s="165">
        <f>-0.0021*(Sheet3!CC41^2) - 2.2115*(Sheet3!CC41) + 2499</f>
        <v>2267.5066092607467</v>
      </c>
      <c r="HZ41" s="165">
        <f>-0.0021*(Sheet3!CD41^2) - 2.2115*(Sheet3!CD41) + 2499</f>
        <v>2276.1634337121445</v>
      </c>
      <c r="IA41" s="165">
        <f>-0.0021*(Sheet3!CE41^2) - 2.2115*(Sheet3!CE41) + 2499</f>
        <v>2290.0761034677871</v>
      </c>
      <c r="IB41" s="165">
        <f>-0.0021*(Sheet3!CF41^2) - 2.2115*(Sheet3!CF41) + 2499</f>
        <v>2301.8094301881415</v>
      </c>
      <c r="IC41" s="165">
        <f>-0.0021*(Sheet3!CG41^2) - 2.2115*(Sheet3!CG41) + 2499</f>
        <v>2315.1930434782048</v>
      </c>
      <c r="ID41" s="188">
        <f t="shared" si="203"/>
        <v>0.70657292762609658</v>
      </c>
      <c r="IE41" s="165">
        <f t="shared" si="204"/>
        <v>0.70602872752305079</v>
      </c>
      <c r="IF41" s="165">
        <f t="shared" si="205"/>
        <v>0.7081813927783519</v>
      </c>
      <c r="IG41" s="165">
        <f t="shared" si="206"/>
        <v>0.71082156696445475</v>
      </c>
      <c r="IH41" s="165">
        <f t="shared" si="207"/>
        <v>0.71263795416850351</v>
      </c>
      <c r="II41" s="165">
        <f t="shared" si="208"/>
        <v>0.71419794532150449</v>
      </c>
      <c r="IJ41" s="165">
        <f t="shared" si="209"/>
        <v>0.71568837844448385</v>
      </c>
      <c r="IK41" s="165">
        <f t="shared" si="210"/>
        <v>0.71798774582394109</v>
      </c>
      <c r="IL41" s="165">
        <f t="shared" si="211"/>
        <v>0.71970608389365442</v>
      </c>
      <c r="IM41" s="188">
        <f t="shared" si="212"/>
        <v>9.1462197178181004</v>
      </c>
      <c r="IN41" s="165">
        <f t="shared" si="151"/>
        <v>4.3215758396484532</v>
      </c>
      <c r="IO41" s="165">
        <f t="shared" si="152"/>
        <v>5.1557446947396848</v>
      </c>
      <c r="IP41" s="165">
        <f t="shared" si="153"/>
        <v>5.8586161470545033</v>
      </c>
      <c r="IQ41" s="165">
        <f t="shared" si="154"/>
        <v>6.5748242773311274</v>
      </c>
      <c r="IR41" s="165">
        <f t="shared" si="155"/>
        <v>7.1001673674474794</v>
      </c>
      <c r="IS41" s="165">
        <f t="shared" si="156"/>
        <v>7.6997945450699028</v>
      </c>
      <c r="IT41" s="165">
        <f t="shared" si="157"/>
        <v>8.2663321112546875</v>
      </c>
      <c r="IU41" s="165">
        <f t="shared" si="158"/>
        <v>8.8365356126239032</v>
      </c>
      <c r="IV41" s="188">
        <f>_xlfn.FORECAST.LINEAR(Sheet3!DF41,Sheet2!$AK$2:$AK$69,Sheet2!$AJ$2:$AJ$69)</f>
        <v>1.2811804086396453E-5</v>
      </c>
      <c r="IW41" s="165">
        <f>_xlfn.FORECAST.LINEAR(Sheet3!BZ41,Sheet2!$AK$2:$AK$69,Sheet2!$AJ$2:$AJ$69)</f>
        <v>1.2843539289740166E-5</v>
      </c>
      <c r="IX41" s="165">
        <f>_xlfn.FORECAST.LINEAR(Sheet3!CA41,Sheet2!$AK$2:$AK$69,Sheet2!$AJ$2:$AJ$69)</f>
        <v>1.2583546151411698E-5</v>
      </c>
      <c r="IY41" s="165">
        <f>_xlfn.FORECAST.LINEAR(Sheet3!CB41,Sheet2!$AK$2:$AK$69,Sheet2!$AJ$2:$AJ$69)</f>
        <v>1.2371689003649975E-5</v>
      </c>
      <c r="IZ41" s="165">
        <f>_xlfn.FORECAST.LINEAR(Sheet3!CC41,Sheet2!$AK$2:$AK$69,Sheet2!$AJ$2:$AJ$69)</f>
        <v>1.2144371198752674E-5</v>
      </c>
      <c r="JA41" s="165">
        <f>_xlfn.FORECAST.LINEAR(Sheet3!CD41,Sheet2!$AK$2:$AK$69,Sheet2!$AJ$2:$AJ$69)</f>
        <v>1.202812974166235E-5</v>
      </c>
      <c r="JB41" s="165">
        <f>_xlfn.FORECAST.LINEAR(Sheet3!CE41,Sheet2!$AK$2:$AK$69,Sheet2!$AJ$2:$AJ$69)</f>
        <v>1.1839997038246914E-5</v>
      </c>
      <c r="JC41" s="165">
        <f>_xlfn.FORECAST.LINEAR(Sheet3!CF41,Sheet2!$AK$2:$AK$69,Sheet2!$AJ$2:$AJ$69)</f>
        <v>1.1680044528053099E-5</v>
      </c>
      <c r="JD41" s="165">
        <f>_xlfn.FORECAST.LINEAR(Sheet3!CG41,Sheet2!$AK$2:$AK$69,Sheet2!$AJ$2:$AJ$69)</f>
        <v>1.1496117714812676E-5</v>
      </c>
      <c r="JE41" s="188">
        <f>_xlfn.FORECAST.LINEAR(Sheet3!DF41,New!$MC$2:$MC$18,New!$MB$2:$MB$18)</f>
        <v>2.214324918296784E-5</v>
      </c>
      <c r="JF41" s="165">
        <f>_xlfn.FORECAST.LINEAR(Sheet3!BZ41,New!$MC$2:$MC$18,New!$MB$2:$MB$18)</f>
        <v>2.2180554680482211E-5</v>
      </c>
      <c r="JG41" s="165">
        <f>_xlfn.FORECAST.LINEAR(Sheet3!CA41,New!$MC$2:$MC$18,New!$MB$2:$MB$18)</f>
        <v>2.1874926470994568E-5</v>
      </c>
      <c r="JH41" s="165">
        <f>_xlfn.FORECAST.LINEAR(Sheet3!CB41,New!$MC$2:$MC$18,New!$MB$2:$MB$18)</f>
        <v>2.1625883280263239E-5</v>
      </c>
      <c r="JI41" s="165">
        <f>_xlfn.FORECAST.LINEAR(Sheet3!CC41,New!$MC$2:$MC$18,New!$MB$2:$MB$18)</f>
        <v>2.1358665713899426E-5</v>
      </c>
      <c r="JJ41" s="165">
        <f>_xlfn.FORECAST.LINEAR(Sheet3!CD41,New!$MC$2:$MC$18,New!$MB$2:$MB$18)</f>
        <v>2.1222021075401831E-5</v>
      </c>
      <c r="JK41" s="165">
        <f>_xlfn.FORECAST.LINEAR(Sheet3!CE41,New!$MC$2:$MC$18,New!$MB$2:$MB$18)</f>
        <v>2.1000866541629917E-5</v>
      </c>
      <c r="JL41" s="165">
        <f>_xlfn.FORECAST.LINEAR(Sheet3!CF41,New!$MC$2:$MC$18,New!$MB$2:$MB$18)</f>
        <v>2.0812838505167555E-5</v>
      </c>
      <c r="JM41" s="165">
        <f>_xlfn.FORECAST.LINEAR(Sheet3!CG41,New!$MC$2:$MC$18,New!$MB$2:$MB$18)</f>
        <v>2.0596628096812778E-5</v>
      </c>
      <c r="JN41" s="188">
        <f t="shared" si="159"/>
        <v>2.0661936493772752E-5</v>
      </c>
      <c r="JO41" s="165">
        <f t="shared" si="160"/>
        <v>2.0700718249249256E-5</v>
      </c>
      <c r="JP41" s="165">
        <f t="shared" si="161"/>
        <v>2.040573553157953E-5</v>
      </c>
      <c r="JQ41" s="165">
        <f t="shared" si="162"/>
        <v>2.015800943837312E-5</v>
      </c>
      <c r="JR41" s="165">
        <f t="shared" si="163"/>
        <v>1.9902489401627178E-5</v>
      </c>
      <c r="JS41" s="165">
        <f t="shared" si="164"/>
        <v>1.976654404538894E-5</v>
      </c>
      <c r="JT41" s="165">
        <f t="shared" si="165"/>
        <v>1.9556148299617588E-5</v>
      </c>
      <c r="JU41" s="165">
        <f t="shared" si="166"/>
        <v>1.936891101433419E-5</v>
      </c>
      <c r="JV41" s="165">
        <f t="shared" si="167"/>
        <v>1.9162069161798251E-5</v>
      </c>
      <c r="JW41" s="188">
        <f t="shared" si="231"/>
        <v>1.0286695457519455</v>
      </c>
      <c r="JX41" s="165">
        <f t="shared" si="232"/>
        <v>1.0282315869626697</v>
      </c>
      <c r="JY41" s="165">
        <f t="shared" si="233"/>
        <v>1.0318822447133122</v>
      </c>
      <c r="JZ41" s="165">
        <f t="shared" si="234"/>
        <v>1.0349661619152115</v>
      </c>
      <c r="KA41" s="165">
        <f t="shared" si="235"/>
        <v>1.0383902089280659</v>
      </c>
      <c r="KB41" s="165">
        <f t="shared" si="236"/>
        <v>1.0401892209551498</v>
      </c>
      <c r="KC41" s="165">
        <f t="shared" si="237"/>
        <v>1.0431728022173472</v>
      </c>
      <c r="KD41" s="165">
        <f t="shared" si="238"/>
        <v>1.0457821140021331</v>
      </c>
      <c r="KE41" s="165">
        <f t="shared" si="239"/>
        <v>1.0488687233616141</v>
      </c>
      <c r="KF41" s="188">
        <f t="shared" si="75"/>
        <v>0.95677344983303514</v>
      </c>
      <c r="KG41" s="165">
        <f t="shared" si="240"/>
        <v>0.95712254959522181</v>
      </c>
      <c r="KH41" s="165">
        <f t="shared" si="241"/>
        <v>0.95422518593894834</v>
      </c>
      <c r="KI41" s="165">
        <f t="shared" si="242"/>
        <v>0.95179973927793626</v>
      </c>
      <c r="KJ41" s="165">
        <f t="shared" si="243"/>
        <v>0.94913019528361608</v>
      </c>
      <c r="KK41" s="165">
        <f t="shared" si="244"/>
        <v>0.94773736363331063</v>
      </c>
      <c r="KL41" s="165">
        <f t="shared" si="245"/>
        <v>0.94544207392611557</v>
      </c>
      <c r="KM41" s="165">
        <f t="shared" si="246"/>
        <v>0.94344955714677647</v>
      </c>
      <c r="KN41" s="165">
        <f t="shared" si="247"/>
        <v>0.94111024491004924</v>
      </c>
      <c r="KO41" s="188">
        <f t="shared" si="213"/>
        <v>0.60513672056514134</v>
      </c>
      <c r="KP41" s="165">
        <f t="shared" si="214"/>
        <v>0.6058013981596041</v>
      </c>
      <c r="KQ41" s="165">
        <f t="shared" si="215"/>
        <v>0.60078468224742054</v>
      </c>
      <c r="KR41" s="165">
        <f t="shared" si="216"/>
        <v>0.5965750973878251</v>
      </c>
      <c r="KS41" s="165">
        <f t="shared" si="217"/>
        <v>0.59200245594930212</v>
      </c>
      <c r="KT41" s="165">
        <f t="shared" si="218"/>
        <v>0.58960190414632774</v>
      </c>
      <c r="KU41" s="165">
        <f t="shared" si="219"/>
        <v>0.58570223885060446</v>
      </c>
      <c r="KV41" s="165">
        <f t="shared" si="220"/>
        <v>0.58228932539997857</v>
      </c>
      <c r="KW41" s="165">
        <f t="shared" si="221"/>
        <v>0.57844078514399311</v>
      </c>
      <c r="KX41" s="188">
        <f>AVERAGE(Sheet3!J41:P41)*KO41^(1/3)/ID41^(1/3)</f>
        <v>90.431406655426443</v>
      </c>
      <c r="KY41" s="165">
        <f>Sheet3!J41*KP41^(1/3)/IE41^(1/3)</f>
        <v>81.186825573728683</v>
      </c>
      <c r="KZ41" s="165">
        <f>Sheet3!K41*KQ41^(1/3)/IF41^(1/3)</f>
        <v>82.561310983302789</v>
      </c>
      <c r="LA41" s="165">
        <f>Sheet3!L41*KR41^(1/3)/IG41^(1/3)</f>
        <v>85.717839955368774</v>
      </c>
      <c r="LB41" s="165">
        <f>Sheet3!M41*KS41^(1/3)/IH41^(1/3)</f>
        <v>87.811829427512109</v>
      </c>
      <c r="LC41" s="165">
        <f>Sheet3!N41*KT41^(1/3)/II41^(1/3)</f>
        <v>91.114237279542508</v>
      </c>
      <c r="LD41" s="165">
        <f>Sheet3!O41*KU41^(1/3)/IJ41^(1/3)</f>
        <v>96.086659673730139</v>
      </c>
      <c r="LE41" s="165">
        <f>Sheet3!P41*KV41^(1/3)/IK41^(1/3)</f>
        <v>102.38529926623124</v>
      </c>
      <c r="LF41" s="165">
        <f>Sheet3!Q41*KW41^(1/3)/IL41^(1/3)</f>
        <v>108.8999837434714</v>
      </c>
      <c r="LG41" s="186">
        <f t="shared" si="248"/>
        <v>27.231474112276217</v>
      </c>
      <c r="LH41" s="183">
        <f t="shared" si="249"/>
        <v>27.311072990915001</v>
      </c>
      <c r="LI41" s="183">
        <f t="shared" si="250"/>
        <v>27.75631786386429</v>
      </c>
      <c r="LJ41" s="183">
        <f t="shared" si="251"/>
        <v>27.766287529289386</v>
      </c>
      <c r="LK41" s="183">
        <f t="shared" si="252"/>
        <v>28.307239300883225</v>
      </c>
      <c r="LL41" s="183">
        <f t="shared" si="253"/>
        <v>28.317688459298495</v>
      </c>
      <c r="LM41" s="183">
        <f t="shared" si="254"/>
        <v>28.85211688641148</v>
      </c>
      <c r="LN41" s="183">
        <f t="shared" si="255"/>
        <v>28.865481259032428</v>
      </c>
      <c r="LO41" s="183">
        <f t="shared" si="256"/>
        <v>29.356555186436864</v>
      </c>
      <c r="LP41" s="220"/>
      <c r="LQ41" s="220"/>
      <c r="LR41" s="220"/>
      <c r="LS41" s="220"/>
      <c r="LT41" s="220"/>
      <c r="LU41" s="220"/>
      <c r="LV41" s="220"/>
      <c r="LW41" s="220"/>
      <c r="LX41" s="220"/>
      <c r="LY41" s="220"/>
      <c r="LZ41" s="222">
        <v>161.99</v>
      </c>
      <c r="MA41" s="220">
        <v>1.4E-5</v>
      </c>
      <c r="MB41" s="220"/>
      <c r="MC41" s="220"/>
      <c r="MD41" s="188">
        <f>Sheet3!DP41</f>
        <v>155.34036298141888</v>
      </c>
      <c r="MF41" s="165"/>
      <c r="MP41"/>
      <c r="MQ41"/>
      <c r="MR41"/>
      <c r="MS41"/>
    </row>
    <row r="42" spans="1:357" x14ac:dyDescent="0.3">
      <c r="A42" s="184" t="str">
        <f>Sheet3!A42</f>
        <v>03.01.2023</v>
      </c>
      <c r="B42" s="186">
        <f t="shared" si="102"/>
        <v>0.89738156056759033</v>
      </c>
      <c r="C42" s="183">
        <f t="shared" si="168"/>
        <v>0.8961769078350319</v>
      </c>
      <c r="D42" s="183">
        <f t="shared" si="169"/>
        <v>0.88564416775623578</v>
      </c>
      <c r="E42" s="183">
        <f t="shared" si="170"/>
        <v>0.87491008966824058</v>
      </c>
      <c r="F42" s="183">
        <f t="shared" si="171"/>
        <v>0.86427776027054182</v>
      </c>
      <c r="G42" s="183">
        <f t="shared" si="172"/>
        <v>0.85738373869091478</v>
      </c>
      <c r="H42" s="183">
        <f t="shared" si="173"/>
        <v>0.84793888885962732</v>
      </c>
      <c r="I42" s="183">
        <f t="shared" si="174"/>
        <v>0.84006043629618521</v>
      </c>
      <c r="J42" s="183">
        <f t="shared" si="175"/>
        <v>0.83084288695012254</v>
      </c>
      <c r="K42" s="186">
        <f xml:space="preserve"> (6.057 * (10^(-6)))
+ (4.055 * (10^(-8)) * (Sheet3!DF42 + 273))
+ (1.25 * (10^(-10)) * (Sheet3!DF42 + 273)^2)
- (3.367 * (10^(-14)) * (DD42 + 273)^3)</f>
        <v>4.4158241516418335E-5</v>
      </c>
      <c r="L42" s="183">
        <f xml:space="preserve"> (6.057 * (10^(-6)))
+ (4.055 * (10^(-8)) * (Sheet3!BZ42 + 273))
+ (1.25 * (10^(-10)) * (Sheet3!BZ42 + 273)^2)
- (3.367 * (10^(-14)) * (BX42 + 273)^3)</f>
        <v>4.4005698468475342E-5</v>
      </c>
      <c r="M42" s="183">
        <f xml:space="preserve"> (6.057 * (10^(-6)))
+ (4.055 * (10^(-8)) * (Sheet3!CA42 + 273))
+ (1.25 * (10^(-10)) * (Sheet3!CA42 + 273)^2)
- (3.367 * (10^(-14)) * (BY42 + 273)^3)</f>
        <v>4.2734095911622666E-5</v>
      </c>
      <c r="N42" s="183">
        <f xml:space="preserve"> (6.057 * (10^(-6)))
+ (4.055 * (10^(-8)) * (Sheet3!CB42 + 273))
+ (1.25 * (10^(-10)) * (Sheet3!CB42 + 273)^2)
- (3.367 * (10^(-14)) * (BZ42 + 273)^3)</f>
        <v>4.1602904217296781E-5</v>
      </c>
      <c r="O42" s="183">
        <f xml:space="preserve"> (6.057 * (10^(-6)))
+ (4.055 * (10^(-8)) * (Sheet3!CC42 + 273))
+ (1.25 * (10^(-10)) * (Sheet3!CC42 + 273)^2)
- (3.367 * (10^(-14)) * (CA42 + 273)^3)</f>
        <v>4.0412316851159498E-5</v>
      </c>
      <c r="P42" s="183">
        <f xml:space="preserve"> (6.057 * (10^(-6)))
+ (4.055 * (10^(-8)) * (Sheet3!CD42 + 273))
+ (1.25 * (10^(-10)) * (Sheet3!CD42 + 273)^2)
- (3.367 * (10^(-14)) * (CB42 + 273)^3)</f>
        <v>3.9742808708078612E-5</v>
      </c>
      <c r="Q42" s="183">
        <f xml:space="preserve"> (6.057 * (10^(-6)))
+ (4.055 * (10^(-8)) * (Sheet3!CE42 + 273))
+ (1.25 * (10^(-10)) * (Sheet3!CE42 + 273)^2)
- (3.367 * (10^(-14)) * (CC42 + 273)^3)</f>
        <v>3.8747168835681852E-5</v>
      </c>
      <c r="R42" s="183">
        <f xml:space="preserve"> (6.057 * (10^(-6)))
+ (4.055 * (10^(-8)) * (Sheet3!CF42 + 273))
+ (1.25 * (10^(-10)) * (Sheet3!CF42 + 273)^2)
- (3.367 * (10^(-14)) * (CD42 + 273)^3)</f>
        <v>3.8032887366527613E-5</v>
      </c>
      <c r="S42" s="183">
        <f xml:space="preserve"> (6.057 * (10^(-6)))
+ (4.055 * (10^(-8)) * (Sheet3!CG42 + 273))
+ (1.25 * (10^(-10)) * (Sheet3!CG42 + 273)^2)
- (3.367 * (10^(-14)) * (CE42 + 273)^3)</f>
        <v>3.7114642352022644E-5</v>
      </c>
      <c r="T42" s="188">
        <f t="shared" si="104"/>
        <v>4.4158241516418335E-5</v>
      </c>
      <c r="U42" s="165">
        <f t="shared" si="105"/>
        <v>4.4005698468475342E-5</v>
      </c>
      <c r="V42" s="165">
        <f t="shared" si="106"/>
        <v>4.2734095911622666E-5</v>
      </c>
      <c r="W42" s="165">
        <f t="shared" si="107"/>
        <v>4.1602904217296781E-5</v>
      </c>
      <c r="X42" s="165">
        <f t="shared" si="108"/>
        <v>4.0412316851159498E-5</v>
      </c>
      <c r="Y42" s="165">
        <f t="shared" si="109"/>
        <v>3.9742808708078612E-5</v>
      </c>
      <c r="Z42" s="165">
        <f t="shared" si="110"/>
        <v>3.8747168835681852E-5</v>
      </c>
      <c r="AA42" s="165">
        <f t="shared" si="111"/>
        <v>3.8032887366527613E-5</v>
      </c>
      <c r="AB42" s="165">
        <f t="shared" si="112"/>
        <v>3.7114642352022644E-5</v>
      </c>
      <c r="AC42" s="186">
        <f t="shared" si="176"/>
        <v>3.9626791683924041E-5</v>
      </c>
      <c r="AD42" s="183">
        <f t="shared" si="177"/>
        <v>3.9436890780599029E-5</v>
      </c>
      <c r="AE42" s="183">
        <f t="shared" si="178"/>
        <v>3.7847202808464215E-5</v>
      </c>
      <c r="AF42" s="183">
        <f t="shared" si="179"/>
        <v>3.639880065921435E-5</v>
      </c>
      <c r="AG42" s="183">
        <f t="shared" si="180"/>
        <v>3.4927466695463605E-5</v>
      </c>
      <c r="AH42" s="183">
        <f t="shared" si="181"/>
        <v>3.4074837916210286E-5</v>
      </c>
      <c r="AI42" s="183">
        <f t="shared" si="182"/>
        <v>3.2855231288984448E-5</v>
      </c>
      <c r="AJ42" s="183">
        <f t="shared" si="183"/>
        <v>3.1949923954728857E-5</v>
      </c>
      <c r="AK42" s="183">
        <f t="shared" si="184"/>
        <v>3.0836436599875781E-5</v>
      </c>
      <c r="AL42" s="186">
        <f t="shared" si="113"/>
        <v>3.5105765662627866E-2</v>
      </c>
      <c r="AM42" s="183">
        <f t="shared" si="114"/>
        <v>3.5015414867729508E-2</v>
      </c>
      <c r="AN42" s="183">
        <f t="shared" si="115"/>
        <v>3.4228978000699704E-2</v>
      </c>
      <c r="AO42" s="183">
        <f t="shared" si="116"/>
        <v>3.3523556572260978E-2</v>
      </c>
      <c r="AP42" s="183">
        <f t="shared" si="117"/>
        <v>3.2766468030544144E-2</v>
      </c>
      <c r="AQ42" s="183">
        <f t="shared" si="118"/>
        <v>3.2337160511283672E-2</v>
      </c>
      <c r="AR42" s="183">
        <f t="shared" si="119"/>
        <v>3.1690968342294068E-2</v>
      </c>
      <c r="AS42" s="183">
        <f t="shared" si="120"/>
        <v>3.1222053925749609E-2</v>
      </c>
      <c r="AT42" s="183">
        <f t="shared" si="121"/>
        <v>3.0617933915724014E-2</v>
      </c>
      <c r="AU42" s="186">
        <f>_xlfn.FORECAST.LINEAR(Sheet3!DF42,Sheet2!$AH$2:$AH$40,Sheet2!$AG$2:$AG$40)</f>
        <v>4.0902410270024961E-2</v>
      </c>
      <c r="AV42" s="183">
        <f>_xlfn.FORECAST.LINEAR(Sheet3!BZ42,Sheet2!$AH$2:$AH$40,Sheet2!$AG$2:$AG$40)</f>
        <v>4.0642437662367234E-2</v>
      </c>
      <c r="AW42" s="183">
        <f>_xlfn.FORECAST.LINEAR(Sheet3!CA42,Sheet2!$AH$2:$AH$40,Sheet2!$AG$2:$AG$40)</f>
        <v>3.8393295983607689E-2</v>
      </c>
      <c r="AX42" s="183">
        <f>_xlfn.FORECAST.LINEAR(Sheet3!CB42,Sheet2!$AH$2:$AH$40,Sheet2!$AG$2:$AG$40)</f>
        <v>3.63627267656116E-2</v>
      </c>
      <c r="AY42" s="183">
        <f>_xlfn.FORECAST.LINEAR(Sheet3!CC42,Sheet2!$AH$2:$AH$40,Sheet2!$AG$2:$AG$40)</f>
        <v>3.4193941525674523E-2</v>
      </c>
      <c r="AZ42" s="183">
        <f>_xlfn.FORECAST.LINEAR(Sheet3!CD42,Sheet2!$AH$2:$AH$40,Sheet2!$AG$2:$AG$40)</f>
        <v>3.2959508630236348E-2</v>
      </c>
      <c r="BA42" s="183">
        <f>_xlfn.FORECAST.LINEAR(Sheet3!CE42,Sheet2!$AH$2:$AH$40,Sheet2!$AG$2:$AG$40)</f>
        <v>3.110334521965211E-2</v>
      </c>
      <c r="BB42" s="183">
        <f>_xlfn.FORECAST.LINEAR(Sheet3!CF42,Sheet2!$AH$2:$AH$40,Sheet2!$AG$2:$AG$40)</f>
        <v>2.9756112108741357E-2</v>
      </c>
      <c r="BC42" s="183">
        <f>_xlfn.FORECAST.LINEAR(Sheet3!CG42,Sheet2!$AH$2:$AH$40,Sheet2!$AG$2:$AG$40)</f>
        <v>2.8016314522915909E-2</v>
      </c>
      <c r="BD42" s="186">
        <f>_xlfn.FORECAST.LINEAR(Sheet3!DF42,Sheet2!$AB$12:$AB$37,Sheet2!$AA$12:$AA$37)/1000</f>
        <v>3.3915606923988664E-2</v>
      </c>
      <c r="BE42" s="183">
        <f>_xlfn.FORECAST.LINEAR(Sheet3!BZ42,Sheet2!$AB$12:$AB$37,Sheet2!$AA$12:$AA$37)/1000</f>
        <v>3.3857483066380041E-2</v>
      </c>
      <c r="BF42" s="183">
        <f>_xlfn.FORECAST.LINEAR(Sheet3!CA42,Sheet2!$AB$12:$AB$37,Sheet2!$AA$12:$AA$37)/1000</f>
        <v>3.3354627046833757E-2</v>
      </c>
      <c r="BG42" s="183">
        <f>_xlfn.FORECAST.LINEAR(Sheet3!CB42,Sheet2!$AB$12:$AB$37,Sheet2!$AA$12:$AA$37)/1000</f>
        <v>3.2900638770320248E-2</v>
      </c>
      <c r="BH42" s="183">
        <f>_xlfn.FORECAST.LINEAR(Sheet3!CC42,Sheet2!$AB$12:$AB$37,Sheet2!$AA$12:$AA$37)/1000</f>
        <v>3.241574859052198E-2</v>
      </c>
      <c r="BI42" s="183">
        <f>_xlfn.FORECAST.LINEAR(Sheet3!CD42,Sheet2!$AB$12:$AB$37,Sheet2!$AA$12:$AA$37)/1000</f>
        <v>3.2139757967939504E-2</v>
      </c>
      <c r="BJ42" s="183">
        <f>_xlfn.FORECAST.LINEAR(Sheet3!CE42,Sheet2!$AB$12:$AB$37,Sheet2!$AA$12:$AA$37)/1000</f>
        <v>3.172476279307411E-2</v>
      </c>
      <c r="BK42" s="183">
        <f>_xlfn.FORECAST.LINEAR(Sheet3!CF42,Sheet2!$AB$12:$AB$37,Sheet2!$AA$12:$AA$37)/1000</f>
        <v>3.1423552653245486E-2</v>
      </c>
      <c r="BL42" s="183">
        <f>_xlfn.FORECAST.LINEAR(Sheet3!CG42,Sheet2!$AB$12:$AB$37,Sheet2!$AA$12:$AA$37)/1000</f>
        <v>3.1034574183331158E-2</v>
      </c>
      <c r="BM42" s="186">
        <f t="shared" si="122"/>
        <v>0.79503933292800255</v>
      </c>
      <c r="BN42" s="183">
        <f t="shared" si="123"/>
        <v>0.79699477291301613</v>
      </c>
      <c r="BO42" s="183">
        <f t="shared" si="124"/>
        <v>0.81456947276530223</v>
      </c>
      <c r="BP42" s="183">
        <f t="shared" si="125"/>
        <v>0.83083903364817635</v>
      </c>
      <c r="BQ42" s="183">
        <f t="shared" si="126"/>
        <v>0.84929775620671633</v>
      </c>
      <c r="BR42" s="183">
        <f t="shared" si="127"/>
        <v>0.8599688804155432</v>
      </c>
      <c r="BS42" s="183">
        <f t="shared" si="128"/>
        <v>0.87686819989305365</v>
      </c>
      <c r="BT42" s="183">
        <f t="shared" si="129"/>
        <v>0.88929779657308738</v>
      </c>
      <c r="BU42" s="183">
        <f t="shared" si="130"/>
        <v>0.90618931604040387</v>
      </c>
      <c r="BV42" s="186">
        <f t="shared" si="222"/>
        <v>1.1142969009141142</v>
      </c>
      <c r="BW42" s="183">
        <f t="shared" si="223"/>
        <v>1.1140409001700504</v>
      </c>
      <c r="BX42" s="183">
        <f t="shared" si="224"/>
        <v>1.1102787164746342</v>
      </c>
      <c r="BY42" s="183">
        <f t="shared" si="225"/>
        <v>1.1085266072037694</v>
      </c>
      <c r="BZ42" s="183">
        <f t="shared" si="226"/>
        <v>1.1045937114915665</v>
      </c>
      <c r="CA42" s="183">
        <f t="shared" si="227"/>
        <v>1.1035330585999432</v>
      </c>
      <c r="CB42" s="183">
        <f t="shared" si="228"/>
        <v>1.1000100685891376</v>
      </c>
      <c r="CC42" s="183">
        <f t="shared" si="229"/>
        <v>1.0988652113939192</v>
      </c>
      <c r="CD42" s="183">
        <f t="shared" si="230"/>
        <v>1.095702765472236</v>
      </c>
      <c r="CE42" s="187">
        <f xml:space="preserve"> -0.0000000019505*Sheet3!DF42^3 + 0.0000015497*Sheet3!DF42^2  + 0.00016911*Sheet3!DF42 + 1.8585</f>
        <v>1.9096570494375</v>
      </c>
      <c r="CF42" s="185">
        <f xml:space="preserve"> -0.0000000019505*Sheet3!BZ42^3 + 0.0000015497*Sheet3!BZ42^2  + 0.00016911*Sheet3!BZ42 + 1.8585</f>
        <v>1.9091509281558399</v>
      </c>
      <c r="CG42" s="185">
        <f xml:space="preserve"> -0.0000000019505*Sheet3!CA42^3 + 0.0000015497*Sheet3!CA42^2  + 0.00016911*Sheet3!CA42 + 1.8585</f>
        <v>1.9048353671683047</v>
      </c>
      <c r="CH42" s="185">
        <f xml:space="preserve"> -0.0000000019505*Sheet3!CB42^3 + 0.0000015497*Sheet3!CB42^2  + 0.00016911*Sheet3!CB42 + 1.8585</f>
        <v>1.901041088827385</v>
      </c>
      <c r="CI42" s="185">
        <f xml:space="preserve"> -0.0000000019505*Sheet3!CC42^3 + 0.0000015497*Sheet3!CC42^2  + 0.00016911*Sheet3!CC42 + 1.8585</f>
        <v>1.897102308499282</v>
      </c>
      <c r="CJ42" s="185">
        <f xml:space="preserve"> -0.0000000019505*Sheet3!CD42^3 + 0.0000015497*Sheet3!CD42^2  + 0.00016911*Sheet3!CD42 + 1.8585</f>
        <v>1.8949156162008651</v>
      </c>
      <c r="CK42" s="185">
        <f xml:space="preserve"> -0.0000000019505*Sheet3!CE42^3 + 0.0000015497*Sheet3!CE42^2  + 0.00016911*Sheet3!CE42 + 1.8585</f>
        <v>1.8917065293328432</v>
      </c>
      <c r="CL42" s="185">
        <f xml:space="preserve"> -0.0000000019505*Sheet3!CF42^3 + 0.0000015497*Sheet3!CF42^2  + 0.00016911*Sheet3!CF42 + 1.8585</f>
        <v>1.8894389914894143</v>
      </c>
      <c r="CM42" s="185">
        <f xml:space="preserve"> -0.0000000019505*Sheet3!CG42^3 + 0.0000015497*Sheet3!CG42^2  + 0.00016911*Sheet3!CG42 + 1.8585</f>
        <v>1.8865906254032601</v>
      </c>
      <c r="CN42" s="186">
        <f>_xlfn.FORECAST.LINEAR(Sheet3!DF42,New!$LU$2:$LU$14,New!$LT$2:$LT$14)</f>
        <v>1.023844178140866</v>
      </c>
      <c r="CO42" s="183">
        <f>_xlfn.FORECAST.LINEAR(Sheet3!BZ42,New!$LU$2:$LU$14,New!$LT$2:$LT$14)</f>
        <v>1.0236528348909768</v>
      </c>
      <c r="CP42" s="183">
        <f>_xlfn.FORECAST.LINEAR(Sheet3!CA42,New!$LU$2:$LU$14,New!$LT$2:$LT$14)</f>
        <v>1.0219974371082929</v>
      </c>
      <c r="CQ42" s="183">
        <f>_xlfn.FORECAST.LINEAR(Sheet3!CB42,New!$LU$2:$LU$14,New!$LT$2:$LT$14)</f>
        <v>1.0205029115242439</v>
      </c>
      <c r="CR42" s="183">
        <f>_xlfn.FORECAST.LINEAR(Sheet3!CC42,New!$LU$2:$LU$14,New!$LT$2:$LT$14)</f>
        <v>1.018906657134752</v>
      </c>
      <c r="CS42" s="183">
        <f>_xlfn.FORECAST.LINEAR(Sheet3!CD42,New!$LU$2:$LU$14,New!$LT$2:$LT$14)</f>
        <v>1.0179980983288401</v>
      </c>
      <c r="CT42" s="183">
        <f>_xlfn.FORECAST.LINEAR(Sheet3!CE42,New!$LU$2:$LU$14,New!$LT$2:$LT$14)</f>
        <v>1.0166319377071247</v>
      </c>
      <c r="CU42" s="183">
        <f>_xlfn.FORECAST.LINEAR(Sheet3!CF42,New!$LU$2:$LU$14,New!$LT$2:$LT$14)</f>
        <v>1.0156403564627676</v>
      </c>
      <c r="CV42" s="183">
        <f>_xlfn.FORECAST.LINEAR(Sheet3!CG42,New!$LU$2:$LU$14,New!$LT$2:$LT$14)</f>
        <v>1.0143598426147105</v>
      </c>
      <c r="CW42" s="186">
        <f>EXP((17.625*Sheet3!BA42)/(243.04+Sheet3!BA42)) / EXP((17.625*Sheet3!DF42)/(243.04+Sheet3!DF42))</f>
        <v>3.2196044326777876E-2</v>
      </c>
      <c r="CX42" s="183">
        <f>EXP((17.625*(Sheet3!BC42+273))/(243.04+(Sheet3!BC42+273)))/EXP((17.625*(Sheet3!BZ42+273))/(243.04+(Sheet3!BZ42+273)))</f>
        <v>0.35377479960635244</v>
      </c>
      <c r="CY42" s="183">
        <f>EXP((17.625*(Sheet3!BE42+273))/(243.04+(Sheet3!BE42+273))) / EXP((17.625*(Sheet3!CA42+273))/(243.04+(Sheet3!CA42+273)))</f>
        <v>0.38577369732945094</v>
      </c>
      <c r="CZ42" s="183">
        <f>EXP((17.625*(Sheet3!BG42+273))/(243.04+(Sheet3!BG42+273))) / EXP((17.625*(Sheet3!CB42+273))/(243.04+(Sheet3!CB42+273)))</f>
        <v>0.41650360336761211</v>
      </c>
      <c r="DA42" s="183">
        <f>EXP((17.625*(Sheet3!BI42+273))/(243.04+(Sheet3!BI42+273))) / EXP((17.625*(Sheet3!CC42+273))/(243.04+(Sheet3!CC42+273)))</f>
        <v>0.4520011305676796</v>
      </c>
      <c r="DB42" s="183">
        <f>EXP((17.625*(Sheet3!BK42+273))/(243.04+(Sheet3!BK42+273)))/EXP((17.625*(Sheet3!CD42+273))/(243.04+(Sheet3!CD42+273)))</f>
        <v>0.47610301120271192</v>
      </c>
      <c r="DC42" s="183">
        <f>EXP((17.625*(Sheet3!BM42+273))/(243.04+(Sheet3!BM42+273))) / EXP((17.625*(Sheet3!CE42+273))/(243.04+(Sheet3!CE42+273)))</f>
        <v>0.51173355126041642</v>
      </c>
      <c r="DD42" s="183">
        <f>EXP((17.625*(Sheet3!BO42+273))/(243.04+(Sheet3!BO42+273))) / EXP((17.625*(Sheet3!CF42+273))/(243.04+(Sheet3!CF42+273)))</f>
        <v>0.54282647665265005</v>
      </c>
      <c r="DE42" s="183">
        <f>EXP((17.625*(Sheet3!BQ42+273))/(243.04+(Sheet3!BQ42+273))) / EXP((17.625*(Sheet3!CG42+273))/(243.04+(Sheet3!CG42+273)))</f>
        <v>0.58269726988607984</v>
      </c>
      <c r="DF42" s="186">
        <f>((Sheet3!DA42-Sheet3!DB42)/New!$LQ$3)/(((Sheet3!DA42-Sheet3!DB42)/New!$LQ$3)+(Sheet3!DB42/New!$LP$3))</f>
        <v>0.84543765579953867</v>
      </c>
      <c r="DG42" s="183">
        <f>((Sheet3!DA42-Sheet3!DB42)/New!$LQ$3)/(((Sheet3!DA42-Sheet3!DB42)/New!$LQ$3)+((Sheet3!DB42-(Sheet3!B42*0.004))/New!$LP$3))</f>
        <v>0.84569006486774578</v>
      </c>
      <c r="DH42" s="183" cm="1">
        <f t="array" ref="DH42">((Sheet3!DA42-Sheet3!DB42)/New!$LQ$3)/(((Sheet3!DA42-Sheet3!DB42)/New!$LQ$3)+((Sheet3!DB42-(SUM(Sheet3!B42:C42*0.004)))/New!$LP$3))</f>
        <v>0.86025617644580998</v>
      </c>
      <c r="DI42" s="183" cm="1">
        <f t="array" ref="DI42">((Sheet3!DA42-Sheet3!DB42)/New!$LQ$3)/(((Sheet3!DA42-Sheet3!DB42)/New!$LQ$3)+((Sheet3!DB42-(SUM(Sheet3!B42:D42*0.004)))/New!$LP$3))</f>
        <v>0.86048016922247517</v>
      </c>
      <c r="DJ42" s="183" cm="1">
        <f t="array" ref="DJ42">((Sheet3!DA42-Sheet3!DB42)/New!$LQ$3)/(((Sheet3!DA42-Sheet3!DB42)/New!$LQ$3)+((Sheet3!DB42-(SUM(Sheet3!B42:E42*0.004)))/New!$LP$3))</f>
        <v>0.87796842705264977</v>
      </c>
      <c r="DK42" s="183" cm="1">
        <f t="array" ref="DK42">((Sheet3!DA42-Sheet3!DB42)/New!$LQ$3)/(((Sheet3!DA42-Sheet3!DB42)/New!$LQ$3)+((Sheet3!DB42-(SUM(Sheet3!B42:F42*0.004)))/New!$LP$3))</f>
        <v>0.87820173983859506</v>
      </c>
      <c r="DL42" s="183" cm="1">
        <f t="array" ref="DL42">((Sheet3!DA42-Sheet3!DB42)/New!$LQ$3)/(((Sheet3!DA42-Sheet3!DB42)/New!$LQ$3)+((Sheet3!DB42-(SUM(Sheet3!B42:G42*0.004)))/New!$LP$3))</f>
        <v>0.89545379463682673</v>
      </c>
      <c r="DM42" s="183" cm="1">
        <f t="array" ref="DM42">((Sheet3!DA42-Sheet3!DB42)/New!$LQ$3)/(((Sheet3!DA42-Sheet3!DB42)/New!$LQ$3)+((Sheet3!DB42-(SUM(Sheet3!B42:H42*0.004)))/New!$LP$3))</f>
        <v>0.89573695718505164</v>
      </c>
      <c r="DN42" s="183" cm="1">
        <f t="array" ref="DN42">((Sheet3!DA42-Sheet3!DB42)/New!$LQ$3)/(((Sheet3!DA42-Sheet3!DB42)/New!$LQ$3)+((Sheet3!DB42-(SUM(Sheet3!B42:I42*0.004)))/New!$LP$3))</f>
        <v>0.91154966147041872</v>
      </c>
      <c r="DO42" s="186">
        <f>(Sheet3!DB42/$LP$3) / ((Sheet3!DB42/$LP$3) + ((Sheet3!DA42-Sheet3!DB42)/$LQ$3))</f>
        <v>0.15456234420046139</v>
      </c>
      <c r="DP42" s="183">
        <f>((Sheet3!$DB42-(Sheet3!B42/4000)) / $LP$3) / (((Sheet3!$DA42-Sheet3!DB42) / $LQ$3) + (Sheet3!$DB42-((Sheet3!B42/4000)))/$LP$3)</f>
        <v>0.1545465730479601</v>
      </c>
      <c r="DQ42" s="183">
        <f>((Sheet3!$DB42-(SUM(Sheet3!B42:C42)/4000))/$LP$3)/(((Sheet3!$DA42-Sheet3!$DB42)/$LQ$3)+(Sheet3!$DB42-(SUM(Sheet3!B42:C42)/4000))/$LP$3)</f>
        <v>0.15365115939064011</v>
      </c>
      <c r="DR42" s="183">
        <f>((Sheet3!$DB42-(SUM(Sheet3!B42:D42)/4000))/$LP$3)/(((Sheet3!$DA42-Sheet3!$DB42)/$LQ$3)+(Sheet3!$DB42-(SUM(Sheet3!B42:D42)/4000))/$LP$3)</f>
        <v>0.15363761214130067</v>
      </c>
      <c r="DS42" s="183">
        <f>((Sheet3!$DB42-(SUM(Sheet3!B42:E42)/4000))/$LP$3)/(((Sheet3!$DA42-Sheet3!$DB42)/$LQ$3)+(Sheet3!$DB42-(SUM(Sheet3!B42:E42)/4000))/$LP$3)</f>
        <v>0.15259996036067988</v>
      </c>
      <c r="DT42" s="183">
        <f>((Sheet3!$DB42-(SUM(Sheet3!B42:F42)/4000))/$LP$3)/(((Sheet3!$DA42-Sheet3!$DB42)/$LQ$3)+(Sheet3!$DB42-(SUM(Sheet3!B42:F42)/4000))/$LP$3)</f>
        <v>0.15258637943772316</v>
      </c>
      <c r="DU42" s="183">
        <f>((Sheet3!$DB42-(SUM(Sheet3!B42:G42)/4000))/$LP$3)/(((Sheet3!$DA42-Sheet3!$DB42)/$LQ$3)+(Sheet3!$DB42-(SUM(Sheet3!B42:G42)/4000))/$LP$3)</f>
        <v>0.1516006013412165</v>
      </c>
      <c r="DV42" s="183">
        <f>((Sheet3!$DB42-(SUM(Sheet3!B42:H42)/4000))/$LP$3)/(((Sheet3!$DA42-Sheet3!$DB42)/$LQ$3)+(Sheet3!$DB42-(SUM(Sheet3!B42:H42)/4000))/$LP$3)</f>
        <v>0.15158471949491237</v>
      </c>
      <c r="DW42" s="183">
        <f>((Sheet3!$DB42-(SUM(Sheet3!B42:I42)/4000))/$LP$3)/(((Sheet3!$DA42-Sheet3!$DB42)/$LQ$3)+(Sheet3!$DB42-(SUM(Sheet3!B42:I42)/4000))/$LP$3)</f>
        <v>0.15071257485707451</v>
      </c>
      <c r="DX42" s="186">
        <f>($LR$2*($LP$3/1000))/($LP$2*(Sheet3!DF42+273))*DO42</f>
        <v>8.1183593855324199E-2</v>
      </c>
      <c r="DY42" s="183">
        <f>(($LR$2*($LP$3/1000))/($LP$2*(Sheet3!BZ42+273)))*(DP42)</f>
        <v>8.1374449800516113E-2</v>
      </c>
      <c r="DZ42" s="183">
        <f>(($LR$2*($LP$3/1000))/($LP$2*(Sheet3!CA42+273)))*(DQ42)</f>
        <v>8.2657283267306939E-2</v>
      </c>
      <c r="EA42" s="183">
        <f>(($LR$2*($LP$3/1000))/($LP$2*(Sheet3!CB42+273)))*(DR42)</f>
        <v>8.4300322323857854E-2</v>
      </c>
      <c r="EB42" s="183">
        <f>(($LR$2*($LP$3/1000))/($LP$2*(Sheet3!CC42+273)))*(DS42)</f>
        <v>8.5555594932821347E-2</v>
      </c>
      <c r="EC42" s="183">
        <f>(($LR$2*($LP$3/1000))/($LP$2*(Sheet3!CD42+273)))*(DT42)</f>
        <v>8.6622388880296067E-2</v>
      </c>
      <c r="ED42" s="183">
        <f>(($LR$2*($LP$3/1000))/($LP$2*(Sheet3!CE42+273)))*(DU42)</f>
        <v>8.7719314355180461E-2</v>
      </c>
      <c r="EE42" s="183">
        <f>(($LR$2*($LP$3/1000))/($LP$2*(Sheet3!CF42+273)))*(DV42)</f>
        <v>8.8952848423461267E-2</v>
      </c>
      <c r="EF42" s="183">
        <f>(($LR$2*($LP$3/1000))/($LP$2*(Sheet3!CG42+273)))*(DW42)</f>
        <v>9.0089426793546701E-2</v>
      </c>
      <c r="EG42" s="186">
        <f>(($LR$2*($LQ$3/1000))/($LQ$2*(Sheet3!DF42+273)))*(1-DO42)</f>
        <v>0.71385573907267841</v>
      </c>
      <c r="EH42" s="183">
        <f>(($LR$2*($LQ$3/1000))/($LQ$2*(Sheet3!BZ42+273)))*(1-DP42)</f>
        <v>0.71562032311250001</v>
      </c>
      <c r="EI42" s="183">
        <f>(($LR$2*($LQ$3/1000))/($LQ$2*(Sheet3!CA42+273)))*(1-DQ42)</f>
        <v>0.7319121894979953</v>
      </c>
      <c r="EJ42" s="183">
        <f>(($LR$2*($LQ$3/1000))/($LQ$2*(Sheet3!CB42+273)))*(1-DR42)</f>
        <v>0.74653871132431848</v>
      </c>
      <c r="EK42" s="183">
        <f>(($LR$2*($LQ$3/1000))/($LQ$2*(Sheet3!CC42+273)))*(1-DS42)</f>
        <v>0.76374216127389494</v>
      </c>
      <c r="EL42" s="183">
        <f>(($LR$2*($LQ$3/1000))/($LQ$2*(Sheet3!CD42+273)))*(1-DT42)</f>
        <v>0.77334649153524715</v>
      </c>
      <c r="EM42" s="183">
        <f>(($LR$2*($LQ$3/1000))/($LQ$2*(Sheet3!CE42+273)))*(1-DU42)</f>
        <v>0.78914888553787321</v>
      </c>
      <c r="EN42" s="183">
        <f>(($LR$2*($LQ$3/1000))/($LQ$2*(Sheet3!CF42+273)))*(1-DV42)</f>
        <v>0.80034494814962609</v>
      </c>
      <c r="EO42" s="183">
        <f>(($LR$2*($LQ$3/1000))/($LQ$2*(Sheet3!CG42+273)))*(1-DW42)</f>
        <v>0.81609988924685717</v>
      </c>
      <c r="EP42" s="186">
        <f t="shared" si="132"/>
        <v>2944.4556468094097</v>
      </c>
      <c r="EQ42" s="183">
        <f xml:space="preserve"> (($FV42-(Sheet3!B42/4000))*0.018)/(0.011*JO42*3600)</f>
        <v>2950.0277455262353</v>
      </c>
      <c r="ER42" s="183">
        <f>((($FV42-(SUM(Sheet3!B42:C42)/4000))*0.018)/(0.011*JP42*3600))</f>
        <v>2996.3765949498375</v>
      </c>
      <c r="ES42" s="183">
        <f>((($FV42-(SUM(Sheet3!B42:D42)/4000))*0.018)/(0.011*JQ42*3600))</f>
        <v>3042.5345238575374</v>
      </c>
      <c r="ET42" s="183">
        <f>((($FV42-(SUM(Sheet3!B42:E42)/4000))*0.018)/(0.011*JR42))/3600</f>
        <v>3089.5675031118426</v>
      </c>
      <c r="EU42" s="183">
        <f>((($FV42-(SUM(Sheet3!B42:F42)/4000))*0.018)/(0.011*JS42))/3600</f>
        <v>3119.262237626358</v>
      </c>
      <c r="EV42" s="183">
        <f>((($FV42-(SUM(Sheet3!B42:G42)/4000))*0.018)/(0.011*JT42))/3600</f>
        <v>3161.2426911662033</v>
      </c>
      <c r="EW42" s="183">
        <f>((($FV42-(SUM(Sheet3!B42:H42)/4000))*0.018)/(0.011*JU42))/3600</f>
        <v>3195.2624149737749</v>
      </c>
      <c r="EX42" s="183">
        <f>((($FV42-(SUM(Sheet3!B42:I42)/4000))*0.018)/(0.011*JV42))/3600</f>
        <v>3236.8755503233083</v>
      </c>
      <c r="EY42" s="186">
        <f t="shared" si="133"/>
        <v>36.318746247507242</v>
      </c>
      <c r="EZ42" s="183">
        <f t="shared" si="134"/>
        <v>36.367847118710017</v>
      </c>
      <c r="FA42" s="183">
        <f t="shared" si="135"/>
        <v>36.767059356725305</v>
      </c>
      <c r="FB42" s="183">
        <f t="shared" si="136"/>
        <v>37.175658347309664</v>
      </c>
      <c r="FC42" s="183">
        <f t="shared" si="137"/>
        <v>37.579124192841654</v>
      </c>
      <c r="FD42" s="183">
        <f t="shared" si="138"/>
        <v>37.842378450196989</v>
      </c>
      <c r="FE42" s="183">
        <f t="shared" si="139"/>
        <v>38.201642006609539</v>
      </c>
      <c r="FF42" s="183">
        <f t="shared" si="140"/>
        <v>38.503755925059309</v>
      </c>
      <c r="FG42" s="183">
        <f t="shared" si="141"/>
        <v>38.861412723042875</v>
      </c>
      <c r="FH42" s="186">
        <f t="shared" si="185"/>
        <v>70.833188606968591</v>
      </c>
      <c r="FI42" s="183">
        <f t="shared" si="186"/>
        <v>70.746403039321805</v>
      </c>
      <c r="FJ42" s="183">
        <f t="shared" si="187"/>
        <v>69.916603659542815</v>
      </c>
      <c r="FK42" s="183">
        <f t="shared" si="188"/>
        <v>69.236682539837858</v>
      </c>
      <c r="FL42" s="183">
        <f t="shared" si="189"/>
        <v>68.40750952669967</v>
      </c>
      <c r="FM42" s="183">
        <f t="shared" si="190"/>
        <v>67.984170337375687</v>
      </c>
      <c r="FN42" s="183">
        <f t="shared" si="191"/>
        <v>67.258168191950801</v>
      </c>
      <c r="FO42" s="183">
        <f t="shared" si="192"/>
        <v>66.787019102005715</v>
      </c>
      <c r="FP42" s="183">
        <f t="shared" si="193"/>
        <v>66.103120368100178</v>
      </c>
      <c r="FQ42" s="314">
        <f>Sheet3!CV42</f>
        <v>2</v>
      </c>
      <c r="FR42" s="183">
        <v>3000</v>
      </c>
      <c r="FS42" s="183">
        <v>10</v>
      </c>
      <c r="FT42" s="183">
        <v>8.4697095435684641E-2</v>
      </c>
      <c r="FU42" s="183">
        <v>35.049999999999997</v>
      </c>
      <c r="FV42" s="183">
        <v>142</v>
      </c>
      <c r="FW42" s="183">
        <v>14.5</v>
      </c>
      <c r="FX42" s="183">
        <v>285</v>
      </c>
      <c r="FY42" s="183">
        <v>8.09</v>
      </c>
      <c r="FZ42" s="183">
        <v>17.440000000000001</v>
      </c>
      <c r="GA42" s="183">
        <v>145</v>
      </c>
      <c r="GB42" s="186">
        <f>EXP($LP$6-($LQ$6/('Trial and Error method'!T42+$LP$8))) / ($LR$2/1000)</f>
        <v>8.0120249514778696E-2</v>
      </c>
      <c r="GC42" s="183">
        <f>EXP($LP$6-($LQ$6/('Trial and Error method'!U42+$LP$8))) / ($LR$2/1000)</f>
        <v>0.1321924263465703</v>
      </c>
      <c r="GD42" s="183">
        <f>EXP($LP$6-($LQ$6/('Trial and Error method'!V42+$LP$8))) / ($LR$2/1000)</f>
        <v>0.12176453317166112</v>
      </c>
      <c r="GE42" s="183">
        <f>EXP($LP$6-($LQ$6/('Trial and Error method'!W42+$LP$8))) / ($LR$2/1000)</f>
        <v>0.11381739106061346</v>
      </c>
      <c r="GF42" s="183">
        <f>EXP($LP$6-($LQ$6/('Trial and Error method'!X42+$LP$8))) / ($LR$2/1000)</f>
        <v>0.10449366691278214</v>
      </c>
      <c r="GG42" s="183">
        <f>EXP($LP$6-($LQ$6/('Trial and Error method'!Y42+$LP$8))) / ($LR$2/1000)</f>
        <v>9.8747019772109687E-2</v>
      </c>
      <c r="GH42" s="183">
        <f>EXP($LP$6-($LQ$6/('Trial and Error method'!Z42+$LP$8))) / ($LR$2/1000)</f>
        <v>9.075418772070494E-2</v>
      </c>
      <c r="GI42" s="183">
        <f>EXP($LP$6-($LQ$6/('Trial and Error method'!AA42+$LP$8))) / ($LR$2/1000)</f>
        <v>8.4925721540260457E-2</v>
      </c>
      <c r="GJ42" s="183">
        <f>EXP($LP$6-($LQ$6/('Trial and Error method'!AB42+$LP$8))) / ($LR$2/1000)</f>
        <v>7.756452225461638E-2</v>
      </c>
      <c r="GK42" s="188">
        <f t="shared" si="142"/>
        <v>0.88213526037761969</v>
      </c>
      <c r="GL42" s="165">
        <f t="shared" si="143"/>
        <v>0.85658188632794197</v>
      </c>
      <c r="GM42" s="165">
        <f t="shared" si="144"/>
        <v>0.86219388369573924</v>
      </c>
      <c r="GN42" s="165">
        <f t="shared" si="145"/>
        <v>0.86611994118443736</v>
      </c>
      <c r="GO42" s="165">
        <f t="shared" si="146"/>
        <v>0.87123184288069144</v>
      </c>
      <c r="GP42" s="165">
        <f t="shared" si="147"/>
        <v>0.87405695557333163</v>
      </c>
      <c r="GQ42" s="165">
        <f t="shared" si="148"/>
        <v>0.87847142822933877</v>
      </c>
      <c r="GR42" s="165">
        <f t="shared" si="149"/>
        <v>0.88132467338667997</v>
      </c>
      <c r="GS42" s="165">
        <f t="shared" si="150"/>
        <v>0.88535788587503594</v>
      </c>
      <c r="GT42" s="188">
        <f t="shared" si="194"/>
        <v>4.8182016179166995E-2</v>
      </c>
      <c r="GU42" s="165">
        <f t="shared" si="195"/>
        <v>4.9614378051728691E-2</v>
      </c>
      <c r="GV42" s="165">
        <f t="shared" si="196"/>
        <v>4.9265122682954604E-2</v>
      </c>
      <c r="GW42" s="165">
        <f t="shared" si="197"/>
        <v>4.9038688879219028E-2</v>
      </c>
      <c r="GX42" s="165">
        <f t="shared" si="198"/>
        <v>4.8734250359755447E-2</v>
      </c>
      <c r="GY42" s="165">
        <f t="shared" si="199"/>
        <v>4.8581203370230829E-2</v>
      </c>
      <c r="GZ42" s="165">
        <f t="shared" si="200"/>
        <v>4.8329622936927621E-2</v>
      </c>
      <c r="HA42" s="165">
        <f t="shared" si="201"/>
        <v>4.8184467242606541E-2</v>
      </c>
      <c r="HB42" s="165">
        <f t="shared" si="202"/>
        <v>4.79623125086589E-2</v>
      </c>
      <c r="HC42" s="188">
        <f>BV42*Sheet3!DF42</f>
        <v>161.57305063254654</v>
      </c>
      <c r="HD42" s="165">
        <f>BW42*Sheet3!BZ42</f>
        <v>160.39634418988831</v>
      </c>
      <c r="HE42" s="165">
        <f>BX42*Sheet3!CA42</f>
        <v>150.02888924008965</v>
      </c>
      <c r="HF42" s="165">
        <f>BY42*Sheet3!CB42</f>
        <v>140.93521758346438</v>
      </c>
      <c r="HG42" s="165">
        <f>BZ42*Sheet3!CC42</f>
        <v>131.00897825416186</v>
      </c>
      <c r="HH42" s="165">
        <f>CA42*Sheet3!CD42</f>
        <v>125.5230999652571</v>
      </c>
      <c r="HI42" s="165">
        <f>CB42*Sheet3!CE42</f>
        <v>117.08838031153635</v>
      </c>
      <c r="HJ42" s="165">
        <f>CC42*Sheet3!CF42</f>
        <v>111.14138750066583</v>
      </c>
      <c r="HK42" s="165">
        <f>CD42*Sheet3!CG42</f>
        <v>103.32069000337016</v>
      </c>
      <c r="HL42" s="188">
        <f>(CE42*Sheet3!DF42)+2501</f>
        <v>2777.9002721684374</v>
      </c>
      <c r="HM42" s="165">
        <f>(CF42*Sheet3!BZ42)+2501</f>
        <v>2775.8739560066297</v>
      </c>
      <c r="HN42" s="165">
        <f>(CG42*Sheet3!CA42)+2501</f>
        <v>2758.3951297822869</v>
      </c>
      <c r="HO42" s="165">
        <f>(CH42*Sheet3!CB42)+2501</f>
        <v>2742.6934674800673</v>
      </c>
      <c r="HP42" s="165">
        <f>(CI42*Sheet3!CC42)+2501</f>
        <v>2726.0034854394517</v>
      </c>
      <c r="HQ42" s="165">
        <f>(CJ42*Sheet3!CD42)+2501</f>
        <v>2716.540151212032</v>
      </c>
      <c r="HR42" s="165">
        <f>(CK42*Sheet3!CE42)+2501</f>
        <v>2702.3589328581602</v>
      </c>
      <c r="HS42" s="165">
        <f>(CL42*Sheet3!CF42)+2501</f>
        <v>2692.1015736366903</v>
      </c>
      <c r="HT42" s="165">
        <f>(CM42*Sheet3!CG42)+2501</f>
        <v>2678.8984696516163</v>
      </c>
      <c r="HU42" s="188">
        <f>-0.0021*(Sheet3!DF42^2) - 2.2115*(Sheet3!DF42) + 2499</f>
        <v>2134.1799999999998</v>
      </c>
      <c r="HV42" s="165">
        <f>-0.0021*(Sheet3!BZ42^2) - 2.2115*(Sheet3!BZ42) + 2499</f>
        <v>2137.0629778600569</v>
      </c>
      <c r="HW42" s="165">
        <f>-0.0021*(Sheet3!CA42^2) - 2.2115*(Sheet3!CA42) + 2499</f>
        <v>2161.8214530587393</v>
      </c>
      <c r="HX42" s="165">
        <f>-0.0021*(Sheet3!CB42^2) - 2.2115*(Sheet3!CB42) + 2499</f>
        <v>2183.8913444400418</v>
      </c>
      <c r="HY42" s="165">
        <f>-0.0021*(Sheet3!CC42^2) - 2.2115*(Sheet3!CC42) + 2499</f>
        <v>2207.1673693087332</v>
      </c>
      <c r="HZ42" s="165">
        <f>-0.0021*(Sheet3!CD42^2) - 2.2115*(Sheet3!CD42) + 2499</f>
        <v>2220.2790686620879</v>
      </c>
      <c r="IA42" s="165">
        <f>-0.0021*(Sheet3!CE42^2) - 2.2115*(Sheet3!CE42) + 2499</f>
        <v>2239.8080490388184</v>
      </c>
      <c r="IB42" s="165">
        <f>-0.0021*(Sheet3!CF42^2) - 2.2115*(Sheet3!CF42) + 2499</f>
        <v>2253.8421787262937</v>
      </c>
      <c r="IC42" s="165">
        <f>-0.0021*(Sheet3!CG42^2) - 2.2115*(Sheet3!CG42) + 2499</f>
        <v>2271.7910324371169</v>
      </c>
      <c r="ID42" s="188">
        <f t="shared" si="203"/>
        <v>0.69579791000989666</v>
      </c>
      <c r="IE42" s="165">
        <f t="shared" si="204"/>
        <v>0.69610711045911144</v>
      </c>
      <c r="IF42" s="165">
        <f t="shared" si="205"/>
        <v>0.69822973580467984</v>
      </c>
      <c r="IG42" s="165">
        <f t="shared" si="206"/>
        <v>0.70099122650534906</v>
      </c>
      <c r="IH42" s="165">
        <f t="shared" si="207"/>
        <v>0.70319530501221383</v>
      </c>
      <c r="II42" s="165">
        <f t="shared" si="208"/>
        <v>0.70506263228058552</v>
      </c>
      <c r="IJ42" s="165">
        <f t="shared" si="209"/>
        <v>0.70707615131177881</v>
      </c>
      <c r="IK42" s="165">
        <f t="shared" si="210"/>
        <v>0.70930649431894277</v>
      </c>
      <c r="IL42" s="165">
        <f t="shared" si="211"/>
        <v>0.71146574809214247</v>
      </c>
      <c r="IM42" s="188">
        <f t="shared" si="212"/>
        <v>7.6548132479657793</v>
      </c>
      <c r="IN42" s="165">
        <f t="shared" si="151"/>
        <v>2.3701889495732926</v>
      </c>
      <c r="IO42" s="165">
        <f t="shared" si="152"/>
        <v>3.3960021916404415</v>
      </c>
      <c r="IP42" s="165">
        <f t="shared" si="153"/>
        <v>4.2645532738404794</v>
      </c>
      <c r="IQ42" s="165">
        <f t="shared" si="154"/>
        <v>5.1745364809839103</v>
      </c>
      <c r="IR42" s="165">
        <f t="shared" si="155"/>
        <v>5.8073194830058492</v>
      </c>
      <c r="IS42" s="165">
        <f t="shared" si="156"/>
        <v>6.5865682020858296</v>
      </c>
      <c r="IT42" s="165">
        <f t="shared" si="157"/>
        <v>7.2391794851821203</v>
      </c>
      <c r="IU42" s="165">
        <f t="shared" si="158"/>
        <v>7.9702375196018416</v>
      </c>
      <c r="IV42" s="188">
        <f>_xlfn.FORECAST.LINEAR(Sheet3!DF42,Sheet2!$AK$2:$AK$69,Sheet2!$AJ$2:$AJ$69)</f>
        <v>1.386217343669711E-5</v>
      </c>
      <c r="IW42" s="165">
        <f>_xlfn.FORECAST.LINEAR(Sheet3!BZ42,Sheet2!$AK$2:$AK$69,Sheet2!$AJ$2:$AJ$69)</f>
        <v>1.3826358277730022E-5</v>
      </c>
      <c r="IX42" s="165">
        <f>_xlfn.FORECAST.LINEAR(Sheet3!CA42,Sheet2!$AK$2:$AK$69,Sheet2!$AJ$2:$AJ$69)</f>
        <v>1.3516504991685639E-5</v>
      </c>
      <c r="IY42" s="165">
        <f>_xlfn.FORECAST.LINEAR(Sheet3!CB42,Sheet2!$AK$2:$AK$69,Sheet2!$AJ$2:$AJ$69)</f>
        <v>1.3236763368168319E-5</v>
      </c>
      <c r="IZ42" s="165">
        <f>_xlfn.FORECAST.LINEAR(Sheet3!CC42,Sheet2!$AK$2:$AK$69,Sheet2!$AJ$2:$AJ$69)</f>
        <v>1.2937980397017433E-5</v>
      </c>
      <c r="JA42" s="165">
        <f>_xlfn.FORECAST.LINEAR(Sheet3!CD42,Sheet2!$AK$2:$AK$69,Sheet2!$AJ$2:$AJ$69)</f>
        <v>1.2767918594034993E-5</v>
      </c>
      <c r="JB42" s="165">
        <f>_xlfn.FORECAST.LINEAR(Sheet3!CE42,Sheet2!$AK$2:$AK$69,Sheet2!$AJ$2:$AJ$69)</f>
        <v>1.251220400849493E-5</v>
      </c>
      <c r="JC42" s="165">
        <f>_xlfn.FORECAST.LINEAR(Sheet3!CF42,Sheet2!$AK$2:$AK$69,Sheet2!$AJ$2:$AJ$69)</f>
        <v>1.2326602269651281E-5</v>
      </c>
      <c r="JD42" s="165">
        <f>_xlfn.FORECAST.LINEAR(Sheet3!CG42,Sheet2!$AK$2:$AK$69,Sheet2!$AJ$2:$AJ$69)</f>
        <v>1.2086918836583863E-5</v>
      </c>
      <c r="JE42" s="188">
        <f>_xlfn.FORECAST.LINEAR(Sheet3!DF42,New!$MC$2:$MC$18,New!$MB$2:$MB$18)</f>
        <v>2.337798370672098E-5</v>
      </c>
      <c r="JF42" s="165">
        <f>_xlfn.FORECAST.LINEAR(Sheet3!BZ42,New!$MC$2:$MC$18,New!$MB$2:$MB$18)</f>
        <v>2.3335882122894576E-5</v>
      </c>
      <c r="JG42" s="165">
        <f>_xlfn.FORECAST.LINEAR(Sheet3!CA42,New!$MC$2:$MC$18,New!$MB$2:$MB$18)</f>
        <v>2.2971642106306271E-5</v>
      </c>
      <c r="JH42" s="165">
        <f>_xlfn.FORECAST.LINEAR(Sheet3!CB42,New!$MC$2:$MC$18,New!$MB$2:$MB$18)</f>
        <v>2.2642799075815409E-5</v>
      </c>
      <c r="JI42" s="165">
        <f>_xlfn.FORECAST.LINEAR(Sheet3!CC42,New!$MC$2:$MC$18,New!$MB$2:$MB$18)</f>
        <v>2.2291572481585541E-5</v>
      </c>
      <c r="JJ42" s="165">
        <f>_xlfn.FORECAST.LINEAR(Sheet3!CD42,New!$MC$2:$MC$18,New!$MB$2:$MB$18)</f>
        <v>2.2091660727444944E-5</v>
      </c>
      <c r="JK42" s="165">
        <f>_xlfn.FORECAST.LINEAR(Sheet3!CE42,New!$MC$2:$MC$18,New!$MB$2:$MB$18)</f>
        <v>2.1791062060030321E-5</v>
      </c>
      <c r="JL42" s="165">
        <f>_xlfn.FORECAST.LINEAR(Sheet3!CF42,New!$MC$2:$MC$18,New!$MB$2:$MB$18)</f>
        <v>2.1572882736201738E-5</v>
      </c>
      <c r="JM42" s="165">
        <f>_xlfn.FORECAST.LINEAR(Sheet3!CG42,New!$MC$2:$MC$18,New!$MB$2:$MB$18)</f>
        <v>2.1291129075458204E-5</v>
      </c>
      <c r="JN42" s="188">
        <f t="shared" si="159"/>
        <v>2.192101436997209E-5</v>
      </c>
      <c r="JO42" s="165">
        <f t="shared" si="160"/>
        <v>2.1879339673598705E-5</v>
      </c>
      <c r="JP42" s="165">
        <f t="shared" si="161"/>
        <v>2.1525847439622404E-5</v>
      </c>
      <c r="JQ42" s="165">
        <f t="shared" si="162"/>
        <v>2.1199057276295907E-5</v>
      </c>
      <c r="JR42" s="165">
        <f t="shared" si="163"/>
        <v>2.0859458315943311E-5</v>
      </c>
      <c r="JS42" s="165">
        <f t="shared" si="164"/>
        <v>2.0660661982787873E-5</v>
      </c>
      <c r="JT42" s="165">
        <f t="shared" si="165"/>
        <v>2.0370657111850715E-5</v>
      </c>
      <c r="JU42" s="165">
        <f t="shared" si="166"/>
        <v>2.0153523276451766E-5</v>
      </c>
      <c r="JV42" s="165">
        <f t="shared" si="167"/>
        <v>1.9880949418794125E-5</v>
      </c>
      <c r="JW42" s="188">
        <f t="shared" si="231"/>
        <v>1.0152024173422087</v>
      </c>
      <c r="JX42" s="165">
        <f t="shared" si="232"/>
        <v>1.0156290966741772</v>
      </c>
      <c r="JY42" s="165">
        <f t="shared" si="233"/>
        <v>1.0194115060770053</v>
      </c>
      <c r="JZ42" s="165">
        <f t="shared" si="234"/>
        <v>1.0229728986900928</v>
      </c>
      <c r="KA42" s="165">
        <f t="shared" si="235"/>
        <v>1.0269405063904171</v>
      </c>
      <c r="KB42" s="165">
        <f t="shared" si="236"/>
        <v>1.0292786377651377</v>
      </c>
      <c r="KC42" s="165">
        <f t="shared" si="237"/>
        <v>1.0329095163072657</v>
      </c>
      <c r="KD42" s="165">
        <f t="shared" si="238"/>
        <v>1.0356356335932702</v>
      </c>
      <c r="KE42" s="165">
        <f t="shared" si="239"/>
        <v>1.0392752112827579</v>
      </c>
      <c r="KF42" s="188">
        <f t="shared" si="75"/>
        <v>0.9677010468805306</v>
      </c>
      <c r="KG42" s="165">
        <f t="shared" si="240"/>
        <v>0.96734860471161999</v>
      </c>
      <c r="KH42" s="165">
        <f t="shared" si="241"/>
        <v>0.96424232317706071</v>
      </c>
      <c r="KI42" s="165">
        <f t="shared" si="242"/>
        <v>0.96134685884063431</v>
      </c>
      <c r="KJ42" s="165">
        <f t="shared" si="243"/>
        <v>0.95815409245865102</v>
      </c>
      <c r="KK42" s="165">
        <f t="shared" si="244"/>
        <v>0.95628862620328847</v>
      </c>
      <c r="KL42" s="165">
        <f t="shared" si="245"/>
        <v>0.95341501896176917</v>
      </c>
      <c r="KM42" s="165">
        <f t="shared" si="246"/>
        <v>0.95127586107838036</v>
      </c>
      <c r="KN42" s="165">
        <f t="shared" si="247"/>
        <v>0.94844417310247187</v>
      </c>
      <c r="KO42" s="188">
        <f t="shared" si="213"/>
        <v>0.62439621432434889</v>
      </c>
      <c r="KP42" s="165">
        <f t="shared" si="214"/>
        <v>0.62383511777322542</v>
      </c>
      <c r="KQ42" s="165">
        <f t="shared" si="215"/>
        <v>0.61838309326939211</v>
      </c>
      <c r="KR42" s="165">
        <f t="shared" si="216"/>
        <v>0.61330429683844501</v>
      </c>
      <c r="KS42" s="165">
        <f t="shared" si="217"/>
        <v>0.60775606324871656</v>
      </c>
      <c r="KT42" s="165">
        <f t="shared" si="218"/>
        <v>0.60450923567598602</v>
      </c>
      <c r="KU42" s="165">
        <f t="shared" si="219"/>
        <v>0.59955736608245136</v>
      </c>
      <c r="KV42" s="165">
        <f t="shared" si="220"/>
        <v>0.59586032308528869</v>
      </c>
      <c r="KW42" s="165">
        <f t="shared" si="221"/>
        <v>0.59111625611100427</v>
      </c>
      <c r="KX42" s="188">
        <f>AVERAGE(Sheet3!J42:P42)*KO42^(1/3)/ID42^(1/3)</f>
        <v>71.135980220403908</v>
      </c>
      <c r="KY42" s="165">
        <f>Sheet3!J42*KP42^(1/3)/IE42^(1/3)</f>
        <v>60.191759809503303</v>
      </c>
      <c r="KZ42" s="165">
        <f>Sheet3!K42*KQ42^(1/3)/IF42^(1/3)</f>
        <v>61.5591272611601</v>
      </c>
      <c r="LA42" s="165">
        <f>Sheet3!L42*KR42^(1/3)/IG42^(1/3)</f>
        <v>64.393948569777947</v>
      </c>
      <c r="LB42" s="165">
        <f>Sheet3!M42*KS42^(1/3)/IH42^(1/3)</f>
        <v>67.319687776101219</v>
      </c>
      <c r="LC42" s="165">
        <f>Sheet3!N42*KT42^(1/3)/II42^(1/3)</f>
        <v>72.182234610755273</v>
      </c>
      <c r="LD42" s="165">
        <f>Sheet3!O42*KU42^(1/3)/IJ42^(1/3)</f>
        <v>78.668460473169674</v>
      </c>
      <c r="LE42" s="165">
        <f>Sheet3!P42*KV42^(1/3)/IK42^(1/3)</f>
        <v>87.393660367359715</v>
      </c>
      <c r="LF42" s="165">
        <f>Sheet3!Q42*KW42^(1/3)/IL42^(1/3)</f>
        <v>97.467838825642787</v>
      </c>
      <c r="LG42" s="186">
        <f t="shared" si="248"/>
        <v>27.26831514272595</v>
      </c>
      <c r="LH42" s="183">
        <f t="shared" si="249"/>
        <v>27.275340792028921</v>
      </c>
      <c r="LI42" s="183">
        <f t="shared" si="250"/>
        <v>27.681044506293041</v>
      </c>
      <c r="LJ42" s="183">
        <f t="shared" si="251"/>
        <v>27.687287283408416</v>
      </c>
      <c r="LK42" s="183">
        <f t="shared" si="252"/>
        <v>28.175053933342387</v>
      </c>
      <c r="LL42" s="183">
        <f t="shared" si="253"/>
        <v>28.181566011296297</v>
      </c>
      <c r="LM42" s="183">
        <f t="shared" si="254"/>
        <v>28.663426725844516</v>
      </c>
      <c r="LN42" s="183">
        <f t="shared" si="255"/>
        <v>28.671341001779943</v>
      </c>
      <c r="LO42" s="183">
        <f t="shared" si="256"/>
        <v>29.113565232233523</v>
      </c>
      <c r="LP42" s="220"/>
      <c r="LQ42" s="220"/>
      <c r="LR42" s="220"/>
      <c r="LS42" s="220"/>
      <c r="LT42" s="220"/>
      <c r="LU42" s="220"/>
      <c r="LV42" s="220"/>
      <c r="LW42" s="220"/>
      <c r="LX42" s="220"/>
      <c r="LY42" s="220"/>
      <c r="LZ42" s="222">
        <v>164.96</v>
      </c>
      <c r="MA42" s="220">
        <v>1.5E-5</v>
      </c>
      <c r="MB42" s="220"/>
      <c r="MC42" s="220"/>
      <c r="MD42" s="188">
        <f>Sheet3!DP42</f>
        <v>128.87716351154344</v>
      </c>
      <c r="MF42" s="165"/>
      <c r="MP42"/>
      <c r="MQ42"/>
      <c r="MR42"/>
      <c r="MS42"/>
    </row>
    <row r="43" spans="1:357" x14ac:dyDescent="0.3">
      <c r="A43" s="184" t="str">
        <f>Sheet3!A43</f>
        <v>04.01.2023</v>
      </c>
      <c r="B43" s="186">
        <f t="shared" si="102"/>
        <v>0.9660600780323374</v>
      </c>
      <c r="C43" s="183">
        <f t="shared" si="168"/>
        <v>0.96699914355164829</v>
      </c>
      <c r="D43" s="183">
        <f t="shared" si="169"/>
        <v>0.95100027248809249</v>
      </c>
      <c r="E43" s="183">
        <f t="shared" si="170"/>
        <v>0.93579976502571127</v>
      </c>
      <c r="F43" s="183">
        <f t="shared" si="171"/>
        <v>0.92390117825836426</v>
      </c>
      <c r="G43" s="183">
        <f t="shared" si="172"/>
        <v>0.91478314465902399</v>
      </c>
      <c r="H43" s="183">
        <f t="shared" si="173"/>
        <v>0.90248140852182823</v>
      </c>
      <c r="I43" s="183">
        <f t="shared" si="174"/>
        <v>0.89360415456441711</v>
      </c>
      <c r="J43" s="183">
        <f t="shared" si="175"/>
        <v>0.8788734082550741</v>
      </c>
      <c r="K43" s="186">
        <f xml:space="preserve"> (6.057 * (10^(-6)))
+ (4.055 * (10^(-8)) * (Sheet3!DF43 + 273))
+ (1.25 * (10^(-10)) * (Sheet3!DF43 + 273)^2)
- (3.367 * (10^(-14)) * (DD43 + 273)^3)</f>
        <v>5.3312606674370104E-5</v>
      </c>
      <c r="L43" s="183">
        <f xml:space="preserve"> (6.057 * (10^(-6)))
+ (4.055 * (10^(-8)) * (Sheet3!BZ43 + 273))
+ (1.25 * (10^(-10)) * (Sheet3!BZ43 + 273)^2)
- (3.367 * (10^(-14)) * (BX43 + 273)^3)</f>
        <v>5.343757965851411E-5</v>
      </c>
      <c r="M43" s="183">
        <f xml:space="preserve"> (6.057 * (10^(-6)))
+ (4.055 * (10^(-8)) * (Sheet3!CA43 + 273))
+ (1.25 * (10^(-10)) * (Sheet3!CA43 + 273)^2)
- (3.367 * (10^(-14)) * (BY43 + 273)^3)</f>
        <v>5.0962966144756379E-5</v>
      </c>
      <c r="N43" s="183">
        <f xml:space="preserve"> (6.057 * (10^(-6)))
+ (4.055 * (10^(-8)) * (Sheet3!CB43 + 273))
+ (1.25 * (10^(-10)) * (Sheet3!CB43 + 273)^2)
- (3.367 * (10^(-14)) * (BZ43 + 273)^3)</f>
        <v>4.8836582034819895E-5</v>
      </c>
      <c r="O43" s="183">
        <f xml:space="preserve"> (6.057 * (10^(-6)))
+ (4.055 * (10^(-8)) * (Sheet3!CC43 + 273))
+ (1.25 * (10^(-10)) * (Sheet3!CC43 + 273)^2)
- (3.367 * (10^(-14)) * (CA43 + 273)^3)</f>
        <v>4.7167741518121141E-5</v>
      </c>
      <c r="P43" s="183">
        <f xml:space="preserve"> (6.057 * (10^(-6)))
+ (4.055 * (10^(-8)) * (Sheet3!CD43 + 273))
+ (1.25 * (10^(-10)) * (Sheet3!CD43 + 273)^2)
- (3.367 * (10^(-14)) * (CB43 + 273)^3)</f>
        <v>4.6032530609797083E-5</v>
      </c>
      <c r="Q43" s="183">
        <f xml:space="preserve"> (6.057 * (10^(-6)))
+ (4.055 * (10^(-8)) * (Sheet3!CE43 + 273))
+ (1.25 * (10^(-10)) * (Sheet3!CE43 + 273)^2)
- (3.367 * (10^(-14)) * (CC43 + 273)^3)</f>
        <v>4.4468098081647542E-5</v>
      </c>
      <c r="R43" s="183">
        <f xml:space="preserve"> (6.057 * (10^(-6)))
+ (4.055 * (10^(-8)) * (Sheet3!CF43 + 273))
+ (1.25 * (10^(-10)) * (Sheet3!CF43 + 273)^2)
- (3.367 * (10^(-14)) * (CD43 + 273)^3)</f>
        <v>4.3465022406560688E-5</v>
      </c>
      <c r="S43" s="183">
        <f xml:space="preserve"> (6.057 * (10^(-6)))
+ (4.055 * (10^(-8)) * (Sheet3!CG43 + 273))
+ (1.25 * (10^(-10)) * (Sheet3!CG43 + 273)^2)
- (3.367 * (10^(-14)) * (CE43 + 273)^3)</f>
        <v>4.1772441531781927E-5</v>
      </c>
      <c r="T43" s="188">
        <f t="shared" si="104"/>
        <v>5.3312606674370104E-5</v>
      </c>
      <c r="U43" s="165">
        <f t="shared" si="105"/>
        <v>5.343757965851411E-5</v>
      </c>
      <c r="V43" s="165">
        <f t="shared" si="106"/>
        <v>5.0962966144756379E-5</v>
      </c>
      <c r="W43" s="165">
        <f t="shared" si="107"/>
        <v>4.8836582034819895E-5</v>
      </c>
      <c r="X43" s="165">
        <f t="shared" si="108"/>
        <v>4.7167741518121141E-5</v>
      </c>
      <c r="Y43" s="165">
        <f t="shared" si="109"/>
        <v>4.6032530609797083E-5</v>
      </c>
      <c r="Z43" s="165">
        <f t="shared" si="110"/>
        <v>4.4468098081647542E-5</v>
      </c>
      <c r="AA43" s="165">
        <f t="shared" si="111"/>
        <v>4.3465022406560688E-5</v>
      </c>
      <c r="AB43" s="165">
        <f t="shared" si="112"/>
        <v>4.1772441531781927E-5</v>
      </c>
      <c r="AC43" s="186">
        <f t="shared" si="176"/>
        <v>5.1503180963949295E-5</v>
      </c>
      <c r="AD43" s="183">
        <f t="shared" si="177"/>
        <v>5.1674093763256125E-5</v>
      </c>
      <c r="AE43" s="183">
        <f t="shared" si="178"/>
        <v>4.8465794690464751E-5</v>
      </c>
      <c r="AF43" s="183">
        <f t="shared" si="179"/>
        <v>4.5701261992843329E-5</v>
      </c>
      <c r="AG43" s="183">
        <f t="shared" si="180"/>
        <v>4.3578331964378087E-5</v>
      </c>
      <c r="AH43" s="183">
        <f t="shared" si="181"/>
        <v>4.2109783107842956E-5</v>
      </c>
      <c r="AI43" s="183">
        <f t="shared" si="182"/>
        <v>4.0131631791012084E-5</v>
      </c>
      <c r="AJ43" s="183">
        <f t="shared" si="183"/>
        <v>3.8840524600738108E-5</v>
      </c>
      <c r="AK43" s="183">
        <f t="shared" si="184"/>
        <v>3.6712688060172989E-5</v>
      </c>
      <c r="AL43" s="186">
        <f t="shared" si="113"/>
        <v>4.0381368922127014E-2</v>
      </c>
      <c r="AM43" s="183">
        <f t="shared" si="114"/>
        <v>4.0452645078775107E-2</v>
      </c>
      <c r="AN43" s="183">
        <f t="shared" si="115"/>
        <v>3.9078681157247365E-2</v>
      </c>
      <c r="AO43" s="183">
        <f t="shared" si="116"/>
        <v>3.7873513284771274E-2</v>
      </c>
      <c r="AP43" s="183">
        <f t="shared" si="117"/>
        <v>3.6896755837797522E-2</v>
      </c>
      <c r="AQ43" s="183">
        <f t="shared" si="118"/>
        <v>3.6228669729179923E-2</v>
      </c>
      <c r="AR43" s="183">
        <f t="shared" si="119"/>
        <v>3.5285389294280899E-2</v>
      </c>
      <c r="AS43" s="183">
        <f t="shared" si="120"/>
        <v>3.4675774408147404E-2</v>
      </c>
      <c r="AT43" s="183">
        <f t="shared" si="121"/>
        <v>3.3628880948255911E-2</v>
      </c>
      <c r="AU43" s="186">
        <f>_xlfn.FORECAST.LINEAR(Sheet3!DF43,Sheet2!$AH$2:$AH$40,Sheet2!$AG$2:$AG$40)</f>
        <v>5.615110757455756E-2</v>
      </c>
      <c r="AV43" s="183">
        <f>_xlfn.FORECAST.LINEAR(Sheet3!BZ43,Sheet2!$AH$2:$AH$40,Sheet2!$AG$2:$AG$40)</f>
        <v>5.6358577949717902E-2</v>
      </c>
      <c r="AW43" s="183">
        <f>_xlfn.FORECAST.LINEAR(Sheet3!CA43,Sheet2!$AH$2:$AH$40,Sheet2!$AG$2:$AG$40)</f>
        <v>5.238563798010315E-2</v>
      </c>
      <c r="AX43" s="183">
        <f>_xlfn.FORECAST.LINEAR(Sheet3!CB43,Sheet2!$AH$2:$AH$40,Sheet2!$AG$2:$AG$40)</f>
        <v>4.889066012637483E-2</v>
      </c>
      <c r="AY43" s="183">
        <f>_xlfn.FORECAST.LINEAR(Sheet3!CC43,Sheet2!$AH$2:$AH$40,Sheet2!$AG$2:$AG$40)</f>
        <v>4.6091696469814598E-2</v>
      </c>
      <c r="AZ43" s="183">
        <f>_xlfn.FORECAST.LINEAR(Sheet3!CD43,Sheet2!$AH$2:$AH$40,Sheet2!$AG$2:$AG$40)</f>
        <v>4.41579899309653E-2</v>
      </c>
      <c r="BA43" s="183">
        <f>_xlfn.FORECAST.LINEAR(Sheet3!CE43,Sheet2!$AH$2:$AH$40,Sheet2!$AG$2:$AG$40)</f>
        <v>4.1451812452344999E-2</v>
      </c>
      <c r="BB43" s="183">
        <f>_xlfn.FORECAST.LINEAR(Sheet3!CF43,Sheet2!$AH$2:$AH$40,Sheet2!$AG$2:$AG$40)</f>
        <v>3.9690290924459207E-2</v>
      </c>
      <c r="BC43" s="183">
        <f>_xlfn.FORECAST.LINEAR(Sheet3!CG43,Sheet2!$AH$2:$AH$40,Sheet2!$AG$2:$AG$40)</f>
        <v>3.6680376133472366E-2</v>
      </c>
      <c r="BD43" s="186">
        <f>_xlfn.FORECAST.LINEAR(Sheet3!DF43,Sheet2!$AB$12:$AB$37,Sheet2!$AA$12:$AA$37)/1000</f>
        <v>3.7324862686859299E-2</v>
      </c>
      <c r="BE43" s="183">
        <f>_xlfn.FORECAST.LINEAR(Sheet3!BZ43,Sheet2!$AB$12:$AB$37,Sheet2!$AA$12:$AA$37)/1000</f>
        <v>3.7371248260525972E-2</v>
      </c>
      <c r="BF43" s="183">
        <f>_xlfn.FORECAST.LINEAR(Sheet3!CA43,Sheet2!$AB$12:$AB$37,Sheet2!$AA$12:$AA$37)/1000</f>
        <v>3.6482990843092554E-2</v>
      </c>
      <c r="BG43" s="183">
        <f>_xlfn.FORECAST.LINEAR(Sheet3!CB43,Sheet2!$AB$12:$AB$37,Sheet2!$AA$12:$AA$37)/1000</f>
        <v>3.5701594691607094E-2</v>
      </c>
      <c r="BH43" s="183">
        <f>_xlfn.FORECAST.LINEAR(Sheet3!CC43,Sheet2!$AB$12:$AB$37,Sheet2!$AA$12:$AA$37)/1000</f>
        <v>3.5075811204295225E-2</v>
      </c>
      <c r="BI43" s="183">
        <f>_xlfn.FORECAST.LINEAR(Sheet3!CD43,Sheet2!$AB$12:$AB$37,Sheet2!$AA$12:$AA$37)/1000</f>
        <v>3.4643479180804078E-2</v>
      </c>
      <c r="BJ43" s="183">
        <f>_xlfn.FORECAST.LINEAR(Sheet3!CE43,Sheet2!$AB$12:$AB$37,Sheet2!$AA$12:$AA$37)/1000</f>
        <v>3.4038440535201574E-2</v>
      </c>
      <c r="BK43" s="183">
        <f>_xlfn.FORECAST.LINEAR(Sheet3!CF43,Sheet2!$AB$12:$AB$37,Sheet2!$AA$12:$AA$37)/1000</f>
        <v>3.3644605094676421E-2</v>
      </c>
      <c r="BL43" s="183">
        <f>_xlfn.FORECAST.LINEAR(Sheet3!CG43,Sheet2!$AB$12:$AB$37,Sheet2!$AA$12:$AA$37)/1000</f>
        <v>3.297165781649343E-2</v>
      </c>
      <c r="BM43" s="186">
        <f t="shared" si="122"/>
        <v>0.69506410542672858</v>
      </c>
      <c r="BN43" s="183">
        <f t="shared" si="123"/>
        <v>0.69388021376610043</v>
      </c>
      <c r="BO43" s="183">
        <f t="shared" si="124"/>
        <v>0.71740332893062042</v>
      </c>
      <c r="BP43" s="183">
        <f t="shared" si="125"/>
        <v>0.73935474097715659</v>
      </c>
      <c r="BQ43" s="183">
        <f t="shared" si="126"/>
        <v>0.75817680026814038</v>
      </c>
      <c r="BR43" s="183">
        <f t="shared" si="127"/>
        <v>0.77156720970200965</v>
      </c>
      <c r="BS43" s="183">
        <f t="shared" si="128"/>
        <v>0.79138546204266536</v>
      </c>
      <c r="BT43" s="183">
        <f t="shared" si="129"/>
        <v>0.80466079847783223</v>
      </c>
      <c r="BU43" s="183">
        <f t="shared" si="130"/>
        <v>0.82865570782404252</v>
      </c>
      <c r="BV43" s="186">
        <f t="shared" si="222"/>
        <v>1.1280338267708199</v>
      </c>
      <c r="BW43" s="183">
        <f t="shared" si="223"/>
        <v>1.1282089784754592</v>
      </c>
      <c r="BX43" s="183">
        <f t="shared" si="224"/>
        <v>1.1239349408152215</v>
      </c>
      <c r="BY43" s="183">
        <f t="shared" si="225"/>
        <v>1.1208681762958261</v>
      </c>
      <c r="BZ43" s="183">
        <f t="shared" si="226"/>
        <v>1.1167271845043323</v>
      </c>
      <c r="CA43" s="183">
        <f t="shared" si="227"/>
        <v>1.1150532823701682</v>
      </c>
      <c r="CB43" s="183">
        <f t="shared" si="228"/>
        <v>1.1110152659539225</v>
      </c>
      <c r="CC43" s="183">
        <f t="shared" si="229"/>
        <v>1.1095023793903283</v>
      </c>
      <c r="CD43" s="183">
        <f t="shared" si="230"/>
        <v>1.1054067326739914</v>
      </c>
      <c r="CE43" s="187">
        <f xml:space="preserve"> -0.0000000019505*Sheet3!DF43^3 + 0.0000015497*Sheet3!DF43^2  + 0.00016911*Sheet3!DF43 + 1.8585</f>
        <v>1.9414898911875</v>
      </c>
      <c r="CF43" s="185">
        <f xml:space="preserve"> -0.0000000019505*Sheet3!BZ43^3 + 0.0000015497*Sheet3!BZ43^2  + 0.00016911*Sheet3!BZ43 + 1.8585</f>
        <v>1.941946116496778</v>
      </c>
      <c r="CG43" s="185">
        <f xml:space="preserve"> -0.0000000019505*Sheet3!CA43^3 + 0.0000015497*Sheet3!CA43^2  + 0.00016911*Sheet3!CA43 + 1.8585</f>
        <v>1.9332970838878112</v>
      </c>
      <c r="CH43" s="185">
        <f xml:space="preserve"> -0.0000000019505*Sheet3!CB43^3 + 0.0000015497*Sheet3!CB43^2  + 0.00016911*Sheet3!CB43 + 1.8585</f>
        <v>1.9258636092570158</v>
      </c>
      <c r="CI43" s="185">
        <f xml:space="preserve"> -0.0000000019505*Sheet3!CC43^3 + 0.0000015497*Sheet3!CC43^2  + 0.00016911*Sheet3!CC43 + 1.8585</f>
        <v>1.9200501250163435</v>
      </c>
      <c r="CJ43" s="185">
        <f xml:space="preserve"> -0.0000000019505*Sheet3!CD43^3 + 0.0000015497*Sheet3!CD43^2  + 0.00016911*Sheet3!CD43 + 1.8585</f>
        <v>1.9161152778261565</v>
      </c>
      <c r="CK43" s="185">
        <f xml:space="preserve"> -0.0000000019505*Sheet3!CE43^3 + 0.0000015497*Sheet3!CE43^2  + 0.00016911*Sheet3!CE43 + 1.8585</f>
        <v>1.9107314519673135</v>
      </c>
      <c r="CL43" s="185">
        <f xml:space="preserve"> -0.0000000019505*Sheet3!CF43^3 + 0.0000015497*Sheet3!CF43^2  + 0.00016911*Sheet3!CF43 + 1.8585</f>
        <v>1.9073099964778144</v>
      </c>
      <c r="CM43" s="185">
        <f xml:space="preserve"> -0.0000000019505*Sheet3!CG43^3 + 0.0000015497*Sheet3!CG43^2  + 0.00016911*Sheet3!CG43 + 1.8585</f>
        <v>1.9016280057403474</v>
      </c>
      <c r="CN43" s="186">
        <f>_xlfn.FORECAST.LINEAR(Sheet3!DF43,New!$LU$2:$LU$14,New!$LT$2:$LT$14)</f>
        <v>1.0350674194089138</v>
      </c>
      <c r="CO43" s="183">
        <f>_xlfn.FORECAST.LINEAR(Sheet3!BZ43,New!$LU$2:$LU$14,New!$LT$2:$LT$14)</f>
        <v>1.0352201203268936</v>
      </c>
      <c r="CP43" s="183">
        <f>_xlfn.FORECAST.LINEAR(Sheet3!CA43,New!$LU$2:$LU$14,New!$LT$2:$LT$14)</f>
        <v>1.0322959843871498</v>
      </c>
      <c r="CQ43" s="183">
        <f>_xlfn.FORECAST.LINEAR(Sheet3!CB43,New!$LU$2:$LU$14,New!$LT$2:$LT$14)</f>
        <v>1.0297236348352168</v>
      </c>
      <c r="CR43" s="183">
        <f>_xlfn.FORECAST.LINEAR(Sheet3!CC43,New!$LU$2:$LU$14,New!$LT$2:$LT$14)</f>
        <v>1.0276635608636038</v>
      </c>
      <c r="CS43" s="183">
        <f>_xlfn.FORECAST.LINEAR(Sheet3!CD43,New!$LU$2:$LU$14,New!$LT$2:$LT$14)</f>
        <v>1.0262403274821754</v>
      </c>
      <c r="CT43" s="183">
        <f>_xlfn.FORECAST.LINEAR(Sheet3!CE43,New!$LU$2:$LU$14,New!$LT$2:$LT$14)</f>
        <v>1.0242485453548138</v>
      </c>
      <c r="CU43" s="183">
        <f>_xlfn.FORECAST.LINEAR(Sheet3!CF43,New!$LU$2:$LU$14,New!$LT$2:$LT$14)</f>
        <v>1.0229520424003979</v>
      </c>
      <c r="CV43" s="183">
        <f>_xlfn.FORECAST.LINEAR(Sheet3!CG43,New!$LU$2:$LU$14,New!$LT$2:$LT$14)</f>
        <v>1.0207367056263201</v>
      </c>
      <c r="CW43" s="186">
        <f>EXP((17.625*Sheet3!BA43)/(243.04+Sheet3!BA43)) / EXP((17.625*Sheet3!DF43)/(243.04+Sheet3!DF43))</f>
        <v>7.3695016876361144E-3</v>
      </c>
      <c r="CX43" s="183">
        <f>EXP((17.625*(Sheet3!BC43+273))/(243.04+(Sheet3!BC43+273)))/EXP((17.625*(Sheet3!BZ43+273))/(243.04+(Sheet3!BZ43+273)))</f>
        <v>0.20310396535420597</v>
      </c>
      <c r="CY43" s="183">
        <f>EXP((17.625*(Sheet3!BE43+273))/(243.04+(Sheet3!BE43+273))) / EXP((17.625*(Sheet3!CA43+273))/(243.04+(Sheet3!CA43+273)))</f>
        <v>0.23146390587357452</v>
      </c>
      <c r="CZ43" s="183">
        <f>EXP((17.625*(Sheet3!BG43+273))/(243.04+(Sheet3!BG43+273))) / EXP((17.625*(Sheet3!CB43+273))/(243.04+(Sheet3!CB43+273)))</f>
        <v>0.26057921905137704</v>
      </c>
      <c r="DA43" s="183">
        <f>EXP((17.625*(Sheet3!BI43+273))/(243.04+(Sheet3!BI43+273))) / EXP((17.625*(Sheet3!CC43+273))/(243.04+(Sheet3!CC43+273)))</f>
        <v>0.28626093795203472</v>
      </c>
      <c r="DB43" s="183">
        <f>EXP((17.625*(Sheet3!BK43+273))/(243.04+(Sheet3!BK43+273)))/EXP((17.625*(Sheet3!CD43+273))/(243.04+(Sheet3!CD43+273)))</f>
        <v>0.30731708157978266</v>
      </c>
      <c r="DC43" s="183">
        <f>EXP((17.625*(Sheet3!BM43+273))/(243.04+(Sheet3!BM43+273))) / EXP((17.625*(Sheet3!CE43+273))/(243.04+(Sheet3!CE43+273)))</f>
        <v>0.33821886217508773</v>
      </c>
      <c r="DD43" s="183">
        <f>EXP((17.625*(Sheet3!BO43+273))/(243.04+(Sheet3!BO43+273))) / EXP((17.625*(Sheet3!CF43+273))/(243.04+(Sheet3!CF43+273)))</f>
        <v>0.36208623507871174</v>
      </c>
      <c r="DE43" s="183">
        <f>EXP((17.625*(Sheet3!BQ43+273))/(243.04+(Sheet3!BQ43+273))) / EXP((17.625*(Sheet3!CG43+273))/(243.04+(Sheet3!CG43+273)))</f>
        <v>0.40585246630704019</v>
      </c>
      <c r="DF43" s="186">
        <f>((Sheet3!DA43-Sheet3!DB43)/New!$LQ$3)/(((Sheet3!DA43-Sheet3!DB43)/New!$LQ$3)+(Sheet3!DB43/New!$LP$3))</f>
        <v>0.84479443703817836</v>
      </c>
      <c r="DG43" s="183">
        <f>((Sheet3!DA43-Sheet3!DB43)/New!$LQ$3)/(((Sheet3!DA43-Sheet3!DB43)/New!$LQ$3)+((Sheet3!DB43-(Sheet3!B43*0.004))/New!$LP$3))</f>
        <v>0.84486000052418109</v>
      </c>
      <c r="DH43" s="183" cm="1">
        <f t="array" ref="DH43">((Sheet3!DA43-Sheet3!DB43)/New!$LQ$3)/(((Sheet3!DA43-Sheet3!DB43)/New!$LQ$3)+((Sheet3!DB43-(SUM(Sheet3!B43:C43*0.004)))/New!$LP$3))</f>
        <v>0.85070295094926596</v>
      </c>
      <c r="DI43" s="183" cm="1">
        <f t="array" ref="DI43">((Sheet3!DA43-Sheet3!DB43)/New!$LQ$3)/(((Sheet3!DA43-Sheet3!DB43)/New!$LQ$3)+((Sheet3!DB43-(SUM(Sheet3!B43:D43*0.004)))/New!$LP$3))</f>
        <v>0.85070295094926596</v>
      </c>
      <c r="DJ43" s="183" cm="1">
        <f t="array" ref="DJ43">((Sheet3!DA43-Sheet3!DB43)/New!$LQ$3)/(((Sheet3!DA43-Sheet3!DB43)/New!$LQ$3)+((Sheet3!DB43-(SUM(Sheet3!B43:E43*0.004)))/New!$LP$3))</f>
        <v>0.86417547661259719</v>
      </c>
      <c r="DK43" s="183" cm="1">
        <f t="array" ref="DK43">((Sheet3!DA43-Sheet3!DB43)/New!$LQ$3)/(((Sheet3!DA43-Sheet3!DB43)/New!$LQ$3)+((Sheet3!DB43-(SUM(Sheet3!B43:F43*0.004)))/New!$LP$3))</f>
        <v>0.86417547661259719</v>
      </c>
      <c r="DL43" s="183" cm="1">
        <f t="array" ref="DL43">((Sheet3!DA43-Sheet3!DB43)/New!$LQ$3)/(((Sheet3!DA43-Sheet3!DB43)/New!$LQ$3)+((Sheet3!DB43-(SUM(Sheet3!B43:G43*0.004)))/New!$LP$3))</f>
        <v>0.87829412707655741</v>
      </c>
      <c r="DM43" s="183" cm="1">
        <f t="array" ref="DM43">((Sheet3!DA43-Sheet3!DB43)/New!$LQ$3)/(((Sheet3!DA43-Sheet3!DB43)/New!$LQ$3)+((Sheet3!DB43-(SUM(Sheet3!B43:H43*0.004)))/New!$LP$3))</f>
        <v>0.87836499361834974</v>
      </c>
      <c r="DN43" s="183" cm="1">
        <f t="array" ref="DN43">((Sheet3!DA43-Sheet3!DB43)/New!$LQ$3)/(((Sheet3!DA43-Sheet3!DB43)/New!$LQ$3)+((Sheet3!DB43-(SUM(Sheet3!B43:I43*0.004)))/New!$LP$3))</f>
        <v>0.89163852424841039</v>
      </c>
      <c r="DO43" s="186">
        <f>(Sheet3!DB43/$LP$3) / ((Sheet3!DB43/$LP$3) + ((Sheet3!DA43-Sheet3!DB43)/$LQ$3))</f>
        <v>0.15520556296182161</v>
      </c>
      <c r="DP43" s="183">
        <f>((Sheet3!$DB43-(Sheet3!B43/4000)) / $LP$3) / (((Sheet3!$DA43-Sheet3!DB43) / $LQ$3) + (Sheet3!$DB43-((Sheet3!B43/4000)))/$LP$3)</f>
        <v>0.15520146554206757</v>
      </c>
      <c r="DQ43" s="183">
        <f>((Sheet3!$DB43-(SUM(Sheet3!B43:C43)/4000))/$LP$3)/(((Sheet3!$DA43-Sheet3!$DB43)/$LQ$3)+(Sheet3!$DB43-(SUM(Sheet3!B43:C43)/4000))/$LP$3)</f>
        <v>0.1548386864148393</v>
      </c>
      <c r="DR43" s="183">
        <f>((Sheet3!$DB43-(SUM(Sheet3!B43:D43)/4000))/$LP$3)/(((Sheet3!$DA43-Sheet3!$DB43)/$LQ$3)+(Sheet3!$DB43-(SUM(Sheet3!B43:D43)/4000))/$LP$3)</f>
        <v>0.1548386864148393</v>
      </c>
      <c r="DS43" s="183">
        <f>((Sheet3!$DB43-(SUM(Sheet3!B43:E43)/4000))/$LP$3)/(((Sheet3!$DA43-Sheet3!$DB43)/$LQ$3)+(Sheet3!$DB43-(SUM(Sheet3!B43:E43)/4000))/$LP$3)</f>
        <v>0.15401975224508618</v>
      </c>
      <c r="DT43" s="183">
        <f>((Sheet3!$DB43-(SUM(Sheet3!B43:F43)/4000))/$LP$3)/(((Sheet3!$DA43-Sheet3!$DB43)/$LQ$3)+(Sheet3!$DB43-(SUM(Sheet3!B43:F43)/4000))/$LP$3)</f>
        <v>0.15401975224508618</v>
      </c>
      <c r="DU43" s="183">
        <f>((Sheet3!$DB43-(SUM(Sheet3!B43:G43)/4000))/$LP$3)/(((Sheet3!$DA43-Sheet3!$DB43)/$LQ$3)+(Sheet3!$DB43-(SUM(Sheet3!B43:G43)/4000))/$LP$3)</f>
        <v>0.15318687865872055</v>
      </c>
      <c r="DV43" s="183">
        <f>((Sheet3!$DB43-(SUM(Sheet3!B43:H43)/4000))/$LP$3)/(((Sheet3!$DA43-Sheet3!$DB43)/$LQ$3)+(Sheet3!$DB43-(SUM(Sheet3!B43:H43)/4000))/$LP$3)</f>
        <v>0.15318276163348796</v>
      </c>
      <c r="DW43" s="183">
        <f>((Sheet3!$DB43-(SUM(Sheet3!B43:I43)/4000))/$LP$3)/(((Sheet3!$DA43-Sheet3!$DB43)/$LQ$3)+(Sheet3!$DB43-(SUM(Sheet3!B43:I43)/4000))/$LP$3)</f>
        <v>0.15242248481700027</v>
      </c>
      <c r="DX43" s="186">
        <f>($LR$2*($LP$3/1000))/($LP$2*(Sheet3!DF43+273))*DO43</f>
        <v>7.128862619761317E-2</v>
      </c>
      <c r="DY43" s="183">
        <f>(($LR$2*($LP$3/1000))/($LP$2*(Sheet3!BZ43+273)))*(DP43)</f>
        <v>7.1165205530471079E-2</v>
      </c>
      <c r="DZ43" s="183">
        <f>(($LR$2*($LP$3/1000))/($LP$2*(Sheet3!CA43+273)))*(DQ43)</f>
        <v>7.3395089065102212E-2</v>
      </c>
      <c r="EA43" s="183">
        <f>(($LR$2*($LP$3/1000))/($LP$2*(Sheet3!CB43+273)))*(DR43)</f>
        <v>7.5640863202590336E-2</v>
      </c>
      <c r="EB43" s="183">
        <f>(($LR$2*($LP$3/1000))/($LP$2*(Sheet3!CC43+273)))*(DS43)</f>
        <v>7.7130882494692188E-2</v>
      </c>
      <c r="EC43" s="183">
        <f>(($LR$2*($LP$3/1000))/($LP$2*(Sheet3!CD43+273)))*(DT43)</f>
        <v>7.8493116338083743E-2</v>
      </c>
      <c r="ED43" s="183">
        <f>(($LR$2*($LP$3/1000))/($LP$2*(Sheet3!CE43+273)))*(DU43)</f>
        <v>8.0047153868261431E-2</v>
      </c>
      <c r="EE43" s="183">
        <f>(($LR$2*($LP$3/1000))/($LP$2*(Sheet3!CF43+273)))*(DV43)</f>
        <v>8.1387607386789393E-2</v>
      </c>
      <c r="EF43" s="183">
        <f>(($LR$2*($LP$3/1000))/($LP$2*(Sheet3!CG43+273)))*(DW43)</f>
        <v>8.3373161430965528E-2</v>
      </c>
      <c r="EG43" s="186">
        <f>(($LR$2*($LQ$3/1000))/($LQ$2*(Sheet3!DF43+273)))*(1-DO43)</f>
        <v>0.62377547922911536</v>
      </c>
      <c r="EH43" s="183">
        <f>(($LR$2*($LQ$3/1000))/($LQ$2*(Sheet3!BZ43+273)))*(1-DP43)</f>
        <v>0.62271500823562931</v>
      </c>
      <c r="EI43" s="183">
        <f>(($LR$2*($LQ$3/1000))/($LQ$2*(Sheet3!CA43+273)))*(1-DQ43)</f>
        <v>0.64400823986551825</v>
      </c>
      <c r="EJ43" s="183">
        <f>(($LR$2*($LQ$3/1000))/($LQ$2*(Sheet3!CB43+273)))*(1-DR43)</f>
        <v>0.66371387777456625</v>
      </c>
      <c r="EK43" s="183">
        <f>(($LR$2*($LQ$3/1000))/($LQ$2*(Sheet3!CC43+273)))*(1-DS43)</f>
        <v>0.68104591777344825</v>
      </c>
      <c r="EL43" s="183">
        <f>(($LR$2*($LQ$3/1000))/($LQ$2*(Sheet3!CD43+273)))*(1-DT43)</f>
        <v>0.69307409336392589</v>
      </c>
      <c r="EM43" s="183">
        <f>(($LR$2*($LQ$3/1000))/($LQ$2*(Sheet3!CE43+273)))*(1-DU43)</f>
        <v>0.71133830817440391</v>
      </c>
      <c r="EN43" s="183">
        <f>(($LR$2*($LQ$3/1000))/($LQ$2*(Sheet3!CF43+273)))*(1-DV43)</f>
        <v>0.72327319109104282</v>
      </c>
      <c r="EO43" s="183">
        <f>(($LR$2*($LQ$3/1000))/($LQ$2*(Sheet3!CG43+273)))*(1-DW43)</f>
        <v>0.74528254639307701</v>
      </c>
      <c r="EP43" s="186">
        <f t="shared" si="132"/>
        <v>2910.3171465277269</v>
      </c>
      <c r="EQ43" s="183">
        <f xml:space="preserve"> (($FV43-(Sheet3!B43/4000))*0.018)/(0.011*JO43*3600)</f>
        <v>2906.3318426532128</v>
      </c>
      <c r="ER43" s="183">
        <f>((($FV43-(SUM(Sheet3!B43:C43)/4000))*0.018)/(0.011*JP43*3600))</f>
        <v>2983.0515298872383</v>
      </c>
      <c r="ES43" s="183">
        <f>((($FV43-(SUM(Sheet3!B43:D43)/4000))*0.018)/(0.011*JQ43*3600))</f>
        <v>3055.2150468629829</v>
      </c>
      <c r="ET43" s="183">
        <f>((($FV43-(SUM(Sheet3!B43:E43)/4000))*0.018)/(0.011*JR43))/3600</f>
        <v>3112.5485227908375</v>
      </c>
      <c r="EU43" s="183">
        <f>((($FV43-(SUM(Sheet3!B43:F43)/4000))*0.018)/(0.011*JS43))/3600</f>
        <v>3155.6464215827637</v>
      </c>
      <c r="EV43" s="183">
        <f>((($FV43-(SUM(Sheet3!B43:G43)/4000))*0.018)/(0.011*JT43))/3600</f>
        <v>3214.7910975371951</v>
      </c>
      <c r="EW43" s="183">
        <f>((($FV43-(SUM(Sheet3!B43:H43)/4000))*0.018)/(0.011*JU43))/3600</f>
        <v>3256.6879712855439</v>
      </c>
      <c r="EX43" s="183">
        <f>((($FV43-(SUM(Sheet3!B43:I43)/4000))*0.018)/(0.011*JV43))/3600</f>
        <v>3327.8359320065942</v>
      </c>
      <c r="EY43" s="186">
        <f t="shared" si="133"/>
        <v>35.767709634359342</v>
      </c>
      <c r="EZ43" s="183">
        <f t="shared" si="134"/>
        <v>35.733742482125322</v>
      </c>
      <c r="FA43" s="183">
        <f t="shared" si="135"/>
        <v>36.382996234336396</v>
      </c>
      <c r="FB43" s="183">
        <f t="shared" si="136"/>
        <v>36.99744223444506</v>
      </c>
      <c r="FC43" s="183">
        <f t="shared" si="137"/>
        <v>37.476422656928484</v>
      </c>
      <c r="FD43" s="183">
        <f t="shared" si="138"/>
        <v>37.843646883555479</v>
      </c>
      <c r="FE43" s="183">
        <f t="shared" si="139"/>
        <v>38.337717275343508</v>
      </c>
      <c r="FF43" s="183">
        <f t="shared" si="140"/>
        <v>38.695081763505009</v>
      </c>
      <c r="FG43" s="183">
        <f t="shared" si="141"/>
        <v>39.292714995335182</v>
      </c>
      <c r="FH43" s="186">
        <f t="shared" si="185"/>
        <v>80.2416154580323</v>
      </c>
      <c r="FI43" s="183">
        <f t="shared" si="186"/>
        <v>80.306911220320217</v>
      </c>
      <c r="FJ43" s="183">
        <f t="shared" si="187"/>
        <v>78.988861632609087</v>
      </c>
      <c r="FK43" s="183">
        <f t="shared" si="188"/>
        <v>77.84572888715627</v>
      </c>
      <c r="FL43" s="183">
        <f t="shared" si="189"/>
        <v>76.819912024821861</v>
      </c>
      <c r="FM43" s="183">
        <f t="shared" si="190"/>
        <v>76.168054682891153</v>
      </c>
      <c r="FN43" s="183">
        <f t="shared" si="191"/>
        <v>75.153404373031876</v>
      </c>
      <c r="FO43" s="183">
        <f t="shared" si="192"/>
        <v>74.54344032978436</v>
      </c>
      <c r="FP43" s="183">
        <f t="shared" si="193"/>
        <v>73.409446372882044</v>
      </c>
      <c r="FQ43" s="314">
        <f>Sheet3!CV43</f>
        <v>2</v>
      </c>
      <c r="FR43" s="183">
        <v>3000</v>
      </c>
      <c r="FS43" s="183">
        <v>10</v>
      </c>
      <c r="FT43" s="183">
        <v>6.741908713692947E-2</v>
      </c>
      <c r="FU43" s="183">
        <v>25.28</v>
      </c>
      <c r="FV43" s="183">
        <v>156</v>
      </c>
      <c r="FW43" s="183">
        <v>16</v>
      </c>
      <c r="FX43" s="183">
        <v>303</v>
      </c>
      <c r="FY43" s="183">
        <v>8.02</v>
      </c>
      <c r="FZ43" s="183">
        <v>19.510000000000002</v>
      </c>
      <c r="GA43" s="183">
        <v>205</v>
      </c>
      <c r="GB43" s="186">
        <f>EXP($LP$6-($LQ$6/('Trial and Error method'!T43+$LP$8))) / ($LR$2/1000)</f>
        <v>0.11677336647572695</v>
      </c>
      <c r="GC43" s="183">
        <f>EXP($LP$6-($LQ$6/('Trial and Error method'!U43+$LP$8))) / ($LR$2/1000)</f>
        <v>9.2307020789920841E-2</v>
      </c>
      <c r="GD43" s="183">
        <f>EXP($LP$6-($LQ$6/('Trial and Error method'!V43+$LP$8))) / ($LR$2/1000)</f>
        <v>0.16690315485464108</v>
      </c>
      <c r="GE43" s="183">
        <f>EXP($LP$6-($LQ$6/('Trial and Error method'!W43+$LP$8))) / ($LR$2/1000)</f>
        <v>0.15163018964713765</v>
      </c>
      <c r="GF43" s="183">
        <f>EXP($LP$6-($LQ$6/('Trial and Error method'!X43+$LP$8))) / ($LR$2/1000)</f>
        <v>0.13796955127664365</v>
      </c>
      <c r="GG43" s="183">
        <f>EXP($LP$6-($LQ$6/('Trial and Error method'!Y43+$LP$8))) / ($LR$2/1000)</f>
        <v>0.12939324889482756</v>
      </c>
      <c r="GH43" s="183">
        <f>EXP($LP$6-($LQ$6/('Trial and Error method'!Z43+$LP$8))) / ($LR$2/1000)</f>
        <v>0.1175769379757666</v>
      </c>
      <c r="GI43" s="183">
        <f>EXP($LP$6-($LQ$6/('Trial and Error method'!AA43+$LP$8))) / ($LR$2/1000)</f>
        <v>0.10986606696590964</v>
      </c>
      <c r="GJ43" s="183">
        <f>EXP($LP$6-($LQ$6/('Trial and Error method'!AB43+$LP$8))) / ($LR$2/1000)</f>
        <v>9.8009508264508036E-2</v>
      </c>
      <c r="GK43" s="188">
        <f t="shared" si="142"/>
        <v>0.86386805740769512</v>
      </c>
      <c r="GL43" s="165">
        <f t="shared" si="143"/>
        <v>0.87586942874032314</v>
      </c>
      <c r="GM43" s="165">
        <f t="shared" si="144"/>
        <v>0.83911462455648522</v>
      </c>
      <c r="GN43" s="165">
        <f t="shared" si="145"/>
        <v>0.8467645488529808</v>
      </c>
      <c r="GO43" s="165">
        <f t="shared" si="146"/>
        <v>0.85398021031913374</v>
      </c>
      <c r="GP43" s="165">
        <f t="shared" si="147"/>
        <v>0.85823461340055107</v>
      </c>
      <c r="GQ43" s="165">
        <f t="shared" si="148"/>
        <v>0.86449585936248186</v>
      </c>
      <c r="GR43" s="165">
        <f t="shared" si="149"/>
        <v>0.8682955146893403</v>
      </c>
      <c r="GS43" s="165">
        <f t="shared" si="150"/>
        <v>0.87450188276024943</v>
      </c>
      <c r="GT43" s="188">
        <f t="shared" si="194"/>
        <v>5.2415903541751012E-2</v>
      </c>
      <c r="GU43" s="165">
        <f t="shared" si="195"/>
        <v>5.1698227339263714E-2</v>
      </c>
      <c r="GV43" s="165">
        <f t="shared" si="196"/>
        <v>5.38747589370802E-2</v>
      </c>
      <c r="GW43" s="165">
        <f t="shared" si="197"/>
        <v>5.332915114861362E-2</v>
      </c>
      <c r="GX43" s="165">
        <f t="shared" si="198"/>
        <v>5.282395797526588E-2</v>
      </c>
      <c r="GY43" s="165">
        <f t="shared" si="199"/>
        <v>5.2540575288655474E-2</v>
      </c>
      <c r="GZ43" s="165">
        <f t="shared" si="200"/>
        <v>5.2120580905996604E-2</v>
      </c>
      <c r="HA43" s="165">
        <f t="shared" si="201"/>
        <v>5.1882300684926379E-2</v>
      </c>
      <c r="HB43" s="165">
        <f t="shared" si="202"/>
        <v>5.1485774937656756E-2</v>
      </c>
      <c r="HC43" s="188">
        <f>BV43*Sheet3!DF43</f>
        <v>231.24693448801807</v>
      </c>
      <c r="HD43" s="165">
        <f>BW43*Sheet3!BZ43</f>
        <v>232.20385017412016</v>
      </c>
      <c r="HE43" s="165">
        <f>BX43*Sheet3!CA43</f>
        <v>213.7541865489238</v>
      </c>
      <c r="HF43" s="165">
        <f>BY43*Sheet3!CB43</f>
        <v>197.75686248951058</v>
      </c>
      <c r="HG43" s="165">
        <f>BZ43*Sheet3!CC43</f>
        <v>184.7274563190114</v>
      </c>
      <c r="HH43" s="165">
        <f>CA43*Sheet3!CD43</f>
        <v>175.96648296678762</v>
      </c>
      <c r="HI43" s="165">
        <f>CB43*Sheet3!CE43</f>
        <v>163.4989697245793</v>
      </c>
      <c r="HJ43" s="165">
        <f>CC43*Sheet3!CF43</f>
        <v>155.58618263092788</v>
      </c>
      <c r="HK43" s="165">
        <f>CD43*Sheet3!CG43</f>
        <v>141.92018475999748</v>
      </c>
      <c r="HL43" s="188">
        <f>(CE43*Sheet3!DF43)+2501</f>
        <v>2899.0054276934375</v>
      </c>
      <c r="HM43" s="165">
        <f>(CF43*Sheet3!BZ43)+2501</f>
        <v>2900.6842550309848</v>
      </c>
      <c r="HN43" s="165">
        <f>(CG43*Sheet3!CA43)+2501</f>
        <v>2868.6817318483786</v>
      </c>
      <c r="HO43" s="165">
        <f>(CH43*Sheet3!CB43)+2501</f>
        <v>2840.7837078469033</v>
      </c>
      <c r="HP43" s="165">
        <f>(CI43*Sheet3!CC43)+2501</f>
        <v>2818.612018871645</v>
      </c>
      <c r="HQ43" s="165">
        <f>(CJ43*Sheet3!CD43)+2501</f>
        <v>2803.3820222126978</v>
      </c>
      <c r="HR43" s="165">
        <f>(CK43*Sheet3!CE43)+2501</f>
        <v>2782.1866167732401</v>
      </c>
      <c r="HS43" s="165">
        <f>(CL43*Sheet3!CF43)+2501</f>
        <v>2768.4632222139589</v>
      </c>
      <c r="HT43" s="165">
        <f>(CM43*Sheet3!CG43)+2501</f>
        <v>2745.1448834553544</v>
      </c>
      <c r="HU43" s="188">
        <f>-0.0021*(Sheet3!DF43^2) - 2.2115*(Sheet3!DF43) + 2499</f>
        <v>1957.3899999999999</v>
      </c>
      <c r="HV43" s="165">
        <f>-0.0021*(Sheet3!BZ43^2) - 2.2115*(Sheet3!BZ43) + 2499</f>
        <v>1954.8803755231195</v>
      </c>
      <c r="HW43" s="165">
        <f>-0.0021*(Sheet3!CA43^2) - 2.2115*(Sheet3!CA43) + 2499</f>
        <v>2002.4518671853298</v>
      </c>
      <c r="HX43" s="165">
        <f>-0.0021*(Sheet3!CB43^2) - 2.2115*(Sheet3!CB43) + 2499</f>
        <v>2043.451704999469</v>
      </c>
      <c r="HY43" s="165">
        <f>-0.0021*(Sheet3!CC43^2) - 2.2115*(Sheet3!CC43) + 2499</f>
        <v>2075.713785224943</v>
      </c>
      <c r="HZ43" s="165">
        <f>-0.0021*(Sheet3!CD43^2) - 2.2115*(Sheet3!CD43) + 2499</f>
        <v>2097.7049878703051</v>
      </c>
      <c r="IA43" s="165">
        <f>-0.0021*(Sheet3!CE43^2) - 2.2115*(Sheet3!CE43) + 2499</f>
        <v>2128.0729223215872</v>
      </c>
      <c r="IB43" s="165">
        <f>-0.0021*(Sheet3!CF43^2) - 2.2115*(Sheet3!CF43) + 2499</f>
        <v>2147.5843280023673</v>
      </c>
      <c r="IC43" s="165">
        <f>-0.0021*(Sheet3!CG43^2) - 2.2115*(Sheet3!CG43) + 2499</f>
        <v>2180.4565611797389</v>
      </c>
      <c r="ID43" s="188">
        <f t="shared" si="203"/>
        <v>0.68061683218730762</v>
      </c>
      <c r="IE43" s="165">
        <f t="shared" si="204"/>
        <v>0.68045271751624026</v>
      </c>
      <c r="IF43" s="165">
        <f t="shared" si="205"/>
        <v>0.68346745133320319</v>
      </c>
      <c r="IG43" s="165">
        <f t="shared" si="206"/>
        <v>0.68668012772475795</v>
      </c>
      <c r="IH43" s="165">
        <f t="shared" si="207"/>
        <v>0.68887786042136623</v>
      </c>
      <c r="II43" s="165">
        <f t="shared" si="208"/>
        <v>0.69096229426177225</v>
      </c>
      <c r="IJ43" s="165">
        <f t="shared" si="209"/>
        <v>0.69340917089280507</v>
      </c>
      <c r="IK43" s="165">
        <f t="shared" si="210"/>
        <v>0.69557145317450508</v>
      </c>
      <c r="IL43" s="165">
        <f t="shared" si="211"/>
        <v>0.69888595564342615</v>
      </c>
      <c r="IM43" s="188">
        <f t="shared" si="212"/>
        <v>3.9430805394957971</v>
      </c>
      <c r="IN43" s="165">
        <f t="shared" si="151"/>
        <v>6.3563547349724869</v>
      </c>
      <c r="IO43" s="165">
        <f t="shared" si="152"/>
        <v>-1.3015342987175291</v>
      </c>
      <c r="IP43" s="165">
        <f t="shared" si="153"/>
        <v>0.34964768338026236</v>
      </c>
      <c r="IQ43" s="165">
        <f t="shared" si="154"/>
        <v>1.7598630907091846</v>
      </c>
      <c r="IR43" s="165">
        <f t="shared" si="155"/>
        <v>2.7142008773342532</v>
      </c>
      <c r="IS43" s="165">
        <f t="shared" si="156"/>
        <v>3.9497263151495288</v>
      </c>
      <c r="IT43" s="165">
        <f t="shared" si="157"/>
        <v>4.8264161132143171</v>
      </c>
      <c r="IU43" s="165">
        <f t="shared" si="158"/>
        <v>6.1085365500701663</v>
      </c>
      <c r="IV43" s="188">
        <f>_xlfn.FORECAST.LINEAR(Sheet3!DF43,Sheet2!$AK$2:$AK$69,Sheet2!$AJ$2:$AJ$69)</f>
        <v>1.5962912137298422E-5</v>
      </c>
      <c r="IW43" s="165">
        <f>_xlfn.FORECAST.LINEAR(Sheet3!BZ43,Sheet2!$AK$2:$AK$69,Sheet2!$AJ$2:$AJ$69)</f>
        <v>1.5991494319607074E-5</v>
      </c>
      <c r="IX43" s="165">
        <f>_xlfn.FORECAST.LINEAR(Sheet3!CA43,Sheet2!$AK$2:$AK$69,Sheet2!$AJ$2:$AJ$69)</f>
        <v>1.5444161745377623E-5</v>
      </c>
      <c r="IY43" s="165">
        <f>_xlfn.FORECAST.LINEAR(Sheet3!CB43,Sheet2!$AK$2:$AK$69,Sheet2!$AJ$2:$AJ$69)</f>
        <v>1.496267568211311E-5</v>
      </c>
      <c r="IZ43" s="165">
        <f>_xlfn.FORECAST.LINEAR(Sheet3!CC43,Sheet2!$AK$2:$AK$69,Sheet2!$AJ$2:$AJ$69)</f>
        <v>1.4577076102195888E-5</v>
      </c>
      <c r="JA43" s="165">
        <f>_xlfn.FORECAST.LINEAR(Sheet3!CD43,Sheet2!$AK$2:$AK$69,Sheet2!$AJ$2:$AJ$69)</f>
        <v>1.431067877784484E-5</v>
      </c>
      <c r="JB43" s="165">
        <f>_xlfn.FORECAST.LINEAR(Sheet3!CE43,Sheet2!$AK$2:$AK$69,Sheet2!$AJ$2:$AJ$69)</f>
        <v>1.3937861897392794E-5</v>
      </c>
      <c r="JC43" s="165">
        <f>_xlfn.FORECAST.LINEAR(Sheet3!CF43,Sheet2!$AK$2:$AK$69,Sheet2!$AJ$2:$AJ$69)</f>
        <v>1.3695185662717188E-5</v>
      </c>
      <c r="JD43" s="165">
        <f>_xlfn.FORECAST.LINEAR(Sheet3!CG43,Sheet2!$AK$2:$AK$69,Sheet2!$AJ$2:$AJ$69)</f>
        <v>1.328052437325354E-5</v>
      </c>
      <c r="JE43" s="188">
        <f>_xlfn.FORECAST.LINEAR(Sheet3!DF43,New!$MC$2:$MC$18,New!$MB$2:$MB$18)</f>
        <v>2.5847452754227255E-5</v>
      </c>
      <c r="JF43" s="165">
        <f>_xlfn.FORECAST.LINEAR(Sheet3!BZ43,New!$MC$2:$MC$18,New!$MB$2:$MB$18)</f>
        <v>2.5881051799411309E-5</v>
      </c>
      <c r="JG43" s="165">
        <f>_xlfn.FORECAST.LINEAR(Sheet3!CA43,New!$MC$2:$MC$18,New!$MB$2:$MB$18)</f>
        <v>2.5237649147589516E-5</v>
      </c>
      <c r="JH43" s="165">
        <f>_xlfn.FORECAST.LINEAR(Sheet3!CB43,New!$MC$2:$MC$18,New!$MB$2:$MB$18)</f>
        <v>2.467165065872604E-5</v>
      </c>
      <c r="JI43" s="165">
        <f>_xlfn.FORECAST.LINEAR(Sheet3!CC43,New!$MC$2:$MC$18,New!$MB$2:$MB$18)</f>
        <v>2.4218369045422854E-5</v>
      </c>
      <c r="JJ43" s="165">
        <f>_xlfn.FORECAST.LINEAR(Sheet3!CD43,New!$MC$2:$MC$18,New!$MB$2:$MB$18)</f>
        <v>2.3905212560689603E-5</v>
      </c>
      <c r="JK43" s="165">
        <f>_xlfn.FORECAST.LINEAR(Sheet3!CE43,New!$MC$2:$MC$18,New!$MB$2:$MB$18)</f>
        <v>2.3466957319140215E-5</v>
      </c>
      <c r="JL43" s="165">
        <f>_xlfn.FORECAST.LINEAR(Sheet3!CF43,New!$MC$2:$MC$18,New!$MB$2:$MB$18)</f>
        <v>2.3181685547869832E-5</v>
      </c>
      <c r="JM43" s="165">
        <f>_xlfn.FORECAST.LINEAR(Sheet3!CG43,New!$MC$2:$MC$18,New!$MB$2:$MB$18)</f>
        <v>2.269424119354037E-5</v>
      </c>
      <c r="JN43" s="188">
        <f t="shared" si="159"/>
        <v>2.4364729800562084E-5</v>
      </c>
      <c r="JO43" s="165">
        <f t="shared" si="160"/>
        <v>2.4398061706412162E-5</v>
      </c>
      <c r="JP43" s="165">
        <f t="shared" si="161"/>
        <v>2.3763836893115839E-5</v>
      </c>
      <c r="JQ43" s="165">
        <f t="shared" si="162"/>
        <v>2.3202540218171147E-5</v>
      </c>
      <c r="JR43" s="165">
        <f t="shared" si="163"/>
        <v>2.276057981817036E-5</v>
      </c>
      <c r="JS43" s="165">
        <f t="shared" si="164"/>
        <v>2.2449729667551438E-5</v>
      </c>
      <c r="JT43" s="165">
        <f t="shared" si="165"/>
        <v>2.2022390947229268E-5</v>
      </c>
      <c r="JU43" s="165">
        <f t="shared" si="166"/>
        <v>2.1739005921086951E-5</v>
      </c>
      <c r="JV43" s="165">
        <f t="shared" si="167"/>
        <v>2.1261633301153701E-5</v>
      </c>
      <c r="JW43" s="188">
        <f t="shared" si="231"/>
        <v>0.99342087640971777</v>
      </c>
      <c r="JX43" s="165">
        <f t="shared" si="232"/>
        <v>0.99316273482908601</v>
      </c>
      <c r="JY43" s="165">
        <f t="shared" si="233"/>
        <v>0.99826654282629779</v>
      </c>
      <c r="JZ43" s="165">
        <f t="shared" si="234"/>
        <v>1.0030545928751757</v>
      </c>
      <c r="KA43" s="165">
        <f t="shared" si="235"/>
        <v>1.007109358102328</v>
      </c>
      <c r="KB43" s="165">
        <f t="shared" si="236"/>
        <v>1.0100338491775649</v>
      </c>
      <c r="KC43" s="165">
        <f t="shared" si="237"/>
        <v>1.0143076737086387</v>
      </c>
      <c r="KD43" s="165">
        <f t="shared" si="238"/>
        <v>1.0172101823405464</v>
      </c>
      <c r="KE43" s="165">
        <f t="shared" si="239"/>
        <v>1.0224062356063675</v>
      </c>
      <c r="KF43" s="188">
        <f t="shared" si="75"/>
        <v>0.98626119619886909</v>
      </c>
      <c r="KG43" s="165">
        <f t="shared" si="240"/>
        <v>0.98648805960746155</v>
      </c>
      <c r="KH43" s="165">
        <f t="shared" si="241"/>
        <v>0.98203337932125201</v>
      </c>
      <c r="KI43" s="165">
        <f t="shared" si="242"/>
        <v>0.97791232016838536</v>
      </c>
      <c r="KJ43" s="165">
        <f t="shared" si="243"/>
        <v>0.9744654616017917</v>
      </c>
      <c r="KK43" s="165">
        <f t="shared" si="244"/>
        <v>0.97200353273264184</v>
      </c>
      <c r="KL43" s="165">
        <f t="shared" si="245"/>
        <v>0.96844146445020818</v>
      </c>
      <c r="KM43" s="165">
        <f t="shared" si="246"/>
        <v>0.96604621597842788</v>
      </c>
      <c r="KN43" s="165">
        <f t="shared" si="247"/>
        <v>0.96180568029839852</v>
      </c>
      <c r="KO43" s="188">
        <f t="shared" si="213"/>
        <v>0.6575167500129927</v>
      </c>
      <c r="KP43" s="165">
        <f t="shared" si="214"/>
        <v>0.65799719506559606</v>
      </c>
      <c r="KQ43" s="165">
        <f t="shared" si="215"/>
        <v>0.64997773245461821</v>
      </c>
      <c r="KR43" s="165">
        <f t="shared" si="216"/>
        <v>0.64259510217265381</v>
      </c>
      <c r="KS43" s="165">
        <f t="shared" si="217"/>
        <v>0.63645506691940124</v>
      </c>
      <c r="KT43" s="165">
        <f t="shared" si="218"/>
        <v>0.63208066038559796</v>
      </c>
      <c r="KU43" s="165">
        <f t="shared" si="219"/>
        <v>0.62578888522929199</v>
      </c>
      <c r="KV43" s="165">
        <f t="shared" si="220"/>
        <v>0.62156554035314671</v>
      </c>
      <c r="KW43" s="165">
        <f t="shared" si="221"/>
        <v>0.61423228181794254</v>
      </c>
      <c r="KX43" s="188">
        <f>AVERAGE(Sheet3!J43:P43)*KO43^(1/3)/ID43^(1/3)</f>
        <v>54.052849198040327</v>
      </c>
      <c r="KY43" s="165">
        <f>Sheet3!J43*KP43^(1/3)/IE43^(1/3)</f>
        <v>46.710090917288078</v>
      </c>
      <c r="KZ43" s="165">
        <f>Sheet3!K43*KQ43^(1/3)/IF43^(1/3)</f>
        <v>46.863846942181652</v>
      </c>
      <c r="LA43" s="165">
        <f>Sheet3!L43*KR43^(1/3)/IG43^(1/3)</f>
        <v>47.846362608991214</v>
      </c>
      <c r="LB43" s="165">
        <f>Sheet3!M43*KS43^(1/3)/IH43^(1/3)</f>
        <v>49.44002626380675</v>
      </c>
      <c r="LC43" s="165">
        <f>Sheet3!N43*KT43^(1/3)/II43^(1/3)</f>
        <v>53.531774538438391</v>
      </c>
      <c r="LD43" s="165">
        <f>Sheet3!O43*KU43^(1/3)/IJ43^(1/3)</f>
        <v>59.353623346230059</v>
      </c>
      <c r="LE43" s="165">
        <f>Sheet3!P43*KV43^(1/3)/IK43^(1/3)</f>
        <v>68.981602389088977</v>
      </c>
      <c r="LF43" s="165">
        <f>Sheet3!Q43*KW43^(1/3)/IL43^(1/3)</f>
        <v>80.137176525352814</v>
      </c>
      <c r="LG43" s="186">
        <f t="shared" si="248"/>
        <v>27.261275113382865</v>
      </c>
      <c r="LH43" s="183">
        <f t="shared" si="249"/>
        <v>27.263100016920632</v>
      </c>
      <c r="LI43" s="183">
        <f t="shared" si="250"/>
        <v>27.425776395254072</v>
      </c>
      <c r="LJ43" s="183">
        <f t="shared" si="251"/>
        <v>27.425776395254072</v>
      </c>
      <c r="LK43" s="183">
        <f t="shared" si="252"/>
        <v>27.801187639396044</v>
      </c>
      <c r="LL43" s="183">
        <f t="shared" si="253"/>
        <v>27.801187639396044</v>
      </c>
      <c r="LM43" s="183">
        <f t="shared" si="254"/>
        <v>28.195059539173954</v>
      </c>
      <c r="LN43" s="183">
        <f t="shared" si="255"/>
        <v>28.197037666014694</v>
      </c>
      <c r="LO43" s="183">
        <f t="shared" si="256"/>
        <v>28.567742726212224</v>
      </c>
      <c r="LP43" s="220"/>
      <c r="LQ43" s="220"/>
      <c r="LR43" s="220"/>
      <c r="LS43" s="220"/>
      <c r="LT43" s="220"/>
      <c r="LU43" s="220"/>
      <c r="LV43" s="220"/>
      <c r="LW43" s="220"/>
      <c r="LX43" s="220"/>
      <c r="LY43" s="220"/>
      <c r="LZ43" s="222">
        <v>167.76</v>
      </c>
      <c r="MA43" s="220">
        <v>1.5E-5</v>
      </c>
      <c r="MB43" s="220"/>
      <c r="MC43" s="220"/>
      <c r="MD43" s="188">
        <f>Sheet3!DP43</f>
        <v>102.66976453335688</v>
      </c>
      <c r="MF43" s="165"/>
      <c r="MP43"/>
      <c r="MQ43"/>
      <c r="MR43"/>
      <c r="MS43"/>
    </row>
    <row r="44" spans="1:357" x14ac:dyDescent="0.3">
      <c r="A44" s="184" t="str">
        <f>Sheet3!A44</f>
        <v>05.01.2023</v>
      </c>
      <c r="B44" s="186">
        <f t="shared" si="102"/>
        <v>1.0055728330890521</v>
      </c>
      <c r="C44" s="183">
        <f t="shared" si="168"/>
        <v>1.0053783968884211</v>
      </c>
      <c r="D44" s="183">
        <f t="shared" si="169"/>
        <v>0.98815425059767337</v>
      </c>
      <c r="E44" s="183">
        <f t="shared" si="170"/>
        <v>0.97434413826666932</v>
      </c>
      <c r="F44" s="183">
        <f t="shared" si="171"/>
        <v>0.95748899033444035</v>
      </c>
      <c r="G44" s="183">
        <f t="shared" si="172"/>
        <v>0.94768888597309742</v>
      </c>
      <c r="H44" s="183">
        <f t="shared" si="173"/>
        <v>0.93561121453828511</v>
      </c>
      <c r="I44" s="183">
        <f t="shared" si="174"/>
        <v>0.92412136623607855</v>
      </c>
      <c r="J44" s="183">
        <f t="shared" si="175"/>
        <v>0.90969209919710703</v>
      </c>
      <c r="K44" s="186">
        <f xml:space="preserve"> (6.057 * (10^(-6)))
+ (4.055 * (10^(-8)) * (Sheet3!DF44 + 273))
+ (1.25 * (10^(-10)) * (Sheet3!DF44 + 273)^2)
- (3.367 * (10^(-14)) * (DD44 + 273)^3)</f>
        <v>5.3312536857255137E-5</v>
      </c>
      <c r="L44" s="183">
        <f xml:space="preserve"> (6.057 * (10^(-6)))
+ (4.055 * (10^(-8)) * (Sheet3!BZ44 + 273))
+ (1.25 * (10^(-10)) * (Sheet3!BZ44 + 273)^2)
- (3.367 * (10^(-14)) * (BX44 + 273)^3)</f>
        <v>5.3273161983952561E-5</v>
      </c>
      <c r="M44" s="183">
        <f xml:space="preserve"> (6.057 * (10^(-6)))
+ (4.055 * (10^(-8)) * (Sheet3!CA44 + 273))
+ (1.25 * (10^(-10)) * (Sheet3!CA44 + 273)^2)
- (3.367 * (10^(-14)) * (BY44 + 273)^3)</f>
        <v>5.1415733118489752E-5</v>
      </c>
      <c r="N44" s="183">
        <f xml:space="preserve"> (6.057 * (10^(-6)))
+ (4.055 * (10^(-8)) * (Sheet3!CB44 + 273))
+ (1.25 * (10^(-10)) * (Sheet3!CB44 + 273)^2)
- (3.367 * (10^(-14)) * (BZ44 + 273)^3)</f>
        <v>5.0079772282439062E-5</v>
      </c>
      <c r="O44" s="183">
        <f xml:space="preserve"> (6.057 * (10^(-6)))
+ (4.055 * (10^(-8)) * (Sheet3!CC44 + 273))
+ (1.25 * (10^(-10)) * (Sheet3!CC44 + 273)^2)
- (3.367 * (10^(-14)) * (CA44 + 273)^3)</f>
        <v>4.8406253320351326E-5</v>
      </c>
      <c r="P44" s="183">
        <f xml:space="preserve"> (6.057 * (10^(-6)))
+ (4.055 * (10^(-8)) * (Sheet3!CD44 + 273))
+ (1.25 * (10^(-10)) * (Sheet3!CD44 + 273)^2)
- (3.367 * (10^(-14)) * (CB44 + 273)^3)</f>
        <v>4.7542140854178093E-5</v>
      </c>
      <c r="Q44" s="183">
        <f xml:space="preserve"> (6.057 * (10^(-6)))
+ (4.055 * (10^(-8)) * (Sheet3!CE44 + 273))
+ (1.25 * (10^(-10)) * (Sheet3!CE44 + 273)^2)
- (3.367 * (10^(-14)) * (CC44 + 273)^3)</f>
        <v>4.6393133666401123E-5</v>
      </c>
      <c r="R44" s="183">
        <f xml:space="preserve"> (6.057 * (10^(-6)))
+ (4.055 * (10^(-8)) * (Sheet3!CF44 + 273))
+ (1.25 * (10^(-10)) * (Sheet3!CF44 + 273)^2)
- (3.367 * (10^(-14)) * (CD44 + 273)^3)</f>
        <v>4.5449769487507246E-5</v>
      </c>
      <c r="S44" s="183">
        <f xml:space="preserve"> (6.057 * (10^(-6)))
+ (4.055 * (10^(-8)) * (Sheet3!CG44 + 273))
+ (1.25 * (10^(-10)) * (Sheet3!CG44 + 273)^2)
- (3.367 * (10^(-14)) * (CE44 + 273)^3)</f>
        <v>4.4188155944689783E-5</v>
      </c>
      <c r="T44" s="188">
        <f t="shared" si="104"/>
        <v>5.3312536857255137E-5</v>
      </c>
      <c r="U44" s="165">
        <f t="shared" si="105"/>
        <v>5.3273161983952561E-5</v>
      </c>
      <c r="V44" s="165">
        <f t="shared" si="106"/>
        <v>5.1415733118489752E-5</v>
      </c>
      <c r="W44" s="165">
        <f t="shared" si="107"/>
        <v>5.0079772282439062E-5</v>
      </c>
      <c r="X44" s="165">
        <f t="shared" si="108"/>
        <v>4.8406253320351326E-5</v>
      </c>
      <c r="Y44" s="165">
        <f t="shared" si="109"/>
        <v>4.7542140854178093E-5</v>
      </c>
      <c r="Z44" s="165">
        <f t="shared" si="110"/>
        <v>4.6393133666401123E-5</v>
      </c>
      <c r="AA44" s="165">
        <f t="shared" si="111"/>
        <v>4.5449769487507246E-5</v>
      </c>
      <c r="AB44" s="165">
        <f t="shared" si="112"/>
        <v>4.4188155944689783E-5</v>
      </c>
      <c r="AC44" s="186">
        <f t="shared" si="176"/>
        <v>5.3609638726714553E-5</v>
      </c>
      <c r="AD44" s="183">
        <f t="shared" si="177"/>
        <v>5.355968619260341E-5</v>
      </c>
      <c r="AE44" s="183">
        <f t="shared" si="178"/>
        <v>5.0806675228631215E-5</v>
      </c>
      <c r="AF44" s="183">
        <f t="shared" si="179"/>
        <v>4.8794932569124117E-5</v>
      </c>
      <c r="AG44" s="183">
        <f t="shared" si="180"/>
        <v>4.6348454617576343E-5</v>
      </c>
      <c r="AH44" s="183">
        <f t="shared" si="181"/>
        <v>4.5055158502872118E-5</v>
      </c>
      <c r="AI44" s="183">
        <f t="shared" si="182"/>
        <v>4.3405936135858558E-5</v>
      </c>
      <c r="AJ44" s="183">
        <f t="shared" si="183"/>
        <v>4.200110307391003E-5</v>
      </c>
      <c r="AK44" s="183">
        <f t="shared" si="184"/>
        <v>4.0197616340973973E-5</v>
      </c>
      <c r="AL44" s="186">
        <f t="shared" si="113"/>
        <v>4.2931521784307272E-2</v>
      </c>
      <c r="AM44" s="183">
        <f t="shared" si="114"/>
        <v>4.2908136401012736E-2</v>
      </c>
      <c r="AN44" s="183">
        <f t="shared" si="115"/>
        <v>4.1570929135802709E-2</v>
      </c>
      <c r="AO44" s="183">
        <f t="shared" si="116"/>
        <v>4.0598032388148568E-2</v>
      </c>
      <c r="AP44" s="183">
        <f t="shared" si="117"/>
        <v>3.9349896648726353E-2</v>
      </c>
      <c r="AQ44" s="183">
        <f t="shared" si="118"/>
        <v>3.8700208483859765E-2</v>
      </c>
      <c r="AR44" s="183">
        <f t="shared" si="119"/>
        <v>3.7818874537958833E-2</v>
      </c>
      <c r="AS44" s="183">
        <f t="shared" si="120"/>
        <v>3.7091793067391264E-2</v>
      </c>
      <c r="AT44" s="183">
        <f t="shared" si="121"/>
        <v>3.6105251152809437E-2</v>
      </c>
      <c r="AU44" s="186">
        <f>_xlfn.FORECAST.LINEAR(Sheet3!DF44,Sheet2!$AH$2:$AH$40,Sheet2!$AG$2:$AG$40)</f>
        <v>5.615110757455756E-2</v>
      </c>
      <c r="AV44" s="183">
        <f>_xlfn.FORECAST.LINEAR(Sheet3!BZ44,Sheet2!$AH$2:$AH$40,Sheet2!$AG$2:$AG$40)</f>
        <v>5.6098677689278786E-2</v>
      </c>
      <c r="AW44" s="183">
        <f>_xlfn.FORECAST.LINEAR(Sheet3!CA44,Sheet2!$AH$2:$AH$40,Sheet2!$AG$2:$AG$40)</f>
        <v>5.3121014776164571E-2</v>
      </c>
      <c r="AX44" s="183">
        <f>_xlfn.FORECAST.LINEAR(Sheet3!CB44,Sheet2!$AH$2:$AH$40,Sheet2!$AG$2:$AG$40)</f>
        <v>5.0944476524132747E-2</v>
      </c>
      <c r="AY44" s="183">
        <f>_xlfn.FORECAST.LINEAR(Sheet3!CC44,Sheet2!$AH$2:$AH$40,Sheet2!$AG$2:$AG$40)</f>
        <v>4.8174859417861912E-2</v>
      </c>
      <c r="AZ44" s="183">
        <f>_xlfn.FORECAST.LINEAR(Sheet3!CD44,Sheet2!$AH$2:$AH$40,Sheet2!$AG$2:$AG$40)</f>
        <v>4.6725147171874072E-2</v>
      </c>
      <c r="BA44" s="183">
        <f>_xlfn.FORECAST.LINEAR(Sheet3!CE44,Sheet2!$AH$2:$AH$40,Sheet2!$AG$2:$AG$40)</f>
        <v>4.4776013502827873E-2</v>
      </c>
      <c r="BB44" s="183">
        <f>_xlfn.FORECAST.LINEAR(Sheet3!CF44,Sheet2!$AH$2:$AH$40,Sheet2!$AG$2:$AG$40)</f>
        <v>4.3156715718803369E-2</v>
      </c>
      <c r="BC44" s="183">
        <f>_xlfn.FORECAST.LINEAR(Sheet3!CG44,Sheet2!$AH$2:$AH$40,Sheet2!$AG$2:$AG$40)</f>
        <v>4.0973423871599891E-2</v>
      </c>
      <c r="BD44" s="186">
        <f>_xlfn.FORECAST.LINEAR(Sheet3!DF44,Sheet2!$AB$12:$AB$37,Sheet2!$AA$12:$AA$37)/1000</f>
        <v>3.7324862686859299E-2</v>
      </c>
      <c r="BE44" s="183">
        <f>_xlfn.FORECAST.LINEAR(Sheet3!BZ44,Sheet2!$AB$12:$AB$37,Sheet2!$AA$12:$AA$37)/1000</f>
        <v>3.7313140578080849E-2</v>
      </c>
      <c r="BF44" s="183">
        <f>_xlfn.FORECAST.LINEAR(Sheet3!CA44,Sheet2!$AB$12:$AB$37,Sheet2!$AA$12:$AA$37)/1000</f>
        <v>3.6647404073271141E-2</v>
      </c>
      <c r="BG44" s="183">
        <f>_xlfn.FORECAST.LINEAR(Sheet3!CB44,Sheet2!$AB$12:$AB$37,Sheet2!$AA$12:$AA$37)/1000</f>
        <v>3.6160780499423811E-2</v>
      </c>
      <c r="BH44" s="183">
        <f>_xlfn.FORECAST.LINEAR(Sheet3!CC44,Sheet2!$AB$12:$AB$37,Sheet2!$AA$12:$AA$37)/1000</f>
        <v>3.5541558221485858E-2</v>
      </c>
      <c r="BI44" s="183">
        <f>_xlfn.FORECAST.LINEAR(Sheet3!CD44,Sheet2!$AB$12:$AB$37,Sheet2!$AA$12:$AA$37)/1000</f>
        <v>3.5217436119090333E-2</v>
      </c>
      <c r="BJ44" s="183">
        <f>_xlfn.FORECAST.LINEAR(Sheet3!CE44,Sheet2!$AB$12:$AB$37,Sheet2!$AA$12:$AA$37)/1000</f>
        <v>3.4781654946371671E-2</v>
      </c>
      <c r="BK44" s="183">
        <f>_xlfn.FORECAST.LINEAR(Sheet3!CF44,Sheet2!$AB$12:$AB$37,Sheet2!$AA$12:$AA$37)/1000</f>
        <v>3.4419617442987813E-2</v>
      </c>
      <c r="BL44" s="183">
        <f>_xlfn.FORECAST.LINEAR(Sheet3!CG44,Sheet2!$AB$12:$AB$37,Sheet2!$AA$12:$AA$37)/1000</f>
        <v>3.3931483921582392E-2</v>
      </c>
      <c r="BM44" s="186">
        <f t="shared" si="122"/>
        <v>0.65837625584019954</v>
      </c>
      <c r="BN44" s="183">
        <f t="shared" si="123"/>
        <v>0.65866052592187818</v>
      </c>
      <c r="BO44" s="183">
        <f t="shared" si="124"/>
        <v>0.67534785416322762</v>
      </c>
      <c r="BP44" s="183">
        <f t="shared" si="125"/>
        <v>0.68798964963204057</v>
      </c>
      <c r="BQ44" s="183">
        <f t="shared" si="126"/>
        <v>0.70495496551289849</v>
      </c>
      <c r="BR44" s="183">
        <f t="shared" si="127"/>
        <v>0.71407529797266622</v>
      </c>
      <c r="BS44" s="183">
        <f t="shared" si="128"/>
        <v>0.72691074008772949</v>
      </c>
      <c r="BT44" s="183">
        <f t="shared" si="129"/>
        <v>0.73776075964524623</v>
      </c>
      <c r="BU44" s="183">
        <f t="shared" si="130"/>
        <v>0.75310686535929694</v>
      </c>
      <c r="BV44" s="186">
        <f t="shared" si="222"/>
        <v>1.2163519137646308</v>
      </c>
      <c r="BW44" s="183">
        <f t="shared" si="223"/>
        <v>1.2162979986615248</v>
      </c>
      <c r="BX44" s="183">
        <f t="shared" si="224"/>
        <v>1.2115502493543662</v>
      </c>
      <c r="BY44" s="183">
        <f t="shared" si="225"/>
        <v>1.2093398360972618</v>
      </c>
      <c r="BZ44" s="183">
        <f t="shared" si="226"/>
        <v>1.2043340462315844</v>
      </c>
      <c r="CA44" s="183">
        <f t="shared" si="227"/>
        <v>1.2028868383896123</v>
      </c>
      <c r="CB44" s="183">
        <f t="shared" si="228"/>
        <v>1.1986113552226232</v>
      </c>
      <c r="CC44" s="183">
        <f t="shared" si="229"/>
        <v>1.1970204768974946</v>
      </c>
      <c r="CD44" s="183">
        <f t="shared" si="230"/>
        <v>1.1926512367086259</v>
      </c>
      <c r="CE44" s="187">
        <f xml:space="preserve"> -0.0000000019505*Sheet3!DF44^3 + 0.0000015497*Sheet3!DF44^2  + 0.00016911*Sheet3!DF44 + 1.8585</f>
        <v>1.9414898911875</v>
      </c>
      <c r="CF44" s="185">
        <f xml:space="preserve"> -0.0000000019505*Sheet3!BZ44^3 + 0.0000015497*Sheet3!BZ44^2  + 0.00016911*Sheet3!BZ44 + 1.8585</f>
        <v>1.9413746720055993</v>
      </c>
      <c r="CG44" s="185">
        <f xml:space="preserve"> -0.0000000019505*Sheet3!CA44^3 + 0.0000015497*Sheet3!CA44^2  + 0.00016911*Sheet3!CA44 + 1.8585</f>
        <v>1.9348832181893332</v>
      </c>
      <c r="CH44" s="185">
        <f xml:space="preserve"> -0.0000000019505*Sheet3!CB44^3 + 0.0000015497*Sheet3!CB44^2  + 0.00016911*Sheet3!CB44 + 1.8585</f>
        <v>1.9302101203802473</v>
      </c>
      <c r="CI44" s="185">
        <f xml:space="preserve"> -0.0000000019505*Sheet3!CC44^3 + 0.0000015497*Sheet3!CC44^2  + 0.00016911*Sheet3!CC44 + 1.8585</f>
        <v>1.9243643163484809</v>
      </c>
      <c r="CJ44" s="185">
        <f xml:space="preserve"> -0.0000000019505*Sheet3!CD44^3 + 0.0000015497*Sheet3!CD44^2  + 0.00016911*Sheet3!CD44 + 1.8585</f>
        <v>1.9213540147182715</v>
      </c>
      <c r="CK44" s="185">
        <f xml:space="preserve"> -0.0000000019505*Sheet3!CE44^3 + 0.0000015497*Sheet3!CE44^2  + 0.00016911*Sheet3!CE44 + 1.8585</f>
        <v>1.9173652396215388</v>
      </c>
      <c r="CL44" s="185">
        <f xml:space="preserve"> -0.0000000019505*Sheet3!CF44^3 + 0.0000015497*Sheet3!CF44^2  + 0.00016911*Sheet3!CF44 + 1.8585</f>
        <v>1.9141059808549186</v>
      </c>
      <c r="CM44" s="185">
        <f xml:space="preserve"> -0.0000000019505*Sheet3!CG44^3 + 0.0000015497*Sheet3!CG44^2  + 0.00016911*Sheet3!CG44 + 1.8585</f>
        <v>1.9097955562323727</v>
      </c>
      <c r="CN44" s="186">
        <f>_xlfn.FORECAST.LINEAR(Sheet3!DF44,New!$LU$2:$LU$14,New!$LT$2:$LT$14)</f>
        <v>1.0350674194089138</v>
      </c>
      <c r="CO44" s="183">
        <f>_xlfn.FORECAST.LINEAR(Sheet3!BZ44,New!$LU$2:$LU$14,New!$LT$2:$LT$14)</f>
        <v>1.0350288303255064</v>
      </c>
      <c r="CP44" s="183">
        <f>_xlfn.FORECAST.LINEAR(Sheet3!CA44,New!$LU$2:$LU$14,New!$LT$2:$LT$14)</f>
        <v>1.0328372313566643</v>
      </c>
      <c r="CQ44" s="183">
        <f>_xlfn.FORECAST.LINEAR(Sheet3!CB44,New!$LU$2:$LU$14,New!$LT$2:$LT$14)</f>
        <v>1.0312352706485566</v>
      </c>
      <c r="CR44" s="183">
        <f>_xlfn.FORECAST.LINEAR(Sheet3!CC44,New!$LU$2:$LU$14,New!$LT$2:$LT$14)</f>
        <v>1.0291967961229622</v>
      </c>
      <c r="CS44" s="183">
        <f>_xlfn.FORECAST.LINEAR(Sheet3!CD44,New!$LU$2:$LU$14,New!$LT$2:$LT$14)</f>
        <v>1.0281297888907359</v>
      </c>
      <c r="CT44" s="183">
        <f>_xlfn.FORECAST.LINEAR(Sheet3!CE44,New!$LU$2:$LU$14,New!$LT$2:$LT$14)</f>
        <v>1.0266952009390897</v>
      </c>
      <c r="CU44" s="183">
        <f>_xlfn.FORECAST.LINEAR(Sheet3!CF44,New!$LU$2:$LU$14,New!$LT$2:$LT$14)</f>
        <v>1.0255033765260286</v>
      </c>
      <c r="CV44" s="183">
        <f>_xlfn.FORECAST.LINEAR(Sheet3!CG44,New!$LU$2:$LU$14,New!$LT$2:$LT$14)</f>
        <v>1.0238964450832724</v>
      </c>
      <c r="CW44" s="186">
        <f>EXP((17.625*Sheet3!BA44)/(243.04+Sheet3!BA44)) / EXP((17.625*Sheet3!DF44)/(243.04+Sheet3!DF44))</f>
        <v>1.2718515444669915E-2</v>
      </c>
      <c r="CX44" s="183">
        <f>EXP((17.625*(Sheet3!BC44+273))/(243.04+(Sheet3!BC44+273)))/EXP((17.625*(Sheet3!BZ44+273))/(243.04+(Sheet3!BZ44+273)))</f>
        <v>0.23806764160884977</v>
      </c>
      <c r="CY44" s="183">
        <f>EXP((17.625*(Sheet3!BE44+273))/(243.04+(Sheet3!BE44+273))) / EXP((17.625*(Sheet3!CA44+273))/(243.04+(Sheet3!CA44+273)))</f>
        <v>0.26250169475620899</v>
      </c>
      <c r="CZ44" s="183">
        <f>EXP((17.625*(Sheet3!BG44+273))/(243.04+(Sheet3!BG44+273))) / EXP((17.625*(Sheet3!CB44+273))/(243.04+(Sheet3!CB44+273)))</f>
        <v>0.28221470176035524</v>
      </c>
      <c r="DA44" s="183">
        <f>EXP((17.625*(Sheet3!BI44+273))/(243.04+(Sheet3!BI44+273))) / EXP((17.625*(Sheet3!CC44+273))/(243.04+(Sheet3!CC44+273)))</f>
        <v>0.31005768697819663</v>
      </c>
      <c r="DB44" s="183">
        <f>EXP((17.625*(Sheet3!BK44+273))/(243.04+(Sheet3!BK44+273)))/EXP((17.625*(Sheet3!CD44+273))/(243.04+(Sheet3!CD44+273)))</f>
        <v>0.32654272113303751</v>
      </c>
      <c r="DC44" s="183">
        <f>EXP((17.625*(Sheet3!BM44+273))/(243.04+(Sheet3!BM44+273))) / EXP((17.625*(Sheet3!CE44+273))/(243.04+(Sheet3!CE44+273)))</f>
        <v>0.34962555177089888</v>
      </c>
      <c r="DD44" s="183">
        <f>EXP((17.625*(Sheet3!BO44+273))/(243.04+(Sheet3!BO44+273))) / EXP((17.625*(Sheet3!CF44+273))/(243.04+(Sheet3!CF44+273)))</f>
        <v>0.37133547984897719</v>
      </c>
      <c r="DE44" s="183">
        <f>EXP((17.625*(Sheet3!BQ44+273))/(243.04+(Sheet3!BQ44+273))) / EXP((17.625*(Sheet3!CG44+273))/(243.04+(Sheet3!CG44+273)))</f>
        <v>0.4024244496846589</v>
      </c>
      <c r="DF44" s="186">
        <f>((Sheet3!DA44-Sheet3!DB44)/New!$LQ$3)/(((Sheet3!DA44-Sheet3!DB44)/New!$LQ$3)+(Sheet3!DB44/New!$LP$3))</f>
        <v>0.71332409423876464</v>
      </c>
      <c r="DG44" s="183">
        <f>((Sheet3!DA44-Sheet3!DB44)/New!$LQ$3)/(((Sheet3!DA44-Sheet3!DB44)/New!$LQ$3)+((Sheet3!DB44-(Sheet3!B44*0.004))/New!$LP$3))</f>
        <v>0.71332409423876464</v>
      </c>
      <c r="DH44" s="183" cm="1">
        <f t="array" ref="DH44">((Sheet3!DA44-Sheet3!DB44)/New!$LQ$3)/(((Sheet3!DA44-Sheet3!DB44)/New!$LQ$3)+((Sheet3!DB44-(SUM(Sheet3!B44:C44*0.004)))/New!$LP$3))</f>
        <v>0.72064570623327207</v>
      </c>
      <c r="DI44" s="183" cm="1">
        <f t="array" ref="DI44">((Sheet3!DA44-Sheet3!DB44)/New!$LQ$3)/(((Sheet3!DA44-Sheet3!DB44)/New!$LQ$3)+((Sheet3!DB44-(SUM(Sheet3!B44:D44*0.004)))/New!$LP$3))</f>
        <v>0.72064570623327207</v>
      </c>
      <c r="DJ44" s="183" cm="1">
        <f t="array" ref="DJ44">((Sheet3!DA44-Sheet3!DB44)/New!$LQ$3)/(((Sheet3!DA44-Sheet3!DB44)/New!$LQ$3)+((Sheet3!DB44-(SUM(Sheet3!B44:E44*0.004)))/New!$LP$3))</f>
        <v>0.730479021664317</v>
      </c>
      <c r="DK44" s="183" cm="1">
        <f t="array" ref="DK44">((Sheet3!DA44-Sheet3!DB44)/New!$LQ$3)/(((Sheet3!DA44-Sheet3!DB44)/New!$LQ$3)+((Sheet3!DB44-(SUM(Sheet3!B44:F44*0.004)))/New!$LP$3))</f>
        <v>0.730479021664317</v>
      </c>
      <c r="DL44" s="183" cm="1">
        <f t="array" ref="DL44">((Sheet3!DA44-Sheet3!DB44)/New!$LQ$3)/(((Sheet3!DA44-Sheet3!DB44)/New!$LQ$3)+((Sheet3!DB44-(SUM(Sheet3!B44:G44*0.004)))/New!$LP$3))</f>
        <v>0.74120209773153889</v>
      </c>
      <c r="DM44" s="183" cm="1">
        <f t="array" ref="DM44">((Sheet3!DA44-Sheet3!DB44)/New!$LQ$3)/(((Sheet3!DA44-Sheet3!DB44)/New!$LQ$3)+((Sheet3!DB44-(SUM(Sheet3!B44:H44*0.004)))/New!$LP$3))</f>
        <v>0.74120209773153889</v>
      </c>
      <c r="DN44" s="183" cm="1">
        <f t="array" ref="DN44">((Sheet3!DA44-Sheet3!DB44)/New!$LQ$3)/(((Sheet3!DA44-Sheet3!DB44)/New!$LQ$3)+((Sheet3!DB44-(SUM(Sheet3!B44:I44*0.004)))/New!$LP$3))</f>
        <v>0.75179012433469394</v>
      </c>
      <c r="DO44" s="186">
        <f>(Sheet3!DB44/$LP$3) / ((Sheet3!DB44/$LP$3) + ((Sheet3!DA44-Sheet3!DB44)/$LQ$3))</f>
        <v>0.28667590576123536</v>
      </c>
      <c r="DP44" s="183">
        <f>((Sheet3!$DB44-(Sheet3!B44/4000)) / $LP$3) / (((Sheet3!$DA44-Sheet3!DB44) / $LQ$3) + (Sheet3!$DB44-((Sheet3!B44/4000)))/$LP$3)</f>
        <v>0.28667590576123536</v>
      </c>
      <c r="DQ44" s="183">
        <f>((Sheet3!$DB44-(SUM(Sheet3!B44:C44)/4000))/$LP$3)/(((Sheet3!$DA44-Sheet3!$DB44)/$LQ$3)+(Sheet3!$DB44-(SUM(Sheet3!B44:C44)/4000))/$LP$3)</f>
        <v>0.28622266633977528</v>
      </c>
      <c r="DR44" s="183">
        <f>((Sheet3!$DB44-(SUM(Sheet3!B44:D44)/4000))/$LP$3)/(((Sheet3!$DA44-Sheet3!$DB44)/$LQ$3)+(Sheet3!$DB44-(SUM(Sheet3!B44:D44)/4000))/$LP$3)</f>
        <v>0.28622266633977528</v>
      </c>
      <c r="DS44" s="183">
        <f>((Sheet3!$DB44-(SUM(Sheet3!B44:E44)/4000))/$LP$3)/(((Sheet3!$DA44-Sheet3!$DB44)/$LQ$3)+(Sheet3!$DB44-(SUM(Sheet3!B44:E44)/4000))/$LP$3)</f>
        <v>0.28562736343733069</v>
      </c>
      <c r="DT44" s="183">
        <f>((Sheet3!$DB44-(SUM(Sheet3!B44:F44)/4000))/$LP$3)/(((Sheet3!$DA44-Sheet3!$DB44)/$LQ$3)+(Sheet3!$DB44-(SUM(Sheet3!B44:F44)/4000))/$LP$3)</f>
        <v>0.28562736343733069</v>
      </c>
      <c r="DU44" s="183">
        <f>((Sheet3!$DB44-(SUM(Sheet3!B44:G44)/4000))/$LP$3)/(((Sheet3!$DA44-Sheet3!$DB44)/$LQ$3)+(Sheet3!$DB44-(SUM(Sheet3!B44:G44)/4000))/$LP$3)</f>
        <v>0.28499511343871031</v>
      </c>
      <c r="DV44" s="183">
        <f>((Sheet3!$DB44-(SUM(Sheet3!B44:H44)/4000))/$LP$3)/(((Sheet3!$DA44-Sheet3!$DB44)/$LQ$3)+(Sheet3!$DB44-(SUM(Sheet3!B44:H44)/4000))/$LP$3)</f>
        <v>0.28499511343871031</v>
      </c>
      <c r="DW44" s="183">
        <f>((Sheet3!$DB44-(SUM(Sheet3!B44:I44)/4000))/$LP$3)/(((Sheet3!$DA44-Sheet3!$DB44)/$LQ$3)+(Sheet3!$DB44-(SUM(Sheet3!B44:I44)/4000))/$LP$3)</f>
        <v>0.28438747011438814</v>
      </c>
      <c r="DX44" s="186">
        <f>($LR$2*($LP$3/1000))/($LP$2*(Sheet3!DF44+273))*DO44</f>
        <v>0.13167525116803988</v>
      </c>
      <c r="DY44" s="183">
        <f>(($LR$2*($LP$3/1000))/($LP$2*(Sheet3!BZ44+273)))*(DP44)</f>
        <v>0.13173210518437559</v>
      </c>
      <c r="DZ44" s="183">
        <f>(($LR$2*($LP$3/1000))/($LP$2*(Sheet3!CA44+273)))*(DQ44)</f>
        <v>0.13483012147706558</v>
      </c>
      <c r="EA44" s="183">
        <f>(($LR$2*($LP$3/1000))/($LP$2*(Sheet3!CB44+273)))*(DR44)</f>
        <v>0.13735399833288259</v>
      </c>
      <c r="EB44" s="183">
        <f>(($LR$2*($LP$3/1000))/($LP$2*(Sheet3!CC44+273)))*(DS44)</f>
        <v>0.14041290202957282</v>
      </c>
      <c r="EC44" s="183">
        <f>(($LR$2*($LP$3/1000))/($LP$2*(Sheet3!CD44+273)))*(DT44)</f>
        <v>0.14222948948664357</v>
      </c>
      <c r="ED44" s="183">
        <f>(($LR$2*($LP$3/1000))/($LP$2*(Sheet3!CE44+273)))*(DU44)</f>
        <v>0.14442687447794583</v>
      </c>
      <c r="EE44" s="183">
        <f>(($LR$2*($LP$3/1000))/($LP$2*(Sheet3!CF44+273)))*(DV44)</f>
        <v>0.14658261977966969</v>
      </c>
      <c r="EF44" s="183">
        <f>(($LR$2*($LP$3/1000))/($LP$2*(Sheet3!CG44+273)))*(DW44)</f>
        <v>0.14927422244551874</v>
      </c>
      <c r="EG44" s="186">
        <f>(($LR$2*($LQ$3/1000))/($LQ$2*(Sheet3!DF44+273)))*(1-DO44)</f>
        <v>0.52670100467215963</v>
      </c>
      <c r="EH44" s="183">
        <f>(($LR$2*($LQ$3/1000))/($LQ$2*(Sheet3!BZ44+273)))*(1-DP44)</f>
        <v>0.52692842073750257</v>
      </c>
      <c r="EI44" s="183">
        <f>(($LR$2*($LQ$3/1000))/($LQ$2*(Sheet3!CA44+273)))*(1-DQ44)</f>
        <v>0.5405177326861621</v>
      </c>
      <c r="EJ44" s="183">
        <f>(($LR$2*($LQ$3/1000))/($LQ$2*(Sheet3!CB44+273)))*(1-DR44)</f>
        <v>0.55063565129915792</v>
      </c>
      <c r="EK44" s="183">
        <f>(($LR$2*($LQ$3/1000))/($LQ$2*(Sheet3!CC44+273)))*(1-DS44)</f>
        <v>0.5645420634833257</v>
      </c>
      <c r="EL44" s="183">
        <f>(($LR$2*($LQ$3/1000))/($LQ$2*(Sheet3!CD44+273)))*(1-DT44)</f>
        <v>0.57184580848602262</v>
      </c>
      <c r="EM44" s="183">
        <f>(($LR$2*($LQ$3/1000))/($LQ$2*(Sheet3!CE44+273)))*(1-DU44)</f>
        <v>0.5824838656097836</v>
      </c>
      <c r="EN44" s="183">
        <f>(($LR$2*($LQ$3/1000))/($LQ$2*(Sheet3!CF44+273)))*(1-DV44)</f>
        <v>0.59117813986557655</v>
      </c>
      <c r="EO44" s="183">
        <f>(($LR$2*($LQ$3/1000))/($LQ$2*(Sheet3!CG44+273)))*(1-DW44)</f>
        <v>0.60383264291377814</v>
      </c>
      <c r="EP44" s="186">
        <f t="shared" si="132"/>
        <v>4920.6171533089964</v>
      </c>
      <c r="EQ44" s="183">
        <f xml:space="preserve"> (($FV44-(Sheet3!B44/4000))*0.018)/(0.011*JO44*3600)</f>
        <v>4922.3894531913402</v>
      </c>
      <c r="ER44" s="183">
        <f>((($FV44-(SUM(Sheet3!B44:C44)/4000))*0.018)/(0.011*JP44*3600))</f>
        <v>5022.0167253432955</v>
      </c>
      <c r="ES44" s="183">
        <f>((($FV44-(SUM(Sheet3!B44:D44)/4000))*0.018)/(0.011*JQ44*3600))</f>
        <v>5099.9210150866347</v>
      </c>
      <c r="ET44" s="183">
        <f>((($FV44-(SUM(Sheet3!B44:E44)/4000))*0.018)/(0.011*JR44))/3600</f>
        <v>5198.2947778590706</v>
      </c>
      <c r="EU44" s="183">
        <f>((($FV44-(SUM(Sheet3!B44:F44)/4000))*0.018)/(0.011*JS44))/3600</f>
        <v>5253.7204162874204</v>
      </c>
      <c r="EV44" s="183">
        <f>((($FV44-(SUM(Sheet3!B44:G44)/4000))*0.018)/(0.011*JT44))/3600</f>
        <v>5325.369642113691</v>
      </c>
      <c r="EW44" s="183">
        <f>((($FV44-(SUM(Sheet3!B44:H44)/4000))*0.018)/(0.011*JU44))/3600</f>
        <v>5390.5474198139209</v>
      </c>
      <c r="EX44" s="183">
        <f>((($FV44-(SUM(Sheet3!B44:I44)/4000))*0.018)/(0.011*JV44))/3600</f>
        <v>5476.2755687566159</v>
      </c>
      <c r="EY44" s="186">
        <f t="shared" si="133"/>
        <v>49.092726583998683</v>
      </c>
      <c r="EZ44" s="183">
        <f t="shared" si="134"/>
        <v>49.106347950738652</v>
      </c>
      <c r="FA44" s="183">
        <f t="shared" si="135"/>
        <v>49.860478190917725</v>
      </c>
      <c r="FB44" s="183">
        <f t="shared" si="136"/>
        <v>50.463628142550512</v>
      </c>
      <c r="FC44" s="183">
        <f t="shared" si="137"/>
        <v>51.210790313150078</v>
      </c>
      <c r="FD44" s="183">
        <f t="shared" si="138"/>
        <v>51.644018613139636</v>
      </c>
      <c r="FE44" s="183">
        <f t="shared" si="139"/>
        <v>52.186352373044961</v>
      </c>
      <c r="FF44" s="183">
        <f t="shared" si="140"/>
        <v>52.700023625911378</v>
      </c>
      <c r="FG44" s="183">
        <f t="shared" si="141"/>
        <v>53.359450337796687</v>
      </c>
      <c r="FH44" s="186">
        <f t="shared" si="185"/>
        <v>117.09030337733225</v>
      </c>
      <c r="FI44" s="183">
        <f t="shared" si="186"/>
        <v>117.05899311254925</v>
      </c>
      <c r="FJ44" s="183">
        <f t="shared" si="187"/>
        <v>115.15257808621541</v>
      </c>
      <c r="FK44" s="183">
        <f t="shared" si="188"/>
        <v>113.81800054193063</v>
      </c>
      <c r="FL44" s="183">
        <f t="shared" si="189"/>
        <v>111.95218367344735</v>
      </c>
      <c r="FM44" s="183">
        <f t="shared" si="190"/>
        <v>111.03523818182435</v>
      </c>
      <c r="FN44" s="183">
        <f t="shared" si="191"/>
        <v>109.64606183277209</v>
      </c>
      <c r="FO44" s="183">
        <f t="shared" si="192"/>
        <v>108.59657616549642</v>
      </c>
      <c r="FP44" s="183">
        <f t="shared" si="193"/>
        <v>107.03090865677844</v>
      </c>
      <c r="FQ44" s="314">
        <f>Sheet3!CV44</f>
        <v>2</v>
      </c>
      <c r="FR44" s="183">
        <v>5000</v>
      </c>
      <c r="FS44" s="183">
        <v>20</v>
      </c>
      <c r="FT44" s="183">
        <v>0.14709890109890109</v>
      </c>
      <c r="FU44" s="183">
        <v>17.649999999999999</v>
      </c>
      <c r="FV44" s="183">
        <v>250</v>
      </c>
      <c r="FW44" s="183">
        <v>50</v>
      </c>
      <c r="FX44" s="183">
        <v>495</v>
      </c>
      <c r="FY44" s="183">
        <v>16.5</v>
      </c>
      <c r="FZ44" s="183">
        <v>19.3</v>
      </c>
      <c r="GA44" s="183">
        <v>205</v>
      </c>
      <c r="GB44" s="186">
        <f>EXP($LP$6-($LQ$6/('Trial and Error method'!T44+$LP$8))) / ($LR$2/1000)</f>
        <v>0.10278837526587947</v>
      </c>
      <c r="GC44" s="183">
        <f>EXP($LP$6-($LQ$6/('Trial and Error method'!U44+$LP$8))) / ($LR$2/1000)</f>
        <v>0.1515458932225735</v>
      </c>
      <c r="GD44" s="183">
        <f>EXP($LP$6-($LQ$6/('Trial and Error method'!V44+$LP$8))) / ($LR$2/1000)</f>
        <v>0.14031481007108088</v>
      </c>
      <c r="GE44" s="183">
        <f>EXP($LP$6-($LQ$6/('Trial and Error method'!W44+$LP$8))) / ($LR$2/1000)</f>
        <v>0.13191713665286028</v>
      </c>
      <c r="GF44" s="183">
        <f>EXP($LP$6-($LQ$6/('Trial and Error method'!X44+$LP$8))) / ($LR$2/1000)</f>
        <v>0.12319941877619064</v>
      </c>
      <c r="GG44" s="183">
        <f>EXP($LP$6-($LQ$6/('Trial and Error method'!Y44+$LP$8))) / ($LR$2/1000)</f>
        <v>0.11704423723047561</v>
      </c>
      <c r="GH44" s="183">
        <f>EXP($LP$6-($LQ$6/('Trial and Error method'!Z44+$LP$8))) / ($LR$2/1000)</f>
        <v>0.11045035693190033</v>
      </c>
      <c r="GI44" s="183">
        <f>EXP($LP$6-($LQ$6/('Trial and Error method'!AA44+$LP$8))) / ($LR$2/1000)</f>
        <v>0.10529456849176094</v>
      </c>
      <c r="GJ44" s="183">
        <f>EXP($LP$6-($LQ$6/('Trial and Error method'!AB44+$LP$8))) / ($LR$2/1000)</f>
        <v>9.9638016424357392E-2</v>
      </c>
      <c r="GK44" s="188">
        <f t="shared" si="142"/>
        <v>0.80175629632703582</v>
      </c>
      <c r="GL44" s="165">
        <f t="shared" si="143"/>
        <v>0.77893654868197593</v>
      </c>
      <c r="GM44" s="165">
        <f t="shared" si="144"/>
        <v>0.78447105113759219</v>
      </c>
      <c r="GN44" s="165">
        <f t="shared" si="145"/>
        <v>0.78841503043706629</v>
      </c>
      <c r="GO44" s="165">
        <f t="shared" si="146"/>
        <v>0.79281543014996603</v>
      </c>
      <c r="GP44" s="165">
        <f t="shared" si="147"/>
        <v>0.79568994330649567</v>
      </c>
      <c r="GQ44" s="165">
        <f t="shared" si="148"/>
        <v>0.79910269640433318</v>
      </c>
      <c r="GR44" s="165">
        <f t="shared" si="149"/>
        <v>0.8015004861118441</v>
      </c>
      <c r="GS44" s="165">
        <f t="shared" si="150"/>
        <v>0.80445459471039704</v>
      </c>
      <c r="GT44" s="188">
        <f t="shared" si="194"/>
        <v>7.441251738276515E-2</v>
      </c>
      <c r="GU44" s="165">
        <f t="shared" si="195"/>
        <v>7.6585294427041345E-2</v>
      </c>
      <c r="GV44" s="165">
        <f t="shared" si="196"/>
        <v>7.5969836675881405E-2</v>
      </c>
      <c r="GW44" s="165">
        <f t="shared" si="197"/>
        <v>7.5555918429782626E-2</v>
      </c>
      <c r="GX44" s="165">
        <f t="shared" si="198"/>
        <v>7.5080420126176994E-2</v>
      </c>
      <c r="GY44" s="165">
        <f t="shared" si="199"/>
        <v>7.4796975506790958E-2</v>
      </c>
      <c r="GZ44" s="165">
        <f t="shared" si="200"/>
        <v>7.4441905898197339E-2</v>
      </c>
      <c r="HA44" s="165">
        <f t="shared" si="201"/>
        <v>7.4215359885987223E-2</v>
      </c>
      <c r="HB44" s="165">
        <f t="shared" si="202"/>
        <v>7.3915180217981699E-2</v>
      </c>
      <c r="HC44" s="188">
        <f>BV44*Sheet3!DF44</f>
        <v>249.35214232174931</v>
      </c>
      <c r="HD44" s="165">
        <f>BW44*Sheet3!BZ44</f>
        <v>249.09016849636501</v>
      </c>
      <c r="HE44" s="165">
        <f>BX44*Sheet3!CA44</f>
        <v>233.92285695430851</v>
      </c>
      <c r="HF44" s="165">
        <f>BY44*Sheet3!CB44</f>
        <v>223.13909554798911</v>
      </c>
      <c r="HG44" s="165">
        <f>BZ44*Sheet3!CC44</f>
        <v>209.09088788867018</v>
      </c>
      <c r="HH44" s="165">
        <f>CA44*Sheet3!CD44</f>
        <v>201.978035272775</v>
      </c>
      <c r="HI44" s="165">
        <f>CB44*Sheet3!CE44</f>
        <v>192.06753096766457</v>
      </c>
      <c r="HJ44" s="165">
        <f>CC44*Sheet3!CF44</f>
        <v>184.18572775395103</v>
      </c>
      <c r="HK44" s="165">
        <f>CD44*Sheet3!CG44</f>
        <v>173.26768189397063</v>
      </c>
      <c r="HL44" s="188">
        <f>(CE44*Sheet3!DF44)+2501</f>
        <v>2899.0054276934375</v>
      </c>
      <c r="HM44" s="165">
        <f>(CF44*Sheet3!BZ44)+2501</f>
        <v>2898.5813038388642</v>
      </c>
      <c r="HN44" s="165">
        <f>(CG44*Sheet3!CA44)+2501</f>
        <v>2874.5820371569339</v>
      </c>
      <c r="HO44" s="165">
        <f>(CH44*Sheet3!CB44)+2501</f>
        <v>2857.1491382514782</v>
      </c>
      <c r="HP44" s="165">
        <f>(CI44*Sheet3!CC44)+2501</f>
        <v>2835.0992017834274</v>
      </c>
      <c r="HQ44" s="165">
        <f>(CJ44*Sheet3!CD44)+2501</f>
        <v>2823.6166390479366</v>
      </c>
      <c r="HR44" s="165">
        <f>(CK44*Sheet3!CE44)+2501</f>
        <v>2808.2418811424777</v>
      </c>
      <c r="HS44" s="165">
        <f>(CL44*Sheet3!CF44)+2501</f>
        <v>2795.5237862561175</v>
      </c>
      <c r="HT44" s="165">
        <f>(CM44*Sheet3!CG44)+2501</f>
        <v>2778.4539938708272</v>
      </c>
      <c r="HU44" s="188">
        <f>-0.0021*(Sheet3!DF44^2) - 2.2115*(Sheet3!DF44) + 2499</f>
        <v>1957.3899999999999</v>
      </c>
      <c r="HV44" s="165">
        <f>-0.0021*(Sheet3!BZ44^2) - 2.2115*(Sheet3!BZ44) + 2499</f>
        <v>1958.0237647283489</v>
      </c>
      <c r="HW44" s="165">
        <f>-0.0021*(Sheet3!CA44^2) - 2.2115*(Sheet3!CA44) + 2499</f>
        <v>1993.7239641672079</v>
      </c>
      <c r="HX44" s="165">
        <f>-0.0021*(Sheet3!CB44^2) - 2.2115*(Sheet3!CB44) + 2499</f>
        <v>2019.4544708393689</v>
      </c>
      <c r="HY44" s="165">
        <f>-0.0021*(Sheet3!CC44^2) - 2.2115*(Sheet3!CC44) + 2499</f>
        <v>2051.750818287011</v>
      </c>
      <c r="HZ44" s="165">
        <f>-0.0021*(Sheet3!CD44^2) - 2.2115*(Sheet3!CD44) + 2499</f>
        <v>2068.4569546610128</v>
      </c>
      <c r="IA44" s="165">
        <f>-0.0021*(Sheet3!CE44^2) - 2.2115*(Sheet3!CE44) + 2499</f>
        <v>2090.7029118644082</v>
      </c>
      <c r="IB44" s="165">
        <f>-0.0021*(Sheet3!CF44^2) - 2.2115*(Sheet3!CF44) + 2499</f>
        <v>2108.9964971308391</v>
      </c>
      <c r="IC44" s="165">
        <f>-0.0021*(Sheet3!CG44^2) - 2.2115*(Sheet3!CG44) + 2499</f>
        <v>2133.3917272879521</v>
      </c>
      <c r="ID44" s="188">
        <f t="shared" si="203"/>
        <v>0.6543057114733688</v>
      </c>
      <c r="IE44" s="165">
        <f t="shared" si="204"/>
        <v>0.65439759699919875</v>
      </c>
      <c r="IF44" s="165">
        <f t="shared" si="205"/>
        <v>0.65917152439237425</v>
      </c>
      <c r="IG44" s="165">
        <f t="shared" si="206"/>
        <v>0.66344483280782707</v>
      </c>
      <c r="IH44" s="165">
        <f t="shared" si="207"/>
        <v>0.66836676642983306</v>
      </c>
      <c r="II44" s="165">
        <f t="shared" si="208"/>
        <v>0.67160959687687583</v>
      </c>
      <c r="IJ44" s="165">
        <f t="shared" si="209"/>
        <v>0.67518771127685751</v>
      </c>
      <c r="IK44" s="165">
        <f t="shared" si="210"/>
        <v>0.67919640879805976</v>
      </c>
      <c r="IL44" s="165">
        <f t="shared" si="211"/>
        <v>0.68391973062448774</v>
      </c>
      <c r="IM44" s="188">
        <f t="shared" si="212"/>
        <v>26.784012732645287</v>
      </c>
      <c r="IN44" s="165">
        <f t="shared" si="151"/>
        <v>20.263532717469307</v>
      </c>
      <c r="IO44" s="165">
        <f t="shared" si="152"/>
        <v>22.099624699167713</v>
      </c>
      <c r="IP44" s="165">
        <f t="shared" si="153"/>
        <v>23.544205790212953</v>
      </c>
      <c r="IQ44" s="165">
        <f t="shared" si="154"/>
        <v>25.021426073258223</v>
      </c>
      <c r="IR44" s="165">
        <f t="shared" si="155"/>
        <v>26.082224438340145</v>
      </c>
      <c r="IS44" s="165">
        <f t="shared" si="156"/>
        <v>27.165431914494111</v>
      </c>
      <c r="IT44" s="165">
        <f t="shared" si="157"/>
        <v>28.126717440764008</v>
      </c>
      <c r="IU44" s="165">
        <f t="shared" si="158"/>
        <v>29.133147633500311</v>
      </c>
      <c r="IV44" s="188">
        <f>_xlfn.FORECAST.LINEAR(Sheet3!DF44,Sheet2!$AK$2:$AK$69,Sheet2!$AJ$2:$AJ$69)</f>
        <v>1.5962912137298422E-5</v>
      </c>
      <c r="IW44" s="165">
        <f>_xlfn.FORECAST.LINEAR(Sheet3!BZ44,Sheet2!$AK$2:$AK$69,Sheet2!$AJ$2:$AJ$69)</f>
        <v>1.595568912756365E-5</v>
      </c>
      <c r="IX44" s="165">
        <f>_xlfn.FORECAST.LINEAR(Sheet3!CA44,Sheet2!$AK$2:$AK$69,Sheet2!$AJ$2:$AJ$69)</f>
        <v>1.5545471022108511E-5</v>
      </c>
      <c r="IY44" s="165">
        <f>_xlfn.FORECAST.LINEAR(Sheet3!CB44,Sheet2!$AK$2:$AK$69,Sheet2!$AJ$2:$AJ$69)</f>
        <v>1.5245619956272002E-5</v>
      </c>
      <c r="IZ44" s="165">
        <f>_xlfn.FORECAST.LINEAR(Sheet3!CC44,Sheet2!$AK$2:$AK$69,Sheet2!$AJ$2:$AJ$69)</f>
        <v>1.4864063307543647E-5</v>
      </c>
      <c r="JA44" s="165">
        <f>_xlfn.FORECAST.LINEAR(Sheet3!CD44,Sheet2!$AK$2:$AK$69,Sheet2!$AJ$2:$AJ$69)</f>
        <v>1.466434351777662E-5</v>
      </c>
      <c r="JB44" s="165">
        <f>_xlfn.FORECAST.LINEAR(Sheet3!CE44,Sheet2!$AK$2:$AK$69,Sheet2!$AJ$2:$AJ$69)</f>
        <v>1.4395820872895126E-5</v>
      </c>
      <c r="JC44" s="165">
        <f>_xlfn.FORECAST.LINEAR(Sheet3!CF44,Sheet2!$AK$2:$AK$69,Sheet2!$AJ$2:$AJ$69)</f>
        <v>1.4172738110167121E-5</v>
      </c>
      <c r="JD44" s="165">
        <f>_xlfn.FORECAST.LINEAR(Sheet3!CG44,Sheet2!$AK$2:$AK$69,Sheet2!$AJ$2:$AJ$69)</f>
        <v>1.3871956634443004E-5</v>
      </c>
      <c r="JE44" s="188">
        <f>_xlfn.FORECAST.LINEAR(Sheet3!DF44,New!$MC$2:$MC$18,New!$MB$2:$MB$18)</f>
        <v>2.5847452754227255E-5</v>
      </c>
      <c r="JF44" s="165">
        <f>_xlfn.FORECAST.LINEAR(Sheet3!BZ44,New!$MC$2:$MC$18,New!$MB$2:$MB$18)</f>
        <v>2.5838961931944244E-5</v>
      </c>
      <c r="JG44" s="165">
        <f>_xlfn.FORECAST.LINEAR(Sheet3!CA44,New!$MC$2:$MC$18,New!$MB$2:$MB$18)</f>
        <v>2.5356740647660687E-5</v>
      </c>
      <c r="JH44" s="165">
        <f>_xlfn.FORECAST.LINEAR(Sheet3!CB44,New!$MC$2:$MC$18,New!$MB$2:$MB$18)</f>
        <v>2.5004258482347566E-5</v>
      </c>
      <c r="JI44" s="165">
        <f>_xlfn.FORECAST.LINEAR(Sheet3!CC44,New!$MC$2:$MC$18,New!$MB$2:$MB$18)</f>
        <v>2.4555729432240004E-5</v>
      </c>
      <c r="JJ44" s="165">
        <f>_xlfn.FORECAST.LINEAR(Sheet3!CD44,New!$MC$2:$MC$18,New!$MB$2:$MB$18)</f>
        <v>2.4320953998787493E-5</v>
      </c>
      <c r="JK44" s="165">
        <f>_xlfn.FORECAST.LINEAR(Sheet3!CE44,New!$MC$2:$MC$18,New!$MB$2:$MB$18)</f>
        <v>2.400529914847243E-5</v>
      </c>
      <c r="JL44" s="165">
        <f>_xlfn.FORECAST.LINEAR(Sheet3!CF44,New!$MC$2:$MC$18,New!$MB$2:$MB$18)</f>
        <v>2.3743059976398671E-5</v>
      </c>
      <c r="JM44" s="165">
        <f>_xlfn.FORECAST.LINEAR(Sheet3!CG44,New!$MC$2:$MC$18,New!$MB$2:$MB$18)</f>
        <v>2.3389484091805618E-5</v>
      </c>
      <c r="JN44" s="188">
        <f t="shared" si="159"/>
        <v>2.3093925029291481E-5</v>
      </c>
      <c r="JO44" s="165">
        <f t="shared" si="160"/>
        <v>2.3085610091799952E-5</v>
      </c>
      <c r="JP44" s="165">
        <f t="shared" si="161"/>
        <v>2.2617611397841016E-5</v>
      </c>
      <c r="JQ44" s="165">
        <f t="shared" si="162"/>
        <v>2.2272114095740207E-5</v>
      </c>
      <c r="JR44" s="165">
        <f t="shared" si="163"/>
        <v>2.1837930485110634E-5</v>
      </c>
      <c r="JS44" s="165">
        <f t="shared" si="164"/>
        <v>2.1607544940547051E-5</v>
      </c>
      <c r="JT44" s="165">
        <f t="shared" si="165"/>
        <v>2.1303685494960419E-5</v>
      </c>
      <c r="JU44" s="165">
        <f t="shared" si="166"/>
        <v>2.1046099990326445E-5</v>
      </c>
      <c r="JV44" s="165">
        <f t="shared" si="167"/>
        <v>2.0704370969928086E-5</v>
      </c>
      <c r="JW44" s="188">
        <f t="shared" si="231"/>
        <v>0.99342087640971777</v>
      </c>
      <c r="JX44" s="165">
        <f t="shared" si="232"/>
        <v>0.99348625310600802</v>
      </c>
      <c r="JY44" s="165">
        <f t="shared" si="233"/>
        <v>0.99729563054934933</v>
      </c>
      <c r="JZ44" s="165">
        <f t="shared" si="234"/>
        <v>1.0002054762593517</v>
      </c>
      <c r="KA44" s="165">
        <f t="shared" si="235"/>
        <v>1.0040722016566392</v>
      </c>
      <c r="KB44" s="165">
        <f t="shared" si="236"/>
        <v>1.0061736653315441</v>
      </c>
      <c r="KC44" s="165">
        <f t="shared" si="237"/>
        <v>1.0090878014553748</v>
      </c>
      <c r="KD44" s="165">
        <f t="shared" si="238"/>
        <v>1.011589848752396</v>
      </c>
      <c r="KE44" s="165">
        <f t="shared" si="239"/>
        <v>1.0150862361122535</v>
      </c>
      <c r="KF44" s="188">
        <f t="shared" si="75"/>
        <v>0.98626119619886909</v>
      </c>
      <c r="KG44" s="165">
        <f t="shared" si="240"/>
        <v>0.98620376743186877</v>
      </c>
      <c r="KH44" s="165">
        <f t="shared" si="241"/>
        <v>0.98287584996843425</v>
      </c>
      <c r="KI44" s="165">
        <f t="shared" si="242"/>
        <v>0.98035784562636774</v>
      </c>
      <c r="KJ44" s="165">
        <f t="shared" si="243"/>
        <v>0.97704359375041783</v>
      </c>
      <c r="KK44" s="165">
        <f t="shared" si="244"/>
        <v>0.97525740527911342</v>
      </c>
      <c r="KL44" s="165">
        <f t="shared" si="245"/>
        <v>0.97279775325882434</v>
      </c>
      <c r="KM44" s="165">
        <f t="shared" si="246"/>
        <v>0.97070178043678157</v>
      </c>
      <c r="KN44" s="165">
        <f t="shared" si="247"/>
        <v>0.96779708581898005</v>
      </c>
      <c r="KO44" s="188">
        <f t="shared" si="213"/>
        <v>0.6579520479926233</v>
      </c>
      <c r="KP44" s="165">
        <f t="shared" si="214"/>
        <v>0.6579172069986895</v>
      </c>
      <c r="KQ44" s="165">
        <f t="shared" si="215"/>
        <v>0.65136314370127246</v>
      </c>
      <c r="KR44" s="165">
        <f t="shared" si="216"/>
        <v>0.64642358390961685</v>
      </c>
      <c r="KS44" s="165">
        <f t="shared" si="217"/>
        <v>0.63995382036199544</v>
      </c>
      <c r="KT44" s="165">
        <f t="shared" si="218"/>
        <v>0.63647695067308752</v>
      </c>
      <c r="KU44" s="165">
        <f t="shared" si="219"/>
        <v>0.63171319458906572</v>
      </c>
      <c r="KV44" s="165">
        <f t="shared" si="220"/>
        <v>0.62765991324110093</v>
      </c>
      <c r="KW44" s="165">
        <f t="shared" si="221"/>
        <v>0.62215637543411029</v>
      </c>
      <c r="KX44" s="188">
        <f>AVERAGE(Sheet3!J44:P44)*KO44^(1/3)/ID44^(1/3)</f>
        <v>83.825821094751717</v>
      </c>
      <c r="KY44" s="165">
        <f>Sheet3!J44*KP44^(1/3)/IE44^(1/3)</f>
        <v>71.045225841391328</v>
      </c>
      <c r="KZ44" s="165">
        <f>Sheet3!K44*KQ44^(1/3)/IF44^(1/3)</f>
        <v>71.13822511245705</v>
      </c>
      <c r="LA44" s="165">
        <f>Sheet3!L44*KR44^(1/3)/IG44^(1/3)</f>
        <v>74.261358932173096</v>
      </c>
      <c r="LB44" s="165">
        <f>Sheet3!M44*KS44^(1/3)/IH44^(1/3)</f>
        <v>78.349275978151169</v>
      </c>
      <c r="LC44" s="165">
        <f>Sheet3!N44*KT44^(1/3)/II44^(1/3)</f>
        <v>84.647225867011088</v>
      </c>
      <c r="LD44" s="165">
        <f>Sheet3!O44*KU44^(1/3)/IJ44^(1/3)</f>
        <v>93.199002492648418</v>
      </c>
      <c r="LE44" s="165">
        <f>Sheet3!P44*KV44^(1/3)/IK44^(1/3)</f>
        <v>104.69837748626</v>
      </c>
      <c r="LF44" s="165">
        <f>Sheet3!Q44*KW44^(1/3)/IL44^(1/3)</f>
        <v>116.89870025033784</v>
      </c>
      <c r="LG44" s="186">
        <f t="shared" si="248"/>
        <v>25.822332211443282</v>
      </c>
      <c r="LH44" s="183">
        <f t="shared" si="249"/>
        <v>25.822332211443282</v>
      </c>
      <c r="LI44" s="183">
        <f t="shared" si="250"/>
        <v>26.026200986626613</v>
      </c>
      <c r="LJ44" s="183">
        <f t="shared" si="251"/>
        <v>26.026200986626613</v>
      </c>
      <c r="LK44" s="183">
        <f t="shared" si="252"/>
        <v>26.300249419722135</v>
      </c>
      <c r="LL44" s="183">
        <f t="shared" si="253"/>
        <v>26.300249419722135</v>
      </c>
      <c r="LM44" s="183">
        <f t="shared" si="254"/>
        <v>26.599399718903733</v>
      </c>
      <c r="LN44" s="183">
        <f t="shared" si="255"/>
        <v>26.599399718903733</v>
      </c>
      <c r="LO44" s="183">
        <f t="shared" si="256"/>
        <v>26.895082274843439</v>
      </c>
      <c r="LP44" s="220"/>
      <c r="LQ44" s="220"/>
      <c r="LR44" s="220"/>
      <c r="LS44" s="220"/>
      <c r="LT44" s="220"/>
      <c r="LU44" s="220"/>
      <c r="LV44" s="220"/>
      <c r="LW44" s="220"/>
      <c r="LX44" s="220"/>
      <c r="LY44" s="220"/>
      <c r="LZ44" s="222">
        <v>170.42</v>
      </c>
      <c r="MA44" s="220">
        <v>1.5E-5</v>
      </c>
      <c r="MB44" s="220"/>
      <c r="MC44" s="220"/>
      <c r="MD44" s="188">
        <f>Sheet3!DP44</f>
        <v>166.19658299031809</v>
      </c>
      <c r="MF44" s="165"/>
      <c r="MP44"/>
      <c r="MQ44"/>
      <c r="MR44"/>
      <c r="MS44"/>
    </row>
    <row r="45" spans="1:357" x14ac:dyDescent="0.3">
      <c r="A45" s="184" t="str">
        <f>Sheet3!A45</f>
        <v>05.01.2023</v>
      </c>
      <c r="B45" s="186">
        <f t="shared" si="102"/>
        <v>1.0055718067637127</v>
      </c>
      <c r="C45" s="183">
        <f t="shared" si="168"/>
        <v>1.0051759559774986</v>
      </c>
      <c r="D45" s="183">
        <f t="shared" si="169"/>
        <v>0.98786774775875996</v>
      </c>
      <c r="E45" s="183">
        <f t="shared" si="170"/>
        <v>0.97398149869190698</v>
      </c>
      <c r="F45" s="183">
        <f t="shared" si="171"/>
        <v>0.95743611967073405</v>
      </c>
      <c r="G45" s="183">
        <f t="shared" si="172"/>
        <v>0.95017688757742103</v>
      </c>
      <c r="H45" s="183">
        <f t="shared" si="173"/>
        <v>0.93665596274287688</v>
      </c>
      <c r="I45" s="183">
        <f t="shared" si="174"/>
        <v>0.9260367974349405</v>
      </c>
      <c r="J45" s="183">
        <f t="shared" si="175"/>
        <v>0.91308695043986499</v>
      </c>
      <c r="K45" s="186">
        <f xml:space="preserve"> (6.057 * (10^(-6)))
+ (4.055 * (10^(-8)) * (Sheet3!DF45 + 273))
+ (1.25 * (10^(-10)) * (Sheet3!DF45 + 273)^2)
- (3.367 * (10^(-14)) * (DD45 + 273)^3)</f>
        <v>5.3312591270084848E-5</v>
      </c>
      <c r="L45" s="183">
        <f xml:space="preserve"> (6.057 * (10^(-6)))
+ (4.055 * (10^(-8)) * (Sheet3!BZ45 + 273))
+ (1.25 * (10^(-10)) * (Sheet3!BZ45 + 273)^2)
- (3.367 * (10^(-14)) * (BX45 + 273)^3)</f>
        <v>5.3251885953607178E-5</v>
      </c>
      <c r="M45" s="183">
        <f xml:space="preserve"> (6.057 * (10^(-6)))
+ (4.055 * (10^(-8)) * (Sheet3!CA45 + 273))
+ (1.25 * (10^(-10)) * (Sheet3!CA45 + 273)^2)
- (3.367 * (10^(-14)) * (BY45 + 273)^3)</f>
        <v>5.1486426236805001E-5</v>
      </c>
      <c r="N45" s="183">
        <f xml:space="preserve"> (6.057 * (10^(-6)))
+ (4.055 * (10^(-8)) * (Sheet3!CB45 + 273))
+ (1.25 * (10^(-10)) * (Sheet3!CB45 + 273)^2)
- (3.367 * (10^(-14)) * (BZ45 + 273)^3)</f>
        <v>5.0139979132270267E-5</v>
      </c>
      <c r="O45" s="183">
        <f xml:space="preserve"> (6.057 * (10^(-6)))
+ (4.055 * (10^(-8)) * (Sheet3!CC45 + 273))
+ (1.25 * (10^(-10)) * (Sheet3!CC45 + 273)^2)
- (3.367 * (10^(-14)) * (CA45 + 273)^3)</f>
        <v>4.8581269501473331E-5</v>
      </c>
      <c r="P45" s="183">
        <f xml:space="preserve"> (6.057 * (10^(-6)))
+ (4.055 * (10^(-8)) * (Sheet3!CD45 + 273))
+ (1.25 * (10^(-10)) * (Sheet3!CD45 + 273)^2)
- (3.367 * (10^(-14)) * (CB45 + 273)^3)</f>
        <v>4.7934776954432918E-5</v>
      </c>
      <c r="Q45" s="183">
        <f xml:space="preserve"> (6.057 * (10^(-6)))
+ (4.055 * (10^(-8)) * (Sheet3!CE45 + 273))
+ (1.25 * (10^(-10)) * (Sheet3!CE45 + 273)^2)
- (3.367 * (10^(-14)) * (CC45 + 273)^3)</f>
        <v>4.6723938019679854E-5</v>
      </c>
      <c r="R45" s="183">
        <f xml:space="preserve"> (6.057 * (10^(-6)))
+ (4.055 * (10^(-8)) * (Sheet3!CF45 + 273))
+ (1.25 * (10^(-10)) * (Sheet3!CF45 + 273)^2)
- (3.367 * (10^(-14)) * (CD45 + 273)^3)</f>
        <v>4.584055600089329E-5</v>
      </c>
      <c r="S45" s="183">
        <f xml:space="preserve"> (6.057 * (10^(-6)))
+ (4.055 * (10^(-8)) * (Sheet3!CG45 + 273))
+ (1.25 * (10^(-10)) * (Sheet3!CG45 + 273)^2)
- (3.367 * (10^(-14)) * (CE45 + 273)^3)</f>
        <v>4.4733974138045965E-5</v>
      </c>
      <c r="T45" s="188">
        <f t="shared" si="104"/>
        <v>5.3312591270084848E-5</v>
      </c>
      <c r="U45" s="165">
        <f t="shared" si="105"/>
        <v>5.3251885953607178E-5</v>
      </c>
      <c r="V45" s="165">
        <f t="shared" si="106"/>
        <v>5.1486426236805001E-5</v>
      </c>
      <c r="W45" s="165">
        <f t="shared" si="107"/>
        <v>5.0139979132270267E-5</v>
      </c>
      <c r="X45" s="165">
        <f t="shared" si="108"/>
        <v>4.8581269501473331E-5</v>
      </c>
      <c r="Y45" s="165">
        <f t="shared" si="109"/>
        <v>4.7934776954432918E-5</v>
      </c>
      <c r="Z45" s="165">
        <f t="shared" si="110"/>
        <v>4.6723938019679854E-5</v>
      </c>
      <c r="AA45" s="165">
        <f t="shared" si="111"/>
        <v>4.584055600089329E-5</v>
      </c>
      <c r="AB45" s="165">
        <f t="shared" si="112"/>
        <v>4.4733974138045965E-5</v>
      </c>
      <c r="AC45" s="186">
        <f t="shared" si="176"/>
        <v>5.3609638726714553E-5</v>
      </c>
      <c r="AD45" s="183">
        <f t="shared" si="177"/>
        <v>5.352751537102183E-5</v>
      </c>
      <c r="AE45" s="183">
        <f t="shared" si="178"/>
        <v>5.0861779926700086E-5</v>
      </c>
      <c r="AF45" s="183">
        <f t="shared" si="179"/>
        <v>4.8835412019629537E-5</v>
      </c>
      <c r="AG45" s="183">
        <f t="shared" si="180"/>
        <v>4.6513462160168805E-5</v>
      </c>
      <c r="AH45" s="183">
        <f t="shared" si="181"/>
        <v>4.554651717328096E-5</v>
      </c>
      <c r="AI45" s="183">
        <f t="shared" si="182"/>
        <v>4.3764255148961742E-5</v>
      </c>
      <c r="AJ45" s="183">
        <f t="shared" si="183"/>
        <v>4.2450041671704263E-5</v>
      </c>
      <c r="AK45" s="183">
        <f t="shared" si="184"/>
        <v>4.0846008026764178E-5</v>
      </c>
      <c r="AL45" s="186">
        <f t="shared" si="113"/>
        <v>4.2931521784307272E-2</v>
      </c>
      <c r="AM45" s="183">
        <f t="shared" si="114"/>
        <v>4.2893070291098102E-2</v>
      </c>
      <c r="AN45" s="183">
        <f t="shared" si="115"/>
        <v>4.1629639403248209E-2</v>
      </c>
      <c r="AO45" s="183">
        <f t="shared" si="116"/>
        <v>4.0649086219393935E-2</v>
      </c>
      <c r="AP45" s="183">
        <f t="shared" si="117"/>
        <v>3.9492618734483981E-2</v>
      </c>
      <c r="AQ45" s="183">
        <f t="shared" si="118"/>
        <v>3.9007479610335453E-2</v>
      </c>
      <c r="AR45" s="183">
        <f t="shared" si="119"/>
        <v>3.8085854910393138E-2</v>
      </c>
      <c r="AS45" s="183">
        <f t="shared" si="120"/>
        <v>3.7406631068825441E-2</v>
      </c>
      <c r="AT45" s="183">
        <f t="shared" si="121"/>
        <v>3.6546797343486405E-2</v>
      </c>
      <c r="AU45" s="186">
        <f>_xlfn.FORECAST.LINEAR(Sheet3!DF45,Sheet2!$AH$2:$AH$40,Sheet2!$AG$2:$AG$40)</f>
        <v>5.615110757455756E-2</v>
      </c>
      <c r="AV45" s="183">
        <f>_xlfn.FORECAST.LINEAR(Sheet3!BZ45,Sheet2!$AH$2:$AH$40,Sheet2!$AG$2:$AG$40)</f>
        <v>5.6064900563733033E-2</v>
      </c>
      <c r="AW45" s="183">
        <f>_xlfn.FORECAST.LINEAR(Sheet3!CA45,Sheet2!$AH$2:$AH$40,Sheet2!$AG$2:$AG$40)</f>
        <v>5.3235380157341146E-2</v>
      </c>
      <c r="AX45" s="183">
        <f>_xlfn.FORECAST.LINEAR(Sheet3!CB45,Sheet2!$AH$2:$AH$40,Sheet2!$AG$2:$AG$40)</f>
        <v>5.104325443960122E-2</v>
      </c>
      <c r="AY45" s="183">
        <f>_xlfn.FORECAST.LINEAR(Sheet3!CC45,Sheet2!$AH$2:$AH$40,Sheet2!$AG$2:$AG$40)</f>
        <v>4.8466870845464582E-2</v>
      </c>
      <c r="AZ45" s="183">
        <f>_xlfn.FORECAST.LINEAR(Sheet3!CD45,Sheet2!$AH$2:$AH$40,Sheet2!$AG$2:$AG$40)</f>
        <v>4.7385604655068934E-2</v>
      </c>
      <c r="BA45" s="183">
        <f>_xlfn.FORECAST.LINEAR(Sheet3!CE45,Sheet2!$AH$2:$AH$40,Sheet2!$AG$2:$AG$40)</f>
        <v>4.5339806501500171E-2</v>
      </c>
      <c r="BB45" s="183">
        <f>_xlfn.FORECAST.LINEAR(Sheet3!CF45,Sheet2!$AH$2:$AH$40,Sheet2!$AG$2:$AG$40)</f>
        <v>4.3829687993568345E-2</v>
      </c>
      <c r="BC45" s="183">
        <f>_xlfn.FORECAST.LINEAR(Sheet3!CG45,Sheet2!$AH$2:$AH$40,Sheet2!$AG$2:$AG$40)</f>
        <v>4.1926225454156064E-2</v>
      </c>
      <c r="BD45" s="186">
        <f>_xlfn.FORECAST.LINEAR(Sheet3!DF45,Sheet2!$AB$12:$AB$37,Sheet2!$AA$12:$AA$37)/1000</f>
        <v>3.7324862686859299E-2</v>
      </c>
      <c r="BE45" s="183">
        <f>_xlfn.FORECAST.LINEAR(Sheet3!BZ45,Sheet2!$AB$12:$AB$37,Sheet2!$AA$12:$AA$37)/1000</f>
        <v>3.7305588794632055E-2</v>
      </c>
      <c r="BF45" s="183">
        <f>_xlfn.FORECAST.LINEAR(Sheet3!CA45,Sheet2!$AB$12:$AB$37,Sheet2!$AA$12:$AA$37)/1000</f>
        <v>3.6672973525340546E-2</v>
      </c>
      <c r="BG45" s="183">
        <f>_xlfn.FORECAST.LINEAR(Sheet3!CB45,Sheet2!$AB$12:$AB$37,Sheet2!$AA$12:$AA$37)/1000</f>
        <v>3.6182864954956616E-2</v>
      </c>
      <c r="BH45" s="183">
        <f>_xlfn.FORECAST.LINEAR(Sheet3!CC45,Sheet2!$AB$12:$AB$37,Sheet2!$AA$12:$AA$37)/1000</f>
        <v>3.5606845217646677E-2</v>
      </c>
      <c r="BI45" s="183">
        <f>_xlfn.FORECAST.LINEAR(Sheet3!CD45,Sheet2!$AB$12:$AB$37,Sheet2!$AA$12:$AA$37)/1000</f>
        <v>3.5365099125034043E-2</v>
      </c>
      <c r="BJ45" s="183">
        <f>_xlfn.FORECAST.LINEAR(Sheet3!CE45,Sheet2!$AB$12:$AB$37,Sheet2!$AA$12:$AA$37)/1000</f>
        <v>3.4907706011023491E-2</v>
      </c>
      <c r="BK45" s="183">
        <f>_xlfn.FORECAST.LINEAR(Sheet3!CF45,Sheet2!$AB$12:$AB$37,Sheet2!$AA$12:$AA$37)/1000</f>
        <v>3.4570078466652616E-2</v>
      </c>
      <c r="BL45" s="183">
        <f>_xlfn.FORECAST.LINEAR(Sheet3!CG45,Sheet2!$AB$12:$AB$37,Sheet2!$AA$12:$AA$37)/1000</f>
        <v>3.4144508301391957E-2</v>
      </c>
      <c r="BM45" s="186">
        <f t="shared" si="122"/>
        <v>0.65837625584019954</v>
      </c>
      <c r="BN45" s="183">
        <f t="shared" si="123"/>
        <v>0.65884379248423297</v>
      </c>
      <c r="BO45" s="183">
        <f t="shared" si="124"/>
        <v>0.67456800941773687</v>
      </c>
      <c r="BP45" s="183">
        <f t="shared" si="125"/>
        <v>0.6872748430420853</v>
      </c>
      <c r="BQ45" s="183">
        <f t="shared" si="126"/>
        <v>0.70287781314899189</v>
      </c>
      <c r="BR45" s="183">
        <f t="shared" si="127"/>
        <v>0.70962041811108323</v>
      </c>
      <c r="BS45" s="183">
        <f t="shared" si="128"/>
        <v>0.72280930746233762</v>
      </c>
      <c r="BT45" s="183">
        <f t="shared" si="129"/>
        <v>0.73280865725500732</v>
      </c>
      <c r="BU45" s="183">
        <f t="shared" si="130"/>
        <v>0.74590528839650472</v>
      </c>
      <c r="BV45" s="186">
        <f t="shared" si="222"/>
        <v>1.2163519137646308</v>
      </c>
      <c r="BW45" s="183">
        <f t="shared" si="223"/>
        <v>1.2162632678744623</v>
      </c>
      <c r="BX45" s="183">
        <f t="shared" si="224"/>
        <v>1.2133479289790097</v>
      </c>
      <c r="BY45" s="183">
        <f t="shared" si="225"/>
        <v>1.2111152808381038</v>
      </c>
      <c r="BZ45" s="183">
        <f t="shared" si="226"/>
        <v>1.2079735667949039</v>
      </c>
      <c r="CA45" s="183">
        <f t="shared" si="227"/>
        <v>1.2068870127430245</v>
      </c>
      <c r="CB45" s="183">
        <f t="shared" si="228"/>
        <v>1.2039832113021278</v>
      </c>
      <c r="CC45" s="183">
        <f t="shared" si="229"/>
        <v>1.2024855993575136</v>
      </c>
      <c r="CD45" s="183">
        <f t="shared" si="230"/>
        <v>1.1995435514717476</v>
      </c>
      <c r="CE45" s="187">
        <f xml:space="preserve"> -0.0000000019505*Sheet3!DF45^3 + 0.0000015497*Sheet3!DF45^2  + 0.00016911*Sheet3!DF45 + 1.8585</f>
        <v>1.9414898911875</v>
      </c>
      <c r="CF45" s="185">
        <f xml:space="preserve"> -0.0000000019505*Sheet3!BZ45^3 + 0.0000015497*Sheet3!BZ45^2  + 0.00016911*Sheet3!BZ45 + 1.8585</f>
        <v>1.9413004597004195</v>
      </c>
      <c r="CG45" s="185">
        <f xml:space="preserve"> -0.0000000019505*Sheet3!CA45^3 + 0.0000015497*Sheet3!CA45^2  + 0.00016911*Sheet3!CA45 + 1.8585</f>
        <v>1.9351305318555319</v>
      </c>
      <c r="CH45" s="185">
        <f xml:space="preserve"> -0.0000000019505*Sheet3!CB45^3 + 0.0000015497*Sheet3!CB45^2  + 0.00016911*Sheet3!CB45 + 1.8585</f>
        <v>1.9304207617217057</v>
      </c>
      <c r="CI45" s="185">
        <f xml:space="preserve"> -0.0000000019505*Sheet3!CC45^3 + 0.0000015497*Sheet3!CC45^2  + 0.00016911*Sheet3!CC45 + 1.8585</f>
        <v>1.9249749460963563</v>
      </c>
      <c r="CJ45" s="185">
        <f xml:space="preserve"> -0.0000000019505*Sheet3!CD45^3 + 0.0000015497*Sheet3!CD45^2  + 0.00016911*Sheet3!CD45 + 1.8585</f>
        <v>1.9227209962903167</v>
      </c>
      <c r="CK45" s="185">
        <f xml:space="preserve"> -0.0000000019505*Sheet3!CE45^3 + 0.0000015497*Sheet3!CE45^2  + 0.00016911*Sheet3!CE45 + 1.8585</f>
        <v>1.9185118373722903</v>
      </c>
      <c r="CL45" s="185">
        <f xml:space="preserve"> -0.0000000019505*Sheet3!CF45^3 + 0.0000015497*Sheet3!CF45^2  + 0.00016911*Sheet3!CF45 + 1.8585</f>
        <v>1.9154542840417978</v>
      </c>
      <c r="CM45" s="185">
        <f xml:space="preserve"> -0.0000000019505*Sheet3!CG45^3 + 0.0000015497*Sheet3!CG45^2  + 0.00016911*Sheet3!CG45 + 1.8585</f>
        <v>1.9116643892387906</v>
      </c>
      <c r="CN45" s="186">
        <f>_xlfn.FORECAST.LINEAR(Sheet3!DF45,New!$LU$2:$LU$14,New!$LT$2:$LT$14)</f>
        <v>1.0350674194089138</v>
      </c>
      <c r="CO45" s="183">
        <f>_xlfn.FORECAST.LINEAR(Sheet3!BZ45,New!$LU$2:$LU$14,New!$LT$2:$LT$14)</f>
        <v>1.0350039699179732</v>
      </c>
      <c r="CP45" s="183">
        <f>_xlfn.FORECAST.LINEAR(Sheet3!CA45,New!$LU$2:$LU$14,New!$LT$2:$LT$14)</f>
        <v>1.0329214057776015</v>
      </c>
      <c r="CQ45" s="183">
        <f>_xlfn.FORECAST.LINEAR(Sheet3!CB45,New!$LU$2:$LU$14,New!$LT$2:$LT$14)</f>
        <v>1.0313079724902363</v>
      </c>
      <c r="CR45" s="183">
        <f>_xlfn.FORECAST.LINEAR(Sheet3!CC45,New!$LU$2:$LU$14,New!$LT$2:$LT$14)</f>
        <v>1.0294117203646571</v>
      </c>
      <c r="CS45" s="183">
        <f>_xlfn.FORECAST.LINEAR(Sheet3!CD45,New!$LU$2:$LU$14,New!$LT$2:$LT$14)</f>
        <v>1.0286158942630932</v>
      </c>
      <c r="CT45" s="183">
        <f>_xlfn.FORECAST.LINEAR(Sheet3!CE45,New!$LU$2:$LU$14,New!$LT$2:$LT$14)</f>
        <v>1.0271101599826702</v>
      </c>
      <c r="CU45" s="183">
        <f>_xlfn.FORECAST.LINEAR(Sheet3!CF45,New!$LU$2:$LU$14,New!$LT$2:$LT$14)</f>
        <v>1.0259986929491665</v>
      </c>
      <c r="CV45" s="183">
        <f>_xlfn.FORECAST.LINEAR(Sheet3!CG45,New!$LU$2:$LU$14,New!$LT$2:$LT$14)</f>
        <v>1.0245977195481033</v>
      </c>
      <c r="CW45" s="186">
        <f>EXP((17.625*Sheet3!BA45)/(243.04+Sheet3!BA45)) / EXP((17.625*Sheet3!DF45)/(243.04+Sheet3!DF45))</f>
        <v>1.2718515444669915E-2</v>
      </c>
      <c r="CX45" s="183">
        <f>EXP((17.625*(Sheet3!BC45+273))/(243.04+(Sheet3!BC45+273)))/EXP((17.625*(Sheet3!BZ45+273))/(243.04+(Sheet3!BZ45+273)))</f>
        <v>0.23832867517019224</v>
      </c>
      <c r="CY45" s="183">
        <f>EXP((17.625*(Sheet3!BE45+273))/(243.04+(Sheet3!BE45+273))) / EXP((17.625*(Sheet3!CA45+273))/(243.04+(Sheet3!CA45+273)))</f>
        <v>0.26162096528316536</v>
      </c>
      <c r="CZ45" s="183">
        <f>EXP((17.625*(Sheet3!BG45+273))/(243.04+(Sheet3!BG45+273))) / EXP((17.625*(Sheet3!CB45+273))/(243.04+(Sheet3!CB45+273)))</f>
        <v>0.28179263771374119</v>
      </c>
      <c r="DA45" s="183">
        <f>EXP((17.625*(Sheet3!BI45+273))/(243.04+(Sheet3!BI45+273))) / EXP((17.625*(Sheet3!CC45+273))/(243.04+(Sheet3!CC45+273)))</f>
        <v>0.30804777183776105</v>
      </c>
      <c r="DB45" s="183">
        <f>EXP((17.625*(Sheet3!BK45+273))/(243.04+(Sheet3!BK45+273)))/EXP((17.625*(Sheet3!CD45+273))/(243.04+(Sheet3!CD45+273)))</f>
        <v>0.32011534341258086</v>
      </c>
      <c r="DC45" s="183">
        <f>EXP((17.625*(Sheet3!BM45+273))/(243.04+(Sheet3!BM45+273))) / EXP((17.625*(Sheet3!CE45+273))/(243.04+(Sheet3!CE45+273)))</f>
        <v>0.34437306802405659</v>
      </c>
      <c r="DD45" s="183">
        <f>EXP((17.625*(Sheet3!BO45+273))/(243.04+(Sheet3!BO45+273))) / EXP((17.625*(Sheet3!CF45+273))/(243.04+(Sheet3!CF45+273)))</f>
        <v>0.36412702066603941</v>
      </c>
      <c r="DE45" s="183">
        <f>EXP((17.625*(Sheet3!BQ45+273))/(243.04+(Sheet3!BQ45+273))) / EXP((17.625*(Sheet3!CG45+273))/(243.04+(Sheet3!CG45+273)))</f>
        <v>0.39119867189537194</v>
      </c>
      <c r="DF45" s="186">
        <f>((Sheet3!DA45-Sheet3!DB45)/New!$LQ$3)/(((Sheet3!DA45-Sheet3!DB45)/New!$LQ$3)+(Sheet3!DB45/New!$LP$3))</f>
        <v>0.71332409423876464</v>
      </c>
      <c r="DG45" s="183">
        <f>((Sheet3!DA45-Sheet3!DB45)/New!$LQ$3)/(((Sheet3!DA45-Sheet3!DB45)/New!$LQ$3)+((Sheet3!DB45-(Sheet3!B45*0.004))/New!$LP$3))</f>
        <v>0.71332409423876464</v>
      </c>
      <c r="DH45" s="183" cm="1">
        <f t="array" ref="DH45">((Sheet3!DA45-Sheet3!DB45)/New!$LQ$3)/(((Sheet3!DA45-Sheet3!DB45)/New!$LQ$3)+((Sheet3!DB45-(SUM(Sheet3!B45:C45*0.004)))/New!$LP$3))</f>
        <v>0.71338953794818916</v>
      </c>
      <c r="DI45" s="183" cm="1">
        <f t="array" ref="DI45">((Sheet3!DA45-Sheet3!DB45)/New!$LQ$3)/(((Sheet3!DA45-Sheet3!DB45)/New!$LQ$3)+((Sheet3!DB45-(SUM(Sheet3!B45:D45*0.004)))/New!$LP$3))</f>
        <v>0.71338953794818916</v>
      </c>
      <c r="DJ45" s="183" cm="1">
        <f t="array" ref="DJ45">((Sheet3!DA45-Sheet3!DB45)/New!$LQ$3)/(((Sheet3!DA45-Sheet3!DB45)/New!$LQ$3)+((Sheet3!DB45-(SUM(Sheet3!B45:E45*0.004)))/New!$LP$3))</f>
        <v>0.71570412572937059</v>
      </c>
      <c r="DK45" s="183" cm="1">
        <f t="array" ref="DK45">((Sheet3!DA45-Sheet3!DB45)/New!$LQ$3)/(((Sheet3!DA45-Sheet3!DB45)/New!$LQ$3)+((Sheet3!DB45-(SUM(Sheet3!B45:F45*0.004)))/New!$LP$3))</f>
        <v>0.71570412572937059</v>
      </c>
      <c r="DL45" s="183" cm="1">
        <f t="array" ref="DL45">((Sheet3!DA45-Sheet3!DB45)/New!$LQ$3)/(((Sheet3!DA45-Sheet3!DB45)/New!$LQ$3)+((Sheet3!DB45-(SUM(Sheet3!B45:G45*0.004)))/New!$LP$3))</f>
        <v>0.71946216770392768</v>
      </c>
      <c r="DM45" s="183" cm="1">
        <f t="array" ref="DM45">((Sheet3!DA45-Sheet3!DB45)/New!$LQ$3)/(((Sheet3!DA45-Sheet3!DB45)/New!$LQ$3)+((Sheet3!DB45-(SUM(Sheet3!B45:H45*0.004)))/New!$LP$3))</f>
        <v>0.71946216770392768</v>
      </c>
      <c r="DN45" s="183" cm="1">
        <f t="array" ref="DN45">((Sheet3!DA45-Sheet3!DB45)/New!$LQ$3)/(((Sheet3!DA45-Sheet3!DB45)/New!$LQ$3)+((Sheet3!DB45-(SUM(Sheet3!B45:I45*0.004)))/New!$LP$3))</f>
        <v>0.72420293858759077</v>
      </c>
      <c r="DO45" s="186">
        <f>(Sheet3!DB45/$LP$3) / ((Sheet3!DB45/$LP$3) + ((Sheet3!DA45-Sheet3!DB45)/$LQ$3))</f>
        <v>0.28667590576123536</v>
      </c>
      <c r="DP45" s="183">
        <f>((Sheet3!$DB45-(Sheet3!B45/4000)) / $LP$3) / (((Sheet3!$DA45-Sheet3!DB45) / $LQ$3) + (Sheet3!$DB45-((Sheet3!B45/4000)))/$LP$3)</f>
        <v>0.28667590576123536</v>
      </c>
      <c r="DQ45" s="183">
        <f>((Sheet3!$DB45-(SUM(Sheet3!B45:C45)/4000))/$LP$3)/(((Sheet3!$DA45-Sheet3!$DB45)/$LQ$3)+(Sheet3!$DB45-(SUM(Sheet3!B45:C45)/4000))/$LP$3)</f>
        <v>0.28667181588116963</v>
      </c>
      <c r="DR45" s="183">
        <f>((Sheet3!$DB45-(SUM(Sheet3!B45:D45)/4000))/$LP$3)/(((Sheet3!$DA45-Sheet3!$DB45)/$LQ$3)+(Sheet3!$DB45-(SUM(Sheet3!B45:D45)/4000))/$LP$3)</f>
        <v>0.28667181588116963</v>
      </c>
      <c r="DS45" s="183">
        <f>((Sheet3!$DB45-(SUM(Sheet3!B45:E45)/4000))/$LP$3)/(((Sheet3!$DA45-Sheet3!$DB45)/$LQ$3)+(Sheet3!$DB45-(SUM(Sheet3!B45:E45)/4000))/$LP$3)</f>
        <v>0.28652761763868478</v>
      </c>
      <c r="DT45" s="183">
        <f>((Sheet3!$DB45-(SUM(Sheet3!B45:F45)/4000))/$LP$3)/(((Sheet3!$DA45-Sheet3!$DB45)/$LQ$3)+(Sheet3!$DB45-(SUM(Sheet3!B45:F45)/4000))/$LP$3)</f>
        <v>0.28652761763868478</v>
      </c>
      <c r="DU45" s="183">
        <f>((Sheet3!$DB45-(SUM(Sheet3!B45:G45)/4000))/$LP$3)/(((Sheet3!$DA45-Sheet3!$DB45)/$LQ$3)+(Sheet3!$DB45-(SUM(Sheet3!B45:G45)/4000))/$LP$3)</f>
        <v>0.28629534617500418</v>
      </c>
      <c r="DV45" s="183">
        <f>((Sheet3!$DB45-(SUM(Sheet3!B45:H45)/4000))/$LP$3)/(((Sheet3!$DA45-Sheet3!$DB45)/$LQ$3)+(Sheet3!$DB45-(SUM(Sheet3!B45:H45)/4000))/$LP$3)</f>
        <v>0.28629534617500418</v>
      </c>
      <c r="DW45" s="183">
        <f>((Sheet3!$DB45-(SUM(Sheet3!B45:I45)/4000))/$LP$3)/(((Sheet3!$DA45-Sheet3!$DB45)/$LQ$3)+(Sheet3!$DB45-(SUM(Sheet3!B45:I45)/4000))/$LP$3)</f>
        <v>0.28600556237931396</v>
      </c>
      <c r="DX45" s="186">
        <f>($LR$2*($LP$3/1000))/($LP$2*(Sheet3!DF45+273))*DO45</f>
        <v>0.13167525116803988</v>
      </c>
      <c r="DY45" s="183">
        <f>(($LR$2*($LP$3/1000))/($LP$2*(Sheet3!BZ45+273)))*(DP45)</f>
        <v>0.13176875849684655</v>
      </c>
      <c r="DZ45" s="183">
        <f>(($LR$2*($LP$3/1000))/($LP$2*(Sheet3!CA45+273)))*(DQ45)</f>
        <v>0.13491144325728271</v>
      </c>
      <c r="EA45" s="183">
        <f>(($LR$2*($LP$3/1000))/($LP$2*(Sheet3!CB45+273)))*(DR45)</f>
        <v>0.13745276932012215</v>
      </c>
      <c r="EB45" s="183">
        <f>(($LR$2*($LP$3/1000))/($LP$2*(Sheet3!CC45+273)))*(DS45)</f>
        <v>0.14049401697935376</v>
      </c>
      <c r="EC45" s="183">
        <f>(($LR$2*($LP$3/1000))/($LP$2*(Sheet3!CD45+273)))*(DT45)</f>
        <v>0.14184175571616936</v>
      </c>
      <c r="ED45" s="183">
        <f>(($LR$2*($LP$3/1000))/($LP$2*(Sheet3!CE45+273)))*(DU45)</f>
        <v>0.14434667339259355</v>
      </c>
      <c r="EE45" s="183">
        <f>(($LR$2*($LP$3/1000))/($LP$2*(Sheet3!CF45+273)))*(DV45)</f>
        <v>0.14634356643721724</v>
      </c>
      <c r="EF45" s="183">
        <f>(($LR$2*($LP$3/1000))/($LP$2*(Sheet3!CG45+273)))*(DW45)</f>
        <v>0.14878994713077182</v>
      </c>
      <c r="EG45" s="186">
        <f>(($LR$2*($LQ$3/1000))/($LQ$2*(Sheet3!DF45+273)))*(1-DO45)</f>
        <v>0.52670100467215963</v>
      </c>
      <c r="EH45" s="183">
        <f>(($LR$2*($LQ$3/1000))/($LQ$2*(Sheet3!BZ45+273)))*(1-DP45)</f>
        <v>0.52707503398738642</v>
      </c>
      <c r="EI45" s="183">
        <f>(($LR$2*($LQ$3/1000))/($LQ$2*(Sheet3!CA45+273)))*(1-DQ45)</f>
        <v>0.5396565661604541</v>
      </c>
      <c r="EJ45" s="183">
        <f>(($LR$2*($LQ$3/1000))/($LQ$2*(Sheet3!CB45+273)))*(1-DR45)</f>
        <v>0.54982207372196312</v>
      </c>
      <c r="EK45" s="183">
        <f>(($LR$2*($LQ$3/1000))/($LQ$2*(Sheet3!CC45+273)))*(1-DS45)</f>
        <v>0.56238379616963807</v>
      </c>
      <c r="EL45" s="183">
        <f>(($LR$2*($LQ$3/1000))/($LQ$2*(Sheet3!CD45+273)))*(1-DT45)</f>
        <v>0.56777866239491381</v>
      </c>
      <c r="EM45" s="183">
        <f>(($LR$2*($LQ$3/1000))/($LQ$2*(Sheet3!CE45+273)))*(1-DU45)</f>
        <v>0.57846263406974407</v>
      </c>
      <c r="EN45" s="183">
        <f>(($LR$2*($LQ$3/1000))/($LQ$2*(Sheet3!CF45+273)))*(1-DV45)</f>
        <v>0.58646509081779008</v>
      </c>
      <c r="EO45" s="183">
        <f>(($LR$2*($LQ$3/1000))/($LQ$2*(Sheet3!CG45+273)))*(1-DW45)</f>
        <v>0.59711534126573285</v>
      </c>
      <c r="EP45" s="186">
        <f t="shared" si="132"/>
        <v>4920.6171533089964</v>
      </c>
      <c r="EQ45" s="183">
        <f xml:space="preserve"> (($FV45-(Sheet3!B45/4000))*0.018)/(0.011*JO45*3600)</f>
        <v>4923.531915709661</v>
      </c>
      <c r="ER45" s="183">
        <f>((($FV45-(SUM(Sheet3!B45:C45)/4000))*0.018)/(0.011*JP45*3600))</f>
        <v>5021.1573355453211</v>
      </c>
      <c r="ES45" s="183">
        <f>((($FV45-(SUM(Sheet3!B45:D45)/4000))*0.018)/(0.011*JQ45*3600))</f>
        <v>5099.5606661583915</v>
      </c>
      <c r="ET45" s="183">
        <f>((($FV45-(SUM(Sheet3!B45:E45)/4000))*0.018)/(0.011*JR45))/3600</f>
        <v>5193.8878877453917</v>
      </c>
      <c r="EU45" s="183">
        <f>((($FV45-(SUM(Sheet3!B45:F45)/4000))*0.018)/(0.011*JS45))/3600</f>
        <v>5235.0000463014585</v>
      </c>
      <c r="EV45" s="183">
        <f>((($FV45-(SUM(Sheet3!B45:G45)/4000))*0.018)/(0.011*JT45))/3600</f>
        <v>5312.8680465625948</v>
      </c>
      <c r="EW45" s="183">
        <f>((($FV45-(SUM(Sheet3!B45:H45)/4000))*0.018)/(0.011*JU45))/3600</f>
        <v>5373.2191518127502</v>
      </c>
      <c r="EX45" s="183">
        <f>((($FV45-(SUM(Sheet3!B45:I45)/4000))*0.018)/(0.011*JV45))/3600</f>
        <v>5449.0465222984121</v>
      </c>
      <c r="EY45" s="186">
        <f t="shared" si="133"/>
        <v>49.092726583998683</v>
      </c>
      <c r="EZ45" s="183">
        <f t="shared" si="134"/>
        <v>49.11512923353353</v>
      </c>
      <c r="FA45" s="183">
        <f t="shared" si="135"/>
        <v>49.86733787441981</v>
      </c>
      <c r="FB45" s="183">
        <f t="shared" si="136"/>
        <v>50.474463732511218</v>
      </c>
      <c r="FC45" s="183">
        <f t="shared" si="137"/>
        <v>51.204162125228486</v>
      </c>
      <c r="FD45" s="183">
        <f t="shared" si="138"/>
        <v>51.525424346818468</v>
      </c>
      <c r="FE45" s="183">
        <f t="shared" si="139"/>
        <v>52.12896337452618</v>
      </c>
      <c r="FF45" s="183">
        <f t="shared" si="140"/>
        <v>52.604442681298544</v>
      </c>
      <c r="FG45" s="183">
        <f t="shared" si="141"/>
        <v>53.195404005321706</v>
      </c>
      <c r="FH45" s="186">
        <f t="shared" si="185"/>
        <v>117.09030337733225</v>
      </c>
      <c r="FI45" s="183">
        <f t="shared" si="186"/>
        <v>117.03881614279562</v>
      </c>
      <c r="FJ45" s="183">
        <f t="shared" si="187"/>
        <v>115.33107187289106</v>
      </c>
      <c r="FK45" s="183">
        <f t="shared" si="188"/>
        <v>113.98560156336227</v>
      </c>
      <c r="FL45" s="183">
        <f t="shared" si="189"/>
        <v>112.34369180168632</v>
      </c>
      <c r="FM45" s="183">
        <f t="shared" si="190"/>
        <v>111.6598299790224</v>
      </c>
      <c r="FN45" s="183">
        <f t="shared" si="191"/>
        <v>110.29867420618901</v>
      </c>
      <c r="FO45" s="183">
        <f t="shared" si="192"/>
        <v>109.31972110891718</v>
      </c>
      <c r="FP45" s="183">
        <f t="shared" si="193"/>
        <v>108.00675832152098</v>
      </c>
      <c r="FQ45" s="314">
        <f>Sheet3!CV45</f>
        <v>2</v>
      </c>
      <c r="FR45" s="183">
        <v>5000</v>
      </c>
      <c r="FS45" s="183">
        <v>20</v>
      </c>
      <c r="FT45" s="183">
        <v>4.3186813186813187E-2</v>
      </c>
      <c r="FU45" s="183">
        <v>5.18</v>
      </c>
      <c r="FV45" s="183">
        <v>250</v>
      </c>
      <c r="FW45" s="183">
        <v>50</v>
      </c>
      <c r="FX45" s="183">
        <v>495</v>
      </c>
      <c r="FY45" s="183">
        <v>43.92</v>
      </c>
      <c r="FZ45" s="183">
        <v>10.94</v>
      </c>
      <c r="GA45" s="183">
        <v>205</v>
      </c>
      <c r="GB45" s="186">
        <f>EXP($LP$6-($LQ$6/('Trial and Error method'!T45+$LP$8))) / ($LR$2/1000)</f>
        <v>0.17378752999249134</v>
      </c>
      <c r="GC45" s="183">
        <f>EXP($LP$6-($LQ$6/('Trial and Error method'!U45+$LP$8))) / ($LR$2/1000)</f>
        <v>0.24085922417767527</v>
      </c>
      <c r="GD45" s="183">
        <f>EXP($LP$6-($LQ$6/('Trial and Error method'!V45+$LP$8))) / ($LR$2/1000)</f>
        <v>0.2293721531947564</v>
      </c>
      <c r="GE45" s="183">
        <f>EXP($LP$6-($LQ$6/('Trial and Error method'!W45+$LP$8))) / ($LR$2/1000)</f>
        <v>0.21991589192567151</v>
      </c>
      <c r="GF45" s="183">
        <f>EXP($LP$6-($LQ$6/('Trial and Error method'!X45+$LP$8))) / ($LR$2/1000)</f>
        <v>0.20990713436407327</v>
      </c>
      <c r="GG45" s="183">
        <f>EXP($LP$6-($LQ$6/('Trial and Error method'!Y45+$LP$8))) / ($LR$2/1000)</f>
        <v>0.20277579048509908</v>
      </c>
      <c r="GH45" s="183">
        <f>EXP($LP$6-($LQ$6/('Trial and Error method'!Z45+$LP$8))) / ($LR$2/1000)</f>
        <v>0.19417569694853681</v>
      </c>
      <c r="GI45" s="183">
        <f>EXP($LP$6-($LQ$6/('Trial and Error method'!AA45+$LP$8))) / ($LR$2/1000)</f>
        <v>0.18685549479897592</v>
      </c>
      <c r="GJ45" s="183">
        <f>EXP($LP$6-($LQ$6/('Trial and Error method'!AB45+$LP$8))) / ($LR$2/1000)</f>
        <v>0.17886811870773003</v>
      </c>
      <c r="GK45" s="188">
        <f t="shared" si="142"/>
        <v>0.76838668572791202</v>
      </c>
      <c r="GL45" s="165">
        <f t="shared" si="143"/>
        <v>0.73599477112010592</v>
      </c>
      <c r="GM45" s="165">
        <f t="shared" si="144"/>
        <v>0.741609118892115</v>
      </c>
      <c r="GN45" s="165">
        <f t="shared" si="145"/>
        <v>0.74620854625146926</v>
      </c>
      <c r="GO45" s="165">
        <f t="shared" si="146"/>
        <v>0.75113141964633712</v>
      </c>
      <c r="GP45" s="165">
        <f t="shared" si="147"/>
        <v>0.75457380479153024</v>
      </c>
      <c r="GQ45" s="165">
        <f t="shared" si="148"/>
        <v>0.75883279029306216</v>
      </c>
      <c r="GR45" s="165">
        <f t="shared" si="149"/>
        <v>0.7623439779523159</v>
      </c>
      <c r="GS45" s="165">
        <f t="shared" si="150"/>
        <v>0.76631533826704523</v>
      </c>
      <c r="GT45" s="188">
        <f t="shared" si="194"/>
        <v>7.7644168021115567E-2</v>
      </c>
      <c r="GU45" s="165">
        <f t="shared" si="195"/>
        <v>8.1052904379871074E-2</v>
      </c>
      <c r="GV45" s="165">
        <f t="shared" si="196"/>
        <v>8.0381434361034509E-2</v>
      </c>
      <c r="GW45" s="165">
        <f t="shared" si="197"/>
        <v>7.984962187989128E-2</v>
      </c>
      <c r="GX45" s="165">
        <f t="shared" si="198"/>
        <v>7.9287459443099159E-2</v>
      </c>
      <c r="GY45" s="165">
        <f t="shared" si="199"/>
        <v>7.8915326543152739E-2</v>
      </c>
      <c r="GZ45" s="165">
        <f t="shared" si="200"/>
        <v>7.8448759322290923E-2</v>
      </c>
      <c r="HA45" s="165">
        <f t="shared" si="201"/>
        <v>7.8082049292478251E-2</v>
      </c>
      <c r="HB45" s="165">
        <f t="shared" si="202"/>
        <v>7.765838316950989E-2</v>
      </c>
      <c r="HC45" s="188">
        <f>BV45*Sheet3!DF45</f>
        <v>249.35214232174931</v>
      </c>
      <c r="HD45" s="165">
        <f>BW45*Sheet3!BZ45</f>
        <v>248.92140842679413</v>
      </c>
      <c r="HE45" s="165">
        <f>BX45*Sheet3!CA45</f>
        <v>234.8159553822189</v>
      </c>
      <c r="HF45" s="165">
        <f>BY45*Sheet3!CB45</f>
        <v>223.93740973626998</v>
      </c>
      <c r="HG45" s="165">
        <f>BZ45*Sheet3!CC45</f>
        <v>211.1107208354687</v>
      </c>
      <c r="HH45" s="165">
        <f>CA45*Sheet3!CD45</f>
        <v>205.78609835439403</v>
      </c>
      <c r="HI45" s="165">
        <f>CB45*Sheet3!CE45</f>
        <v>195.59923243917228</v>
      </c>
      <c r="HJ45" s="165">
        <f>CC45*Sheet3!CF45</f>
        <v>188.21081199380819</v>
      </c>
      <c r="HK45" s="165">
        <f>CD45*Sheet3!CG45</f>
        <v>178.76613949905385</v>
      </c>
      <c r="HL45" s="188">
        <f>(CE45*Sheet3!DF45)+2501</f>
        <v>2899.0054276934375</v>
      </c>
      <c r="HM45" s="165">
        <f>(CF45*Sheet3!BZ45)+2501</f>
        <v>2898.3080971627996</v>
      </c>
      <c r="HN45" s="165">
        <f>(CG45*Sheet3!CA45)+2501</f>
        <v>2875.5005977051605</v>
      </c>
      <c r="HO45" s="165">
        <f>(CH45*Sheet3!CB45)+2501</f>
        <v>2857.9382963956368</v>
      </c>
      <c r="HP45" s="165">
        <f>(CI45*Sheet3!CC45)+2501</f>
        <v>2837.4170041724242</v>
      </c>
      <c r="HQ45" s="165">
        <f>(CJ45*Sheet3!CD45)+2501</f>
        <v>2828.8428285936861</v>
      </c>
      <c r="HR45" s="165">
        <f>(CK45*Sheet3!CE45)+2501</f>
        <v>2812.681624206069</v>
      </c>
      <c r="HS45" s="165">
        <f>(CL45*Sheet3!CF45)+2501</f>
        <v>2800.8033459437224</v>
      </c>
      <c r="HT45" s="165">
        <f>(CM45*Sheet3!CG45)+2501</f>
        <v>2785.892418005787</v>
      </c>
      <c r="HU45" s="188">
        <f>-0.0021*(Sheet3!DF45^2) - 2.2115*(Sheet3!DF45) + 2499</f>
        <v>1957.3899999999999</v>
      </c>
      <c r="HV45" s="165">
        <f>-0.0021*(Sheet3!BZ45^2) - 2.2115*(Sheet3!BZ45) + 2499</f>
        <v>1958.4319629732936</v>
      </c>
      <c r="HW45" s="165">
        <f>-0.0021*(Sheet3!CA45^2) - 2.2115*(Sheet3!CA45) + 2499</f>
        <v>1992.3634460092908</v>
      </c>
      <c r="HX45" s="165">
        <f>-0.0021*(Sheet3!CB45^2) - 2.2115*(Sheet3!CB45) + 2499</f>
        <v>2018.2934151635143</v>
      </c>
      <c r="HY45" s="165">
        <f>-0.0021*(Sheet3!CC45^2) - 2.2115*(Sheet3!CC45) + 2499</f>
        <v>2048.3692124127119</v>
      </c>
      <c r="HZ45" s="165">
        <f>-0.0021*(Sheet3!CD45^2) - 2.2115*(Sheet3!CD45) + 2499</f>
        <v>2060.8629489576174</v>
      </c>
      <c r="IA45" s="165">
        <f>-0.0021*(Sheet3!CE45^2) - 2.2115*(Sheet3!CE45) + 2499</f>
        <v>2084.2935933799395</v>
      </c>
      <c r="IB45" s="165">
        <f>-0.0021*(Sheet3!CF45^2) - 2.2115*(Sheet3!CF45) + 2499</f>
        <v>2101.4144780606002</v>
      </c>
      <c r="IC45" s="165">
        <f>-0.0021*(Sheet3!CG45^2) - 2.2115*(Sheet3!CG45) + 2499</f>
        <v>2122.7836219638675</v>
      </c>
      <c r="ID45" s="188">
        <f t="shared" si="203"/>
        <v>0.6543057114733688</v>
      </c>
      <c r="IE45" s="165">
        <f t="shared" si="204"/>
        <v>0.654456864118796</v>
      </c>
      <c r="IF45" s="165">
        <f t="shared" si="205"/>
        <v>0.65962098668640945</v>
      </c>
      <c r="IG45" s="165">
        <f t="shared" si="206"/>
        <v>0.66392271034347172</v>
      </c>
      <c r="IH45" s="165">
        <f t="shared" si="207"/>
        <v>0.66911887065390763</v>
      </c>
      <c r="II45" s="165">
        <f t="shared" si="208"/>
        <v>0.6715160302118256</v>
      </c>
      <c r="IJ45" s="165">
        <f t="shared" si="209"/>
        <v>0.67590153540704401</v>
      </c>
      <c r="IK45" s="165">
        <f t="shared" si="210"/>
        <v>0.67959859749805529</v>
      </c>
      <c r="IL45" s="165">
        <f t="shared" si="211"/>
        <v>0.68403598837779467</v>
      </c>
      <c r="IM45" s="188">
        <f t="shared" si="212"/>
        <v>17.156766097324326</v>
      </c>
      <c r="IN45" s="165">
        <f t="shared" si="151"/>
        <v>7.2727841950586569</v>
      </c>
      <c r="IO45" s="165">
        <f t="shared" si="152"/>
        <v>9.1764854878704227</v>
      </c>
      <c r="IP45" s="165">
        <f t="shared" si="153"/>
        <v>10.75838243786928</v>
      </c>
      <c r="IQ45" s="165">
        <f t="shared" si="154"/>
        <v>12.443931987833116</v>
      </c>
      <c r="IR45" s="165">
        <f t="shared" si="155"/>
        <v>13.620867235078295</v>
      </c>
      <c r="IS45" s="165">
        <f t="shared" si="156"/>
        <v>15.062506549202045</v>
      </c>
      <c r="IT45" s="165">
        <f t="shared" si="157"/>
        <v>16.316364159994173</v>
      </c>
      <c r="IU45" s="165">
        <f t="shared" si="158"/>
        <v>17.661815853783438</v>
      </c>
      <c r="IV45" s="188">
        <f>_xlfn.FORECAST.LINEAR(Sheet3!DF45,Sheet2!$AK$2:$AK$69,Sheet2!$AJ$2:$AJ$69)</f>
        <v>1.5962912137298422E-5</v>
      </c>
      <c r="IW45" s="165">
        <f>_xlfn.FORECAST.LINEAR(Sheet3!BZ45,Sheet2!$AK$2:$AK$69,Sheet2!$AJ$2:$AJ$69)</f>
        <v>1.5951035817617762E-5</v>
      </c>
      <c r="IX45" s="165">
        <f>_xlfn.FORECAST.LINEAR(Sheet3!CA45,Sheet2!$AK$2:$AK$69,Sheet2!$AJ$2:$AJ$69)</f>
        <v>1.5561226583219637E-5</v>
      </c>
      <c r="IY45" s="165">
        <f>_xlfn.FORECAST.LINEAR(Sheet3!CB45,Sheet2!$AK$2:$AK$69,Sheet2!$AJ$2:$AJ$69)</f>
        <v>1.5259228108210835E-5</v>
      </c>
      <c r="IZ45" s="165">
        <f>_xlfn.FORECAST.LINEAR(Sheet3!CC45,Sheet2!$AK$2:$AK$69,Sheet2!$AJ$2:$AJ$69)</f>
        <v>1.4904292298567059E-5</v>
      </c>
      <c r="JA45" s="165">
        <f>_xlfn.FORECAST.LINEAR(Sheet3!CD45,Sheet2!$AK$2:$AK$69,Sheet2!$AJ$2:$AJ$69)</f>
        <v>1.4755331525954653E-5</v>
      </c>
      <c r="JB45" s="165">
        <f>_xlfn.FORECAST.LINEAR(Sheet3!CE45,Sheet2!$AK$2:$AK$69,Sheet2!$AJ$2:$AJ$69)</f>
        <v>1.4473491886214206E-5</v>
      </c>
      <c r="JC45" s="165">
        <f>_xlfn.FORECAST.LINEAR(Sheet3!CF45,Sheet2!$AK$2:$AK$69,Sheet2!$AJ$2:$AJ$69)</f>
        <v>1.426545022017866E-5</v>
      </c>
      <c r="JD45" s="165">
        <f>_xlfn.FORECAST.LINEAR(Sheet3!CG45,Sheet2!$AK$2:$AK$69,Sheet2!$AJ$2:$AJ$69)</f>
        <v>1.4003219464211091E-5</v>
      </c>
      <c r="JE45" s="188">
        <f>_xlfn.FORECAST.LINEAR(Sheet3!DF45,New!$MC$2:$MC$18,New!$MB$2:$MB$18)</f>
        <v>2.5847452754227255E-5</v>
      </c>
      <c r="JF45" s="165">
        <f>_xlfn.FORECAST.LINEAR(Sheet3!BZ45,New!$MC$2:$MC$18,New!$MB$2:$MB$18)</f>
        <v>2.5833491853787196E-5</v>
      </c>
      <c r="JG45" s="165">
        <f>_xlfn.FORECAST.LINEAR(Sheet3!CA45,New!$MC$2:$MC$18,New!$MB$2:$MB$18)</f>
        <v>2.5375261690034443E-5</v>
      </c>
      <c r="JH45" s="165">
        <f>_xlfn.FORECAST.LINEAR(Sheet3!CB45,New!$MC$2:$MC$18,New!$MB$2:$MB$18)</f>
        <v>2.5020255193407866E-5</v>
      </c>
      <c r="JI45" s="165">
        <f>_xlfn.FORECAST.LINEAR(Sheet3!CC45,New!$MC$2:$MC$18,New!$MB$2:$MB$18)</f>
        <v>2.4603019582184064E-5</v>
      </c>
      <c r="JJ45" s="165">
        <f>_xlfn.FORECAST.LINEAR(Sheet3!CD45,New!$MC$2:$MC$18,New!$MB$2:$MB$18)</f>
        <v>2.4427912598553182E-5</v>
      </c>
      <c r="JK45" s="165">
        <f>_xlfn.FORECAST.LINEAR(Sheet3!CE45,New!$MC$2:$MC$18,New!$MB$2:$MB$18)</f>
        <v>2.4096603299352791E-5</v>
      </c>
      <c r="JL45" s="165">
        <f>_xlfn.FORECAST.LINEAR(Sheet3!CF45,New!$MC$2:$MC$18,New!$MB$2:$MB$18)</f>
        <v>2.3852045299483811E-5</v>
      </c>
      <c r="JM45" s="165">
        <f>_xlfn.FORECAST.LINEAR(Sheet3!CG45,New!$MC$2:$MC$18,New!$MB$2:$MB$18)</f>
        <v>2.3543786716452652E-5</v>
      </c>
      <c r="JN45" s="188">
        <f t="shared" si="159"/>
        <v>2.3093925029291481E-5</v>
      </c>
      <c r="JO45" s="165">
        <f t="shared" si="160"/>
        <v>2.3080253277891969E-5</v>
      </c>
      <c r="JP45" s="165">
        <f t="shared" si="161"/>
        <v>2.2631417718474594E-5</v>
      </c>
      <c r="JQ45" s="165">
        <f t="shared" si="162"/>
        <v>2.2283470386972269E-5</v>
      </c>
      <c r="JR45" s="165">
        <f t="shared" si="163"/>
        <v>2.1875690969709682E-5</v>
      </c>
      <c r="JS45" s="165">
        <f t="shared" si="164"/>
        <v>2.1703894051330357E-5</v>
      </c>
      <c r="JT45" s="165">
        <f t="shared" si="165"/>
        <v>2.1380935854897777E-5</v>
      </c>
      <c r="JU45" s="165">
        <f t="shared" si="166"/>
        <v>2.1140788733838991E-5</v>
      </c>
      <c r="JV45" s="165">
        <f t="shared" si="167"/>
        <v>2.0840697790607468E-5</v>
      </c>
      <c r="JW45" s="188">
        <f t="shared" si="231"/>
        <v>0.99342087640971777</v>
      </c>
      <c r="JX45" s="165">
        <f t="shared" si="232"/>
        <v>0.99352840135978226</v>
      </c>
      <c r="JY45" s="165">
        <f t="shared" si="233"/>
        <v>0.99714573363515413</v>
      </c>
      <c r="JZ45" s="165">
        <f t="shared" si="234"/>
        <v>1.0000710235829504</v>
      </c>
      <c r="KA45" s="165">
        <f t="shared" si="235"/>
        <v>1.0036554959008528</v>
      </c>
      <c r="KB45" s="165">
        <f t="shared" si="236"/>
        <v>1.0052094677869319</v>
      </c>
      <c r="KC45" s="165">
        <f t="shared" si="237"/>
        <v>1.0082341443967153</v>
      </c>
      <c r="KD45" s="165">
        <f t="shared" si="238"/>
        <v>1.0105408355517591</v>
      </c>
      <c r="KE45" s="165">
        <f t="shared" si="239"/>
        <v>1.0135425662726725</v>
      </c>
      <c r="KF45" s="188">
        <f t="shared" si="75"/>
        <v>0.98626119619886909</v>
      </c>
      <c r="KG45" s="165">
        <f t="shared" si="240"/>
        <v>0.98616674885990818</v>
      </c>
      <c r="KH45" s="165">
        <f t="shared" si="241"/>
        <v>0.98300612340548077</v>
      </c>
      <c r="KI45" s="165">
        <f t="shared" si="242"/>
        <v>0.98047373770981083</v>
      </c>
      <c r="KJ45" s="165">
        <f t="shared" si="243"/>
        <v>0.97739903317970567</v>
      </c>
      <c r="KK45" s="165">
        <f t="shared" si="244"/>
        <v>0.97607564367944455</v>
      </c>
      <c r="KL45" s="165">
        <f t="shared" si="245"/>
        <v>0.97351620715042542</v>
      </c>
      <c r="KM45" s="165">
        <f t="shared" si="246"/>
        <v>0.97157876916379349</v>
      </c>
      <c r="KN45" s="165">
        <f t="shared" si="247"/>
        <v>0.96907605850675771</v>
      </c>
      <c r="KO45" s="188">
        <f t="shared" si="213"/>
        <v>0.6579513764620919</v>
      </c>
      <c r="KP45" s="165">
        <f t="shared" si="214"/>
        <v>0.65784430403664673</v>
      </c>
      <c r="KQ45" s="165">
        <f t="shared" si="215"/>
        <v>0.65161829849231423</v>
      </c>
      <c r="KR45" s="165">
        <f t="shared" si="216"/>
        <v>0.64664843643592751</v>
      </c>
      <c r="KS45" s="165">
        <f t="shared" si="217"/>
        <v>0.64063857511734112</v>
      </c>
      <c r="KT45" s="165">
        <f t="shared" si="218"/>
        <v>0.63805901154501787</v>
      </c>
      <c r="KU45" s="165">
        <f t="shared" si="219"/>
        <v>0.6330872033660736</v>
      </c>
      <c r="KV45" s="165">
        <f t="shared" si="220"/>
        <v>0.62933330876837623</v>
      </c>
      <c r="KW45" s="165">
        <f t="shared" si="221"/>
        <v>0.62458433461899965</v>
      </c>
      <c r="KX45" s="188">
        <f>AVERAGE(Sheet3!J45:P45)*KO45^(1/3)/ID45^(1/3)</f>
        <v>55.844319308172771</v>
      </c>
      <c r="KY45" s="165">
        <f>Sheet3!J45*KP45^(1/3)/IE45^(1/3)</f>
        <v>45.387142306772212</v>
      </c>
      <c r="KZ45" s="165">
        <f>Sheet3!K45*KQ45^(1/3)/IF45^(1/3)</f>
        <v>47.192686294634107</v>
      </c>
      <c r="LA45" s="165">
        <f>Sheet3!L45*KR45^(1/3)/IG45^(1/3)</f>
        <v>50.33419476522733</v>
      </c>
      <c r="LB45" s="165">
        <f>Sheet3!M45*KS45^(1/3)/IH45^(1/3)</f>
        <v>53.06284635005629</v>
      </c>
      <c r="LC45" s="165">
        <f>Sheet3!N45*KT45^(1/3)/II45^(1/3)</f>
        <v>57.176803019570094</v>
      </c>
      <c r="LD45" s="165">
        <f>Sheet3!O45*KU45^(1/3)/IJ45^(1/3)</f>
        <v>62.48022036647027</v>
      </c>
      <c r="LE45" s="165">
        <f>Sheet3!P45*KV45^(1/3)/IK45^(1/3)</f>
        <v>69.067238446324112</v>
      </c>
      <c r="LF45" s="165">
        <f>Sheet3!Q45*KW45^(1/3)/IL45^(1/3)</f>
        <v>76.247689497101561</v>
      </c>
      <c r="LG45" s="186">
        <f t="shared" si="248"/>
        <v>25.822332211443282</v>
      </c>
      <c r="LH45" s="183">
        <f t="shared" si="249"/>
        <v>25.822332211443282</v>
      </c>
      <c r="LI45" s="183">
        <f t="shared" si="250"/>
        <v>25.824153782078831</v>
      </c>
      <c r="LJ45" s="183">
        <f t="shared" si="251"/>
        <v>25.824153782078831</v>
      </c>
      <c r="LK45" s="183">
        <f t="shared" si="252"/>
        <v>25.888586512883478</v>
      </c>
      <c r="LL45" s="183">
        <f t="shared" si="253"/>
        <v>25.888586512883478</v>
      </c>
      <c r="LM45" s="183">
        <f t="shared" si="254"/>
        <v>25.993235038048446</v>
      </c>
      <c r="LN45" s="183">
        <f t="shared" si="255"/>
        <v>25.993235038048446</v>
      </c>
      <c r="LO45" s="183">
        <f t="shared" si="256"/>
        <v>26.125307307759972</v>
      </c>
      <c r="LP45" s="220"/>
      <c r="LQ45" s="220"/>
      <c r="LR45" s="220"/>
      <c r="LS45" s="220"/>
      <c r="LT45" s="220"/>
      <c r="LU45" s="220"/>
      <c r="LV45" s="220"/>
      <c r="LW45" s="220"/>
      <c r="LX45" s="220"/>
      <c r="LY45" s="220"/>
      <c r="LZ45" s="222">
        <v>172.94</v>
      </c>
      <c r="MA45" s="220">
        <v>1.5E-5</v>
      </c>
      <c r="MB45" s="220"/>
      <c r="MC45" s="220"/>
      <c r="MD45" s="188">
        <f>Sheet3!DP45</f>
        <v>110.95223861191941</v>
      </c>
      <c r="MF45" s="165"/>
      <c r="MP45"/>
      <c r="MQ45"/>
      <c r="MR45"/>
      <c r="MS45"/>
    </row>
    <row r="46" spans="1:357" x14ac:dyDescent="0.3">
      <c r="A46" s="184" t="str">
        <f>Sheet3!A46</f>
        <v>06.01.2023</v>
      </c>
      <c r="B46" s="186">
        <f t="shared" si="102"/>
        <v>0.77931707200010614</v>
      </c>
      <c r="C46" s="183">
        <f t="shared" si="168"/>
        <v>0.77841308230132034</v>
      </c>
      <c r="D46" s="183">
        <f t="shared" si="169"/>
        <v>0.77257080070702544</v>
      </c>
      <c r="E46" s="183">
        <f t="shared" si="170"/>
        <v>0.76429097265860857</v>
      </c>
      <c r="F46" s="183">
        <f t="shared" si="171"/>
        <v>0.76095316742692698</v>
      </c>
      <c r="G46" s="183">
        <f t="shared" si="172"/>
        <v>0.75697929967977162</v>
      </c>
      <c r="H46" s="183">
        <f t="shared" si="173"/>
        <v>0.75232808220369762</v>
      </c>
      <c r="I46" s="183">
        <f t="shared" si="174"/>
        <v>0.74507820502419975</v>
      </c>
      <c r="J46" s="183">
        <f t="shared" si="175"/>
        <v>0.74205666829476657</v>
      </c>
      <c r="K46" s="186">
        <f xml:space="preserve"> (6.057 * (10^(-6)))
+ (4.055 * (10^(-8)) * (Sheet3!DF46 + 273))
+ (1.25 * (10^(-10)) * (Sheet3!DF46 + 273)^2)
- (3.367 * (10^(-14)) * (DD46 + 273)^3)</f>
        <v>3.5902244964700816E-5</v>
      </c>
      <c r="L46" s="183">
        <f xml:space="preserve"> (6.057 * (10^(-6)))
+ (4.055 * (10^(-8)) * (Sheet3!BZ46 + 273))
+ (1.25 * (10^(-10)) * (Sheet3!BZ46 + 273)^2)
- (3.367 * (10^(-14)) * (BX46 + 273)^3)</f>
        <v>3.5843522853387433E-5</v>
      </c>
      <c r="M46" s="183">
        <f xml:space="preserve"> (6.057 * (10^(-6)))
+ (4.055 * (10^(-8)) * (Sheet3!CA46 + 273))
+ (1.25 * (10^(-10)) * (Sheet3!CA46 + 273)^2)
- (3.367 * (10^(-14)) * (BY46 + 273)^3)</f>
        <v>3.5436418889394381E-5</v>
      </c>
      <c r="N46" s="183">
        <f xml:space="preserve"> (6.057 * (10^(-6)))
+ (4.055 * (10^(-8)) * (Sheet3!CB46 + 273))
+ (1.25 * (10^(-10)) * (Sheet3!CB46 + 273)^2)
- (3.367 * (10^(-14)) * (BZ46 + 273)^3)</f>
        <v>3.4979118517563519E-5</v>
      </c>
      <c r="O46" s="183">
        <f xml:space="preserve"> (6.057 * (10^(-6)))
+ (4.055 * (10^(-8)) * (Sheet3!CC46 + 273))
+ (1.25 * (10^(-10)) * (Sheet3!CC46 + 273)^2)
- (3.367 * (10^(-14)) * (CA46 + 273)^3)</f>
        <v>3.4710237213800758E-5</v>
      </c>
      <c r="P46" s="183">
        <f xml:space="preserve"> (6.057 * (10^(-6)))
+ (4.055 * (10^(-8)) * (Sheet3!CD46 + 273))
+ (1.25 * (10^(-10)) * (Sheet3!CD46 + 273)^2)
- (3.367 * (10^(-14)) * (CB46 + 273)^3)</f>
        <v>3.4495071840036857E-5</v>
      </c>
      <c r="Q46" s="183">
        <f xml:space="preserve"> (6.057 * (10^(-6)))
+ (4.055 * (10^(-8)) * (Sheet3!CE46 + 273))
+ (1.25 * (10^(-10)) * (Sheet3!CE46 + 273)^2)
- (3.367 * (10^(-14)) * (CC46 + 273)^3)</f>
        <v>3.4167440453094211E-5</v>
      </c>
      <c r="R46" s="183">
        <f xml:space="preserve"> (6.057 * (10^(-6)))
+ (4.055 * (10^(-8)) * (Sheet3!CF46 + 273))
+ (1.25 * (10^(-10)) * (Sheet3!CF46 + 273)^2)
- (3.367 * (10^(-14)) * (CD46 + 273)^3)</f>
        <v>3.3787447314174118E-5</v>
      </c>
      <c r="S46" s="183">
        <f xml:space="preserve"> (6.057 * (10^(-6)))
+ (4.055 * (10^(-8)) * (Sheet3!CG46 + 273))
+ (1.25 * (10^(-10)) * (Sheet3!CG46 + 273)^2)
- (3.367 * (10^(-14)) * (CE46 + 273)^3)</f>
        <v>3.3517988428861354E-5</v>
      </c>
      <c r="T46" s="188">
        <f t="shared" si="104"/>
        <v>3.5902244964700816E-5</v>
      </c>
      <c r="U46" s="165">
        <f t="shared" si="105"/>
        <v>3.5843522853387433E-5</v>
      </c>
      <c r="V46" s="165">
        <f t="shared" si="106"/>
        <v>3.5436418889394381E-5</v>
      </c>
      <c r="W46" s="165">
        <f t="shared" si="107"/>
        <v>3.4979118517563519E-5</v>
      </c>
      <c r="X46" s="165">
        <f t="shared" si="108"/>
        <v>3.4710237213800758E-5</v>
      </c>
      <c r="Y46" s="165">
        <f t="shared" si="109"/>
        <v>3.4495071840036857E-5</v>
      </c>
      <c r="Z46" s="165">
        <f t="shared" si="110"/>
        <v>3.4167440453094211E-5</v>
      </c>
      <c r="AA46" s="165">
        <f t="shared" si="111"/>
        <v>3.3787447314174118E-5</v>
      </c>
      <c r="AB46" s="165">
        <f t="shared" si="112"/>
        <v>3.3517988428861354E-5</v>
      </c>
      <c r="AC46" s="186">
        <f t="shared" si="176"/>
        <v>2.7979232424121193E-5</v>
      </c>
      <c r="AD46" s="183">
        <f t="shared" si="177"/>
        <v>2.7901067104843129E-5</v>
      </c>
      <c r="AE46" s="183">
        <f t="shared" si="178"/>
        <v>2.7377142515568979E-5</v>
      </c>
      <c r="AF46" s="183">
        <f t="shared" si="179"/>
        <v>2.6734224514529369E-5</v>
      </c>
      <c r="AG46" s="183">
        <f t="shared" si="180"/>
        <v>2.6412864949981678E-5</v>
      </c>
      <c r="AH46" s="183">
        <f t="shared" si="181"/>
        <v>2.611205532387451E-5</v>
      </c>
      <c r="AI46" s="183">
        <f t="shared" si="182"/>
        <v>2.5705124949885405E-5</v>
      </c>
      <c r="AJ46" s="183">
        <f t="shared" si="183"/>
        <v>2.5174290597194572E-5</v>
      </c>
      <c r="AK46" s="183">
        <f t="shared" si="184"/>
        <v>2.4872246821463392E-5</v>
      </c>
      <c r="AL46" s="186">
        <f t="shared" si="113"/>
        <v>2.9166705765551731E-2</v>
      </c>
      <c r="AM46" s="183">
        <f t="shared" si="114"/>
        <v>2.9116110039027508E-2</v>
      </c>
      <c r="AN46" s="183">
        <f t="shared" si="115"/>
        <v>2.8755239093104019E-2</v>
      </c>
      <c r="AO46" s="183">
        <f t="shared" si="116"/>
        <v>2.8343145914304181E-2</v>
      </c>
      <c r="AP46" s="183">
        <f t="shared" si="117"/>
        <v>2.81042700536039E-2</v>
      </c>
      <c r="AQ46" s="183">
        <f t="shared" si="118"/>
        <v>2.790858023788103E-2</v>
      </c>
      <c r="AR46" s="183">
        <f t="shared" si="119"/>
        <v>2.7614310767643251E-2</v>
      </c>
      <c r="AS46" s="183">
        <f t="shared" si="120"/>
        <v>2.7265036433285747E-2</v>
      </c>
      <c r="AT46" s="183">
        <f t="shared" si="121"/>
        <v>2.7028715196220413E-2</v>
      </c>
      <c r="AU46" s="186">
        <f>_xlfn.FORECAST.LINEAR(Sheet3!DF46,Sheet2!$AH$2:$AH$40,Sheet2!$AG$2:$AG$40)</f>
        <v>2.5653712965492358E-2</v>
      </c>
      <c r="AV46" s="183">
        <f>_xlfn.FORECAST.LINEAR(Sheet3!BZ46,Sheet2!$AH$2:$AH$40,Sheet2!$AG$2:$AG$40)</f>
        <v>2.5542491809594267E-2</v>
      </c>
      <c r="AW46" s="183">
        <f>_xlfn.FORECAST.LINEAR(Sheet3!CA46,Sheet2!$AH$2:$AH$40,Sheet2!$AG$2:$AG$40)</f>
        <v>2.4743827793612082E-2</v>
      </c>
      <c r="AX46" s="183">
        <f>_xlfn.FORECAST.LINEAR(Sheet3!CB46,Sheet2!$AH$2:$AH$40,Sheet2!$AG$2:$AG$40)</f>
        <v>2.3840821196916797E-2</v>
      </c>
      <c r="AY46" s="183">
        <f>_xlfn.FORECAST.LINEAR(Sheet3!CC46,Sheet2!$AH$2:$AH$40,Sheet2!$AG$2:$AG$40)</f>
        <v>2.3306965487224E-2</v>
      </c>
      <c r="AZ46" s="183">
        <f>_xlfn.FORECAST.LINEAR(Sheet3!CD46,Sheet2!$AH$2:$AH$40,Sheet2!$AG$2:$AG$40)</f>
        <v>2.2878133395433792E-2</v>
      </c>
      <c r="BA46" s="183">
        <f>_xlfn.FORECAST.LINEAR(Sheet3!CE46,Sheet2!$AH$2:$AH$40,Sheet2!$AG$2:$AG$40)</f>
        <v>2.2222470726137276E-2</v>
      </c>
      <c r="BB46" s="183">
        <f>_xlfn.FORECAST.LINEAR(Sheet3!CF46,Sheet2!$AH$2:$AH$40,Sheet2!$AG$2:$AG$40)</f>
        <v>2.1457770616727368E-2</v>
      </c>
      <c r="BC46" s="183">
        <f>_xlfn.FORECAST.LINEAR(Sheet3!CG46,Sheet2!$AH$2:$AH$40,Sheet2!$AG$2:$AG$40)</f>
        <v>2.0923799434324843E-2</v>
      </c>
      <c r="BD46" s="186">
        <f>_xlfn.FORECAST.LINEAR(Sheet3!DF46,Sheet2!$AB$12:$AB$37,Sheet2!$AA$12:$AA$37)/1000</f>
        <v>3.0506351161118033E-2</v>
      </c>
      <c r="BE46" s="183">
        <f>_xlfn.FORECAST.LINEAR(Sheet3!BZ46,Sheet2!$AB$12:$AB$37,Sheet2!$AA$12:$AA$37)/1000</f>
        <v>3.0481484685042994E-2</v>
      </c>
      <c r="BF46" s="183">
        <f>_xlfn.FORECAST.LINEAR(Sheet3!CA46,Sheet2!$AB$12:$AB$37,Sheet2!$AA$12:$AA$37)/1000</f>
        <v>3.0302921897369627E-2</v>
      </c>
      <c r="BG46" s="183">
        <f>_xlfn.FORECAST.LINEAR(Sheet3!CB46,Sheet2!$AB$12:$AB$37,Sheet2!$AA$12:$AA$37)/1000</f>
        <v>3.0101030523817442E-2</v>
      </c>
      <c r="BH46" s="183">
        <f>_xlfn.FORECAST.LINEAR(Sheet3!CC46,Sheet2!$AB$12:$AB$37,Sheet2!$AA$12:$AA$37)/1000</f>
        <v>2.9981672744037093E-2</v>
      </c>
      <c r="BI46" s="183">
        <f>_xlfn.FORECAST.LINEAR(Sheet3!CD46,Sheet2!$AB$12:$AB$37,Sheet2!$AA$12:$AA$37)/1000</f>
        <v>2.9885795814287491E-2</v>
      </c>
      <c r="BJ46" s="183">
        <f>_xlfn.FORECAST.LINEAR(Sheet3!CE46,Sheet2!$AB$12:$AB$37,Sheet2!$AA$12:$AA$37)/1000</f>
        <v>2.9739204817748145E-2</v>
      </c>
      <c r="BK46" s="183">
        <f>_xlfn.FORECAST.LINEAR(Sheet3!CF46,Sheet2!$AB$12:$AB$37,Sheet2!$AA$12:$AA$37)/1000</f>
        <v>2.9568235573437775E-2</v>
      </c>
      <c r="BL46" s="183">
        <f>_xlfn.FORECAST.LINEAR(Sheet3!CG46,Sheet2!$AB$12:$AB$37,Sheet2!$AA$12:$AA$37)/1000</f>
        <v>2.9448851976632325E-2</v>
      </c>
      <c r="BM46" s="186">
        <f t="shared" si="122"/>
        <v>0.88076507698614437</v>
      </c>
      <c r="BN46" s="183">
        <f t="shared" si="123"/>
        <v>0.8818543496956992</v>
      </c>
      <c r="BO46" s="183">
        <f t="shared" si="124"/>
        <v>0.88992769941199878</v>
      </c>
      <c r="BP46" s="183">
        <f t="shared" si="125"/>
        <v>0.89895023642341665</v>
      </c>
      <c r="BQ46" s="183">
        <f t="shared" si="126"/>
        <v>0.90465667601120292</v>
      </c>
      <c r="BR46" s="183">
        <f t="shared" si="127"/>
        <v>0.90906438324246253</v>
      </c>
      <c r="BS46" s="183">
        <f t="shared" si="128"/>
        <v>0.91615062311195661</v>
      </c>
      <c r="BT46" s="183">
        <f t="shared" si="129"/>
        <v>0.92423380248195963</v>
      </c>
      <c r="BU46" s="183">
        <f t="shared" si="130"/>
        <v>0.93031896146982718</v>
      </c>
      <c r="BV46" s="186">
        <f t="shared" si="222"/>
        <v>1.1835633224614164</v>
      </c>
      <c r="BW46" s="183">
        <f t="shared" si="223"/>
        <v>1.1833567081741709</v>
      </c>
      <c r="BX46" s="183">
        <f t="shared" si="224"/>
        <v>1.1802503602256527</v>
      </c>
      <c r="BY46" s="183">
        <f t="shared" si="225"/>
        <v>1.1793557007689963</v>
      </c>
      <c r="BZ46" s="183">
        <f t="shared" si="226"/>
        <v>1.1761778777318059</v>
      </c>
      <c r="CA46" s="183">
        <f t="shared" si="227"/>
        <v>1.1757149588009868</v>
      </c>
      <c r="CB46" s="183">
        <f t="shared" si="228"/>
        <v>1.1725938375018714</v>
      </c>
      <c r="CC46" s="183">
        <f t="shared" si="229"/>
        <v>1.1718364242415111</v>
      </c>
      <c r="CD46" s="183">
        <f t="shared" si="230"/>
        <v>1.1680959296527416</v>
      </c>
      <c r="CE46" s="187">
        <f xml:space="preserve"> -0.0000000019505*Sheet3!DF46^3 + 0.0000015497*Sheet3!DF46^2  + 0.00016911*Sheet3!DF46 + 1.8585</f>
        <v>1.8828730816875001</v>
      </c>
      <c r="CF46" s="185">
        <f xml:space="preserve"> -0.0000000019505*Sheet3!BZ46^3 + 0.0000015497*Sheet3!BZ46^2  + 0.00016911*Sheet3!BZ46 + 1.8585</f>
        <v>1.8827024847792608</v>
      </c>
      <c r="CG46" s="185">
        <f xml:space="preserve"> -0.0000000019505*Sheet3!CA46^3 + 0.0000015497*Sheet3!CA46^2  + 0.00016911*Sheet3!CA46 + 1.8585</f>
        <v>1.8814893793073799</v>
      </c>
      <c r="CH46" s="185">
        <f xml:space="preserve"> -0.0000000019505*Sheet3!CB46^3 + 0.0000015497*Sheet3!CB46^2  + 0.00016911*Sheet3!CB46 + 1.8585</f>
        <v>1.8801433386889972</v>
      </c>
      <c r="CI46" s="185">
        <f xml:space="preserve"> -0.0000000019505*Sheet3!CC46^3 + 0.0000015497*Sheet3!CC46^2  + 0.00016911*Sheet3!CC46 + 1.8585</f>
        <v>1.8793605217648837</v>
      </c>
      <c r="CJ46" s="185">
        <f xml:space="preserve"> -0.0000000019505*Sheet3!CD46^3 + 0.0000015497*Sheet3!CD46^2  + 0.00016911*Sheet3!CD46 + 1.8585</f>
        <v>1.8787387719787978</v>
      </c>
      <c r="CK46" s="185">
        <f xml:space="preserve"> -0.0000000019505*Sheet3!CE46^3 + 0.0000015497*Sheet3!CE46^2  + 0.00016911*Sheet3!CE46 + 1.8585</f>
        <v>1.8778004555094177</v>
      </c>
      <c r="CL46" s="185">
        <f xml:space="preserve"> -0.0000000019505*Sheet3!CF46^3 + 0.0000015497*Sheet3!CF46^2  + 0.00016911*Sheet3!CF46 + 1.8585</f>
        <v>1.8767251345849616</v>
      </c>
      <c r="CM46" s="185">
        <f xml:space="preserve"> -0.0000000019505*Sheet3!CG46^3 + 0.0000015497*Sheet3!CG46^2  + 0.00016911*Sheet3!CG46 + 1.8585</f>
        <v>1.8759865808061107</v>
      </c>
      <c r="CN46" s="186">
        <f>_xlfn.FORECAST.LINEAR(Sheet3!DF46,New!$LU$2:$LU$14,New!$LT$2:$LT$14)</f>
        <v>1.0126209368728181</v>
      </c>
      <c r="CO46" s="183">
        <f>_xlfn.FORECAST.LINEAR(Sheet3!BZ46,New!$LU$2:$LU$14,New!$LT$2:$LT$14)</f>
        <v>1.0125390766429356</v>
      </c>
      <c r="CP46" s="183">
        <f>_xlfn.FORECAST.LINEAR(Sheet3!CA46,New!$LU$2:$LU$14,New!$LT$2:$LT$14)</f>
        <v>1.0119512494492768</v>
      </c>
      <c r="CQ46" s="183">
        <f>_xlfn.FORECAST.LINEAR(Sheet3!CB46,New!$LU$2:$LU$14,New!$LT$2:$LT$14)</f>
        <v>1.0112866247473138</v>
      </c>
      <c r="CR46" s="183">
        <f>_xlfn.FORECAST.LINEAR(Sheet3!CC46,New!$LU$2:$LU$14,New!$LT$2:$LT$14)</f>
        <v>1.0108936999411779</v>
      </c>
      <c r="CS46" s="183">
        <f>_xlfn.FORECAST.LINEAR(Sheet3!CD46,New!$LU$2:$LU$14,New!$LT$2:$LT$14)</f>
        <v>1.0105780738956527</v>
      </c>
      <c r="CT46" s="183">
        <f>_xlfn.FORECAST.LINEAR(Sheet3!CE46,New!$LU$2:$LU$14,New!$LT$2:$LT$14)</f>
        <v>1.0100954975692289</v>
      </c>
      <c r="CU46" s="183">
        <f>_xlfn.FORECAST.LINEAR(Sheet3!CF46,New!$LU$2:$LU$14,New!$LT$2:$LT$14)</f>
        <v>1.0095326682563894</v>
      </c>
      <c r="CV46" s="183">
        <f>_xlfn.FORECAST.LINEAR(Sheet3!CG46,New!$LU$2:$LU$14,New!$LT$2:$LT$14)</f>
        <v>1.0091396584608243</v>
      </c>
      <c r="CW46" s="186">
        <f>EXP((17.625*Sheet3!BA46)/(243.04+Sheet3!BA46)) / EXP((17.625*Sheet3!DF46)/(243.04+Sheet3!DF46))</f>
        <v>0.41431710958010765</v>
      </c>
      <c r="CX46" s="183">
        <f>EXP((17.625*(Sheet3!BC46+273))/(243.04+(Sheet3!BC46+273)))/EXP((17.625*(Sheet3!BZ46+273))/(243.04+(Sheet3!BZ46+273)))</f>
        <v>0.77919063837041125</v>
      </c>
      <c r="CY46" s="183">
        <f>EXP((17.625*(Sheet3!BE46+273))/(243.04+(Sheet3!BE46+273))) / EXP((17.625*(Sheet3!CA46+273))/(243.04+(Sheet3!CA46+273)))</f>
        <v>0.80839002049551334</v>
      </c>
      <c r="CZ46" s="183">
        <f>EXP((17.625*(Sheet3!BG46+273))/(243.04+(Sheet3!BG46+273))) / EXP((17.625*(Sheet3!CB46+273))/(243.04+(Sheet3!CB46+273)))</f>
        <v>0.84181308060307036</v>
      </c>
      <c r="DA46" s="183">
        <f>EXP((17.625*(Sheet3!BI46+273))/(243.04+(Sheet3!BI46+273))) / EXP((17.625*(Sheet3!CC46+273))/(243.04+(Sheet3!CC46+273)))</f>
        <v>0.86077606477704194</v>
      </c>
      <c r="DB46" s="183">
        <f>EXP((17.625*(Sheet3!BK46+273))/(243.04+(Sheet3!BK46+273)))/EXP((17.625*(Sheet3!CD46+273))/(243.04+(Sheet3!CD46+273)))</f>
        <v>0.8786758437106641</v>
      </c>
      <c r="DC46" s="183">
        <f>EXP((17.625*(Sheet3!BM46+273))/(243.04+(Sheet3!BM46+273))) / EXP((17.625*(Sheet3!CE46+273))/(243.04+(Sheet3!CE46+273)))</f>
        <v>0.90425844444085413</v>
      </c>
      <c r="DD46" s="183">
        <f>EXP((17.625*(Sheet3!BO46+273))/(243.04+(Sheet3!BO46+273))) / EXP((17.625*(Sheet3!CF46+273))/(243.04+(Sheet3!CF46+273)))</f>
        <v>0.93871995857894841</v>
      </c>
      <c r="DE46" s="183">
        <f>EXP((17.625*(Sheet3!BQ46+273))/(243.04+(Sheet3!BQ46+273))) / EXP((17.625*(Sheet3!CG46+273))/(243.04+(Sheet3!CG46+273)))</f>
        <v>0.95986516695275881</v>
      </c>
      <c r="DF46" s="186">
        <f>((Sheet3!DA46-Sheet3!DB46)/New!$LQ$3)/(((Sheet3!DA46-Sheet3!DB46)/New!$LQ$3)+(Sheet3!DB46/New!$LP$3))</f>
        <v>0.71789751468914798</v>
      </c>
      <c r="DG46" s="183">
        <f>((Sheet3!DA46-Sheet3!DB46)/New!$LQ$3)/(((Sheet3!DA46-Sheet3!DB46)/New!$LQ$3)+((Sheet3!DB46-(Sheet3!B46*0.004))/New!$LP$3))</f>
        <v>0.71838178664868668</v>
      </c>
      <c r="DH46" s="183" cm="1">
        <f t="array" ref="DH46">((Sheet3!DA46-Sheet3!DB46)/New!$LQ$3)/(((Sheet3!DA46-Sheet3!DB46)/New!$LQ$3)+((Sheet3!DB46-(SUM(Sheet3!B46:C46*0.004)))/New!$LP$3))</f>
        <v>0.72935555266821017</v>
      </c>
      <c r="DI46" s="183" cm="1">
        <f t="array" ref="DI46">((Sheet3!DA46-Sheet3!DB46)/New!$LQ$3)/(((Sheet3!DA46-Sheet3!DB46)/New!$LQ$3)+((Sheet3!DB46-(SUM(Sheet3!B46:D46*0.004)))/New!$LP$3))</f>
        <v>0.7298119186502724</v>
      </c>
      <c r="DJ46" s="183" cm="1">
        <f t="array" ref="DJ46">((Sheet3!DA46-Sheet3!DB46)/New!$LQ$3)/(((Sheet3!DA46-Sheet3!DB46)/New!$LQ$3)+((Sheet3!DB46-(SUM(Sheet3!B46:E46*0.004)))/New!$LP$3))</f>
        <v>0.7426234756616793</v>
      </c>
      <c r="DK46" s="183" cm="1">
        <f t="array" ref="DK46">((Sheet3!DA46-Sheet3!DB46)/New!$LQ$3)/(((Sheet3!DA46-Sheet3!DB46)/New!$LQ$3)+((Sheet3!DB46-(SUM(Sheet3!B46:F46*0.004)))/New!$LP$3))</f>
        <v>0.74305151622197385</v>
      </c>
      <c r="DL46" s="183" cm="1">
        <f t="array" ref="DL46">((Sheet3!DA46-Sheet3!DB46)/New!$LQ$3)/(((Sheet3!DA46-Sheet3!DB46)/New!$LQ$3)+((Sheet3!DB46-(SUM(Sheet3!B46:G46*0.004)))/New!$LP$3))</f>
        <v>0.75551982104248439</v>
      </c>
      <c r="DM46" s="183" cm="1">
        <f t="array" ref="DM46">((Sheet3!DA46-Sheet3!DB46)/New!$LQ$3)/(((Sheet3!DA46-Sheet3!DB46)/New!$LQ$3)+((Sheet3!DB46-(SUM(Sheet3!B46:H46*0.004)))/New!$LP$3))</f>
        <v>0.75600952786029452</v>
      </c>
      <c r="DN46" s="183" cm="1">
        <f t="array" ref="DN46">((Sheet3!DA46-Sheet3!DB46)/New!$LQ$3)/(((Sheet3!DA46-Sheet3!DB46)/New!$LQ$3)+((Sheet3!DB46-(SUM(Sheet3!B46:I46*0.004)))/New!$LP$3))</f>
        <v>0.77265562350165284</v>
      </c>
      <c r="DO46" s="186">
        <f>(Sheet3!DB46/$LP$3) / ((Sheet3!DB46/$LP$3) + ((Sheet3!DA46-Sheet3!DB46)/$LQ$3))</f>
        <v>0.28210248531085202</v>
      </c>
      <c r="DP46" s="183">
        <f>((Sheet3!$DB46-(Sheet3!B46/4000)) / $LP$3) / (((Sheet3!$DA46-Sheet3!DB46) / $LQ$3) + (Sheet3!$DB46-((Sheet3!B46/4000)))/$LP$3)</f>
        <v>0.28207223744240983</v>
      </c>
      <c r="DQ46" s="183">
        <f>((Sheet3!$DB46-(SUM(Sheet3!B46:C46)/4000))/$LP$3)/(((Sheet3!$DA46-Sheet3!$DB46)/$LQ$3)+(Sheet3!$DB46-(SUM(Sheet3!B46:C46)/4000))/$LP$3)</f>
        <v>0.28139691538980899</v>
      </c>
      <c r="DR46" s="183">
        <f>((Sheet3!$DB46-(SUM(Sheet3!B46:D46)/4000))/$LP$3)/(((Sheet3!$DA46-Sheet3!$DB46)/$LQ$3)+(Sheet3!$DB46-(SUM(Sheet3!B46:D46)/4000))/$LP$3)</f>
        <v>0.2813692435577082</v>
      </c>
      <c r="DS46" s="183">
        <f>((Sheet3!$DB46-(SUM(Sheet3!B46:E46)/4000))/$LP$3)/(((Sheet3!$DA46-Sheet3!$DB46)/$LQ$3)+(Sheet3!$DB46-(SUM(Sheet3!B46:E46)/4000))/$LP$3)</f>
        <v>0.28060545130591663</v>
      </c>
      <c r="DT46" s="183">
        <f>((Sheet3!$DB46-(SUM(Sheet3!B46:F46)/4000))/$LP$3)/(((Sheet3!$DA46-Sheet3!$DB46)/$LQ$3)+(Sheet3!$DB46-(SUM(Sheet3!B46:F46)/4000))/$LP$3)</f>
        <v>0.28058035979723228</v>
      </c>
      <c r="DU46" s="183">
        <f>((Sheet3!$DB46-(SUM(Sheet3!B46:G46)/4000))/$LP$3)/(((Sheet3!$DA46-Sheet3!$DB46)/$LQ$3)+(Sheet3!$DB46-(SUM(Sheet3!B46:G46)/4000))/$LP$3)</f>
        <v>0.27986120706024326</v>
      </c>
      <c r="DV46" s="183">
        <f>((Sheet3!$DB46-(SUM(Sheet3!B46:H46)/4000))/$LP$3)/(((Sheet3!$DA46-Sheet3!$DB46)/$LQ$3)+(Sheet3!$DB46-(SUM(Sheet3!B46:H46)/4000))/$LP$3)</f>
        <v>0.27983341682594221</v>
      </c>
      <c r="DW46" s="183">
        <f>((Sheet3!$DB46-(SUM(Sheet3!B46:I46)/4000))/$LP$3)/(((Sheet3!$DA46-Sheet3!$DB46)/$LQ$3)+(Sheet3!$DB46-(SUM(Sheet3!B46:I46)/4000))/$LP$3)</f>
        <v>0.27890850037116599</v>
      </c>
      <c r="DX46" s="186">
        <f>($LR$2*($LP$3/1000))/($LP$2*(Sheet3!DF46+273))*DO46</f>
        <v>0.17300742583656406</v>
      </c>
      <c r="DY46" s="183">
        <f>(($LR$2*($LP$3/1000))/($LP$2*(Sheet3!BZ46+273)))*(DP46)</f>
        <v>0.173200600531769</v>
      </c>
      <c r="DZ46" s="183">
        <f>(($LR$2*($LP$3/1000))/($LP$2*(Sheet3!CA46+273)))*(DQ46)</f>
        <v>0.1743179832928673</v>
      </c>
      <c r="EA46" s="183">
        <f>(($LR$2*($LP$3/1000))/($LP$2*(Sheet3!CB46+273)))*(DR46)</f>
        <v>0.17606593093245879</v>
      </c>
      <c r="EB46" s="183">
        <f>(($LR$2*($LP$3/1000))/($LP$2*(Sheet3!CC46+273)))*(DS46)</f>
        <v>0.17664554523107018</v>
      </c>
      <c r="EC46" s="183">
        <f>(($LR$2*($LP$3/1000))/($LP$2*(Sheet3!CD46+273)))*(DT46)</f>
        <v>0.17748845002100569</v>
      </c>
      <c r="ED46" s="183">
        <f>(($LR$2*($LP$3/1000))/($LP$2*(Sheet3!CE46+273)))*(DU46)</f>
        <v>0.17835929655027169</v>
      </c>
      <c r="EE46" s="183">
        <f>(($LR$2*($LP$3/1000))/($LP$2*(Sheet3!CF46+273)))*(DV46)</f>
        <v>0.17991297673716927</v>
      </c>
      <c r="EF46" s="183">
        <f>(($LR$2*($LP$3/1000))/($LP$2*(Sheet3!CG46+273)))*(DW46)</f>
        <v>0.18042842442318188</v>
      </c>
      <c r="EG46" s="186">
        <f>(($LR$2*($LQ$3/1000))/($LQ$2*(Sheet3!DF46+273)))*(1-DO46)</f>
        <v>0.70775765114958034</v>
      </c>
      <c r="EH46" s="183">
        <f>(($LR$2*($LQ$3/1000))/($LQ$2*(Sheet3!BZ46+273)))*(1-DP46)</f>
        <v>0.7086537491639302</v>
      </c>
      <c r="EI46" s="183">
        <f>(($LR$2*($LQ$3/1000))/($LQ$2*(Sheet3!CA46+273)))*(1-DQ46)</f>
        <v>0.71560971611913149</v>
      </c>
      <c r="EJ46" s="183">
        <f>(($LR$2*($LQ$3/1000))/($LQ$2*(Sheet3!CB46+273)))*(1-DR46)</f>
        <v>0.72288430549095783</v>
      </c>
      <c r="EK46" s="183">
        <f>(($LR$2*($LQ$3/1000))/($LQ$2*(Sheet3!CC46+273)))*(1-DS46)</f>
        <v>0.72801113078013269</v>
      </c>
      <c r="EL46" s="183">
        <f>(($LR$2*($LQ$3/1000))/($LQ$2*(Sheet3!CD46+273)))*(1-DT46)</f>
        <v>0.73157593322145686</v>
      </c>
      <c r="EM46" s="183">
        <f>(($LR$2*($LQ$3/1000))/($LQ$2*(Sheet3!CE46+273)))*(1-DU46)</f>
        <v>0.73779132656168489</v>
      </c>
      <c r="EN46" s="183">
        <f>(($LR$2*($LQ$3/1000))/($LQ$2*(Sheet3!CF46+273)))*(1-DV46)</f>
        <v>0.7443208257447903</v>
      </c>
      <c r="EO46" s="183">
        <f>(($LR$2*($LQ$3/1000))/($LQ$2*(Sheet3!CG46+273)))*(1-DW46)</f>
        <v>0.74989053704664532</v>
      </c>
      <c r="EP46" s="186">
        <f t="shared" si="132"/>
        <v>4873.683581255661</v>
      </c>
      <c r="EQ46" s="183">
        <f xml:space="preserve"> (($FV46-(Sheet3!B46/4000))*0.018)/(0.011*JO46*3600)</f>
        <v>4878.2192617056653</v>
      </c>
      <c r="ER46" s="183">
        <f>((($FV46-(SUM(Sheet3!B46:C46)/4000))*0.018)/(0.011*JP46*3600))</f>
        <v>4907.7302349192532</v>
      </c>
      <c r="ES46" s="183">
        <f>((($FV46-(SUM(Sheet3!B46:D46)/4000))*0.018)/(0.011*JQ46*3600))</f>
        <v>4946.9920019625833</v>
      </c>
      <c r="ET46" s="183">
        <f>((($FV46-(SUM(Sheet3!B46:E46)/4000))*0.018)/(0.011*JR46))/3600</f>
        <v>4965.0047103082279</v>
      </c>
      <c r="EU46" s="183">
        <f>((($FV46-(SUM(Sheet3!B46:F46)/4000))*0.018)/(0.011*JS46))/3600</f>
        <v>4983.9478806385814</v>
      </c>
      <c r="EV46" s="183">
        <f>((($FV46-(SUM(Sheet3!B46:G46)/4000))*0.018)/(0.011*JT46))/3600</f>
        <v>5008.1355331769919</v>
      </c>
      <c r="EW46" s="183">
        <f>((($FV46-(SUM(Sheet3!B46:H46)/4000))*0.018)/(0.011*JU46))/3600</f>
        <v>5042.7893119977889</v>
      </c>
      <c r="EX46" s="183">
        <f>((($FV46-(SUM(Sheet3!B46:I46)/4000))*0.018)/(0.011*JV46))/3600</f>
        <v>5060.4557119126048</v>
      </c>
      <c r="EY46" s="186">
        <f t="shared" si="133"/>
        <v>51.052233412015489</v>
      </c>
      <c r="EZ46" s="183">
        <f t="shared" si="134"/>
        <v>51.093233744149778</v>
      </c>
      <c r="FA46" s="183">
        <f t="shared" si="135"/>
        <v>51.346071355788709</v>
      </c>
      <c r="FB46" s="183">
        <f t="shared" si="136"/>
        <v>51.710129684153721</v>
      </c>
      <c r="FC46" s="183">
        <f t="shared" si="137"/>
        <v>51.85464180163688</v>
      </c>
      <c r="FD46" s="183">
        <f t="shared" si="138"/>
        <v>52.030892394959231</v>
      </c>
      <c r="FE46" s="183">
        <f t="shared" si="139"/>
        <v>52.235043963101994</v>
      </c>
      <c r="FF46" s="183">
        <f t="shared" si="140"/>
        <v>52.56001181686824</v>
      </c>
      <c r="FG46" s="183">
        <f t="shared" si="141"/>
        <v>52.697153694614343</v>
      </c>
      <c r="FH46" s="186">
        <f t="shared" si="185"/>
        <v>82.723637255695834</v>
      </c>
      <c r="FI46" s="183">
        <f t="shared" si="186"/>
        <v>82.646456441356577</v>
      </c>
      <c r="FJ46" s="183">
        <f t="shared" si="187"/>
        <v>82.026031018182451</v>
      </c>
      <c r="FK46" s="183">
        <f t="shared" si="188"/>
        <v>81.423763938086722</v>
      </c>
      <c r="FL46" s="183">
        <f t="shared" si="189"/>
        <v>80.963158707005576</v>
      </c>
      <c r="FM46" s="183">
        <f t="shared" si="190"/>
        <v>80.672685291848538</v>
      </c>
      <c r="FN46" s="183">
        <f t="shared" si="191"/>
        <v>80.135263164367004</v>
      </c>
      <c r="FO46" s="183">
        <f t="shared" si="192"/>
        <v>79.613924284491233</v>
      </c>
      <c r="FP46" s="183">
        <f t="shared" si="193"/>
        <v>79.129797714621418</v>
      </c>
      <c r="FQ46" s="314">
        <f>Sheet3!CV46</f>
        <v>2</v>
      </c>
      <c r="FR46" s="183">
        <v>5000</v>
      </c>
      <c r="FS46" s="183">
        <v>20</v>
      </c>
      <c r="FT46" s="183">
        <v>0.15942857142857142</v>
      </c>
      <c r="FU46" s="183">
        <v>24.85</v>
      </c>
      <c r="FV46" s="183">
        <v>196</v>
      </c>
      <c r="FW46" s="183">
        <v>38.5</v>
      </c>
      <c r="FX46" s="183">
        <v>397</v>
      </c>
      <c r="FY46" s="183">
        <v>13.46</v>
      </c>
      <c r="FZ46" s="183">
        <v>16.82</v>
      </c>
      <c r="GA46" s="183">
        <v>85</v>
      </c>
      <c r="GB46" s="186">
        <f>EXP($LP$6-($LQ$6/('Trial and Error method'!T46+$LP$8))) / ($LR$2/1000)</f>
        <v>0.29656039005815943</v>
      </c>
      <c r="GC46" s="183">
        <f>EXP($LP$6-($LQ$6/('Trial and Error method'!U46+$LP$8))) / ($LR$2/1000)</f>
        <v>0.11390213164151268</v>
      </c>
      <c r="GD46" s="183">
        <f>EXP($LP$6-($LQ$6/('Trial and Error method'!V46+$LP$8))) / ($LR$2/1000)</f>
        <v>0.10829592746296146</v>
      </c>
      <c r="GE46" s="183">
        <f>EXP($LP$6-($LQ$6/('Trial and Error method'!W46+$LP$8))) / ($LR$2/1000)</f>
        <v>0.10399959360833656</v>
      </c>
      <c r="GF46" s="183">
        <f>EXP($LP$6-($LQ$6/('Trial and Error method'!X46+$LP$8))) / ($LR$2/1000)</f>
        <v>0.10027621242474527</v>
      </c>
      <c r="GG46" s="183">
        <f>EXP($LP$6-($LQ$6/('Trial and Error method'!Y46+$LP$8))) / ($LR$2/1000)</f>
        <v>9.7787402004441484E-2</v>
      </c>
      <c r="GH46" s="183">
        <f>EXP($LP$6-($LQ$6/('Trial and Error method'!Z46+$LP$8))) / ($LR$2/1000)</f>
        <v>9.5163256441063215E-2</v>
      </c>
      <c r="GI46" s="183">
        <f>EXP($LP$6-($LQ$6/('Trial and Error method'!AA46+$LP$8))) / ($LR$2/1000)</f>
        <v>9.336938967150045E-2</v>
      </c>
      <c r="GJ46" s="183">
        <f>EXP($LP$6-($LQ$6/('Trial and Error method'!AB46+$LP$8))) / ($LR$2/1000)</f>
        <v>8.2346685759655133E-2</v>
      </c>
      <c r="GK46" s="188">
        <f t="shared" si="142"/>
        <v>0.71064405056361424</v>
      </c>
      <c r="GL46" s="165">
        <f t="shared" si="143"/>
        <v>0.79906558879041201</v>
      </c>
      <c r="GM46" s="165">
        <f t="shared" si="144"/>
        <v>0.80204269727542299</v>
      </c>
      <c r="GN46" s="165">
        <f t="shared" si="145"/>
        <v>0.80405767795794159</v>
      </c>
      <c r="GO46" s="165">
        <f t="shared" si="146"/>
        <v>0.80620066281598302</v>
      </c>
      <c r="GP46" s="165">
        <f t="shared" si="147"/>
        <v>0.80737028647357434</v>
      </c>
      <c r="GQ46" s="165">
        <f t="shared" si="148"/>
        <v>0.80897677609877416</v>
      </c>
      <c r="GR46" s="165">
        <f t="shared" si="149"/>
        <v>0.80982393597943159</v>
      </c>
      <c r="GS46" s="165">
        <f t="shared" si="150"/>
        <v>0.81542773064840668</v>
      </c>
      <c r="GT46" s="188">
        <f t="shared" si="194"/>
        <v>7.2245740620287255E-2</v>
      </c>
      <c r="GU46" s="165">
        <f t="shared" si="195"/>
        <v>6.4252262262276261E-2</v>
      </c>
      <c r="GV46" s="165">
        <f t="shared" si="196"/>
        <v>6.4021166509742267E-2</v>
      </c>
      <c r="GW46" s="165">
        <f t="shared" si="197"/>
        <v>6.3897281660718924E-2</v>
      </c>
      <c r="GX46" s="165">
        <f t="shared" si="198"/>
        <v>6.37238062900745E-2</v>
      </c>
      <c r="GY46" s="165">
        <f t="shared" si="199"/>
        <v>6.3649952016339134E-2</v>
      </c>
      <c r="GZ46" s="165">
        <f t="shared" si="200"/>
        <v>6.3528831318895237E-2</v>
      </c>
      <c r="HA46" s="165">
        <f t="shared" si="201"/>
        <v>6.349885561922218E-2</v>
      </c>
      <c r="HB46" s="165">
        <f t="shared" si="202"/>
        <v>6.3050286229458782E-2</v>
      </c>
      <c r="HC46" s="188">
        <f>BV46*Sheet3!DF46</f>
        <v>100.6028824092204</v>
      </c>
      <c r="HD46" s="165">
        <f>BW46*Sheet3!BZ46</f>
        <v>100.06744919916045</v>
      </c>
      <c r="HE46" s="165">
        <f>BX46*Sheet3!CA46</f>
        <v>96.095769624651908</v>
      </c>
      <c r="HF46" s="165">
        <f>BY46*Sheet3!CB46</f>
        <v>91.832538584398804</v>
      </c>
      <c r="HG46" s="165">
        <f>BZ46*Sheet3!CC46</f>
        <v>89.114418210468358</v>
      </c>
      <c r="HH46" s="165">
        <f>CA46*Sheet3!CD46</f>
        <v>87.095499225552345</v>
      </c>
      <c r="HI46" s="165">
        <f>CB46*Sheet3!CE46</f>
        <v>83.83914283048918</v>
      </c>
      <c r="HJ46" s="165">
        <f>CC46*Sheet3!CF46</f>
        <v>80.259034550538004</v>
      </c>
      <c r="HK46" s="165">
        <f>CD46*Sheet3!CG46</f>
        <v>77.548620604508187</v>
      </c>
      <c r="HL46" s="188">
        <f>(CE46*Sheet3!DF46)+2501</f>
        <v>2661.0442119434374</v>
      </c>
      <c r="HM46" s="165">
        <f>(CF46*Sheet3!BZ46)+2501</f>
        <v>2660.2057863460836</v>
      </c>
      <c r="HN46" s="165">
        <f>(CG46*Sheet3!CA46)+2501</f>
        <v>2654.1905229925824</v>
      </c>
      <c r="HO46" s="165">
        <f>(CH46*Sheet3!CB46)+2501</f>
        <v>2647.400560561819</v>
      </c>
      <c r="HP46" s="165">
        <f>(CI46*Sheet3!CC46)+2501</f>
        <v>2643.3918292255012</v>
      </c>
      <c r="HQ46" s="165">
        <f>(CJ46*Sheet3!CD46)+2501</f>
        <v>2640.174627349104</v>
      </c>
      <c r="HR46" s="165">
        <f>(CK46*Sheet3!CE46)+2501</f>
        <v>2635.2606242345705</v>
      </c>
      <c r="HS46" s="165">
        <f>(CL46*Sheet3!CF46)+2501</f>
        <v>2629.5368369702378</v>
      </c>
      <c r="HT46" s="165">
        <f>(CM46*Sheet3!CG46)+2501</f>
        <v>2625.5447123998888</v>
      </c>
      <c r="HU46" s="188">
        <f>-0.0021*(Sheet3!DF46^2) - 2.2115*(Sheet3!DF46) + 2499</f>
        <v>2295.85</v>
      </c>
      <c r="HV46" s="165">
        <f>-0.0021*(Sheet3!BZ46^2) - 2.2115*(Sheet3!BZ46) + 2499</f>
        <v>2296.9736474252086</v>
      </c>
      <c r="HW46" s="165">
        <f>-0.0021*(Sheet3!CA46^2) - 2.2115*(Sheet3!CA46) + 2499</f>
        <v>2305.0187800726339</v>
      </c>
      <c r="HX46" s="165">
        <f>-0.0021*(Sheet3!CB46^2) - 2.2115*(Sheet3!CB46) + 2499</f>
        <v>2314.0650203257137</v>
      </c>
      <c r="HY46" s="165">
        <f>-0.0021*(Sheet3!CC46^2) - 2.2115*(Sheet3!CC46) + 2499</f>
        <v>2319.3881996915161</v>
      </c>
      <c r="HZ46" s="165">
        <f>-0.0021*(Sheet3!CD46^2) - 2.2115*(Sheet3!CD46) + 2499</f>
        <v>2323.6507457216867</v>
      </c>
      <c r="IA46" s="165">
        <f>-0.0021*(Sheet3!CE46^2) - 2.2115*(Sheet3!CE46) + 2499</f>
        <v>2330.1448451661367</v>
      </c>
      <c r="IB46" s="165">
        <f>-0.0021*(Sheet3!CF46^2) - 2.2115*(Sheet3!CF46) + 2499</f>
        <v>2337.6836066736355</v>
      </c>
      <c r="IC46" s="165">
        <f>-0.0021*(Sheet3!CG46^2) - 2.2115*(Sheet3!CG46) + 2499</f>
        <v>2342.9251912694326</v>
      </c>
      <c r="ID46" s="188">
        <f t="shared" si="203"/>
        <v>0.74178864100700659</v>
      </c>
      <c r="IE46" s="165">
        <f t="shared" si="204"/>
        <v>0.7422353901303137</v>
      </c>
      <c r="IF46" s="165">
        <f t="shared" si="205"/>
        <v>0.74458254219389985</v>
      </c>
      <c r="IG46" s="165">
        <f t="shared" si="206"/>
        <v>0.74882490873184027</v>
      </c>
      <c r="IH46" s="165">
        <f t="shared" si="207"/>
        <v>0.74986776067635541</v>
      </c>
      <c r="II46" s="165">
        <f t="shared" si="208"/>
        <v>0.75194126390504101</v>
      </c>
      <c r="IJ46" s="165">
        <f t="shared" si="209"/>
        <v>0.75375210700876383</v>
      </c>
      <c r="IK46" s="165">
        <f t="shared" si="210"/>
        <v>0.75765176967303272</v>
      </c>
      <c r="IL46" s="165">
        <f t="shared" si="211"/>
        <v>0.75849960143963868</v>
      </c>
      <c r="IM46" s="188">
        <f t="shared" si="212"/>
        <v>-2.3980659170090277</v>
      </c>
      <c r="IN46" s="165">
        <f t="shared" si="151"/>
        <v>24.819511731005257</v>
      </c>
      <c r="IO46" s="165">
        <f t="shared" si="152"/>
        <v>25.544511252459401</v>
      </c>
      <c r="IP46" s="165">
        <f t="shared" si="153"/>
        <v>26.226313548613454</v>
      </c>
      <c r="IQ46" s="165">
        <f t="shared" si="154"/>
        <v>26.652705569839018</v>
      </c>
      <c r="IR46" s="165">
        <f t="shared" si="155"/>
        <v>27.035125703668623</v>
      </c>
      <c r="IS46" s="165">
        <f t="shared" si="156"/>
        <v>27.341092294859614</v>
      </c>
      <c r="IT46" s="165">
        <f t="shared" si="157"/>
        <v>27.678763790493896</v>
      </c>
      <c r="IU46" s="165">
        <f t="shared" si="158"/>
        <v>29.036524805481935</v>
      </c>
      <c r="IV46" s="188">
        <f>_xlfn.FORECAST.LINEAR(Sheet3!DF46,Sheet2!$AK$2:$AK$69,Sheet2!$AJ$2:$AJ$69)</f>
        <v>1.1761434736095797E-5</v>
      </c>
      <c r="IW46" s="165">
        <f>_xlfn.FORECAST.LINEAR(Sheet3!BZ46,Sheet2!$AK$2:$AK$69,Sheet2!$AJ$2:$AJ$69)</f>
        <v>1.1746112339575324E-5</v>
      </c>
      <c r="IX46" s="165">
        <f>_xlfn.FORECAST.LINEAR(Sheet3!CA46,Sheet2!$AK$2:$AK$69,Sheet2!$AJ$2:$AJ$69)</f>
        <v>1.1636084291038173E-5</v>
      </c>
      <c r="IY46" s="165">
        <f>_xlfn.FORECAST.LINEAR(Sheet3!CB46,Sheet2!$AK$2:$AK$69,Sheet2!$AJ$2:$AJ$69)</f>
        <v>1.15116814737554E-5</v>
      </c>
      <c r="IZ46" s="165">
        <f>_xlfn.FORECAST.LINEAR(Sheet3!CC46,Sheet2!$AK$2:$AK$69,Sheet2!$AJ$2:$AJ$69)</f>
        <v>1.1438134774815073E-5</v>
      </c>
      <c r="JA46" s="165">
        <f>_xlfn.FORECAST.LINEAR(Sheet3!CD46,Sheet2!$AK$2:$AK$69,Sheet2!$AJ$2:$AJ$69)</f>
        <v>1.1379056667794369E-5</v>
      </c>
      <c r="JB46" s="165">
        <f>_xlfn.FORECAST.LINEAR(Sheet3!CE46,Sheet2!$AK$2:$AK$69,Sheet2!$AJ$2:$AJ$69)</f>
        <v>1.1288729217755649E-5</v>
      </c>
      <c r="JC46" s="165">
        <f>_xlfn.FORECAST.LINEAR(Sheet3!CF46,Sheet2!$AK$2:$AK$69,Sheet2!$AJ$2:$AJ$69)</f>
        <v>1.118338021107598E-5</v>
      </c>
      <c r="JD46" s="165">
        <f>_xlfn.FORECAST.LINEAR(Sheet3!CG46,Sheet2!$AK$2:$AK$69,Sheet2!$AJ$2:$AJ$69)</f>
        <v>1.1109817604023284E-5</v>
      </c>
      <c r="JE46" s="188">
        <f>_xlfn.FORECAST.LINEAR(Sheet3!DF46,New!$MC$2:$MC$18,New!$MB$2:$MB$18)</f>
        <v>2.0908514659214704E-5</v>
      </c>
      <c r="JF46" s="165">
        <f>_xlfn.FORECAST.LINEAR(Sheet3!BZ46,New!$MC$2:$MC$18,New!$MB$2:$MB$18)</f>
        <v>2.0890502812272434E-5</v>
      </c>
      <c r="JG46" s="165">
        <f>_xlfn.FORECAST.LINEAR(Sheet3!CA46,New!$MC$2:$MC$18,New!$MB$2:$MB$18)</f>
        <v>2.0761162185500415E-5</v>
      </c>
      <c r="JH46" s="165">
        <f>_xlfn.FORECAST.LINEAR(Sheet3!CB46,New!$MC$2:$MC$18,New!$MB$2:$MB$18)</f>
        <v>2.0614923671108098E-5</v>
      </c>
      <c r="JI46" s="165">
        <f>_xlfn.FORECAST.LINEAR(Sheet3!CC46,New!$MC$2:$MC$18,New!$MB$2:$MB$18)</f>
        <v>2.0528467751327397E-5</v>
      </c>
      <c r="JJ46" s="165">
        <f>_xlfn.FORECAST.LINEAR(Sheet3!CD46,New!$MC$2:$MC$18,New!$MB$2:$MB$18)</f>
        <v>2.0459020010572618E-5</v>
      </c>
      <c r="JK46" s="165">
        <f>_xlfn.FORECAST.LINEAR(Sheet3!CE46,New!$MC$2:$MC$18,New!$MB$2:$MB$18)</f>
        <v>2.0352837912843403E-5</v>
      </c>
      <c r="JL46" s="165">
        <f>_xlfn.FORECAST.LINEAR(Sheet3!CF46,New!$MC$2:$MC$18,New!$MB$2:$MB$18)</f>
        <v>2.0228997612711593E-5</v>
      </c>
      <c r="JM46" s="165">
        <f>_xlfn.FORECAST.LINEAR(Sheet3!CG46,New!$MC$2:$MC$18,New!$MB$2:$MB$18)</f>
        <v>2.0142522992560833E-5</v>
      </c>
      <c r="JN46" s="188">
        <f t="shared" si="159"/>
        <v>1.8279994506322792E-5</v>
      </c>
      <c r="JO46" s="165">
        <f t="shared" si="160"/>
        <v>1.8262462319784251E-5</v>
      </c>
      <c r="JP46" s="165">
        <f t="shared" si="161"/>
        <v>1.8140768896900223E-5</v>
      </c>
      <c r="JQ46" s="165">
        <f t="shared" si="162"/>
        <v>1.7996312426024618E-5</v>
      </c>
      <c r="JR46" s="165">
        <f t="shared" si="163"/>
        <v>1.7917771154802275E-5</v>
      </c>
      <c r="JS46" s="165">
        <f t="shared" si="164"/>
        <v>1.7849235429707367E-5</v>
      </c>
      <c r="JT46" s="165">
        <f t="shared" si="165"/>
        <v>1.7750685922970046E-5</v>
      </c>
      <c r="JU46" s="165">
        <f t="shared" si="166"/>
        <v>1.7628230934406629E-5</v>
      </c>
      <c r="JV46" s="165">
        <f t="shared" si="167"/>
        <v>1.755101544601172E-5</v>
      </c>
      <c r="JW46" s="188">
        <f t="shared" si="231"/>
        <v>1.0444458673781256</v>
      </c>
      <c r="JX46" s="165">
        <f t="shared" si="232"/>
        <v>1.0446960670667429</v>
      </c>
      <c r="JY46" s="165">
        <f t="shared" si="233"/>
        <v>1.0465113145506442</v>
      </c>
      <c r="JZ46" s="165">
        <f t="shared" si="234"/>
        <v>1.0486038668491504</v>
      </c>
      <c r="KA46" s="165">
        <f t="shared" si="235"/>
        <v>1.049861543262913</v>
      </c>
      <c r="KB46" s="165">
        <f t="shared" si="236"/>
        <v>1.0508831098083211</v>
      </c>
      <c r="KC46" s="165">
        <f t="shared" si="237"/>
        <v>1.05246488296309</v>
      </c>
      <c r="KD46" s="165">
        <f t="shared" si="238"/>
        <v>1.0543406936207216</v>
      </c>
      <c r="KE46" s="165">
        <f t="shared" si="239"/>
        <v>1.0556707722323115</v>
      </c>
      <c r="KF46" s="188">
        <f t="shared" si="75"/>
        <v>0.94446821821306282</v>
      </c>
      <c r="KG46" s="165">
        <f t="shared" si="240"/>
        <v>0.94427720917727864</v>
      </c>
      <c r="KH46" s="165">
        <f t="shared" si="241"/>
        <v>0.94289518214991375</v>
      </c>
      <c r="KI46" s="165">
        <f t="shared" si="242"/>
        <v>0.94131023114338808</v>
      </c>
      <c r="KJ46" s="165">
        <f t="shared" si="243"/>
        <v>0.94036183221336778</v>
      </c>
      <c r="KK46" s="165">
        <f t="shared" si="244"/>
        <v>0.93959378644091929</v>
      </c>
      <c r="KL46" s="165">
        <f t="shared" si="245"/>
        <v>0.93840861632685035</v>
      </c>
      <c r="KM46" s="165">
        <f t="shared" si="246"/>
        <v>0.93700948507710391</v>
      </c>
      <c r="KN46" s="165">
        <f t="shared" si="247"/>
        <v>0.9360215543161382</v>
      </c>
      <c r="KO46" s="188">
        <f t="shared" si="213"/>
        <v>0.57808855175251828</v>
      </c>
      <c r="KP46" s="165">
        <f t="shared" si="214"/>
        <v>0.5777657378244605</v>
      </c>
      <c r="KQ46" s="165">
        <f t="shared" si="215"/>
        <v>0.57524273081521382</v>
      </c>
      <c r="KR46" s="165">
        <f t="shared" si="216"/>
        <v>0.57232011784565207</v>
      </c>
      <c r="KS46" s="165">
        <f t="shared" si="217"/>
        <v>0.57061424763800928</v>
      </c>
      <c r="KT46" s="165">
        <f t="shared" si="218"/>
        <v>0.5692039713511603</v>
      </c>
      <c r="KU46" s="165">
        <f t="shared" si="219"/>
        <v>0.56706887712289955</v>
      </c>
      <c r="KV46" s="165">
        <f t="shared" si="220"/>
        <v>0.56450982058139165</v>
      </c>
      <c r="KW46" s="165">
        <f t="shared" si="221"/>
        <v>0.56284968714720662</v>
      </c>
      <c r="KX46" s="188">
        <f>AVERAGE(Sheet3!J46:P46)*KO46^(1/3)/ID46^(1/3)</f>
        <v>224.45381265138394</v>
      </c>
      <c r="KY46" s="165">
        <f>Sheet3!J46*KP46^(1/3)/IE46^(1/3)</f>
        <v>211.40544330404936</v>
      </c>
      <c r="KZ46" s="165">
        <f>Sheet3!K46*KQ46^(1/3)/IF46^(1/3)</f>
        <v>206.4764456836223</v>
      </c>
      <c r="LA46" s="165">
        <f>Sheet3!L46*KR46^(1/3)/IG46^(1/3)</f>
        <v>209.61023949828467</v>
      </c>
      <c r="LB46" s="165">
        <f>Sheet3!M46*KS46^(1/3)/IH46^(1/3)</f>
        <v>212.58993179897882</v>
      </c>
      <c r="LC46" s="165">
        <f>Sheet3!N46*KT46^(1/3)/II46^(1/3)</f>
        <v>224.19490677226403</v>
      </c>
      <c r="LD46" s="165">
        <f>Sheet3!O46*KU46^(1/3)/IJ46^(1/3)</f>
        <v>240.85410345278834</v>
      </c>
      <c r="LE46" s="165">
        <f>Sheet3!P46*KV46^(1/3)/IK46^(1/3)</f>
        <v>253.4486871131725</v>
      </c>
      <c r="LF46" s="165">
        <f>Sheet3!Q46*KW46^(1/3)/IL46^(1/3)</f>
        <v>280.58660685054156</v>
      </c>
      <c r="LG46" s="186">
        <f t="shared" si="248"/>
        <v>25.872388298272725</v>
      </c>
      <c r="LH46" s="183">
        <f t="shared" si="249"/>
        <v>25.88586789887098</v>
      </c>
      <c r="LI46" s="183">
        <f t="shared" si="250"/>
        <v>26.191502236018778</v>
      </c>
      <c r="LJ46" s="183">
        <f t="shared" si="251"/>
        <v>26.204220086804003</v>
      </c>
      <c r="LK46" s="183">
        <f t="shared" si="252"/>
        <v>26.56148306043832</v>
      </c>
      <c r="LL46" s="183">
        <f t="shared" si="253"/>
        <v>26.573427091535503</v>
      </c>
      <c r="LM46" s="183">
        <f t="shared" si="254"/>
        <v>26.921553662580628</v>
      </c>
      <c r="LN46" s="183">
        <f t="shared" si="255"/>
        <v>26.935234930953477</v>
      </c>
      <c r="LO46" s="183">
        <f t="shared" si="256"/>
        <v>27.400643490794423</v>
      </c>
      <c r="LP46" s="220"/>
      <c r="LQ46" s="220"/>
      <c r="LR46" s="220"/>
      <c r="LS46" s="220"/>
      <c r="LT46" s="220"/>
      <c r="LU46" s="220"/>
      <c r="LV46" s="220"/>
      <c r="LW46" s="220"/>
      <c r="LX46" s="220"/>
      <c r="LY46" s="220"/>
      <c r="LZ46" s="222">
        <v>175.36</v>
      </c>
      <c r="MA46" s="220">
        <v>1.5E-5</v>
      </c>
      <c r="MB46" s="220"/>
      <c r="MC46" s="220"/>
      <c r="MD46" s="188">
        <f>Sheet3!DP46</f>
        <v>373.51542323661272</v>
      </c>
      <c r="MF46" s="165"/>
      <c r="MP46"/>
      <c r="MQ46"/>
      <c r="MR46"/>
      <c r="MS46"/>
    </row>
    <row r="47" spans="1:357" x14ac:dyDescent="0.3">
      <c r="A47" s="184" t="str">
        <f>Sheet3!A47</f>
        <v>09.01.2023</v>
      </c>
      <c r="B47" s="186">
        <f t="shared" si="102"/>
        <v>0.84450184397406036</v>
      </c>
      <c r="C47" s="183">
        <f t="shared" si="168"/>
        <v>0.8450337931918086</v>
      </c>
      <c r="D47" s="183">
        <f t="shared" si="169"/>
        <v>0.83579840901518454</v>
      </c>
      <c r="E47" s="183">
        <f t="shared" si="170"/>
        <v>0.82740551385133587</v>
      </c>
      <c r="F47" s="183">
        <f t="shared" si="171"/>
        <v>0.81782448947089781</v>
      </c>
      <c r="G47" s="183">
        <f t="shared" si="172"/>
        <v>0.81220271118117571</v>
      </c>
      <c r="H47" s="183">
        <f t="shared" si="173"/>
        <v>0.80373225531553916</v>
      </c>
      <c r="I47" s="183">
        <f t="shared" si="174"/>
        <v>0.76620972390981146</v>
      </c>
      <c r="J47" s="183">
        <f t="shared" si="175"/>
        <v>0.78838662358791156</v>
      </c>
      <c r="K47" s="186">
        <f xml:space="preserve"> (6.057 * (10^(-6)))
+ (4.055 * (10^(-8)) * (Sheet3!DF47 + 273))
+ (1.25 * (10^(-10)) * (Sheet3!DF47 + 273)^2)
- (3.367 * (10^(-14)) * (DD47 + 273)^3)</f>
        <v>3.9916975949778134E-5</v>
      </c>
      <c r="L47" s="183">
        <f xml:space="preserve"> (6.057 * (10^(-6)))
+ (4.055 * (10^(-8)) * (Sheet3!BZ47 + 273))
+ (1.25 * (10^(-10)) * (Sheet3!BZ47 + 273)^2)
- (3.367 * (10^(-14)) * (BX47 + 273)^3)</f>
        <v>3.9944214346294704E-5</v>
      </c>
      <c r="M47" s="183">
        <f xml:space="preserve"> (6.057 * (10^(-6)))
+ (4.055 * (10^(-8)) * (Sheet3!CA47 + 273))
+ (1.25 * (10^(-10)) * (Sheet3!CA47 + 273)^2)
- (3.367 * (10^(-14)) * (BY47 + 273)^3)</f>
        <v>3.923074471075382E-5</v>
      </c>
      <c r="N47" s="183">
        <f xml:space="preserve"> (6.057 * (10^(-6)))
+ (4.055 * (10^(-8)) * (Sheet3!CB47 + 273))
+ (1.25 * (10^(-10)) * (Sheet3!CB47 + 273)^2)
- (3.367 * (10^(-14)) * (BZ47 + 273)^3)</f>
        <v>3.8694573185288234E-5</v>
      </c>
      <c r="O47" s="183">
        <f xml:space="preserve"> (6.057 * (10^(-6)))
+ (4.055 * (10^(-8)) * (Sheet3!CC47 + 273))
+ (1.25 * (10^(-10)) * (Sheet3!CC47 + 273)^2)
- (3.367 * (10^(-14)) * (CA47 + 273)^3)</f>
        <v>3.7983472898573211E-5</v>
      </c>
      <c r="P47" s="183">
        <f xml:space="preserve"> (6.057 * (10^(-6)))
+ (4.055 * (10^(-8)) * (Sheet3!CD47 + 273))
+ (1.25 * (10^(-10)) * (Sheet3!CD47 + 273)^2)
- (3.367 * (10^(-14)) * (CB47 + 273)^3)</f>
        <v>3.7640560292119055E-5</v>
      </c>
      <c r="Q47" s="183">
        <f xml:space="preserve"> (6.057 * (10^(-6)))
+ (4.055 * (10^(-8)) * (Sheet3!CE47 + 273))
+ (1.25 * (10^(-10)) * (Sheet3!CE47 + 273)^2)
- (3.367 * (10^(-14)) * (CC47 + 273)^3)</f>
        <v>3.7031001726969735E-5</v>
      </c>
      <c r="R47" s="183">
        <f xml:space="preserve"> (6.057 * (10^(-6)))
+ (4.055 * (10^(-8)) * (Sheet3!CF47 + 273))
+ (1.25 * (10^(-10)) * (Sheet3!CF47 + 273)^2)
- (3.367 * (10^(-14)) * (CD47 + 273)^3)</f>
        <v>3.4921240451998515E-5</v>
      </c>
      <c r="S47" s="183">
        <f xml:space="preserve"> (6.057 * (10^(-6)))
+ (4.055 * (10^(-8)) * (Sheet3!CG47 + 273))
+ (1.25 * (10^(-10)) * (Sheet3!CG47 + 273)^2)
- (3.367 * (10^(-14)) * (CE47 + 273)^3)</f>
        <v>3.6039215995942342E-5</v>
      </c>
      <c r="T47" s="188">
        <f t="shared" si="104"/>
        <v>3.9916975949778134E-5</v>
      </c>
      <c r="U47" s="165">
        <f t="shared" si="105"/>
        <v>3.9944214346294704E-5</v>
      </c>
      <c r="V47" s="165">
        <f t="shared" si="106"/>
        <v>3.923074471075382E-5</v>
      </c>
      <c r="W47" s="165">
        <f t="shared" si="107"/>
        <v>3.8694573185288234E-5</v>
      </c>
      <c r="X47" s="165">
        <f t="shared" si="108"/>
        <v>3.7983472898573211E-5</v>
      </c>
      <c r="Y47" s="165">
        <f t="shared" si="109"/>
        <v>3.7640560292119055E-5</v>
      </c>
      <c r="Z47" s="165">
        <f t="shared" si="110"/>
        <v>3.7031001726969735E-5</v>
      </c>
      <c r="AA47" s="165">
        <f t="shared" si="111"/>
        <v>3.4921240451998515E-5</v>
      </c>
      <c r="AB47" s="165">
        <f t="shared" si="112"/>
        <v>3.6039215995942342E-5</v>
      </c>
      <c r="AC47" s="186">
        <f t="shared" si="176"/>
        <v>3.3709959795455853E-5</v>
      </c>
      <c r="AD47" s="183">
        <f t="shared" si="177"/>
        <v>3.3754210965116072E-5</v>
      </c>
      <c r="AE47" s="183">
        <f t="shared" si="178"/>
        <v>3.2788994013728911E-5</v>
      </c>
      <c r="AF47" s="183">
        <f t="shared" si="179"/>
        <v>3.2016103209631535E-5</v>
      </c>
      <c r="AG47" s="183">
        <f t="shared" si="180"/>
        <v>3.1063814331607318E-5</v>
      </c>
      <c r="AH47" s="183">
        <f t="shared" si="181"/>
        <v>3.0571765119637605E-5</v>
      </c>
      <c r="AI47" s="183">
        <f t="shared" si="182"/>
        <v>2.9763010534611011E-5</v>
      </c>
      <c r="AJ47" s="183">
        <f t="shared" si="183"/>
        <v>2.6756994005313921E-5</v>
      </c>
      <c r="AK47" s="183">
        <f t="shared" si="184"/>
        <v>2.8412835815796435E-5</v>
      </c>
      <c r="AL47" s="186">
        <f t="shared" si="113"/>
        <v>3.263152432384335E-2</v>
      </c>
      <c r="AM47" s="183">
        <f t="shared" si="114"/>
        <v>3.2656576988467204E-2</v>
      </c>
      <c r="AN47" s="183">
        <f t="shared" si="115"/>
        <v>3.2054339947690191E-2</v>
      </c>
      <c r="AO47" s="183">
        <f t="shared" si="116"/>
        <v>3.159809710671517E-2</v>
      </c>
      <c r="AP47" s="183">
        <f t="shared" si="117"/>
        <v>3.0988333242682135E-2</v>
      </c>
      <c r="AQ47" s="183">
        <f t="shared" si="118"/>
        <v>3.0691545625855778E-2</v>
      </c>
      <c r="AR47" s="183">
        <f t="shared" si="119"/>
        <v>3.0162219478067007E-2</v>
      </c>
      <c r="AS47" s="183">
        <f t="shared" si="120"/>
        <v>2.8280809461724211E-2</v>
      </c>
      <c r="AT47" s="183">
        <f t="shared" si="121"/>
        <v>2.9294764663460846E-2</v>
      </c>
      <c r="AU47" s="186">
        <f>_xlfn.FORECAST.LINEAR(Sheet3!DF47,Sheet2!$AH$2:$AH$40,Sheet2!$AG$2:$AG$40)</f>
        <v>3.3278061617758661E-2</v>
      </c>
      <c r="AV47" s="183">
        <f>_xlfn.FORECAST.LINEAR(Sheet3!BZ47,Sheet2!$AH$2:$AH$40,Sheet2!$AG$2:$AG$40)</f>
        <v>3.3333233548638062E-2</v>
      </c>
      <c r="AW47" s="183">
        <f>_xlfn.FORECAST.LINEAR(Sheet3!CA47,Sheet2!$AH$2:$AH$40,Sheet2!$AG$2:$AG$40)</f>
        <v>3.2009227659313279E-2</v>
      </c>
      <c r="AX47" s="183">
        <f>_xlfn.FORECAST.LINEAR(Sheet3!CB47,Sheet2!$AH$2:$AH$40,Sheet2!$AG$2:$AG$40)</f>
        <v>3.100580079564054E-2</v>
      </c>
      <c r="AY47" s="183">
        <f>_xlfn.FORECAST.LINEAR(Sheet3!CC47,Sheet2!$AH$2:$AH$40,Sheet2!$AG$2:$AG$40)</f>
        <v>2.9663672846690803E-2</v>
      </c>
      <c r="AZ47" s="183">
        <f>_xlfn.FORECAST.LINEAR(Sheet3!CD47,Sheet2!$AH$2:$AH$40,Sheet2!$AG$2:$AG$40)</f>
        <v>2.9011659129212639E-2</v>
      </c>
      <c r="BA47" s="183">
        <f>_xlfn.FORECAST.LINEAR(Sheet3!CE47,Sheet2!$AH$2:$AH$40,Sheet2!$AG$2:$AG$40)</f>
        <v>2.7844885466489801E-2</v>
      </c>
      <c r="BB47" s="183">
        <f>_xlfn.FORECAST.LINEAR(Sheet3!CF47,Sheet2!$AH$2:$AH$40,Sheet2!$AG$2:$AG$40)</f>
        <v>2.3726063773867347E-2</v>
      </c>
      <c r="BC47" s="183">
        <f>_xlfn.FORECAST.LINEAR(Sheet3!CG47,Sheet2!$AH$2:$AH$40,Sheet2!$AG$2:$AG$40)</f>
        <v>2.5935305138803058E-2</v>
      </c>
      <c r="BD47" s="186">
        <f>_xlfn.FORECAST.LINEAR(Sheet3!DF47,Sheet2!$AB$12:$AB$37,Sheet2!$AA$12:$AA$37)/1000</f>
        <v>3.221097904255335E-2</v>
      </c>
      <c r="BE47" s="183">
        <f>_xlfn.FORECAST.LINEAR(Sheet3!BZ47,Sheet2!$AB$12:$AB$37,Sheet2!$AA$12:$AA$37)/1000</f>
        <v>3.2223314209259259E-2</v>
      </c>
      <c r="BF47" s="183">
        <f>_xlfn.FORECAST.LINEAR(Sheet3!CA47,Sheet2!$AB$12:$AB$37,Sheet2!$AA$12:$AA$37)/1000</f>
        <v>3.1927297138547681E-2</v>
      </c>
      <c r="BG47" s="183">
        <f>_xlfn.FORECAST.LINEAR(Sheet3!CB47,Sheet2!$AB$12:$AB$37,Sheet2!$AA$12:$AA$37)/1000</f>
        <v>3.1702954117680017E-2</v>
      </c>
      <c r="BH47" s="183">
        <f>_xlfn.FORECAST.LINEAR(Sheet3!CC47,Sheet2!$AB$12:$AB$37,Sheet2!$AA$12:$AA$37)/1000</f>
        <v>3.1402885373899091E-2</v>
      </c>
      <c r="BI47" s="183">
        <f>_xlfn.FORECAST.LINEAR(Sheet3!CD47,Sheet2!$AB$12:$AB$37,Sheet2!$AA$12:$AA$37)/1000</f>
        <v>3.1257110198525756E-2</v>
      </c>
      <c r="BJ47" s="183">
        <f>_xlfn.FORECAST.LINEAR(Sheet3!CE47,Sheet2!$AB$12:$AB$37,Sheet2!$AA$12:$AA$37)/1000</f>
        <v>3.0996246614302003E-2</v>
      </c>
      <c r="BK47" s="183">
        <f>_xlfn.FORECAST.LINEAR(Sheet3!CF47,Sheet2!$AB$12:$AB$37,Sheet2!$AA$12:$AA$37)/1000</f>
        <v>3.0075373420259666E-2</v>
      </c>
      <c r="BL47" s="183">
        <f>_xlfn.FORECAST.LINEAR(Sheet3!CG47,Sheet2!$AB$12:$AB$37,Sheet2!$AA$12:$AA$37)/1000</f>
        <v>3.0569308653188743E-2</v>
      </c>
      <c r="BM47" s="186">
        <f t="shared" si="122"/>
        <v>0.81150909366429325</v>
      </c>
      <c r="BN47" s="183">
        <f t="shared" si="123"/>
        <v>0.81105905772276032</v>
      </c>
      <c r="BO47" s="183">
        <f t="shared" si="124"/>
        <v>0.82236662882440204</v>
      </c>
      <c r="BP47" s="183">
        <f t="shared" si="125"/>
        <v>0.83094046141131228</v>
      </c>
      <c r="BQ47" s="183">
        <f t="shared" si="126"/>
        <v>0.84299005495358303</v>
      </c>
      <c r="BR47" s="183">
        <f t="shared" si="127"/>
        <v>0.84882181213113916</v>
      </c>
      <c r="BS47" s="183">
        <f t="shared" si="128"/>
        <v>0.85974569314797589</v>
      </c>
      <c r="BT47" s="183">
        <f t="shared" si="129"/>
        <v>0.89951469627257308</v>
      </c>
      <c r="BU47" s="183">
        <f t="shared" si="130"/>
        <v>0.87801679816689626</v>
      </c>
      <c r="BV47" s="186">
        <f t="shared" si="222"/>
        <v>1.1928497288283471</v>
      </c>
      <c r="BW47" s="183">
        <f t="shared" si="223"/>
        <v>1.1928620485695391</v>
      </c>
      <c r="BX47" s="183">
        <f t="shared" si="224"/>
        <v>1.1887574930511913</v>
      </c>
      <c r="BY47" s="183">
        <f t="shared" si="225"/>
        <v>1.1877431961584568</v>
      </c>
      <c r="BZ47" s="183">
        <f t="shared" si="226"/>
        <v>1.1833711705828851</v>
      </c>
      <c r="CA47" s="183">
        <f t="shared" si="227"/>
        <v>1.1827193840476558</v>
      </c>
      <c r="CB47" s="183">
        <f t="shared" si="228"/>
        <v>1.1787356775772582</v>
      </c>
      <c r="CC47" s="183">
        <f t="shared" si="229"/>
        <v>1.1750226851036607</v>
      </c>
      <c r="CD47" s="183">
        <f t="shared" si="230"/>
        <v>1.1742825489229971</v>
      </c>
      <c r="CE47" s="187">
        <f xml:space="preserve"> -0.0000000019505*Sheet3!DF47^3 + 0.0000015497*Sheet3!DF47^2  + 0.00016911*Sheet3!DF47 + 1.8585</f>
        <v>1.8954759658125</v>
      </c>
      <c r="CF47" s="185">
        <f xml:space="preserve"> -0.0000000019505*Sheet3!BZ47^3 + 0.0000015497*Sheet3!BZ47^2  + 0.00016911*Sheet3!BZ47 + 1.8585</f>
        <v>1.8955732963619338</v>
      </c>
      <c r="CG47" s="185">
        <f xml:space="preserve"> -0.0000000019505*Sheet3!CA47^3 + 0.0000015497*Sheet3!CA47^2  + 0.00016911*Sheet3!CA47 + 1.8585</f>
        <v>1.893260622464858</v>
      </c>
      <c r="CH47" s="185">
        <f xml:space="preserve"> -0.0000000019505*Sheet3!CB47^3 + 0.0000015497*Sheet3!CB47^2  + 0.00016911*Sheet3!CB47 + 1.8585</f>
        <v>1.891540581433568</v>
      </c>
      <c r="CI47" s="185">
        <f xml:space="preserve"> -0.0000000019505*Sheet3!CC47^3 + 0.0000015497*Sheet3!CC47^2  + 0.00016911*Sheet3!CC47 + 1.8585</f>
        <v>1.889285360069326</v>
      </c>
      <c r="CJ47" s="185">
        <f xml:space="preserve"> -0.0000000019505*Sheet3!CD47^3 + 0.0000015497*Sheet3!CD47^2  + 0.00016911*Sheet3!CD47 + 1.8585</f>
        <v>1.8882089785244307</v>
      </c>
      <c r="CK47" s="185">
        <f xml:space="preserve"> -0.0000000019505*Sheet3!CE47^3 + 0.0000015497*Sheet3!CE47^2  + 0.00016911*Sheet3!CE47 + 1.8585</f>
        <v>1.8863149658122735</v>
      </c>
      <c r="CL47" s="185">
        <f xml:space="preserve"> -0.0000000019505*Sheet3!CF47^3 + 0.0000015497*Sheet3!CF47^2  + 0.00016911*Sheet3!CF47 + 1.8585</f>
        <v>1.8799742462907463</v>
      </c>
      <c r="CM47" s="185">
        <f xml:space="preserve"> -0.0000000019505*Sheet3!CG47^3 + 0.0000015497*Sheet3!CG47^2  + 0.00016911*Sheet3!CG47 + 1.8585</f>
        <v>1.8833068026168793</v>
      </c>
      <c r="CN47" s="186">
        <f>_xlfn.FORECAST.LINEAR(Sheet3!DF47,New!$LU$2:$LU$14,New!$LT$2:$LT$14)</f>
        <v>1.0182325575068421</v>
      </c>
      <c r="CO47" s="183">
        <f>_xlfn.FORECAST.LINEAR(Sheet3!BZ47,New!$LU$2:$LU$14,New!$LT$2:$LT$14)</f>
        <v>1.0182731647717851</v>
      </c>
      <c r="CP47" s="183">
        <f>_xlfn.FORECAST.LINEAR(Sheet3!CA47,New!$LU$2:$LU$14,New!$LT$2:$LT$14)</f>
        <v>1.0172986790672396</v>
      </c>
      <c r="CQ47" s="183">
        <f>_xlfn.FORECAST.LINEAR(Sheet3!CB47,New!$LU$2:$LU$14,New!$LT$2:$LT$14)</f>
        <v>1.0165601437313396</v>
      </c>
      <c r="CR47" s="183">
        <f>_xlfn.FORECAST.LINEAR(Sheet3!CC47,New!$LU$2:$LU$14,New!$LT$2:$LT$14)</f>
        <v>1.0155723199531619</v>
      </c>
      <c r="CS47" s="183">
        <f>_xlfn.FORECAST.LINEAR(Sheet3!CD47,New!$LU$2:$LU$14,New!$LT$2:$LT$14)</f>
        <v>1.0150924293031482</v>
      </c>
      <c r="CT47" s="183">
        <f>_xlfn.FORECAST.LINEAR(Sheet3!CE47,New!$LU$2:$LU$14,New!$LT$2:$LT$14)</f>
        <v>1.0142336685801552</v>
      </c>
      <c r="CU47" s="183">
        <f>_xlfn.FORECAST.LINEAR(Sheet3!CF47,New!$LU$2:$LU$14,New!$LT$2:$LT$14)</f>
        <v>1.0112021617784148</v>
      </c>
      <c r="CV47" s="183">
        <f>_xlfn.FORECAST.LINEAR(Sheet3!CG47,New!$LU$2:$LU$14,New!$LT$2:$LT$14)</f>
        <v>1.0128281924066609</v>
      </c>
      <c r="CW47" s="186">
        <f>EXP((17.625*Sheet3!BA47)/(243.04+Sheet3!BA47)) / EXP((17.625*Sheet3!DF47)/(243.04+Sheet3!DF47))</f>
        <v>0.14014150470242406</v>
      </c>
      <c r="CX47" s="183">
        <f>EXP((17.625*(Sheet3!BC47+273))/(243.04+(Sheet3!BC47+273)))/EXP((17.625*(Sheet3!BZ47+273))/(243.04+(Sheet3!BZ47+273)))</f>
        <v>0.55267500745181741</v>
      </c>
      <c r="CY47" s="183">
        <f>EXP((17.625*(Sheet3!BE47+273))/(243.04+(Sheet3!BE47+273))) / EXP((17.625*(Sheet3!CA47+273))/(243.04+(Sheet3!CA47+273)))</f>
        <v>0.58429838488464236</v>
      </c>
      <c r="CZ47" s="183">
        <f>EXP((17.625*(Sheet3!BG47+273))/(243.04+(Sheet3!BG47+273))) / EXP((17.625*(Sheet3!CB47+273))/(243.04+(Sheet3!CB47+273)))</f>
        <v>0.60861092162649799</v>
      </c>
      <c r="DA47" s="183">
        <f>EXP((17.625*(Sheet3!BI47+273))/(243.04+(Sheet3!BI47+273))) / EXP((17.625*(Sheet3!CC47+273))/(243.04+(Sheet3!CC47+273)))</f>
        <v>0.64315735023948772</v>
      </c>
      <c r="DB47" s="183">
        <f>EXP((17.625*(Sheet3!BK47+273))/(243.04+(Sheet3!BK47+273)))/EXP((17.625*(Sheet3!CD47+273))/(243.04+(Sheet3!CD47+273)))</f>
        <v>0.66203493394000212</v>
      </c>
      <c r="DC47" s="183">
        <f>EXP((17.625*(Sheet3!BM47+273))/(243.04+(Sheet3!BM47+273))) / EXP((17.625*(Sheet3!CE47+273))/(243.04+(Sheet3!CE47+273)))</f>
        <v>0.69525415732060614</v>
      </c>
      <c r="DD47" s="183">
        <f>EXP((17.625*(Sheet3!BO47+273))/(243.04+(Sheet3!BO47+273))) / EXP((17.625*(Sheet3!CF47+273))/(243.04+(Sheet3!CF47+273)))</f>
        <v>0.84225041031738113</v>
      </c>
      <c r="DE47" s="183">
        <f>EXP((17.625*(Sheet3!BQ47+273))/(243.04+(Sheet3!BQ47+273))) / EXP((17.625*(Sheet3!CG47+273))/(243.04+(Sheet3!CG47+273)))</f>
        <v>0.75639144943639536</v>
      </c>
      <c r="DF47" s="186">
        <f>((Sheet3!DA47-Sheet3!DB47)/New!$LQ$3)/(((Sheet3!DA47-Sheet3!DB47)/New!$LQ$3)+(Sheet3!DB47/New!$LP$3))</f>
        <v>0.71453616703689748</v>
      </c>
      <c r="DG47" s="183">
        <f>((Sheet3!DA47-Sheet3!DB47)/New!$LQ$3)/(((Sheet3!DA47-Sheet3!DB47)/New!$LQ$3)+((Sheet3!DB47-(Sheet3!B47*0.004))/New!$LP$3))</f>
        <v>0.71471104488346915</v>
      </c>
      <c r="DH47" s="183" cm="1">
        <f t="array" ref="DH47">((Sheet3!DA47-Sheet3!DB47)/New!$LQ$3)/(((Sheet3!DA47-Sheet3!DB47)/New!$LQ$3)+((Sheet3!DB47-(SUM(Sheet3!B47:C47*0.004)))/New!$LP$3))</f>
        <v>0.72759166510013407</v>
      </c>
      <c r="DI47" s="183" cm="1">
        <f t="array" ref="DI47">((Sheet3!DA47-Sheet3!DB47)/New!$LQ$3)/(((Sheet3!DA47-Sheet3!DB47)/New!$LQ$3)+((Sheet3!DB47-(SUM(Sheet3!B47:D47*0.004)))/New!$LP$3))</f>
        <v>0.72797457368630059</v>
      </c>
      <c r="DJ47" s="183" cm="1">
        <f t="array" ref="DJ47">((Sheet3!DA47-Sheet3!DB47)/New!$LQ$3)/(((Sheet3!DA47-Sheet3!DB47)/New!$LQ$3)+((Sheet3!DB47-(SUM(Sheet3!B47:E47*0.004)))/New!$LP$3))</f>
        <v>0.74261994514573815</v>
      </c>
      <c r="DK47" s="183" cm="1">
        <f t="array" ref="DK47">((Sheet3!DA47-Sheet3!DB47)/New!$LQ$3)/(((Sheet3!DA47-Sheet3!DB47)/New!$LQ$3)+((Sheet3!DB47-(SUM(Sheet3!B47:F47*0.004)))/New!$LP$3))</f>
        <v>0.74289282640090648</v>
      </c>
      <c r="DL47" s="183" cm="1">
        <f t="array" ref="DL47">((Sheet3!DA47-Sheet3!DB47)/New!$LQ$3)/(((Sheet3!DA47-Sheet3!DB47)/New!$LQ$3)+((Sheet3!DB47-(SUM(Sheet3!B47:G47*0.004)))/New!$LP$3))</f>
        <v>0.75708077108763627</v>
      </c>
      <c r="DM47" s="183" cm="1">
        <f t="array" ref="DM47">((Sheet3!DA47-Sheet3!DB47)/New!$LQ$3)/(((Sheet3!DA47-Sheet3!DB47)/New!$LQ$3)+((Sheet3!DB47-(SUM(Sheet3!B47:H47*0.004)))/New!$LP$3))</f>
        <v>0.7573643853224693</v>
      </c>
      <c r="DN47" s="183" cm="1">
        <f t="array" ref="DN47">((Sheet3!DA47-Sheet3!DB47)/New!$LQ$3)/(((Sheet3!DA47-Sheet3!DB47)/New!$LQ$3)+((Sheet3!DB47-(SUM(Sheet3!B47:I47*0.004)))/New!$LP$3))</f>
        <v>0.77087040596270529</v>
      </c>
      <c r="DO47" s="186">
        <f>(Sheet3!DB47/$LP$3) / ((Sheet3!DB47/$LP$3) + ((Sheet3!DA47-Sheet3!DB47)/$LQ$3))</f>
        <v>0.2854638329631024</v>
      </c>
      <c r="DP47" s="183">
        <f>((Sheet3!$DB47-(Sheet3!B47/4000)) / $LP$3) / (((Sheet3!$DA47-Sheet3!DB47) / $LQ$3) + (Sheet3!$DB47-((Sheet3!B47/4000)))/$LP$3)</f>
        <v>0.28545290560493825</v>
      </c>
      <c r="DQ47" s="183">
        <f>((Sheet3!$DB47-(SUM(Sheet3!B47:C47)/4000))/$LP$3)/(((Sheet3!$DA47-Sheet3!$DB47)/$LQ$3)+(Sheet3!$DB47-(SUM(Sheet3!B47:C47)/4000))/$LP$3)</f>
        <v>0.28466160594947937</v>
      </c>
      <c r="DR47" s="183">
        <f>((Sheet3!$DB47-(SUM(Sheet3!B47:D47)/4000))/$LP$3)/(((Sheet3!$DA47-Sheet3!$DB47)/$LQ$3)+(Sheet3!$DB47-(SUM(Sheet3!B47:D47)/4000))/$LP$3)</f>
        <v>0.28463848485950116</v>
      </c>
      <c r="DS47" s="183">
        <f>((Sheet3!$DB47-(SUM(Sheet3!B47:E47)/4000))/$LP$3)/(((Sheet3!$DA47-Sheet3!$DB47)/$LQ$3)+(Sheet3!$DB47-(SUM(Sheet3!B47:E47)/4000))/$LP$3)</f>
        <v>0.28377097368312393</v>
      </c>
      <c r="DT47" s="183">
        <f>((Sheet3!$DB47-(SUM(Sheet3!B47:F47)/4000))/$LP$3)/(((Sheet3!$DA47-Sheet3!$DB47)/$LQ$3)+(Sheet3!$DB47-(SUM(Sheet3!B47:F47)/4000))/$LP$3)</f>
        <v>0.28375511473426562</v>
      </c>
      <c r="DU47" s="183">
        <f>((Sheet3!$DB47-(SUM(Sheet3!B47:G47)/4000))/$LP$3)/(((Sheet3!$DA47-Sheet3!$DB47)/$LQ$3)+(Sheet3!$DB47-(SUM(Sheet3!B47:G47)/4000))/$LP$3)</f>
        <v>0.28294537603085107</v>
      </c>
      <c r="DV47" s="183">
        <f>((Sheet3!$DB47-(SUM(Sheet3!B47:H47)/4000))/$LP$3)/(((Sheet3!$DA47-Sheet3!$DB47)/$LQ$3)+(Sheet3!$DB47-(SUM(Sheet3!B47:H47)/4000))/$LP$3)</f>
        <v>0.28292948049927413</v>
      </c>
      <c r="DW47" s="183">
        <f>((Sheet3!$DB47-(SUM(Sheet3!B47:I47)/4000))/$LP$3)/(((Sheet3!$DA47-Sheet3!$DB47)/$LQ$3)+(Sheet3!$DB47-(SUM(Sheet3!B47:I47)/4000))/$LP$3)</f>
        <v>0.28218527065918242</v>
      </c>
      <c r="DX47" s="186">
        <f>($LR$2*($LP$3/1000))/($LP$2*(Sheet3!DF47+273))*DO47</f>
        <v>0.16153261580047537</v>
      </c>
      <c r="DY47" s="183">
        <f>(($LR$2*($LP$3/1000))/($LP$2*(Sheet3!BZ47+273)))*(DP47)</f>
        <v>0.16143610792757768</v>
      </c>
      <c r="DZ47" s="183">
        <f>(($LR$2*($LP$3/1000))/($LP$2*(Sheet3!CA47+273)))*(DQ47)</f>
        <v>0.16317835234599973</v>
      </c>
      <c r="EA47" s="183">
        <f>(($LR$2*($LP$3/1000))/($LP$2*(Sheet3!CB47+273)))*(DR47)</f>
        <v>0.16486461139210593</v>
      </c>
      <c r="EB47" s="183">
        <f>(($LR$2*($LP$3/1000))/($LP$2*(Sheet3!CC47+273)))*(DS47)</f>
        <v>0.16668434596089232</v>
      </c>
      <c r="EC47" s="183">
        <f>(($LR$2*($LP$3/1000))/($LP$2*(Sheet3!CD47+273)))*(DT47)</f>
        <v>0.16782695219749355</v>
      </c>
      <c r="ED47" s="183">
        <f>(($LR$2*($LP$3/1000))/($LP$2*(Sheet3!CE47+273)))*(DU47)</f>
        <v>0.16944362805724816</v>
      </c>
      <c r="EE47" s="183">
        <f>(($LR$2*($LP$3/1000))/($LP$2*(Sheet3!CF47+273)))*(DV47)</f>
        <v>0.17727038009020493</v>
      </c>
      <c r="EF47" s="183">
        <f>(($LR$2*($LP$3/1000))/($LP$2*(Sheet3!CG47+273)))*(DW47)</f>
        <v>0.17252423944810719</v>
      </c>
      <c r="EG47" s="186">
        <f>(($LR$2*($LQ$3/1000))/($LQ$2*(Sheet3!DF47+273)))*(1-DO47)</f>
        <v>0.64997647786381785</v>
      </c>
      <c r="EH47" s="183">
        <f>(($LR$2*($LQ$3/1000))/($LQ$2*(Sheet3!BZ47+273)))*(1-DP47)</f>
        <v>0.64962294979518265</v>
      </c>
      <c r="EI47" s="183">
        <f>(($LR$2*($LQ$3/1000))/($LQ$2*(Sheet3!CA47+273)))*(1-DQ47)</f>
        <v>0.65918827647840228</v>
      </c>
      <c r="EJ47" s="183">
        <f>(($LR$2*($LQ$3/1000))/($LQ$2*(Sheet3!CB47+273)))*(1-DR47)</f>
        <v>0.66607585001920633</v>
      </c>
      <c r="EK47" s="183">
        <f>(($LR$2*($LQ$3/1000))/($LQ$2*(Sheet3!CC47+273)))*(1-DS47)</f>
        <v>0.67630570899269071</v>
      </c>
      <c r="EL47" s="183">
        <f>(($LR$2*($LQ$3/1000))/($LQ$2*(Sheet3!CD47+273)))*(1-DT47)</f>
        <v>0.68099485993364561</v>
      </c>
      <c r="EM47" s="183">
        <f>(($LR$2*($LQ$3/1000))/($LQ$2*(Sheet3!CE47+273)))*(1-DU47)</f>
        <v>0.69030206509072767</v>
      </c>
      <c r="EN47" s="183">
        <f>(($LR$2*($LQ$3/1000))/($LQ$2*(Sheet3!CF47+273)))*(1-DV47)</f>
        <v>0.72224431618236817</v>
      </c>
      <c r="EO47" s="183">
        <f>(($LR$2*($LQ$3/1000))/($LQ$2*(Sheet3!CG47+273)))*(1-DW47)</f>
        <v>0.70549255871878913</v>
      </c>
      <c r="EP47" s="186">
        <f t="shared" si="132"/>
        <v>4926.6049159793238</v>
      </c>
      <c r="EQ47" s="183">
        <f xml:space="preserve"> (($FV47-(Sheet3!B47/4000))*0.018)/(0.011*JO47*3600)</f>
        <v>4924.299189635366</v>
      </c>
      <c r="ER47" s="183">
        <f>((($FV47-(SUM(Sheet3!B47:C47)/4000))*0.018)/(0.011*JP47*3600))</f>
        <v>4972.5769735858121</v>
      </c>
      <c r="ES47" s="183">
        <f>((($FV47-(SUM(Sheet3!B47:D47)/4000))*0.018)/(0.011*JQ47*3600))</f>
        <v>5014.1050654744877</v>
      </c>
      <c r="ET47" s="183">
        <f>((($FV47-(SUM(Sheet3!B47:E47)/4000))*0.018)/(0.011*JR47))/3600</f>
        <v>5064.562095605831</v>
      </c>
      <c r="EU47" s="183">
        <f>((($FV47-(SUM(Sheet3!B47:F47)/4000))*0.018)/(0.011*JS47))/3600</f>
        <v>5092.521229955456</v>
      </c>
      <c r="EV47" s="183">
        <f>((($FV47-(SUM(Sheet3!B47:G47)/4000))*0.018)/(0.011*JT47))/3600</f>
        <v>5137.4474979619081</v>
      </c>
      <c r="EW47" s="183">
        <f>((($FV47-(SUM(Sheet3!B47:H47)/4000))*0.018)/(0.011*JU47))/3600</f>
        <v>5325.9437982195423</v>
      </c>
      <c r="EX47" s="183">
        <f>((($FV47-(SUM(Sheet3!B47:I47)/4000))*0.018)/(0.011*JV47))/3600</f>
        <v>5217.3085195435106</v>
      </c>
      <c r="EY47" s="186">
        <f t="shared" si="133"/>
        <v>50.638704500547384</v>
      </c>
      <c r="EZ47" s="183">
        <f t="shared" si="134"/>
        <v>50.618311519593291</v>
      </c>
      <c r="FA47" s="183">
        <f t="shared" si="135"/>
        <v>51.015517607707949</v>
      </c>
      <c r="FB47" s="183">
        <f t="shared" si="136"/>
        <v>51.378552137757211</v>
      </c>
      <c r="FC47" s="183">
        <f t="shared" si="137"/>
        <v>51.795723653476244</v>
      </c>
      <c r="FD47" s="183">
        <f t="shared" si="138"/>
        <v>52.042184302763822</v>
      </c>
      <c r="FE47" s="183">
        <f t="shared" si="139"/>
        <v>52.414909318191548</v>
      </c>
      <c r="FF47" s="183">
        <f t="shared" si="140"/>
        <v>54.107088555227989</v>
      </c>
      <c r="FG47" s="183">
        <f t="shared" si="141"/>
        <v>53.102974221881901</v>
      </c>
      <c r="FH47" s="186">
        <f t="shared" si="185"/>
        <v>91.80100653541821</v>
      </c>
      <c r="FI47" s="183">
        <f t="shared" si="186"/>
        <v>91.834488175878604</v>
      </c>
      <c r="FJ47" s="183">
        <f t="shared" si="187"/>
        <v>90.848263555824744</v>
      </c>
      <c r="FK47" s="183">
        <f t="shared" si="188"/>
        <v>90.192471091737829</v>
      </c>
      <c r="FL47" s="183">
        <f t="shared" si="189"/>
        <v>89.170174728877512</v>
      </c>
      <c r="FM47" s="183">
        <f t="shared" si="190"/>
        <v>88.736392999859518</v>
      </c>
      <c r="FN47" s="183">
        <f t="shared" si="191"/>
        <v>87.830555487681835</v>
      </c>
      <c r="FO47" s="183">
        <f t="shared" si="192"/>
        <v>85.010681219946761</v>
      </c>
      <c r="FP47" s="183">
        <f t="shared" si="193"/>
        <v>86.424396264436581</v>
      </c>
      <c r="FQ47" s="314">
        <f>Sheet3!CV47</f>
        <v>2</v>
      </c>
      <c r="FR47" s="183">
        <v>5000</v>
      </c>
      <c r="FS47" s="183">
        <v>20</v>
      </c>
      <c r="FT47" s="183">
        <v>0.17530434782608695</v>
      </c>
      <c r="FU47" s="183">
        <v>25.04</v>
      </c>
      <c r="FV47" s="183">
        <v>211</v>
      </c>
      <c r="FW47" s="183">
        <v>42</v>
      </c>
      <c r="FX47" s="183">
        <v>432</v>
      </c>
      <c r="FY47" s="183">
        <v>11.69</v>
      </c>
      <c r="FZ47" s="183">
        <v>18.309999999999999</v>
      </c>
      <c r="GA47" s="183">
        <v>115</v>
      </c>
      <c r="GB47" s="186">
        <f>EXP($LP$6-($LQ$6/('Trial and Error method'!T47+$LP$8))) / ($LR$2/1000)</f>
        <v>0.37498133291057228</v>
      </c>
      <c r="GC47" s="183">
        <f>EXP($LP$6-($LQ$6/('Trial and Error method'!U47+$LP$8))) / ($LR$2/1000)</f>
        <v>0.11616992363765247</v>
      </c>
      <c r="GD47" s="183">
        <f>EXP($LP$6-($LQ$6/('Trial and Error method'!V47+$LP$8))) / ($LR$2/1000)</f>
        <v>0.11012673799091367</v>
      </c>
      <c r="GE47" s="183">
        <f>EXP($LP$6-($LQ$6/('Trial and Error method'!W47+$LP$8))) / ($LR$2/1000)</f>
        <v>0.10538189976981602</v>
      </c>
      <c r="GF47" s="183">
        <f>EXP($LP$6-($LQ$6/('Trial and Error method'!X47+$LP$8))) / ($LR$2/1000)</f>
        <v>0.10050755151562785</v>
      </c>
      <c r="GG47" s="183">
        <f>EXP($LP$6-($LQ$6/('Trial and Error method'!Y47+$LP$8))) / ($LR$2/1000)</f>
        <v>9.7290612105519411E-2</v>
      </c>
      <c r="GH47" s="183">
        <f>EXP($LP$6-($LQ$6/('Trial and Error method'!Z47+$LP$8))) / ($LR$2/1000)</f>
        <v>9.409252410983758E-2</v>
      </c>
      <c r="GI47" s="183">
        <f>EXP($LP$6-($LQ$6/('Trial and Error method'!AA47+$LP$8))) / ($LR$2/1000)</f>
        <v>8.927070407974122E-2</v>
      </c>
      <c r="GJ47" s="183">
        <f>EXP($LP$6-($LQ$6/('Trial and Error method'!AB47+$LP$8))) / ($LR$2/1000)</f>
        <v>8.8991075506287265E-2</v>
      </c>
      <c r="GK47" s="188">
        <f t="shared" si="142"/>
        <v>0.66877920633159449</v>
      </c>
      <c r="GL47" s="165">
        <f t="shared" si="143"/>
        <v>0.79619148806008455</v>
      </c>
      <c r="GM47" s="165">
        <f t="shared" si="144"/>
        <v>0.79943292815319567</v>
      </c>
      <c r="GN47" s="165">
        <f t="shared" si="145"/>
        <v>0.80165230744769578</v>
      </c>
      <c r="GO47" s="165">
        <f t="shared" si="146"/>
        <v>0.80438432470843524</v>
      </c>
      <c r="GP47" s="165">
        <f t="shared" si="147"/>
        <v>0.80588501670935964</v>
      </c>
      <c r="GQ47" s="165">
        <f t="shared" si="148"/>
        <v>0.80780514765100442</v>
      </c>
      <c r="GR47" s="165">
        <f t="shared" si="149"/>
        <v>0.81004538658177583</v>
      </c>
      <c r="GS47" s="165">
        <f t="shared" si="150"/>
        <v>0.81057827701193863</v>
      </c>
      <c r="GT47" s="188">
        <f t="shared" si="194"/>
        <v>8.0121225977226401E-2</v>
      </c>
      <c r="GU47" s="165">
        <f t="shared" si="195"/>
        <v>6.7295245586028396E-2</v>
      </c>
      <c r="GV47" s="165">
        <f t="shared" si="196"/>
        <v>6.7020759678885516E-2</v>
      </c>
      <c r="GW47" s="165">
        <f t="shared" si="197"/>
        <v>6.6857754996046556E-2</v>
      </c>
      <c r="GX47" s="165">
        <f t="shared" si="198"/>
        <v>6.6634222642393034E-2</v>
      </c>
      <c r="GY47" s="165">
        <f t="shared" si="199"/>
        <v>6.6528295147485969E-2</v>
      </c>
      <c r="GZ47" s="165">
        <f t="shared" si="200"/>
        <v>6.63769604832945E-2</v>
      </c>
      <c r="HA47" s="165">
        <f t="shared" si="201"/>
        <v>6.6352174716969345E-2</v>
      </c>
      <c r="HB47" s="165">
        <f t="shared" si="202"/>
        <v>6.6182778774777379E-2</v>
      </c>
      <c r="HC47" s="188">
        <f>BV47*Sheet3!DF47</f>
        <v>137.17771881525991</v>
      </c>
      <c r="HD47" s="165">
        <f>BW47*Sheet3!BZ47</f>
        <v>137.4380921422887</v>
      </c>
      <c r="HE47" s="165">
        <f>BX47*Sheet3!CA47</f>
        <v>130.77216849065721</v>
      </c>
      <c r="HF47" s="165">
        <f>BY47*Sheet3!CB47</f>
        <v>125.9710856760758</v>
      </c>
      <c r="HG47" s="165">
        <f>BZ47*Sheet3!CC47</f>
        <v>119.25806283804019</v>
      </c>
      <c r="HH47" s="165">
        <f>CA47*Sheet3!CD47</f>
        <v>116.15808785712689</v>
      </c>
      <c r="HI47" s="165">
        <f>CB47*Sheet3!CE47</f>
        <v>110.35528873409791</v>
      </c>
      <c r="HJ47" s="165">
        <f>CC47*Sheet3!CF47</f>
        <v>90.964567457623986</v>
      </c>
      <c r="HK47" s="165">
        <f>CD47*Sheet3!CG47</f>
        <v>101.11511970389496</v>
      </c>
      <c r="HL47" s="188">
        <f>(CE47*Sheet3!DF47)+2501</f>
        <v>2718.9797360684374</v>
      </c>
      <c r="HM47" s="165">
        <f>(CF47*Sheet3!BZ47)+2501</f>
        <v>2719.402436124336</v>
      </c>
      <c r="HN47" s="165">
        <f>(CG47*Sheet3!CA47)+2501</f>
        <v>2709.2727541697518</v>
      </c>
      <c r="HO47" s="165">
        <f>(CH47*Sheet3!CB47)+2501</f>
        <v>2701.6152688680636</v>
      </c>
      <c r="HP47" s="165">
        <f>(CI47*Sheet3!CC47)+2501</f>
        <v>2691.3988518489564</v>
      </c>
      <c r="HQ47" s="165">
        <f>(CJ47*Sheet3!CD47)+2501</f>
        <v>2686.4461399537008</v>
      </c>
      <c r="HR47" s="165">
        <f>(CK47*Sheet3!CE47)+2501</f>
        <v>2677.6000950471948</v>
      </c>
      <c r="HS47" s="165">
        <f>(CL47*Sheet3!CF47)+2501</f>
        <v>2646.538504331279</v>
      </c>
      <c r="HT47" s="165">
        <f>(CM47*Sheet3!CG47)+2501</f>
        <v>2663.1677789220494</v>
      </c>
      <c r="HU47" s="188">
        <f>-0.0021*(Sheet3!DF47^2) - 2.2115*(Sheet3!DF47) + 2499</f>
        <v>2216.9050000000002</v>
      </c>
      <c r="HV47" s="165">
        <f>-0.0021*(Sheet3!BZ47^2) - 2.2115*(Sheet3!BZ47) + 2499</f>
        <v>2216.3199562409941</v>
      </c>
      <c r="HW47" s="165">
        <f>-0.0021*(Sheet3!CA47^2) - 2.2115*(Sheet3!CA47) + 2499</f>
        <v>2230.3051092702826</v>
      </c>
      <c r="HX47" s="165">
        <f>-0.0021*(Sheet3!CB47^2) - 2.2115*(Sheet3!CB47) + 2499</f>
        <v>2240.8281328087164</v>
      </c>
      <c r="HY47" s="165">
        <f>-0.0021*(Sheet3!CC47^2) - 2.2115*(Sheet3!CC47) + 2499</f>
        <v>2254.800791785844</v>
      </c>
      <c r="HZ47" s="165">
        <f>-0.0021*(Sheet3!CD47^2) - 2.2115*(Sheet3!CD47) + 2499</f>
        <v>2261.5465188037942</v>
      </c>
      <c r="IA47" s="165">
        <f>-0.0021*(Sheet3!CE47^2) - 2.2115*(Sheet3!CE47) + 2499</f>
        <v>2273.5489506152699</v>
      </c>
      <c r="IB47" s="165">
        <f>-0.0021*(Sheet3!CF47^2) - 2.2115*(Sheet3!CF47) + 2499</f>
        <v>2315.2108526632569</v>
      </c>
      <c r="IC47" s="165">
        <f>-0.0021*(Sheet3!CG47^2) - 2.2115*(Sheet3!CG47) + 2499</f>
        <v>2293.0015283292341</v>
      </c>
      <c r="ID47" s="188">
        <f t="shared" si="203"/>
        <v>0.71164010193039051</v>
      </c>
      <c r="IE47" s="165">
        <f t="shared" si="204"/>
        <v>0.7114268834721047</v>
      </c>
      <c r="IF47" s="165">
        <f t="shared" si="205"/>
        <v>0.7147348225522554</v>
      </c>
      <c r="IG47" s="165">
        <f t="shared" si="206"/>
        <v>0.71842003437013813</v>
      </c>
      <c r="IH47" s="165">
        <f t="shared" si="207"/>
        <v>0.7219785389435539</v>
      </c>
      <c r="II47" s="165">
        <f t="shared" si="208"/>
        <v>0.72454744180835851</v>
      </c>
      <c r="IJ47" s="165">
        <f t="shared" si="209"/>
        <v>0.72778080407298607</v>
      </c>
      <c r="IK47" s="165">
        <f t="shared" si="210"/>
        <v>0.74635593456888472</v>
      </c>
      <c r="IL47" s="165">
        <f t="shared" si="211"/>
        <v>0.73453160265556838</v>
      </c>
      <c r="IM47" s="188">
        <f t="shared" si="212"/>
        <v>-15.900200970249211</v>
      </c>
      <c r="IN47" s="165">
        <f t="shared" si="151"/>
        <v>25.248183618822996</v>
      </c>
      <c r="IO47" s="165">
        <f t="shared" si="152"/>
        <v>26.088903556826835</v>
      </c>
      <c r="IP47" s="165">
        <f t="shared" si="153"/>
        <v>26.85563689542256</v>
      </c>
      <c r="IQ47" s="165">
        <f t="shared" si="154"/>
        <v>27.534760692784573</v>
      </c>
      <c r="IR47" s="165">
        <f t="shared" si="155"/>
        <v>28.054858773492988</v>
      </c>
      <c r="IS47" s="165">
        <f t="shared" si="156"/>
        <v>28.500023509686041</v>
      </c>
      <c r="IT47" s="165">
        <f t="shared" si="157"/>
        <v>29.749720831446862</v>
      </c>
      <c r="IU47" s="165">
        <f t="shared" si="158"/>
        <v>29.318612600928649</v>
      </c>
      <c r="IV47" s="188">
        <f>_xlfn.FORECAST.LINEAR(Sheet3!DF47,Sheet2!$AK$2:$AK$69,Sheet2!$AJ$2:$AJ$69)</f>
        <v>1.2811804086396453E-5</v>
      </c>
      <c r="IW47" s="165">
        <f>_xlfn.FORECAST.LINEAR(Sheet3!BZ47,Sheet2!$AK$2:$AK$69,Sheet2!$AJ$2:$AJ$69)</f>
        <v>1.2819404854388011E-5</v>
      </c>
      <c r="IX47" s="165">
        <f>_xlfn.FORECAST.LINEAR(Sheet3!CA47,Sheet2!$AK$2:$AK$69,Sheet2!$AJ$2:$AJ$69)</f>
        <v>1.263700301664533E-5</v>
      </c>
      <c r="IY47" s="165">
        <f>_xlfn.FORECAST.LINEAR(Sheet3!CB47,Sheet2!$AK$2:$AK$69,Sheet2!$AJ$2:$AJ$69)</f>
        <v>1.2498765788661681E-5</v>
      </c>
      <c r="IZ47" s="165">
        <f>_xlfn.FORECAST.LINEAR(Sheet3!CC47,Sheet2!$AK$2:$AK$69,Sheet2!$AJ$2:$AJ$69)</f>
        <v>1.2313867363097204E-5</v>
      </c>
      <c r="JA47" s="165">
        <f>_xlfn.FORECAST.LINEAR(Sheet3!CD47,Sheet2!$AK$2:$AK$69,Sheet2!$AJ$2:$AJ$69)</f>
        <v>1.2224042611364334E-5</v>
      </c>
      <c r="JB47" s="165">
        <f>_xlfn.FORECAST.LINEAR(Sheet3!CE47,Sheet2!$AK$2:$AK$69,Sheet2!$AJ$2:$AJ$69)</f>
        <v>1.2063301891080273E-5</v>
      </c>
      <c r="JC47" s="165">
        <f>_xlfn.FORECAST.LINEAR(Sheet3!CF47,Sheet2!$AK$2:$AK$69,Sheet2!$AJ$2:$AJ$69)</f>
        <v>1.1495871902946385E-5</v>
      </c>
      <c r="JD47" s="165">
        <f>_xlfn.FORECAST.LINEAR(Sheet3!CG47,Sheet2!$AK$2:$AK$69,Sheet2!$AJ$2:$AJ$69)</f>
        <v>1.1800228317242193E-5</v>
      </c>
      <c r="JE47" s="188">
        <f>_xlfn.FORECAST.LINEAR(Sheet3!DF47,New!$MC$2:$MC$18,New!$MB$2:$MB$18)</f>
        <v>2.214324918296784E-5</v>
      </c>
      <c r="JF47" s="165">
        <f>_xlfn.FORECAST.LINEAR(Sheet3!BZ47,New!$MC$2:$MC$18,New!$MB$2:$MB$18)</f>
        <v>2.2152184069199557E-5</v>
      </c>
      <c r="JG47" s="165">
        <f>_xlfn.FORECAST.LINEAR(Sheet3!CA47,New!$MC$2:$MC$18,New!$MB$2:$MB$18)</f>
        <v>2.1937766306350288E-5</v>
      </c>
      <c r="JH47" s="165">
        <f>_xlfn.FORECAST.LINEAR(Sheet3!CB47,New!$MC$2:$MC$18,New!$MB$2:$MB$18)</f>
        <v>2.177526510826174E-5</v>
      </c>
      <c r="JI47" s="165">
        <f>_xlfn.FORECAST.LINEAR(Sheet3!CC47,New!$MC$2:$MC$18,New!$MB$2:$MB$18)</f>
        <v>2.15579125461685E-5</v>
      </c>
      <c r="JJ47" s="165">
        <f>_xlfn.FORECAST.LINEAR(Sheet3!CD47,New!$MC$2:$MC$18,New!$MB$2:$MB$18)</f>
        <v>2.1452321382431305E-5</v>
      </c>
      <c r="JK47" s="165">
        <f>_xlfn.FORECAST.LINEAR(Sheet3!CE47,New!$MC$2:$MC$18,New!$MB$2:$MB$18)</f>
        <v>2.1263366785983045E-5</v>
      </c>
      <c r="JL47" s="165">
        <f>_xlfn.FORECAST.LINEAR(Sheet3!CF47,New!$MC$2:$MC$18,New!$MB$2:$MB$18)</f>
        <v>2.0596339139030858E-5</v>
      </c>
      <c r="JM47" s="165">
        <f>_xlfn.FORECAST.LINEAR(Sheet3!CG47,New!$MC$2:$MC$18,New!$MB$2:$MB$18)</f>
        <v>2.095411745020224E-5</v>
      </c>
      <c r="JN47" s="188">
        <f t="shared" si="159"/>
        <v>1.9467583162191895E-5</v>
      </c>
      <c r="JO47" s="165">
        <f t="shared" si="160"/>
        <v>1.9476490864666565E-5</v>
      </c>
      <c r="JP47" s="165">
        <f t="shared" si="161"/>
        <v>1.9272520348736458E-5</v>
      </c>
      <c r="JQ47" s="165">
        <f t="shared" si="162"/>
        <v>1.9112469835953305E-5</v>
      </c>
      <c r="JR47" s="165">
        <f t="shared" si="163"/>
        <v>1.8906081299773034E-5</v>
      </c>
      <c r="JS47" s="165">
        <f t="shared" si="164"/>
        <v>1.8801992398445629E-5</v>
      </c>
      <c r="JT47" s="165">
        <f t="shared" si="165"/>
        <v>1.8622906527689041E-5</v>
      </c>
      <c r="JU47" s="165">
        <f t="shared" si="166"/>
        <v>1.7963525507856574E-5</v>
      </c>
      <c r="JV47" s="165">
        <f t="shared" si="167"/>
        <v>1.8324321056635775E-5</v>
      </c>
      <c r="JW47" s="188">
        <f t="shared" si="231"/>
        <v>1.0286695457519455</v>
      </c>
      <c r="JX47" s="165">
        <f t="shared" si="232"/>
        <v>1.0285644618499796</v>
      </c>
      <c r="JY47" s="165">
        <f t="shared" si="233"/>
        <v>1.0311198267154911</v>
      </c>
      <c r="JZ47" s="165">
        <f t="shared" si="234"/>
        <v>1.0331042796106611</v>
      </c>
      <c r="KA47" s="165">
        <f t="shared" si="235"/>
        <v>1.0358255825913711</v>
      </c>
      <c r="KB47" s="165">
        <f t="shared" si="236"/>
        <v>1.03717618795985</v>
      </c>
      <c r="KC47" s="165">
        <f t="shared" si="237"/>
        <v>1.0396413605543919</v>
      </c>
      <c r="KD47" s="165">
        <f t="shared" si="238"/>
        <v>1.0488729119956826</v>
      </c>
      <c r="KE47" s="165">
        <f t="shared" si="239"/>
        <v>1.0438151990390634</v>
      </c>
      <c r="KF47" s="188">
        <f t="shared" si="75"/>
        <v>0.95677344983303514</v>
      </c>
      <c r="KG47" s="165">
        <f t="shared" si="240"/>
        <v>0.95685717513925106</v>
      </c>
      <c r="KH47" s="165">
        <f t="shared" si="241"/>
        <v>0.95482792536113748</v>
      </c>
      <c r="KI47" s="165">
        <f t="shared" si="242"/>
        <v>0.95326166965418702</v>
      </c>
      <c r="KJ47" s="165">
        <f t="shared" si="243"/>
        <v>0.9511273924845064</v>
      </c>
      <c r="KK47" s="165">
        <f t="shared" si="244"/>
        <v>0.95007390331864316</v>
      </c>
      <c r="KL47" s="165">
        <f t="shared" si="245"/>
        <v>0.94816082073411445</v>
      </c>
      <c r="KM47" s="165">
        <f t="shared" si="246"/>
        <v>0.94110708330219384</v>
      </c>
      <c r="KN47" s="165">
        <f t="shared" si="247"/>
        <v>0.94495024925823246</v>
      </c>
      <c r="KO47" s="188">
        <f t="shared" si="213"/>
        <v>0.6009813783261031</v>
      </c>
      <c r="KP47" s="165">
        <f t="shared" si="214"/>
        <v>0.60117975791905953</v>
      </c>
      <c r="KQ47" s="165">
        <f t="shared" si="215"/>
        <v>0.59737422755692549</v>
      </c>
      <c r="KR47" s="165">
        <f t="shared" si="216"/>
        <v>0.59442469769911865</v>
      </c>
      <c r="KS47" s="165">
        <f t="shared" si="217"/>
        <v>0.59045173002045659</v>
      </c>
      <c r="KT47" s="165">
        <f t="shared" si="218"/>
        <v>0.58847939661613391</v>
      </c>
      <c r="KU47" s="165">
        <f t="shared" si="219"/>
        <v>0.58494090703293766</v>
      </c>
      <c r="KV47" s="165">
        <f t="shared" si="220"/>
        <v>0.5718651745644745</v>
      </c>
      <c r="KW47" s="165">
        <f t="shared" si="221"/>
        <v>0.57909489013624083</v>
      </c>
      <c r="KX47" s="188">
        <f>AVERAGE(Sheet3!J47:P47)*KO47^(1/3)/ID47^(1/3)</f>
        <v>167.50654513020396</v>
      </c>
      <c r="KY47" s="165">
        <f>Sheet3!J47*KP47^(1/3)/IE47^(1/3)</f>
        <v>139.4650413281683</v>
      </c>
      <c r="KZ47" s="165">
        <f>Sheet3!K47*KQ47^(1/3)/IF47^(1/3)</f>
        <v>138.89430765028405</v>
      </c>
      <c r="LA47" s="165">
        <f>Sheet3!L47*KR47^(1/3)/IG47^(1/3)</f>
        <v>144.77587260331282</v>
      </c>
      <c r="LB47" s="165">
        <f>Sheet3!M47*KS47^(1/3)/IH47^(1/3)</f>
        <v>152.28180116744011</v>
      </c>
      <c r="LC47" s="165">
        <f>Sheet3!N47*KT47^(1/3)/II47^(1/3)</f>
        <v>162.57430535375644</v>
      </c>
      <c r="LD47" s="165">
        <f>Sheet3!O47*KU47^(1/3)/IJ47^(1/3)</f>
        <v>207.33044653546435</v>
      </c>
      <c r="LE47" s="165">
        <f>Sheet3!P47*KV47^(1/3)/IK47^(1/3)</f>
        <v>211.59473690416669</v>
      </c>
      <c r="LF47" s="165">
        <f>Sheet3!Q47*KW47^(1/3)/IL47^(1/3)</f>
        <v>194.62982348906627</v>
      </c>
      <c r="LG47" s="186">
        <f t="shared" si="248"/>
        <v>25.835598348218845</v>
      </c>
      <c r="LH47" s="183">
        <f t="shared" si="249"/>
        <v>25.840465954298232</v>
      </c>
      <c r="LI47" s="183">
        <f t="shared" si="250"/>
        <v>26.199233452479753</v>
      </c>
      <c r="LJ47" s="183">
        <f t="shared" si="251"/>
        <v>26.209905958699181</v>
      </c>
      <c r="LK47" s="183">
        <f t="shared" si="252"/>
        <v>26.618407702322056</v>
      </c>
      <c r="LL47" s="183">
        <f t="shared" si="253"/>
        <v>26.626024644508046</v>
      </c>
      <c r="LM47" s="183">
        <f t="shared" si="254"/>
        <v>27.022320079893728</v>
      </c>
      <c r="LN47" s="183">
        <f t="shared" si="255"/>
        <v>27.030247190133135</v>
      </c>
      <c r="LO47" s="183">
        <f t="shared" si="256"/>
        <v>27.407974607605119</v>
      </c>
      <c r="LP47" s="220"/>
      <c r="LQ47" s="220"/>
      <c r="LR47" s="220"/>
      <c r="LS47" s="220"/>
      <c r="LT47" s="220"/>
      <c r="LU47" s="220"/>
      <c r="LV47" s="220"/>
      <c r="LW47" s="220"/>
      <c r="LX47" s="220"/>
      <c r="LY47" s="220"/>
      <c r="LZ47" s="222">
        <v>177.67</v>
      </c>
      <c r="MA47" s="220">
        <v>1.5E-5</v>
      </c>
      <c r="MB47" s="220"/>
      <c r="MC47" s="220"/>
      <c r="MD47" s="188">
        <f>Sheet3!DP47</f>
        <v>279.22769800820561</v>
      </c>
      <c r="MF47" s="165"/>
      <c r="MP47"/>
      <c r="MQ47"/>
      <c r="MR47"/>
      <c r="MS47"/>
    </row>
    <row r="48" spans="1:357" x14ac:dyDescent="0.3">
      <c r="A48" s="184" t="str">
        <f>Sheet3!A48</f>
        <v>09.01.2023</v>
      </c>
      <c r="B48" s="186">
        <f t="shared" si="102"/>
        <v>0.84447957584309319</v>
      </c>
      <c r="C48" s="183">
        <f t="shared" si="168"/>
        <v>0.84277092591806768</v>
      </c>
      <c r="D48" s="183">
        <f t="shared" si="169"/>
        <v>0.83418131944155938</v>
      </c>
      <c r="E48" s="183">
        <f t="shared" si="170"/>
        <v>0.82691541309189365</v>
      </c>
      <c r="F48" s="183">
        <f t="shared" si="171"/>
        <v>0.81839517176160115</v>
      </c>
      <c r="G48" s="183">
        <f t="shared" si="172"/>
        <v>0.81384724950875686</v>
      </c>
      <c r="H48" s="183">
        <f t="shared" si="173"/>
        <v>0.8077142355035819</v>
      </c>
      <c r="I48" s="183">
        <f t="shared" si="174"/>
        <v>0.80016586990346916</v>
      </c>
      <c r="J48" s="183">
        <f t="shared" si="175"/>
        <v>0.79457486370319852</v>
      </c>
      <c r="K48" s="186">
        <f xml:space="preserve"> (6.057 * (10^(-6)))
+ (4.055 * (10^(-8)) * (Sheet3!DF48 + 273))
+ (1.25 * (10^(-10)) * (Sheet3!DF48 + 273)^2)
- (3.367 * (10^(-14)) * (DD48 + 273)^3)</f>
        <v>3.9918028522834593E-5</v>
      </c>
      <c r="L48" s="183">
        <f xml:space="preserve"> (6.057 * (10^(-6)))
+ (4.055 * (10^(-8)) * (Sheet3!BZ48 + 273))
+ (1.25 * (10^(-10)) * (Sheet3!BZ48 + 273)^2)
- (3.367 * (10^(-14)) * (BX48 + 273)^3)</f>
        <v>3.9794869446713673E-5</v>
      </c>
      <c r="M48" s="183">
        <f xml:space="preserve"> (6.057 * (10^(-6)))
+ (4.055 * (10^(-8)) * (Sheet3!CA48 + 273))
+ (1.25 * (10^(-10)) * (Sheet3!CA48 + 273)^2)
- (3.367 * (10^(-14)) * (BY48 + 273)^3)</f>
        <v>3.9180093578848759E-5</v>
      </c>
      <c r="N48" s="183">
        <f xml:space="preserve"> (6.057 * (10^(-6)))
+ (4.055 * (10^(-8)) * (Sheet3!CB48 + 273))
+ (1.25 * (10^(-10)) * (Sheet3!CB48 + 273)^2)
- (3.367 * (10^(-14)) * (BZ48 + 273)^3)</f>
        <v>3.8716543139479789E-5</v>
      </c>
      <c r="O48" s="183">
        <f xml:space="preserve"> (6.057 * (10^(-6)))
+ (4.055 * (10^(-8)) * (Sheet3!CC48 + 273))
+ (1.25 * (10^(-10)) * (Sheet3!CC48 + 273)^2)
- (3.367 * (10^(-14)) * (CA48 + 273)^3)</f>
        <v>3.8117523439862934E-5</v>
      </c>
      <c r="P48" s="183">
        <f xml:space="preserve"> (6.057 * (10^(-6)))
+ (4.055 * (10^(-8)) * (Sheet3!CD48 + 273))
+ (1.25 * (10^(-10)) * (Sheet3!CD48 + 273)^2)
- (3.367 * (10^(-14)) * (CB48 + 273)^3)</f>
        <v>3.7838117352398624E-5</v>
      </c>
      <c r="Q48" s="183">
        <f xml:space="preserve"> (6.057 * (10^(-6)))
+ (4.055 * (10^(-8)) * (Sheet3!CE48 + 273))
+ (1.25 * (10^(-10)) * (Sheet3!CE48 + 273)^2)
- (3.367 * (10^(-14)) * (CC48 + 273)^3)</f>
        <v>3.7399264559024291E-5</v>
      </c>
      <c r="R48" s="183">
        <f xml:space="preserve"> (6.057 * (10^(-6)))
+ (4.055 * (10^(-8)) * (Sheet3!CF48 + 273))
+ (1.25 * (10^(-10)) * (Sheet3!CF48 + 273)^2)
- (3.367 * (10^(-14)) * (CD48 + 273)^3)</f>
        <v>3.6950815949745639E-5</v>
      </c>
      <c r="S48" s="183">
        <f xml:space="preserve"> (6.057 * (10^(-6)))
+ (4.055 * (10^(-8)) * (Sheet3!CG48 + 273))
+ (1.25 * (10^(-10)) * (Sheet3!CG48 + 273)^2)
- (3.367 * (10^(-14)) * (CE48 + 273)^3)</f>
        <v>3.6545263450774098E-5</v>
      </c>
      <c r="T48" s="188">
        <f t="shared" si="104"/>
        <v>3.9918028522834593E-5</v>
      </c>
      <c r="U48" s="165">
        <f t="shared" si="105"/>
        <v>3.9794869446713673E-5</v>
      </c>
      <c r="V48" s="165">
        <f t="shared" si="106"/>
        <v>3.9180093578848759E-5</v>
      </c>
      <c r="W48" s="165">
        <f t="shared" si="107"/>
        <v>3.8716543139479789E-5</v>
      </c>
      <c r="X48" s="165">
        <f t="shared" si="108"/>
        <v>3.8117523439862934E-5</v>
      </c>
      <c r="Y48" s="165">
        <f t="shared" si="109"/>
        <v>3.7838117352398624E-5</v>
      </c>
      <c r="Z48" s="165">
        <f t="shared" si="110"/>
        <v>3.7399264559024291E-5</v>
      </c>
      <c r="AA48" s="165">
        <f t="shared" si="111"/>
        <v>3.6950815949745639E-5</v>
      </c>
      <c r="AB48" s="165">
        <f t="shared" si="112"/>
        <v>3.6545263450774098E-5</v>
      </c>
      <c r="AC48" s="186">
        <f t="shared" si="176"/>
        <v>3.3709959795455853E-5</v>
      </c>
      <c r="AD48" s="183">
        <f t="shared" si="177"/>
        <v>3.3537958970395505E-5</v>
      </c>
      <c r="AE48" s="183">
        <f t="shared" si="178"/>
        <v>3.2683302157447824E-5</v>
      </c>
      <c r="AF48" s="183">
        <f t="shared" si="179"/>
        <v>3.201530626367305E-5</v>
      </c>
      <c r="AG48" s="183">
        <f t="shared" si="180"/>
        <v>3.1195197142693482E-5</v>
      </c>
      <c r="AH48" s="183">
        <f t="shared" si="181"/>
        <v>3.0794447733839184E-5</v>
      </c>
      <c r="AI48" s="183">
        <f t="shared" si="182"/>
        <v>3.0207918381688511E-5</v>
      </c>
      <c r="AJ48" s="183">
        <f t="shared" si="183"/>
        <v>2.9566781788071202E-5</v>
      </c>
      <c r="AK48" s="183">
        <f t="shared" si="184"/>
        <v>2.9037947725396313E-5</v>
      </c>
      <c r="AL48" s="186">
        <f t="shared" si="113"/>
        <v>3.263152432384335E-2</v>
      </c>
      <c r="AM48" s="183">
        <f t="shared" si="114"/>
        <v>3.253112173370757E-2</v>
      </c>
      <c r="AN48" s="183">
        <f t="shared" si="115"/>
        <v>3.2011498355772793E-2</v>
      </c>
      <c r="AO48" s="183">
        <f t="shared" si="116"/>
        <v>3.1616703050706046E-2</v>
      </c>
      <c r="AP48" s="183">
        <f t="shared" si="117"/>
        <v>3.1102904110480681E-2</v>
      </c>
      <c r="AQ48" s="183">
        <f t="shared" si="118"/>
        <v>3.0861426184173396E-2</v>
      </c>
      <c r="AR48" s="183">
        <f t="shared" si="119"/>
        <v>3.0481197330389093E-2</v>
      </c>
      <c r="AS48" s="183">
        <f t="shared" si="120"/>
        <v>3.0088829369081693E-2</v>
      </c>
      <c r="AT48" s="183">
        <f t="shared" si="121"/>
        <v>2.9738245137565164E-2</v>
      </c>
      <c r="AU48" s="186">
        <f>_xlfn.FORECAST.LINEAR(Sheet3!DF48,Sheet2!$AH$2:$AH$40,Sheet2!$AG$2:$AG$40)</f>
        <v>3.3278061617758661E-2</v>
      </c>
      <c r="AV48" s="183">
        <f>_xlfn.FORECAST.LINEAR(Sheet3!BZ48,Sheet2!$AH$2:$AH$40,Sheet2!$AG$2:$AG$40)</f>
        <v>3.305715010928871E-2</v>
      </c>
      <c r="AW48" s="183">
        <f>_xlfn.FORECAST.LINEAR(Sheet3!CA48,Sheet2!$AH$2:$AH$40,Sheet2!$AG$2:$AG$40)</f>
        <v>3.1914772947901515E-2</v>
      </c>
      <c r="AX48" s="183">
        <f>_xlfn.FORECAST.LINEAR(Sheet3!CB48,Sheet2!$AH$2:$AH$40,Sheet2!$AG$2:$AG$40)</f>
        <v>3.1047099496175817E-2</v>
      </c>
      <c r="AY48" s="183">
        <f>_xlfn.FORECAST.LINEAR(Sheet3!CC48,Sheet2!$AH$2:$AH$40,Sheet2!$AG$2:$AG$40)</f>
        <v>2.9917730630003869E-2</v>
      </c>
      <c r="AZ48" s="183">
        <f>_xlfn.FORECAST.LINEAR(Sheet3!CD48,Sheet2!$AH$2:$AH$40,Sheet2!$AG$2:$AG$40)</f>
        <v>2.9387705127356056E-2</v>
      </c>
      <c r="BA48" s="183">
        <f>_xlfn.FORECAST.LINEAR(Sheet3!CE48,Sheet2!$AH$2:$AH$40,Sheet2!$AG$2:$AG$40)</f>
        <v>2.8551064756910417E-2</v>
      </c>
      <c r="BB48" s="183">
        <f>_xlfn.FORECAST.LINEAR(Sheet3!CF48,Sheet2!$AH$2:$AH$40,Sheet2!$AG$2:$AG$40)</f>
        <v>2.7690718428686652E-2</v>
      </c>
      <c r="BC48" s="183">
        <f>_xlfn.FORECAST.LINEAR(Sheet3!CG48,Sheet2!$AH$2:$AH$40,Sheet2!$AG$2:$AG$40)</f>
        <v>2.6918478051434141E-2</v>
      </c>
      <c r="BD48" s="186">
        <f>_xlfn.FORECAST.LINEAR(Sheet3!DF48,Sheet2!$AB$12:$AB$37,Sheet2!$AA$12:$AA$37)/1000</f>
        <v>3.221097904255335E-2</v>
      </c>
      <c r="BE48" s="183">
        <f>_xlfn.FORECAST.LINEAR(Sheet3!BZ48,Sheet2!$AB$12:$AB$37,Sheet2!$AA$12:$AA$37)/1000</f>
        <v>3.2161588342594229E-2</v>
      </c>
      <c r="BF48" s="183">
        <f>_xlfn.FORECAST.LINEAR(Sheet3!CA48,Sheet2!$AB$12:$AB$37,Sheet2!$AA$12:$AA$37)/1000</f>
        <v>3.1906179251374782E-2</v>
      </c>
      <c r="BG48" s="183">
        <f>_xlfn.FORECAST.LINEAR(Sheet3!CB48,Sheet2!$AB$12:$AB$37,Sheet2!$AA$12:$AA$37)/1000</f>
        <v>3.1712187551198111E-2</v>
      </c>
      <c r="BH48" s="183">
        <f>_xlfn.FORECAST.LINEAR(Sheet3!CC48,Sheet2!$AB$12:$AB$37,Sheet2!$AA$12:$AA$37)/1000</f>
        <v>3.1459686813691906E-2</v>
      </c>
      <c r="BI48" s="183">
        <f>_xlfn.FORECAST.LINEAR(Sheet3!CD48,Sheet2!$AB$12:$AB$37,Sheet2!$AA$12:$AA$37)/1000</f>
        <v>3.1341185379550815E-2</v>
      </c>
      <c r="BJ48" s="183">
        <f>_xlfn.FORECAST.LINEAR(Sheet3!CE48,Sheet2!$AB$12:$AB$37,Sheet2!$AA$12:$AA$37)/1000</f>
        <v>3.1154131958040236E-2</v>
      </c>
      <c r="BK48" s="183">
        <f>_xlfn.FORECAST.LINEAR(Sheet3!CF48,Sheet2!$AB$12:$AB$37,Sheet2!$AA$12:$AA$37)/1000</f>
        <v>3.0961778433081115E-2</v>
      </c>
      <c r="BL48" s="183">
        <f>_xlfn.FORECAST.LINEAR(Sheet3!CG48,Sheet2!$AB$12:$AB$37,Sheet2!$AA$12:$AA$37)/1000</f>
        <v>3.0789123359412172E-2</v>
      </c>
      <c r="BM48" s="186">
        <f t="shared" si="122"/>
        <v>0.81150909366429325</v>
      </c>
      <c r="BN48" s="183">
        <f t="shared" si="123"/>
        <v>0.81333579694836655</v>
      </c>
      <c r="BO48" s="183">
        <f t="shared" si="124"/>
        <v>0.82303311708866467</v>
      </c>
      <c r="BP48" s="183">
        <f t="shared" si="125"/>
        <v>0.83044877470836798</v>
      </c>
      <c r="BQ48" s="183">
        <f t="shared" si="126"/>
        <v>0.8404782456983827</v>
      </c>
      <c r="BR48" s="183">
        <f t="shared" si="127"/>
        <v>0.84518621474813538</v>
      </c>
      <c r="BS48" s="183">
        <f t="shared" si="128"/>
        <v>0.85291006178978945</v>
      </c>
      <c r="BT48" s="183">
        <f t="shared" si="129"/>
        <v>0.86080570006260126</v>
      </c>
      <c r="BU48" s="183">
        <f t="shared" si="130"/>
        <v>0.8682099541561813</v>
      </c>
      <c r="BV48" s="186">
        <f t="shared" si="222"/>
        <v>1.1928497288283471</v>
      </c>
      <c r="BW48" s="183">
        <f t="shared" si="223"/>
        <v>1.1925937324524365</v>
      </c>
      <c r="BX48" s="183">
        <f t="shared" si="224"/>
        <v>1.1900432980987918</v>
      </c>
      <c r="BY48" s="183">
        <f t="shared" si="225"/>
        <v>1.1891758227035603</v>
      </c>
      <c r="BZ48" s="183">
        <f t="shared" si="226"/>
        <v>1.1862786927100561</v>
      </c>
      <c r="CA48" s="183">
        <f t="shared" si="227"/>
        <v>1.1857446319049476</v>
      </c>
      <c r="CB48" s="183">
        <f t="shared" si="228"/>
        <v>1.1830633088005089</v>
      </c>
      <c r="CC48" s="183">
        <f t="shared" si="229"/>
        <v>1.1822140087685296</v>
      </c>
      <c r="CD48" s="183">
        <f t="shared" si="230"/>
        <v>1.1795725493538758</v>
      </c>
      <c r="CE48" s="187">
        <f xml:space="preserve"> -0.0000000019505*Sheet3!DF48^3 + 0.0000015497*Sheet3!DF48^2  + 0.00016911*Sheet3!DF48 + 1.8585</f>
        <v>1.8954759658125</v>
      </c>
      <c r="CF48" s="185">
        <f xml:space="preserve"> -0.0000000019505*Sheet3!BZ48^3 + 0.0000015497*Sheet3!BZ48^2  + 0.00016911*Sheet3!BZ48 + 1.8585</f>
        <v>1.8950870779435416</v>
      </c>
      <c r="CG48" s="185">
        <f xml:space="preserve"> -0.0000000019505*Sheet3!CA48^3 + 0.0000015497*Sheet3!CA48^2  + 0.00016911*Sheet3!CA48 + 1.8585</f>
        <v>1.8930974958308999</v>
      </c>
      <c r="CH48" s="185">
        <f xml:space="preserve"> -0.0000000019505*Sheet3!CB48^3 + 0.0000015497*Sheet3!CB48^2  + 0.00016911*Sheet3!CB48 + 1.8585</f>
        <v>1.891610807662252</v>
      </c>
      <c r="CI48" s="185">
        <f xml:space="preserve"> -0.0000000019505*Sheet3!CC48^3 + 0.0000015497*Sheet3!CC48^2  + 0.00016911*Sheet3!CC48 + 1.8585</f>
        <v>1.8897082054583709</v>
      </c>
      <c r="CJ48" s="185">
        <f xml:space="preserve"> -0.0000000019505*Sheet3!CD48^3 + 0.0000015497*Sheet3!CD48^2  + 0.00016911*Sheet3!CD48 + 1.8585</f>
        <v>1.888828222896789</v>
      </c>
      <c r="CK48" s="185">
        <f xml:space="preserve"> -0.0000000019505*Sheet3!CE48^3 + 0.0000015497*Sheet3!CE48^2  + 0.00016911*Sheet3!CE48 + 1.8585</f>
        <v>1.8874563271456002</v>
      </c>
      <c r="CL48" s="185">
        <f xml:space="preserve"> -0.0000000019505*Sheet3!CF48^3 + 0.0000015497*Sheet3!CF48^2  + 0.00016911*Sheet3!CF48 + 1.8585</f>
        <v>1.8860678422225285</v>
      </c>
      <c r="CM48" s="185">
        <f xml:space="preserve"> -0.0000000019505*Sheet3!CG48^3 + 0.0000015497*Sheet3!CG48^2  + 0.00016911*Sheet3!CG48 + 1.8585</f>
        <v>1.8848411606279645</v>
      </c>
      <c r="CN48" s="186">
        <f>_xlfn.FORECAST.LINEAR(Sheet3!DF48,New!$LU$2:$LU$14,New!$LT$2:$LT$14)</f>
        <v>1.0182325575068421</v>
      </c>
      <c r="CO48" s="183">
        <f>_xlfn.FORECAST.LINEAR(Sheet3!BZ48,New!$LU$2:$LU$14,New!$LT$2:$LT$14)</f>
        <v>1.0180699637384085</v>
      </c>
      <c r="CP48" s="183">
        <f>_xlfn.FORECAST.LINEAR(Sheet3!CA48,New!$LU$2:$LU$14,New!$LT$2:$LT$14)</f>
        <v>1.017229159160463</v>
      </c>
      <c r="CQ48" s="183">
        <f>_xlfn.FORECAST.LINEAR(Sheet3!CB48,New!$LU$2:$LU$14,New!$LT$2:$LT$14)</f>
        <v>1.0165905401167428</v>
      </c>
      <c r="CR48" s="183">
        <f>_xlfn.FORECAST.LINEAR(Sheet3!CC48,New!$LU$2:$LU$14,New!$LT$2:$LT$14)</f>
        <v>1.0157593098147353</v>
      </c>
      <c r="CS48" s="183">
        <f>_xlfn.FORECAST.LINEAR(Sheet3!CD48,New!$LU$2:$LU$14,New!$LT$2:$LT$14)</f>
        <v>1.0153692040912341</v>
      </c>
      <c r="CT48" s="183">
        <f>_xlfn.FORECAST.LINEAR(Sheet3!CE48,New!$LU$2:$LU$14,New!$LT$2:$LT$14)</f>
        <v>1.0147534258024677</v>
      </c>
      <c r="CU48" s="183">
        <f>_xlfn.FORECAST.LINEAR(Sheet3!CF48,New!$LU$2:$LU$14,New!$LT$2:$LT$14)</f>
        <v>1.0141201996177718</v>
      </c>
      <c r="CV48" s="183">
        <f>_xlfn.FORECAST.LINEAR(Sheet3!CG48,New!$LU$2:$LU$14,New!$LT$2:$LT$14)</f>
        <v>1.0135518205688769</v>
      </c>
      <c r="CW48" s="186">
        <f>EXP((17.625*Sheet3!BA48)/(243.04+Sheet3!BA48)) / EXP((17.625*Sheet3!DF48)/(243.04+Sheet3!DF48))</f>
        <v>0.14014150470242406</v>
      </c>
      <c r="CX48" s="183">
        <f>EXP((17.625*(Sheet3!BC48+273))/(243.04+(Sheet3!BC48+273)))/EXP((17.625*(Sheet3!BZ48+273))/(243.04+(Sheet3!BZ48+273)))</f>
        <v>0.55917800597538736</v>
      </c>
      <c r="CY48" s="183">
        <f>EXP((17.625*(Sheet3!BE48+273))/(243.04+(Sheet3!BE48+273))) / EXP((17.625*(Sheet3!CA48+273))/(243.04+(Sheet3!CA48+273)))</f>
        <v>0.58690926861006132</v>
      </c>
      <c r="CZ48" s="183">
        <f>EXP((17.625*(Sheet3!BG48+273))/(243.04+(Sheet3!BG48+273))) / EXP((17.625*(Sheet3!CB48+273))/(243.04+(Sheet3!CB48+273)))</f>
        <v>0.60851517839538583</v>
      </c>
      <c r="DA48" s="183">
        <f>EXP((17.625*(Sheet3!BI48+273))/(243.04+(Sheet3!BI48+273))) / EXP((17.625*(Sheet3!CC48+273))/(243.04+(Sheet3!CC48+273)))</f>
        <v>0.63800611677518149</v>
      </c>
      <c r="DB48" s="183">
        <f>EXP((17.625*(Sheet3!BK48+273))/(243.04+(Sheet3!BK48+273)))/EXP((17.625*(Sheet3!CD48+273))/(243.04+(Sheet3!CD48+273)))</f>
        <v>0.65312472833570745</v>
      </c>
      <c r="DC48" s="183">
        <f>EXP((17.625*(Sheet3!BM48+273))/(243.04+(Sheet3!BM48+273))) / EXP((17.625*(Sheet3!CE48+273))/(243.04+(Sheet3!CE48+273)))</f>
        <v>0.67645879626640504</v>
      </c>
      <c r="DD48" s="183">
        <f>EXP((17.625*(Sheet3!BO48+273))/(243.04+(Sheet3!BO48+273))) / EXP((17.625*(Sheet3!CF48+273))/(243.04+(Sheet3!CF48+273)))</f>
        <v>0.70322074498040466</v>
      </c>
      <c r="DE48" s="183">
        <f>EXP((17.625*(Sheet3!BQ48+273))/(243.04+(Sheet3!BQ48+273))) / EXP((17.625*(Sheet3!CG48+273))/(243.04+(Sheet3!CG48+273)))</f>
        <v>0.72674739853375536</v>
      </c>
      <c r="DF48" s="186">
        <f>((Sheet3!DA48-Sheet3!DB48)/New!$LQ$3)/(((Sheet3!DA48-Sheet3!DB48)/New!$LQ$3)+(Sheet3!DB48/New!$LP$3))</f>
        <v>0.71453616703689748</v>
      </c>
      <c r="DG48" s="183">
        <f>((Sheet3!DA48-Sheet3!DB48)/New!$LQ$3)/(((Sheet3!DA48-Sheet3!DB48)/New!$LQ$3)+((Sheet3!DB48-(Sheet3!B48*0.004))/New!$LP$3))</f>
        <v>0.71474991825251843</v>
      </c>
      <c r="DH48" s="183" cm="1">
        <f t="array" ref="DH48">((Sheet3!DA48-Sheet3!DB48)/New!$LQ$3)/(((Sheet3!DA48-Sheet3!DB48)/New!$LQ$3)+((Sheet3!DB48-(SUM(Sheet3!B48:C48*0.004)))/New!$LP$3))</f>
        <v>0.72136102649245104</v>
      </c>
      <c r="DI48" s="183" cm="1">
        <f t="array" ref="DI48">((Sheet3!DA48-Sheet3!DB48)/New!$LQ$3)/(((Sheet3!DA48-Sheet3!DB48)/New!$LQ$3)+((Sheet3!DB48-(SUM(Sheet3!B48:D48*0.004)))/New!$LP$3))</f>
        <v>0.72163831883343288</v>
      </c>
      <c r="DJ48" s="183" cm="1">
        <f t="array" ref="DJ48">((Sheet3!DA48-Sheet3!DB48)/New!$LQ$3)/(((Sheet3!DA48-Sheet3!DB48)/New!$LQ$3)+((Sheet3!DB48-(SUM(Sheet3!B48:E48*0.004)))/New!$LP$3))</f>
        <v>0.73009793650628152</v>
      </c>
      <c r="DK48" s="183" cm="1">
        <f t="array" ref="DK48">((Sheet3!DA48-Sheet3!DB48)/New!$LQ$3)/(((Sheet3!DA48-Sheet3!DB48)/New!$LQ$3)+((Sheet3!DB48-(SUM(Sheet3!B48:F48*0.004)))/New!$LP$3))</f>
        <v>0.7303211010692815</v>
      </c>
      <c r="DL48" s="183" cm="1">
        <f t="array" ref="DL48">((Sheet3!DA48-Sheet3!DB48)/New!$LQ$3)/(((Sheet3!DA48-Sheet3!DB48)/New!$LQ$3)+((Sheet3!DB48-(SUM(Sheet3!B48:G48*0.004)))/New!$LP$3))</f>
        <v>0.73927774999201368</v>
      </c>
      <c r="DM48" s="183" cm="1">
        <f t="array" ref="DM48">((Sheet3!DA48-Sheet3!DB48)/New!$LQ$3)/(((Sheet3!DA48-Sheet3!DB48)/New!$LQ$3)+((Sheet3!DB48-(SUM(Sheet3!B48:H48*0.004)))/New!$LP$3))</f>
        <v>0.73961061514460447</v>
      </c>
      <c r="DN48" s="183" cm="1">
        <f t="array" ref="DN48">((Sheet3!DA48-Sheet3!DB48)/New!$LQ$3)/(((Sheet3!DA48-Sheet3!DB48)/New!$LQ$3)+((Sheet3!DB48-(SUM(Sheet3!B48:I48*0.004)))/New!$LP$3))</f>
        <v>0.74892602364747873</v>
      </c>
      <c r="DO48" s="186">
        <f>(Sheet3!DB48/$LP$3) / ((Sheet3!DB48/$LP$3) + ((Sheet3!DA48-Sheet3!DB48)/$LQ$3))</f>
        <v>0.2854638329631024</v>
      </c>
      <c r="DP48" s="183">
        <f>((Sheet3!$DB48-(Sheet3!B48/4000)) / $LP$3) / (((Sheet3!$DA48-Sheet3!DB48) / $LQ$3) + (Sheet3!$DB48-((Sheet3!B48/4000)))/$LP$3)</f>
        <v>0.28545047725773554</v>
      </c>
      <c r="DQ48" s="183">
        <f>((Sheet3!$DB48-(SUM(Sheet3!B48:C48)/4000))/$LP$3)/(((Sheet3!$DA48-Sheet3!$DB48)/$LQ$3)+(Sheet3!$DB48-(SUM(Sheet3!B48:C48)/4000))/$LP$3)</f>
        <v>0.28504106491863346</v>
      </c>
      <c r="DR48" s="183">
        <f>((Sheet3!$DB48-(SUM(Sheet3!B48:D48)/4000))/$LP$3)/(((Sheet3!$DA48-Sheet3!$DB48)/$LQ$3)+(Sheet3!$DB48-(SUM(Sheet3!B48:D48)/4000))/$LP$3)</f>
        <v>0.28502404654068197</v>
      </c>
      <c r="DS48" s="183">
        <f>((Sheet3!$DB48-(SUM(Sheet3!B48:E48)/4000))/$LP$3)/(((Sheet3!$DA48-Sheet3!$DB48)/$LQ$3)+(Sheet3!$DB48-(SUM(Sheet3!B48:E48)/4000))/$LP$3)</f>
        <v>0.28451068345696134</v>
      </c>
      <c r="DT48" s="183">
        <f>((Sheet3!$DB48-(SUM(Sheet3!B48:F48)/4000))/$LP$3)/(((Sheet3!$DA48-Sheet3!$DB48)/$LQ$3)+(Sheet3!$DB48-(SUM(Sheet3!B48:F48)/4000))/$LP$3)</f>
        <v>0.28449729209603386</v>
      </c>
      <c r="DU48" s="183">
        <f>((Sheet3!$DB48-(SUM(Sheet3!B48:G48)/4000))/$LP$3)/(((Sheet3!$DA48-Sheet3!$DB48)/$LQ$3)+(Sheet3!$DB48-(SUM(Sheet3!B48:G48)/4000))/$LP$3)</f>
        <v>0.28396610324858196</v>
      </c>
      <c r="DV48" s="183">
        <f>((Sheet3!$DB48-(SUM(Sheet3!B48:H48)/4000))/$LP$3)/(((Sheet3!$DA48-Sheet3!$DB48)/$LQ$3)+(Sheet3!$DB48-(SUM(Sheet3!B48:H48)/4000))/$LP$3)</f>
        <v>0.28394659507666858</v>
      </c>
      <c r="DW48" s="183">
        <f>((Sheet3!$DB48-(SUM(Sheet3!B48:I48)/4000))/$LP$3)/(((Sheet3!$DA48-Sheet3!$DB48)/$LQ$3)+(Sheet3!$DB48-(SUM(Sheet3!B48:I48)/4000))/$LP$3)</f>
        <v>0.28340726122265242</v>
      </c>
      <c r="DX48" s="186">
        <f>($LR$2*($LP$3/1000))/($LP$2*(Sheet3!DF48+273))*DO48</f>
        <v>0.16153261580047537</v>
      </c>
      <c r="DY48" s="183">
        <f>(($LR$2*($LP$3/1000))/($LP$2*(Sheet3!BZ48+273)))*(DP48)</f>
        <v>0.1618877345481507</v>
      </c>
      <c r="DZ48" s="183">
        <f>(($LR$2*($LP$3/1000))/($LP$2*(Sheet3!CA48+273)))*(DQ48)</f>
        <v>0.16355457954956409</v>
      </c>
      <c r="EA48" s="183">
        <f>(($LR$2*($LP$3/1000))/($LP$2*(Sheet3!CB48+273)))*(DR48)</f>
        <v>0.16501718947529789</v>
      </c>
      <c r="EB48" s="183">
        <f>(($LR$2*($LP$3/1000))/($LP$2*(Sheet3!CC48+273)))*(DS48)</f>
        <v>0.16667308297363989</v>
      </c>
      <c r="EC48" s="183">
        <f>(($LR$2*($LP$3/1000))/($LP$2*(Sheet3!CD48+273)))*(DT48)</f>
        <v>0.16759786888948947</v>
      </c>
      <c r="ED48" s="183">
        <f>(($LR$2*($LP$3/1000))/($LP$2*(Sheet3!CE48+273)))*(DU48)</f>
        <v>0.16877573581209251</v>
      </c>
      <c r="EE48" s="183">
        <f>(($LR$2*($LP$3/1000))/($LP$2*(Sheet3!CF48+273)))*(DV48)</f>
        <v>0.17032503343510963</v>
      </c>
      <c r="EF48" s="183">
        <f>(($LR$2*($LP$3/1000))/($LP$2*(Sheet3!CG48+273)))*(DW48)</f>
        <v>0.17142464681770589</v>
      </c>
      <c r="EG48" s="186">
        <f>(($LR$2*($LQ$3/1000))/($LQ$2*(Sheet3!DF48+273)))*(1-DO48)</f>
        <v>0.64997647786381785</v>
      </c>
      <c r="EH48" s="183">
        <f>(($LR$2*($LQ$3/1000))/($LQ$2*(Sheet3!BZ48+273)))*(1-DP48)</f>
        <v>0.65144806240021591</v>
      </c>
      <c r="EI48" s="183">
        <f>(($LR$2*($LQ$3/1000))/($LQ$2*(Sheet3!CA48+273)))*(1-DQ48)</f>
        <v>0.65947853753910057</v>
      </c>
      <c r="EJ48" s="183">
        <f>(($LR$2*($LQ$3/1000))/($LQ$2*(Sheet3!CB48+273)))*(1-DR48)</f>
        <v>0.66543158523307011</v>
      </c>
      <c r="EK48" s="183">
        <f>(($LR$2*($LQ$3/1000))/($LQ$2*(Sheet3!CC48+273)))*(1-DS48)</f>
        <v>0.67380516272474278</v>
      </c>
      <c r="EL48" s="183">
        <f>(($LR$2*($LQ$3/1000))/($LQ$2*(Sheet3!CD48+273)))*(1-DT48)</f>
        <v>0.67758834585864591</v>
      </c>
      <c r="EM48" s="183">
        <f>(($LR$2*($LQ$3/1000))/($LQ$2*(Sheet3!CE48+273)))*(1-DU48)</f>
        <v>0.68413432597769697</v>
      </c>
      <c r="EN48" s="183">
        <f>(($LR$2*($LQ$3/1000))/($LQ$2*(Sheet3!CF48+273)))*(1-DV48)</f>
        <v>0.69048066662749163</v>
      </c>
      <c r="EO48" s="183">
        <f>(($LR$2*($LQ$3/1000))/($LQ$2*(Sheet3!CG48+273)))*(1-DW48)</f>
        <v>0.69678530733847543</v>
      </c>
      <c r="EP48" s="186">
        <f t="shared" si="132"/>
        <v>4926.6049159793238</v>
      </c>
      <c r="EQ48" s="183">
        <f xml:space="preserve"> (($FV48-(Sheet3!B48/4000))*0.018)/(0.011*JO48*3600)</f>
        <v>4935.4480003442677</v>
      </c>
      <c r="ER48" s="183">
        <f>((($FV48-(SUM(Sheet3!B48:C48)/4000))*0.018)/(0.011*JP48*3600))</f>
        <v>4979.2290701903494</v>
      </c>
      <c r="ES48" s="183">
        <f>((($FV48-(SUM(Sheet3!B48:D48)/4000))*0.018)/(0.011*JQ48*3600))</f>
        <v>5015.2021413911561</v>
      </c>
      <c r="ET48" s="183">
        <f>((($FV48-(SUM(Sheet3!B48:E48)/4000))*0.018)/(0.011*JR48))/3600</f>
        <v>5059.186629224816</v>
      </c>
      <c r="EU48" s="183">
        <f>((($FV48-(SUM(Sheet3!B48:F48)/4000))*0.018)/(0.011*JS48))/3600</f>
        <v>5081.8182156430385</v>
      </c>
      <c r="EV48" s="183">
        <f>((($FV48-(SUM(Sheet3!B48:G48)/4000))*0.018)/(0.011*JT48))/3600</f>
        <v>5114.1330936475069</v>
      </c>
      <c r="EW48" s="183">
        <f>((($FV48-(SUM(Sheet3!B48:H48)/4000))*0.018)/(0.011*JU48))/3600</f>
        <v>5151.8440759522082</v>
      </c>
      <c r="EX48" s="183">
        <f>((($FV48-(SUM(Sheet3!B48:I48)/4000))*0.018)/(0.011*JV48))/3600</f>
        <v>5182.1946125691911</v>
      </c>
      <c r="EY48" s="186">
        <f t="shared" si="133"/>
        <v>50.638704500547384</v>
      </c>
      <c r="EZ48" s="183">
        <f t="shared" si="134"/>
        <v>50.715309032588564</v>
      </c>
      <c r="FA48" s="183">
        <f t="shared" si="135"/>
        <v>51.085189321508665</v>
      </c>
      <c r="FB48" s="183">
        <f t="shared" si="136"/>
        <v>51.399951152206299</v>
      </c>
      <c r="FC48" s="183">
        <f t="shared" si="137"/>
        <v>51.771250723995529</v>
      </c>
      <c r="FD48" s="183">
        <f t="shared" si="138"/>
        <v>51.970652738649669</v>
      </c>
      <c r="FE48" s="183">
        <f t="shared" si="139"/>
        <v>52.240205271945889</v>
      </c>
      <c r="FF48" s="183">
        <f t="shared" si="140"/>
        <v>52.574691873685758</v>
      </c>
      <c r="FG48" s="183">
        <f t="shared" si="141"/>
        <v>52.828241128028672</v>
      </c>
      <c r="FH48" s="186">
        <f t="shared" si="185"/>
        <v>91.80100653541821</v>
      </c>
      <c r="FI48" s="183">
        <f t="shared" si="186"/>
        <v>91.656993994540983</v>
      </c>
      <c r="FJ48" s="183">
        <f t="shared" si="187"/>
        <v>90.850747442767585</v>
      </c>
      <c r="FK48" s="183">
        <f t="shared" si="188"/>
        <v>90.283166244450157</v>
      </c>
      <c r="FL48" s="183">
        <f t="shared" si="189"/>
        <v>89.4575692748937</v>
      </c>
      <c r="FM48" s="183">
        <f t="shared" si="190"/>
        <v>89.104914624285882</v>
      </c>
      <c r="FN48" s="183">
        <f t="shared" si="191"/>
        <v>88.463555859678635</v>
      </c>
      <c r="FO48" s="183">
        <f t="shared" si="192"/>
        <v>87.883940717743144</v>
      </c>
      <c r="FP48" s="183">
        <f t="shared" si="193"/>
        <v>87.278843602873266</v>
      </c>
      <c r="FQ48" s="314">
        <f>Sheet3!CV48</f>
        <v>2</v>
      </c>
      <c r="FR48" s="183">
        <v>5000</v>
      </c>
      <c r="FS48" s="183">
        <v>20</v>
      </c>
      <c r="FT48" s="183">
        <v>0.11136263736263735</v>
      </c>
      <c r="FU48" s="183">
        <v>15.91</v>
      </c>
      <c r="FV48" s="183">
        <v>211</v>
      </c>
      <c r="FW48" s="183">
        <v>42</v>
      </c>
      <c r="FX48" s="183">
        <v>432</v>
      </c>
      <c r="FY48" s="183">
        <v>35.76</v>
      </c>
      <c r="FZ48" s="183">
        <v>11.99</v>
      </c>
      <c r="GA48" s="183">
        <v>115</v>
      </c>
      <c r="GB48" s="186">
        <f>EXP($LP$6-($LQ$6/('Trial and Error method'!T48+$LP$8))) / ($LR$2/1000)</f>
        <v>0.12451494650716073</v>
      </c>
      <c r="GC48" s="183">
        <f>EXP($LP$6-($LQ$6/('Trial and Error method'!U48+$LP$8))) / ($LR$2/1000)</f>
        <v>0.17974953551413989</v>
      </c>
      <c r="GD48" s="183">
        <f>EXP($LP$6-($LQ$6/('Trial and Error method'!V48+$LP$8))) / ($LR$2/1000)</f>
        <v>0.1731355093049248</v>
      </c>
      <c r="GE48" s="183">
        <f>EXP($LP$6-($LQ$6/('Trial and Error method'!W48+$LP$8))) / ($LR$2/1000)</f>
        <v>0.16709808902463374</v>
      </c>
      <c r="GF48" s="183">
        <f>EXP($LP$6-($LQ$6/('Trial and Error method'!X48+$LP$8))) / ($LR$2/1000)</f>
        <v>0.16061896624599714</v>
      </c>
      <c r="GG48" s="183">
        <f>EXP($LP$6-($LQ$6/('Trial and Error method'!Y48+$LP$8))) / ($LR$2/1000)</f>
        <v>0.15517063757714161</v>
      </c>
      <c r="GH48" s="183">
        <f>EXP($LP$6-($LQ$6/('Trial and Error method'!Z48+$LP$8))) / ($LR$2/1000)</f>
        <v>0.14918422329378894</v>
      </c>
      <c r="GI48" s="183">
        <f>EXP($LP$6-($LQ$6/('Trial and Error method'!AA48+$LP$8))) / ($LR$2/1000)</f>
        <v>0.14359630716887353</v>
      </c>
      <c r="GJ48" s="183">
        <f>EXP($LP$6-($LQ$6/('Trial and Error method'!AB48+$LP$8))) / ($LR$2/1000)</f>
        <v>0.13779721520674074</v>
      </c>
      <c r="GK48" s="188">
        <f t="shared" si="142"/>
        <v>0.79228782614515658</v>
      </c>
      <c r="GL48" s="165">
        <f t="shared" si="143"/>
        <v>0.76618519302709465</v>
      </c>
      <c r="GM48" s="165">
        <f t="shared" si="144"/>
        <v>0.7695561216767588</v>
      </c>
      <c r="GN48" s="165">
        <f t="shared" si="145"/>
        <v>0.77243923145917448</v>
      </c>
      <c r="GO48" s="165">
        <f t="shared" si="146"/>
        <v>0.77578710301518117</v>
      </c>
      <c r="GP48" s="165">
        <f t="shared" si="147"/>
        <v>0.77837623087522212</v>
      </c>
      <c r="GQ48" s="165">
        <f t="shared" si="148"/>
        <v>0.78148866494920921</v>
      </c>
      <c r="GR48" s="165">
        <f t="shared" si="149"/>
        <v>0.78413625799916742</v>
      </c>
      <c r="GS48" s="165">
        <f t="shared" si="150"/>
        <v>0.78715442778956835</v>
      </c>
      <c r="GT48" s="188">
        <f t="shared" si="194"/>
        <v>6.7632431181777336E-2</v>
      </c>
      <c r="GU48" s="165">
        <f t="shared" si="195"/>
        <v>6.9936196857448785E-2</v>
      </c>
      <c r="GV48" s="165">
        <f t="shared" si="196"/>
        <v>6.9639265209060136E-2</v>
      </c>
      <c r="GW48" s="165">
        <f t="shared" si="197"/>
        <v>6.9399771163419333E-2</v>
      </c>
      <c r="GX48" s="165">
        <f t="shared" si="198"/>
        <v>6.9111153981466111E-2</v>
      </c>
      <c r="GY48" s="165">
        <f t="shared" si="199"/>
        <v>6.8896109958549293E-2</v>
      </c>
      <c r="GZ48" s="165">
        <f t="shared" si="200"/>
        <v>6.862740980275335E-2</v>
      </c>
      <c r="HA48" s="165">
        <f t="shared" si="201"/>
        <v>6.8423336158999787E-2</v>
      </c>
      <c r="HB48" s="165">
        <f t="shared" si="202"/>
        <v>6.8161145067664311E-2</v>
      </c>
      <c r="HC48" s="188">
        <f>BV48*Sheet3!DF48</f>
        <v>137.17771881525991</v>
      </c>
      <c r="HD48" s="165">
        <f>BW48*Sheet3!BZ48</f>
        <v>136.11163587096263</v>
      </c>
      <c r="HE48" s="165">
        <f>BX48*Sheet3!CA48</f>
        <v>130.47132887816787</v>
      </c>
      <c r="HF48" s="165">
        <f>BY48*Sheet3!CB48</f>
        <v>126.31627064351731</v>
      </c>
      <c r="HG48" s="165">
        <f>BZ48*Sheet3!CC48</f>
        <v>120.73694959723873</v>
      </c>
      <c r="HH48" s="165">
        <f>CA48*Sheet3!CD48</f>
        <v>118.2096946607962</v>
      </c>
      <c r="HI48" s="165">
        <f>CB48*Sheet3!CE48</f>
        <v>114.04776523367165</v>
      </c>
      <c r="HJ48" s="165">
        <f>CC48*Sheet3!CF48</f>
        <v>109.96379254828231</v>
      </c>
      <c r="HK48" s="165">
        <f>CD48*Sheet3!CG48</f>
        <v>106.13386851086865</v>
      </c>
      <c r="HL48" s="188">
        <f>(CE48*Sheet3!DF48)+2501</f>
        <v>2718.9797360684374</v>
      </c>
      <c r="HM48" s="165">
        <f>(CF48*Sheet3!BZ48)+2501</f>
        <v>2717.2877393011163</v>
      </c>
      <c r="HN48" s="165">
        <f>(CG48*Sheet3!CA48)+2501</f>
        <v>2708.551226389483</v>
      </c>
      <c r="HO48" s="165">
        <f>(CH48*Sheet3!CB48)+2501</f>
        <v>2701.9301048432358</v>
      </c>
      <c r="HP48" s="165">
        <f>(CI48*Sheet3!CC48)+2501</f>
        <v>2693.3305254979241</v>
      </c>
      <c r="HQ48" s="165">
        <f>(CJ48*Sheet3!CD48)+2501</f>
        <v>2689.301765394981</v>
      </c>
      <c r="HR48" s="165">
        <f>(CK48*Sheet3!CE48)+2501</f>
        <v>2682.9515274337759</v>
      </c>
      <c r="HS48" s="165">
        <f>(CL48*Sheet3!CF48)+2501</f>
        <v>2676.4328500557908</v>
      </c>
      <c r="HT48" s="165">
        <f>(CM48*Sheet3!CG48)+2501</f>
        <v>2670.5915050036883</v>
      </c>
      <c r="HU48" s="188">
        <f>-0.0021*(Sheet3!DF48^2) - 2.2115*(Sheet3!DF48) + 2499</f>
        <v>2216.9050000000002</v>
      </c>
      <c r="HV48" s="165">
        <f>-0.0021*(Sheet3!BZ48^2) - 2.2115*(Sheet3!BZ48) + 2499</f>
        <v>2219.2455650893021</v>
      </c>
      <c r="HW48" s="165">
        <f>-0.0021*(Sheet3!CA48^2) - 2.2115*(Sheet3!CA48) + 2499</f>
        <v>2231.2984553802539</v>
      </c>
      <c r="HX48" s="165">
        <f>-0.0021*(Sheet3!CB48^2) - 2.2115*(Sheet3!CB48) + 2499</f>
        <v>2240.3963216861143</v>
      </c>
      <c r="HY48" s="165">
        <f>-0.0021*(Sheet3!CC48^2) - 2.2115*(Sheet3!CC48) + 2499</f>
        <v>2252.164828347823</v>
      </c>
      <c r="HZ48" s="165">
        <f>-0.0021*(Sheet3!CD48^2) - 2.2115*(Sheet3!CD48) + 2499</f>
        <v>2257.659324969788</v>
      </c>
      <c r="IA48" s="165">
        <f>-0.0021*(Sheet3!CE48^2) - 2.2115*(Sheet3!CE48) + 2499</f>
        <v>2266.2951616860946</v>
      </c>
      <c r="IB48" s="165">
        <f>-0.0021*(Sheet3!CF48^2) - 2.2115*(Sheet3!CF48) + 2499</f>
        <v>2275.1282235064905</v>
      </c>
      <c r="IC48" s="165">
        <f>-0.0021*(Sheet3!CG48^2) - 2.2115*(Sheet3!CG48) + 2499</f>
        <v>2283.0157225207572</v>
      </c>
      <c r="ID48" s="188">
        <f t="shared" si="203"/>
        <v>0.71164010193039051</v>
      </c>
      <c r="IE48" s="165">
        <f t="shared" si="204"/>
        <v>0.71239525388341285</v>
      </c>
      <c r="IF48" s="165">
        <f t="shared" si="205"/>
        <v>0.71577301637378243</v>
      </c>
      <c r="IG48" s="165">
        <f t="shared" si="206"/>
        <v>0.71897619226724274</v>
      </c>
      <c r="IH48" s="165">
        <f t="shared" si="207"/>
        <v>0.72237258325644171</v>
      </c>
      <c r="II48" s="165">
        <f t="shared" si="208"/>
        <v>0.72444688693370629</v>
      </c>
      <c r="IJ48" s="165">
        <f t="shared" si="209"/>
        <v>0.72682493307409601</v>
      </c>
      <c r="IK48" s="165">
        <f t="shared" si="210"/>
        <v>0.730374722777408</v>
      </c>
      <c r="IL48" s="165">
        <f t="shared" si="211"/>
        <v>0.73263118671080607</v>
      </c>
      <c r="IM48" s="188">
        <f t="shared" si="212"/>
        <v>24.131818958086367</v>
      </c>
      <c r="IN48" s="165">
        <f t="shared" si="151"/>
        <v>16.405377525261496</v>
      </c>
      <c r="IO48" s="165">
        <f t="shared" si="152"/>
        <v>17.38855497423501</v>
      </c>
      <c r="IP48" s="165">
        <f t="shared" si="153"/>
        <v>18.335480713822243</v>
      </c>
      <c r="IQ48" s="165">
        <f t="shared" si="154"/>
        <v>19.283709885467196</v>
      </c>
      <c r="IR48" s="165">
        <f t="shared" si="155"/>
        <v>20.115978050720003</v>
      </c>
      <c r="IS48" s="165">
        <f t="shared" si="156"/>
        <v>20.962621313940513</v>
      </c>
      <c r="IT48" s="165">
        <f t="shared" si="157"/>
        <v>21.848590825131293</v>
      </c>
      <c r="IU48" s="165">
        <f t="shared" si="158"/>
        <v>22.658811118745625</v>
      </c>
      <c r="IV48" s="188">
        <f>_xlfn.FORECAST.LINEAR(Sheet3!DF48,Sheet2!$AK$2:$AK$69,Sheet2!$AJ$2:$AJ$69)</f>
        <v>1.2811804086396453E-5</v>
      </c>
      <c r="IW48" s="165">
        <f>_xlfn.FORECAST.LINEAR(Sheet3!BZ48,Sheet2!$AK$2:$AK$69,Sheet2!$AJ$2:$AJ$69)</f>
        <v>1.2781370184668133E-5</v>
      </c>
      <c r="IX48" s="165">
        <f>_xlfn.FORECAST.LINEAR(Sheet3!CA48,Sheet2!$AK$2:$AK$69,Sheet2!$AJ$2:$AJ$69)</f>
        <v>1.2623990451456707E-5</v>
      </c>
      <c r="IY48" s="165">
        <f>_xlfn.FORECAST.LINEAR(Sheet3!CB48,Sheet2!$AK$2:$AK$69,Sheet2!$AJ$2:$AJ$69)</f>
        <v>1.2504455309331307E-5</v>
      </c>
      <c r="IZ48" s="165">
        <f>_xlfn.FORECAST.LINEAR(Sheet3!CC48,Sheet2!$AK$2:$AK$69,Sheet2!$AJ$2:$AJ$69)</f>
        <v>1.2348867665545079E-5</v>
      </c>
      <c r="JA48" s="165">
        <f>_xlfn.FORECAST.LINEAR(Sheet3!CD48,Sheet2!$AK$2:$AK$69,Sheet2!$AJ$2:$AJ$69)</f>
        <v>1.2275848635559681E-5</v>
      </c>
      <c r="JB48" s="165">
        <f>_xlfn.FORECAST.LINEAR(Sheet3!CE48,Sheet2!$AK$2:$AK$69,Sheet2!$AJ$2:$AJ$69)</f>
        <v>1.2160588769777038E-5</v>
      </c>
      <c r="JC48" s="165">
        <f>_xlfn.FORECAST.LINEAR(Sheet3!CF48,Sheet2!$AK$2:$AK$69,Sheet2!$AJ$2:$AJ$69)</f>
        <v>1.2042063049741749E-5</v>
      </c>
      <c r="JD48" s="165">
        <f>_xlfn.FORECAST.LINEAR(Sheet3!CG48,Sheet2!$AK$2:$AK$69,Sheet2!$AJ$2:$AJ$69)</f>
        <v>1.1935675257115091E-5</v>
      </c>
      <c r="JE48" s="188">
        <f>_xlfn.FORECAST.LINEAR(Sheet3!DF48,New!$MC$2:$MC$18,New!$MB$2:$MB$18)</f>
        <v>2.214324918296784E-5</v>
      </c>
      <c r="JF48" s="165">
        <f>_xlfn.FORECAST.LINEAR(Sheet3!BZ48,New!$MC$2:$MC$18,New!$MB$2:$MB$18)</f>
        <v>2.2107473396911525E-5</v>
      </c>
      <c r="JG48" s="165">
        <f>_xlfn.FORECAST.LINEAR(Sheet3!CA48,New!$MC$2:$MC$18,New!$MB$2:$MB$18)</f>
        <v>2.1922469721890369E-5</v>
      </c>
      <c r="JH48" s="165">
        <f>_xlfn.FORECAST.LINEAR(Sheet3!CB48,New!$MC$2:$MC$18,New!$MB$2:$MB$18)</f>
        <v>2.1781953277135273E-5</v>
      </c>
      <c r="JI48" s="165">
        <f>_xlfn.FORECAST.LINEAR(Sheet3!CC48,New!$MC$2:$MC$18,New!$MB$2:$MB$18)</f>
        <v>2.1599056246488601E-5</v>
      </c>
      <c r="JJ48" s="165">
        <f>_xlfn.FORECAST.LINEAR(Sheet3!CD48,New!$MC$2:$MC$18,New!$MB$2:$MB$18)</f>
        <v>2.151322061430062E-5</v>
      </c>
      <c r="JK48" s="165">
        <f>_xlfn.FORECAST.LINEAR(Sheet3!CE48,New!$MC$2:$MC$18,New!$MB$2:$MB$18)</f>
        <v>2.13777298600776E-5</v>
      </c>
      <c r="JL48" s="165">
        <f>_xlfn.FORECAST.LINEAR(Sheet3!CF48,New!$MC$2:$MC$18,New!$MB$2:$MB$18)</f>
        <v>2.123840001535357E-5</v>
      </c>
      <c r="JM48" s="165">
        <f>_xlfn.FORECAST.LINEAR(Sheet3!CG48,New!$MC$2:$MC$18,New!$MB$2:$MB$18)</f>
        <v>2.1113338597268183E-5</v>
      </c>
      <c r="JN48" s="188">
        <f t="shared" si="159"/>
        <v>1.9467583162191895E-5</v>
      </c>
      <c r="JO48" s="165">
        <f t="shared" si="160"/>
        <v>1.9432448868350136E-5</v>
      </c>
      <c r="JP48" s="165">
        <f t="shared" si="161"/>
        <v>1.9253893344352703E-5</v>
      </c>
      <c r="JQ48" s="165">
        <f t="shared" si="162"/>
        <v>1.9115471688417714E-5</v>
      </c>
      <c r="JR48" s="165">
        <f t="shared" si="163"/>
        <v>1.8939803375998772E-5</v>
      </c>
      <c r="JS48" s="165">
        <f t="shared" si="164"/>
        <v>1.8855210071278669E-5</v>
      </c>
      <c r="JT48" s="165">
        <f t="shared" si="165"/>
        <v>1.8726380950940396E-5</v>
      </c>
      <c r="JU48" s="165">
        <f t="shared" si="166"/>
        <v>1.8588952800543716E-5</v>
      </c>
      <c r="JV48" s="165">
        <f t="shared" si="167"/>
        <v>1.847039068327369E-5</v>
      </c>
      <c r="JW48" s="188">
        <f t="shared" si="231"/>
        <v>1.0286695457519455</v>
      </c>
      <c r="JX48" s="165">
        <f t="shared" si="232"/>
        <v>1.0290915134057605</v>
      </c>
      <c r="JY48" s="165">
        <f t="shared" si="233"/>
        <v>1.0313048433978715</v>
      </c>
      <c r="JZ48" s="165">
        <f t="shared" si="234"/>
        <v>1.0330217708540321</v>
      </c>
      <c r="KA48" s="165">
        <f t="shared" si="235"/>
        <v>1.035304437268987</v>
      </c>
      <c r="KB48" s="165">
        <f t="shared" si="236"/>
        <v>1.0363949111462181</v>
      </c>
      <c r="KC48" s="165">
        <f t="shared" si="237"/>
        <v>1.0381418476253619</v>
      </c>
      <c r="KD48" s="165">
        <f t="shared" si="238"/>
        <v>1.039971820080027</v>
      </c>
      <c r="KE48" s="165">
        <f t="shared" si="239"/>
        <v>1.0416441474972682</v>
      </c>
      <c r="KF48" s="188">
        <f t="shared" si="75"/>
        <v>0.95677344983303514</v>
      </c>
      <c r="KG48" s="165">
        <f t="shared" si="240"/>
        <v>0.95643748798821493</v>
      </c>
      <c r="KH48" s="165">
        <f t="shared" si="241"/>
        <v>0.95468154412873629</v>
      </c>
      <c r="KI48" s="165">
        <f t="shared" si="242"/>
        <v>0.95332662413756808</v>
      </c>
      <c r="KJ48" s="165">
        <f t="shared" si="243"/>
        <v>0.95153491283580149</v>
      </c>
      <c r="KK48" s="165">
        <f t="shared" si="244"/>
        <v>0.95068284441985829</v>
      </c>
      <c r="KL48" s="165">
        <f t="shared" si="245"/>
        <v>0.94932300758654875</v>
      </c>
      <c r="KM48" s="165">
        <f t="shared" si="246"/>
        <v>0.94790532503830449</v>
      </c>
      <c r="KN48" s="165">
        <f t="shared" si="247"/>
        <v>0.94661580364841802</v>
      </c>
      <c r="KO48" s="188">
        <f t="shared" si="213"/>
        <v>0.60096553143111175</v>
      </c>
      <c r="KP48" s="165">
        <f t="shared" si="214"/>
        <v>0.60038600773496076</v>
      </c>
      <c r="KQ48" s="165">
        <f t="shared" si="215"/>
        <v>0.59708447921934671</v>
      </c>
      <c r="KR48" s="165">
        <f t="shared" si="216"/>
        <v>0.59453249503190375</v>
      </c>
      <c r="KS48" s="165">
        <f t="shared" si="217"/>
        <v>0.59118623435002726</v>
      </c>
      <c r="KT48" s="165">
        <f t="shared" si="218"/>
        <v>0.58958910634617823</v>
      </c>
      <c r="KU48" s="165">
        <f t="shared" si="219"/>
        <v>0.58706684516288565</v>
      </c>
      <c r="KV48" s="165">
        <f t="shared" si="220"/>
        <v>0.58442092540668966</v>
      </c>
      <c r="KW48" s="165">
        <f t="shared" si="221"/>
        <v>0.58213032532545139</v>
      </c>
      <c r="KX48" s="188">
        <f>AVERAGE(Sheet3!J48:P48)*KO48^(1/3)/ID48^(1/3)</f>
        <v>134.17571104586128</v>
      </c>
      <c r="KY48" s="165">
        <f>Sheet3!J48*KP48^(1/3)/IE48^(1/3)</f>
        <v>108.06167885340165</v>
      </c>
      <c r="KZ48" s="165">
        <f>Sheet3!K48*KQ48^(1/3)/IF48^(1/3)</f>
        <v>112.55014421035423</v>
      </c>
      <c r="LA48" s="165">
        <f>Sheet3!L48*KR48^(1/3)/IG48^(1/3)</f>
        <v>121.25206268667073</v>
      </c>
      <c r="LB48" s="165">
        <f>Sheet3!M48*KS48^(1/3)/IH48^(1/3)</f>
        <v>130.468507742269</v>
      </c>
      <c r="LC48" s="165">
        <f>Sheet3!N48*KT48^(1/3)/II48^(1/3)</f>
        <v>140.92106527222893</v>
      </c>
      <c r="LD48" s="165">
        <f>Sheet3!O48*KU48^(1/3)/IJ48^(1/3)</f>
        <v>153.17892942371961</v>
      </c>
      <c r="LE48" s="165">
        <f>Sheet3!P48*KV48^(1/3)/IK48^(1/3)</f>
        <v>163.04720749533931</v>
      </c>
      <c r="LF48" s="165">
        <f>Sheet3!Q48*KW48^(1/3)/IL48^(1/3)</f>
        <v>166.49510058570573</v>
      </c>
      <c r="LG48" s="186">
        <f t="shared" si="248"/>
        <v>25.835598348218845</v>
      </c>
      <c r="LH48" s="183">
        <f t="shared" si="249"/>
        <v>25.841547980391042</v>
      </c>
      <c r="LI48" s="183">
        <f t="shared" si="250"/>
        <v>26.025630111730564</v>
      </c>
      <c r="LJ48" s="183">
        <f t="shared" si="251"/>
        <v>26.0333539118466</v>
      </c>
      <c r="LK48" s="183">
        <f t="shared" si="252"/>
        <v>26.269096203699071</v>
      </c>
      <c r="LL48" s="183">
        <f t="shared" si="253"/>
        <v>26.275317804076444</v>
      </c>
      <c r="LM48" s="183">
        <f t="shared" si="254"/>
        <v>26.525132989791921</v>
      </c>
      <c r="LN48" s="183">
        <f t="shared" si="255"/>
        <v>26.53442132489393</v>
      </c>
      <c r="LO48" s="183">
        <f t="shared" si="256"/>
        <v>26.794479455757067</v>
      </c>
      <c r="LP48" s="220"/>
      <c r="LQ48" s="220"/>
      <c r="LR48" s="220"/>
      <c r="LS48" s="220"/>
      <c r="LT48" s="220"/>
      <c r="LU48" s="220"/>
      <c r="LV48" s="220"/>
      <c r="LW48" s="220"/>
      <c r="LX48" s="220"/>
      <c r="LY48" s="220"/>
      <c r="LZ48" s="222">
        <v>179.88</v>
      </c>
      <c r="MA48" s="220">
        <v>1.5E-5</v>
      </c>
      <c r="MB48" s="220"/>
      <c r="MC48" s="220"/>
      <c r="MD48" s="188">
        <f>Sheet3!DP48</f>
        <v>233.22069149559468</v>
      </c>
      <c r="MF48" s="165"/>
      <c r="MP48"/>
      <c r="MQ48"/>
      <c r="MR48"/>
      <c r="MS48"/>
    </row>
    <row r="49" spans="1:357" x14ac:dyDescent="0.3">
      <c r="A49" s="184" t="str">
        <f>Sheet3!A49</f>
        <v>2023.01.11-1</v>
      </c>
      <c r="B49" s="186">
        <f t="shared" si="102"/>
        <v>0.90382215691922208</v>
      </c>
      <c r="C49" s="183">
        <f t="shared" si="168"/>
        <v>0.90195692788399817</v>
      </c>
      <c r="D49" s="183">
        <f t="shared" si="169"/>
        <v>0.8894026581021176</v>
      </c>
      <c r="E49" s="183">
        <f t="shared" si="170"/>
        <v>0.87843540305529877</v>
      </c>
      <c r="F49" s="183">
        <f t="shared" si="171"/>
        <v>0.86409770978715239</v>
      </c>
      <c r="G49" s="183">
        <f t="shared" si="172"/>
        <v>0.85851162486591825</v>
      </c>
      <c r="H49" s="183">
        <f t="shared" si="173"/>
        <v>0.84732035811858952</v>
      </c>
      <c r="I49" s="183">
        <f t="shared" si="174"/>
        <v>0.83733710443561027</v>
      </c>
      <c r="J49" s="183">
        <f t="shared" si="175"/>
        <v>0.82604915004074131</v>
      </c>
      <c r="K49" s="186">
        <f xml:space="preserve"> (6.057 * (10^(-6)))
+ (4.055 * (10^(-8)) * (Sheet3!DF49 + 273))
+ (1.25 * (10^(-10)) * (Sheet3!DF49 + 273)^2)
- (3.367 * (10^(-14)) * (DD49 + 273)^3)</f>
        <v>4.4157933295745168E-5</v>
      </c>
      <c r="L49" s="183">
        <f xml:space="preserve"> (6.057 * (10^(-6)))
+ (4.055 * (10^(-8)) * (Sheet3!BZ49 + 273))
+ (1.25 * (10^(-10)) * (Sheet3!BZ49 + 273)^2)
- (3.367 * (10^(-14)) * (BX49 + 273)^3)</f>
        <v>4.4001523573979271E-5</v>
      </c>
      <c r="M49" s="183">
        <f xml:space="preserve"> (6.057 * (10^(-6)))
+ (4.055 * (10^(-8)) * (Sheet3!CA49 + 273))
+ (1.25 * (10^(-10)) * (Sheet3!CA49 + 273)^2)
- (3.367 * (10^(-14)) * (BY49 + 273)^3)</f>
        <v>4.2949558055260502E-5</v>
      </c>
      <c r="N49" s="183">
        <f xml:space="preserve"> (6.057 * (10^(-6)))
+ (4.055 * (10^(-8)) * (Sheet3!CB49 + 273))
+ (1.25 * (10^(-10)) * (Sheet3!CB49 + 273)^2)
- (3.367 * (10^(-14)) * (BZ49 + 273)^3)</f>
        <v>4.2148525504601325E-5</v>
      </c>
      <c r="O49" s="183">
        <f xml:space="preserve"> (6.057 * (10^(-6)))
+ (4.055 * (10^(-8)) * (Sheet3!CC49 + 273))
+ (1.25 * (10^(-10)) * (Sheet3!CC49 + 273)^2)
- (3.367 * (10^(-14)) * (CA49 + 273)^3)</f>
        <v>4.1025715026114179E-5</v>
      </c>
      <c r="P49" s="183">
        <f xml:space="preserve"> (6.057 * (10^(-6)))
+ (4.055 * (10^(-8)) * (Sheet3!CD49 + 273))
+ (1.25 * (10^(-10)) * (Sheet3!CD49 + 273)^2)
- (3.367 * (10^(-14)) * (CB49 + 273)^3)</f>
        <v>4.0643520074924143E-5</v>
      </c>
      <c r="Q49" s="183">
        <f xml:space="preserve"> (6.057 * (10^(-6)))
+ (4.055 * (10^(-8)) * (Sheet3!CE49 + 273))
+ (1.25 * (10^(-10)) * (Sheet3!CE49 + 273)^2)
- (3.367 * (10^(-14)) * (CC49 + 273)^3)</f>
        <v>3.9790606974294228E-5</v>
      </c>
      <c r="R49" s="183">
        <f xml:space="preserve"> (6.057 * (10^(-6)))
+ (4.055 * (10^(-8)) * (Sheet3!CF49 + 273))
+ (1.25 * (10^(-10)) * (Sheet3!CF49 + 273)^2)
- (3.367 * (10^(-14)) * (CD49 + 273)^3)</f>
        <v>3.914268122198606E-5</v>
      </c>
      <c r="S49" s="183">
        <f xml:space="preserve"> (6.057 * (10^(-6)))
+ (4.055 * (10^(-8)) * (Sheet3!CG49 + 273))
+ (1.25 * (10^(-10)) * (Sheet3!CG49 + 273)^2)
- (3.367 * (10^(-14)) * (CE49 + 273)^3)</f>
        <v>3.832590380649576E-5</v>
      </c>
      <c r="T49" s="188">
        <f t="shared" si="104"/>
        <v>4.4157933295745168E-5</v>
      </c>
      <c r="U49" s="165">
        <f t="shared" si="105"/>
        <v>4.4001523573979271E-5</v>
      </c>
      <c r="V49" s="165">
        <f t="shared" si="106"/>
        <v>4.2949558055260502E-5</v>
      </c>
      <c r="W49" s="165">
        <f t="shared" si="107"/>
        <v>4.2148525504601325E-5</v>
      </c>
      <c r="X49" s="165">
        <f t="shared" si="108"/>
        <v>4.1025715026114179E-5</v>
      </c>
      <c r="Y49" s="165">
        <f t="shared" si="109"/>
        <v>4.0643520074924143E-5</v>
      </c>
      <c r="Z49" s="165">
        <f t="shared" si="110"/>
        <v>3.9790606974294228E-5</v>
      </c>
      <c r="AA49" s="165">
        <f t="shared" si="111"/>
        <v>3.914268122198606E-5</v>
      </c>
      <c r="AB49" s="165">
        <f t="shared" si="112"/>
        <v>3.832590380649576E-5</v>
      </c>
      <c r="AC49" s="186">
        <f t="shared" si="176"/>
        <v>3.9910918516455531E-5</v>
      </c>
      <c r="AD49" s="183">
        <f t="shared" si="177"/>
        <v>3.9687479025001666E-5</v>
      </c>
      <c r="AE49" s="183">
        <f t="shared" si="178"/>
        <v>3.8199451098659909E-5</v>
      </c>
      <c r="AF49" s="183">
        <f t="shared" si="179"/>
        <v>3.7024756989821002E-5</v>
      </c>
      <c r="AG49" s="183">
        <f t="shared" si="180"/>
        <v>3.5450226396445625E-5</v>
      </c>
      <c r="AH49" s="183">
        <f t="shared" si="181"/>
        <v>3.4892934459793694E-5</v>
      </c>
      <c r="AI49" s="183">
        <f t="shared" si="182"/>
        <v>3.371539135121503E-5</v>
      </c>
      <c r="AJ49" s="183">
        <f t="shared" si="183"/>
        <v>3.2775619354263945E-5</v>
      </c>
      <c r="AK49" s="183">
        <f t="shared" si="184"/>
        <v>3.1659080263899032E-5</v>
      </c>
      <c r="AL49" s="186">
        <f t="shared" si="113"/>
        <v>3.6081612155184711E-2</v>
      </c>
      <c r="AM49" s="183">
        <f t="shared" si="114"/>
        <v>3.5961609474525556E-2</v>
      </c>
      <c r="AN49" s="183">
        <f t="shared" si="115"/>
        <v>3.5119489563707251E-2</v>
      </c>
      <c r="AO49" s="183">
        <f t="shared" si="116"/>
        <v>3.4473284842682542E-2</v>
      </c>
      <c r="AP49" s="183">
        <f t="shared" si="117"/>
        <v>3.3552776179031629E-2</v>
      </c>
      <c r="AQ49" s="183">
        <f t="shared" si="118"/>
        <v>3.3237071234638663E-2</v>
      </c>
      <c r="AR49" s="183">
        <f t="shared" si="119"/>
        <v>3.2525193427181381E-2</v>
      </c>
      <c r="AS49" s="183">
        <f t="shared" si="120"/>
        <v>3.1979414928900551E-2</v>
      </c>
      <c r="AT49" s="183">
        <f t="shared" si="121"/>
        <v>3.1288913511512154E-2</v>
      </c>
      <c r="AU49" s="186">
        <f>_xlfn.FORECAST.LINEAR(Sheet3!DF49,Sheet2!$AH$2:$AH$40,Sheet2!$AG$2:$AG$40)</f>
        <v>4.0902410270024961E-2</v>
      </c>
      <c r="AV49" s="183">
        <f>_xlfn.FORECAST.LINEAR(Sheet3!BZ49,Sheet2!$AH$2:$AH$40,Sheet2!$AG$2:$AG$40)</f>
        <v>4.0636249432140226E-2</v>
      </c>
      <c r="AW49" s="183">
        <f>_xlfn.FORECAST.LINEAR(Sheet3!CA49,Sheet2!$AH$2:$AH$40,Sheet2!$AG$2:$AG$40)</f>
        <v>3.8777997953285438E-2</v>
      </c>
      <c r="AX49" s="183">
        <f>_xlfn.FORECAST.LINEAR(Sheet3!CB49,Sheet2!$AH$2:$AH$40,Sheet2!$AG$2:$AG$40)</f>
        <v>3.7346867788391087E-2</v>
      </c>
      <c r="AY49" s="183">
        <f>_xlfn.FORECAST.LINEAR(Sheet3!CC49,Sheet2!$AH$2:$AH$40,Sheet2!$AG$2:$AG$40)</f>
        <v>3.5316629167314505E-2</v>
      </c>
      <c r="AZ49" s="183">
        <f>_xlfn.FORECAST.LINEAR(Sheet3!CD49,Sheet2!$AH$2:$AH$40,Sheet2!$AG$2:$AG$40)</f>
        <v>3.4618839049083354E-2</v>
      </c>
      <c r="BA49" s="183">
        <f>_xlfn.FORECAST.LINEAR(Sheet3!CE49,Sheet2!$AH$2:$AH$40,Sheet2!$AG$2:$AG$40)</f>
        <v>3.3049174380338192E-2</v>
      </c>
      <c r="BB49" s="183">
        <f>_xlfn.FORECAST.LINEAR(Sheet3!CF49,Sheet2!$AH$2:$AH$40,Sheet2!$AG$2:$AG$40)</f>
        <v>3.1844819299044924E-2</v>
      </c>
      <c r="BC49" s="183">
        <f>_xlfn.FORECAST.LINEAR(Sheet3!CG49,Sheet2!$AH$2:$AH$40,Sheet2!$AG$2:$AG$40)</f>
        <v>3.0322061487946576E-2</v>
      </c>
      <c r="BD49" s="186">
        <f>_xlfn.FORECAST.LINEAR(Sheet3!DF49,Sheet2!$AB$12:$AB$37,Sheet2!$AA$12:$AA$37)/1000</f>
        <v>3.3915606923988664E-2</v>
      </c>
      <c r="BE49" s="183">
        <f>_xlfn.FORECAST.LINEAR(Sheet3!BZ49,Sheet2!$AB$12:$AB$37,Sheet2!$AA$12:$AA$37)/1000</f>
        <v>3.3856099521337342E-2</v>
      </c>
      <c r="BF49" s="183">
        <f>_xlfn.FORECAST.LINEAR(Sheet3!CA49,Sheet2!$AB$12:$AB$37,Sheet2!$AA$12:$AA$37)/1000</f>
        <v>3.3440637502738187E-2</v>
      </c>
      <c r="BG49" s="183">
        <f>_xlfn.FORECAST.LINEAR(Sheet3!CB49,Sheet2!$AB$12:$AB$37,Sheet2!$AA$12:$AA$37)/1000</f>
        <v>3.3120669923564473E-2</v>
      </c>
      <c r="BH49" s="183">
        <f>_xlfn.FORECAST.LINEAR(Sheet3!CC49,Sheet2!$AB$12:$AB$37,Sheet2!$AA$12:$AA$37)/1000</f>
        <v>3.2666755560869995E-2</v>
      </c>
      <c r="BI49" s="183">
        <f>_xlfn.FORECAST.LINEAR(Sheet3!CD49,Sheet2!$AB$12:$AB$37,Sheet2!$AA$12:$AA$37)/1000</f>
        <v>3.2510745841853109E-2</v>
      </c>
      <c r="BJ49" s="183">
        <f>_xlfn.FORECAST.LINEAR(Sheet3!CE49,Sheet2!$AB$12:$AB$37,Sheet2!$AA$12:$AA$37)/1000</f>
        <v>3.2159805154211331E-2</v>
      </c>
      <c r="BK49" s="183">
        <f>_xlfn.FORECAST.LINEAR(Sheet3!CF49,Sheet2!$AB$12:$AB$37,Sheet2!$AA$12:$AA$37)/1000</f>
        <v>3.189053923467465E-2</v>
      </c>
      <c r="BL49" s="183">
        <f>_xlfn.FORECAST.LINEAR(Sheet3!CG49,Sheet2!$AB$12:$AB$37,Sheet2!$AA$12:$AA$37)/1000</f>
        <v>3.155008583467174E-2</v>
      </c>
      <c r="BM49" s="186">
        <f t="shared" si="122"/>
        <v>0.75324930383870381</v>
      </c>
      <c r="BN49" s="183">
        <f t="shared" si="123"/>
        <v>0.75514238776235365</v>
      </c>
      <c r="BO49" s="183">
        <f t="shared" si="124"/>
        <v>0.76882774000291421</v>
      </c>
      <c r="BP49" s="183">
        <f t="shared" si="125"/>
        <v>0.77954724216118065</v>
      </c>
      <c r="BQ49" s="183">
        <f t="shared" si="126"/>
        <v>0.79552277480408662</v>
      </c>
      <c r="BR49" s="183">
        <f t="shared" si="127"/>
        <v>0.80107826417100192</v>
      </c>
      <c r="BS49" s="183">
        <f t="shared" si="128"/>
        <v>0.81410930179322261</v>
      </c>
      <c r="BT49" s="183">
        <f t="shared" si="129"/>
        <v>0.82420276635205791</v>
      </c>
      <c r="BU49" s="183">
        <f t="shared" si="130"/>
        <v>0.83756210480630711</v>
      </c>
      <c r="BV49" s="186">
        <f t="shared" si="222"/>
        <v>1.2002051117926844</v>
      </c>
      <c r="BW49" s="183">
        <f t="shared" si="223"/>
        <v>1.1999323404678246</v>
      </c>
      <c r="BX49" s="183">
        <f t="shared" si="224"/>
        <v>1.195809579037955</v>
      </c>
      <c r="BY49" s="183">
        <f t="shared" si="225"/>
        <v>1.1943950961811334</v>
      </c>
      <c r="BZ49" s="183">
        <f t="shared" si="226"/>
        <v>1.1897530567546784</v>
      </c>
      <c r="CA49" s="183">
        <f t="shared" si="227"/>
        <v>1.189077893505498</v>
      </c>
      <c r="CB49" s="183">
        <f t="shared" si="228"/>
        <v>1.1849743944212452</v>
      </c>
      <c r="CC49" s="183">
        <f t="shared" si="229"/>
        <v>1.1838196347947036</v>
      </c>
      <c r="CD49" s="183">
        <f t="shared" si="230"/>
        <v>1.1799814208539066</v>
      </c>
      <c r="CE49" s="187">
        <f xml:space="preserve"> -0.0000000019505*Sheet3!DF49^3 + 0.0000015497*Sheet3!DF49^2  + 0.00016911*Sheet3!DF49 + 1.8585</f>
        <v>1.9096570494375</v>
      </c>
      <c r="CF49" s="185">
        <f xml:space="preserve"> -0.0000000019505*Sheet3!BZ49^3 + 0.0000015497*Sheet3!BZ49^2  + 0.00016911*Sheet3!BZ49 + 1.8585</f>
        <v>1.9091388987366205</v>
      </c>
      <c r="CG49" s="185">
        <f xml:space="preserve"> -0.0000000019505*Sheet3!CA49^3 + 0.0000015497*Sheet3!CA49^2  + 0.00016911*Sheet3!CA49 + 1.8585</f>
        <v>1.9055653134758381</v>
      </c>
      <c r="CH49" s="185">
        <f xml:space="preserve"> -0.0000000019505*Sheet3!CB49^3 + 0.0000015497*Sheet3!CB49^2  + 0.00016911*Sheet3!CB49 + 1.8585</f>
        <v>1.9028675555054737</v>
      </c>
      <c r="CI49" s="185">
        <f xml:space="preserve"> -0.0000000019505*Sheet3!CC49^3 + 0.0000015497*Sheet3!CC49^2  + 0.00016911*Sheet3!CC49 + 1.8585</f>
        <v>1.8991261473474415</v>
      </c>
      <c r="CJ49" s="185">
        <f xml:space="preserve"> -0.0000000019505*Sheet3!CD49^3 + 0.0000015497*Sheet3!CD49^2  + 0.00016911*Sheet3!CD49 + 1.8585</f>
        <v>1.8978643864512557</v>
      </c>
      <c r="CK49" s="185">
        <f xml:space="preserve"> -0.0000000019505*Sheet3!CE49^3 + 0.0000015497*Sheet3!CE49^2  + 0.00016911*Sheet3!CE49 + 1.8585</f>
        <v>1.8950730625203527</v>
      </c>
      <c r="CL49" s="185">
        <f xml:space="preserve"> -0.0000000019505*Sheet3!CF49^3 + 0.0000015497*Sheet3!CF49^2  + 0.00016911*Sheet3!CF49 + 1.8585</f>
        <v>1.8929768450766837</v>
      </c>
      <c r="CM49" s="185">
        <f xml:space="preserve"> -0.0000000019505*Sheet3!CG49^3 + 0.0000015497*Sheet3!CG49^2  + 0.00016911*Sheet3!CG49 + 1.8585</f>
        <v>1.8903850881632716</v>
      </c>
      <c r="CN49" s="186">
        <f>_xlfn.FORECAST.LINEAR(Sheet3!DF49,New!$LU$2:$LU$14,New!$LT$2:$LT$14)</f>
        <v>1.023844178140866</v>
      </c>
      <c r="CO49" s="183">
        <f>_xlfn.FORECAST.LINEAR(Sheet3!BZ49,New!$LU$2:$LU$14,New!$LT$2:$LT$14)</f>
        <v>1.0236482802723446</v>
      </c>
      <c r="CP49" s="183">
        <f>_xlfn.FORECAST.LINEAR(Sheet3!CA49,New!$LU$2:$LU$14,New!$LT$2:$LT$14)</f>
        <v>1.0222805828049881</v>
      </c>
      <c r="CQ49" s="183">
        <f>_xlfn.FORECAST.LINEAR(Sheet3!CB49,New!$LU$2:$LU$14,New!$LT$2:$LT$14)</f>
        <v>1.0212272522282302</v>
      </c>
      <c r="CR49" s="183">
        <f>_xlfn.FORECAST.LINEAR(Sheet3!CC49,New!$LU$2:$LU$14,New!$LT$2:$LT$14)</f>
        <v>1.0197329699678512</v>
      </c>
      <c r="CS49" s="183">
        <f>_xlfn.FORECAST.LINEAR(Sheet3!CD49,New!$LU$2:$LU$14,New!$LT$2:$LT$14)</f>
        <v>1.01921938728633</v>
      </c>
      <c r="CT49" s="183">
        <f>_xlfn.FORECAST.LINEAR(Sheet3!CE49,New!$LU$2:$LU$14,New!$LT$2:$LT$14)</f>
        <v>1.0180640934972651</v>
      </c>
      <c r="CU49" s="183">
        <f>_xlfn.FORECAST.LINEAR(Sheet3!CF49,New!$LU$2:$LU$14,New!$LT$2:$LT$14)</f>
        <v>1.0171776723571631</v>
      </c>
      <c r="CV49" s="183">
        <f>_xlfn.FORECAST.LINEAR(Sheet3!CG49,New!$LU$2:$LU$14,New!$LT$2:$LT$14)</f>
        <v>1.0160569026307102</v>
      </c>
      <c r="CW49" s="186">
        <f>EXP((17.625*Sheet3!BA49)/(243.04+Sheet3!BA49)) / EXP((17.625*Sheet3!DF49)/(243.04+Sheet3!DF49))</f>
        <v>4.3246269412088437E-2</v>
      </c>
      <c r="CX49" s="183" t="e">
        <f>EXP((17.625*(Sheet3!BC49+273))/(243.04+(Sheet3!BC49+273)))/EXP((17.625*(Sheet3!BZ49+273))/(243.04+(Sheet3!BZ49+273)))</f>
        <v>#VALUE!</v>
      </c>
      <c r="CY49" s="183">
        <f>EXP((17.625*(Sheet3!BE49+273))/(243.04+(Sheet3!BE49+273))) / EXP((17.625*(Sheet3!CA49+273))/(243.04+(Sheet3!CA49+273)))</f>
        <v>0.44204887990890529</v>
      </c>
      <c r="CZ49" s="183">
        <f>EXP((17.625*(Sheet3!BG49+273))/(243.04+(Sheet3!BG49+273))) / EXP((17.625*(Sheet3!CB49+273))/(243.04+(Sheet3!CB49+273)))</f>
        <v>0.46706330130997731</v>
      </c>
      <c r="DA49" s="183">
        <f>EXP((17.625*(Sheet3!BI49+273))/(243.04+(Sheet3!BI49+273))) / EXP((17.625*(Sheet3!CC49+273))/(243.04+(Sheet3!CC49+273)))</f>
        <v>0.50574135823038746</v>
      </c>
      <c r="DB49" s="183">
        <f>EXP((17.625*(Sheet3!BK49+273))/(243.04+(Sheet3!BK49+273)))/EXP((17.625*(Sheet3!CD49+273))/(243.04+(Sheet3!CD49+273)))</f>
        <v>0.52056896600364877</v>
      </c>
      <c r="DC49" s="183">
        <f>EXP((17.625*(Sheet3!BM49+273))/(243.04+(Sheet3!BM49+273))) / EXP((17.625*(Sheet3!CE49+273))/(243.04+(Sheet3!CE49+273)))</f>
        <v>0.55432181704721928</v>
      </c>
      <c r="DD49" s="183">
        <f>EXP((17.625*(Sheet3!BO49+273))/(243.04+(Sheet3!BO49+273))) / EXP((17.625*(Sheet3!CF49+273))/(243.04+(Sheet3!CF49+273)))</f>
        <v>0.58360035282276679</v>
      </c>
      <c r="DE49" s="183">
        <f>EXP((17.625*(Sheet3!BQ49+273))/(243.04+(Sheet3!BQ49+273))) / EXP((17.625*(Sheet3!CG49+273))/(243.04+(Sheet3!CG49+273)))</f>
        <v>0.62171943224546322</v>
      </c>
      <c r="DF49" s="186">
        <f>((Sheet3!DA49-Sheet3!DB49)/New!$LQ$3)/(((Sheet3!DA49-Sheet3!DB49)/New!$LQ$3)+(Sheet3!DB49/New!$LP$3))</f>
        <v>0.71448129521308479</v>
      </c>
      <c r="DG49" s="183">
        <f>((Sheet3!DA49-Sheet3!DB49)/New!$LQ$3)/(((Sheet3!DA49-Sheet3!DB49)/New!$LQ$3)+((Sheet3!DB49-(Sheet3!B49*0.004))/New!$LP$3))</f>
        <v>0.71453693530225471</v>
      </c>
      <c r="DH49" s="183" cm="1">
        <f t="array" ref="DH49">((Sheet3!DA49-Sheet3!DB49)/New!$LQ$3)/(((Sheet3!DA49-Sheet3!DB49)/New!$LQ$3)+((Sheet3!DB49-(SUM(Sheet3!B49:C49*0.004)))/New!$LP$3))</f>
        <v>0.72482890573090508</v>
      </c>
      <c r="DI49" s="183" cm="1">
        <f t="array" ref="DI49">((Sheet3!DA49-Sheet3!DB49)/New!$LQ$3)/(((Sheet3!DA49-Sheet3!DB49)/New!$LQ$3)+((Sheet3!DB49-(SUM(Sheet3!B49:D49*0.004)))/New!$LP$3))</f>
        <v>0.72500072326021503</v>
      </c>
      <c r="DJ49" s="183" cm="1">
        <f t="array" ref="DJ49">((Sheet3!DA49-Sheet3!DB49)/New!$LQ$3)/(((Sheet3!DA49-Sheet3!DB49)/New!$LQ$3)+((Sheet3!DB49-(SUM(Sheet3!B49:E49*0.004)))/New!$LP$3))</f>
        <v>0.73743129178888323</v>
      </c>
      <c r="DK49" s="183" cm="1">
        <f t="array" ref="DK49">((Sheet3!DA49-Sheet3!DB49)/New!$LQ$3)/(((Sheet3!DA49-Sheet3!DB49)/New!$LQ$3)+((Sheet3!DB49-(SUM(Sheet3!B49:F49*0.004)))/New!$LP$3))</f>
        <v>0.7375103233705177</v>
      </c>
      <c r="DL49" s="183" cm="1">
        <f t="array" ref="DL49">((Sheet3!DA49-Sheet3!DB49)/New!$LQ$3)/(((Sheet3!DA49-Sheet3!DB49)/New!$LQ$3)+((Sheet3!DB49-(SUM(Sheet3!B49:G49*0.004)))/New!$LP$3))</f>
        <v>0.75000934966989186</v>
      </c>
      <c r="DM49" s="183" cm="1">
        <f t="array" ref="DM49">((Sheet3!DA49-Sheet3!DB49)/New!$LQ$3)/(((Sheet3!DA49-Sheet3!DB49)/New!$LQ$3)+((Sheet3!DB49-(SUM(Sheet3!B49:H49*0.004)))/New!$LP$3))</f>
        <v>0.75019331390201627</v>
      </c>
      <c r="DN49" s="183" cm="1">
        <f t="array" ref="DN49">((Sheet3!DA49-Sheet3!DB49)/New!$LQ$3)/(((Sheet3!DA49-Sheet3!DB49)/New!$LQ$3)+((Sheet3!DB49-(SUM(Sheet3!B49:I49*0.004)))/New!$LP$3))</f>
        <v>0.76215773108749196</v>
      </c>
      <c r="DO49" s="186">
        <f>(Sheet3!DB49/$LP$3) / ((Sheet3!DB49/$LP$3) + ((Sheet3!DA49-Sheet3!DB49)/$LQ$3))</f>
        <v>0.28551870478691521</v>
      </c>
      <c r="DP49" s="183">
        <f>((Sheet3!$DB49-(Sheet3!B49/4000)) / $LP$3) / (((Sheet3!$DA49-Sheet3!DB49) / $LQ$3) + (Sheet3!$DB49-((Sheet3!B49/4000)))/$LP$3)</f>
        <v>0.28551522753520797</v>
      </c>
      <c r="DQ49" s="183">
        <f>((Sheet3!$DB49-(SUM(Sheet3!B49:C49)/4000))/$LP$3)/(((Sheet3!$DA49-Sheet3!$DB49)/$LQ$3)+(Sheet3!$DB49-(SUM(Sheet3!B49:C49)/4000))/$LP$3)</f>
        <v>0.28488064243460232</v>
      </c>
      <c r="DR49" s="183">
        <f>((Sheet3!$DB49-(SUM(Sheet3!B49:D49)/4000))/$LP$3)/(((Sheet3!$DA49-Sheet3!$DB49)/$LQ$3)+(Sheet3!$DB49-(SUM(Sheet3!B49:D49)/4000))/$LP$3)</f>
        <v>0.28487019193729651</v>
      </c>
      <c r="DS49" s="183">
        <f>((Sheet3!$DB49-(SUM(Sheet3!B49:E49)/4000))/$LP$3)/(((Sheet3!$DA49-Sheet3!$DB49)/$LQ$3)+(Sheet3!$DB49-(SUM(Sheet3!B49:E49)/4000))/$LP$3)</f>
        <v>0.28412626151543174</v>
      </c>
      <c r="DT49" s="183">
        <f>((Sheet3!$DB49-(SUM(Sheet3!B49:F49)/4000))/$LP$3)/(((Sheet3!$DA49-Sheet3!$DB49)/$LQ$3)+(Sheet3!$DB49-(SUM(Sheet3!B49:F49)/4000))/$LP$3)</f>
        <v>0.28412160708321504</v>
      </c>
      <c r="DU49" s="183">
        <f>((Sheet3!$DB49-(SUM(Sheet3!B49:G49)/4000))/$LP$3)/(((Sheet3!$DA49-Sheet3!$DB49)/$LQ$3)+(Sheet3!$DB49-(SUM(Sheet3!B49:G49)/4000))/$LP$3)</f>
        <v>0.28339710568081045</v>
      </c>
      <c r="DV49" s="183">
        <f>((Sheet3!$DB49-(SUM(Sheet3!B49:H49)/4000))/$LP$3)/(((Sheet3!$DA49-Sheet3!$DB49)/$LQ$3)+(Sheet3!$DB49-(SUM(Sheet3!B49:H49)/4000))/$LP$3)</f>
        <v>0.28338661177846497</v>
      </c>
      <c r="DW49" s="183">
        <f>((Sheet3!$DB49-(SUM(Sheet3!B49:I49)/4000))/$LP$3)/(((Sheet3!$DA49-Sheet3!$DB49)/$LQ$3)+(Sheet3!$DB49-(SUM(Sheet3!B49:I49)/4000))/$LP$3)</f>
        <v>0.28271436215205015</v>
      </c>
      <c r="DX49" s="186">
        <f>($LR$2*($LP$3/1000))/($LP$2*(Sheet3!DF49+273))*DO49</f>
        <v>0.14996818718960619</v>
      </c>
      <c r="DY49" s="183">
        <f>(($LR$2*($LP$3/1000))/($LP$2*(Sheet3!BZ49+273)))*(DP49)</f>
        <v>0.15034303828973508</v>
      </c>
      <c r="DZ49" s="183">
        <f>(($LR$2*($LP$3/1000))/($LP$2*(Sheet3!CA49+273)))*(DQ49)</f>
        <v>0.15268643045278316</v>
      </c>
      <c r="EA49" s="183">
        <f>(($LR$2*($LP$3/1000))/($LP$2*(Sheet3!CB49+273)))*(DR49)</f>
        <v>0.15480892069985394</v>
      </c>
      <c r="EB49" s="183">
        <f>(($LR$2*($LP$3/1000))/($LP$2*(Sheet3!CC49+273)))*(DS49)</f>
        <v>0.15751927847672256</v>
      </c>
      <c r="EC49" s="183">
        <f>(($LR$2*($LP$3/1000))/($LP$2*(Sheet3!CD49+273)))*(DT49)</f>
        <v>0.15861639464372743</v>
      </c>
      <c r="ED49" s="183">
        <f>(($LR$2*($LP$3/1000))/($LP$2*(Sheet3!CE49+273)))*(DU49)</f>
        <v>0.16073623446576307</v>
      </c>
      <c r="EE49" s="183">
        <f>(($LR$2*($LP$3/1000))/($LP$2*(Sheet3!CF49+273)))*(DV49)</f>
        <v>0.16272232097413925</v>
      </c>
      <c r="EF49" s="183">
        <f>(($LR$2*($LP$3/1000))/($LP$2*(Sheet3!CG49+273)))*(DW49)</f>
        <v>0.16492066127488611</v>
      </c>
      <c r="EG49" s="186">
        <f>(($LR$2*($LQ$3/1000))/($LQ$2*(Sheet3!DF49+273)))*(1-DO49)</f>
        <v>0.60328111664909767</v>
      </c>
      <c r="EH49" s="183">
        <f>(($LR$2*($LQ$3/1000))/($LQ$2*(Sheet3!BZ49+273)))*(1-DP49)</f>
        <v>0.6047993494726186</v>
      </c>
      <c r="EI49" s="183">
        <f>(($LR$2*($LQ$3/1000))/($LQ$2*(Sheet3!CA49+273)))*(1-DQ49)</f>
        <v>0.61614130955013102</v>
      </c>
      <c r="EJ49" s="183">
        <f>(($LR$2*($LQ$3/1000))/($LQ$2*(Sheet3!CB49+273)))*(1-DR49)</f>
        <v>0.62473832146132668</v>
      </c>
      <c r="EK49" s="183">
        <f>(($LR$2*($LQ$3/1000))/($LQ$2*(Sheet3!CC49+273)))*(1-DS49)</f>
        <v>0.63800349632736408</v>
      </c>
      <c r="EL49" s="183">
        <f>(($LR$2*($LQ$3/1000))/($LQ$2*(Sheet3!CD49+273)))*(1-DT49)</f>
        <v>0.64246186952727447</v>
      </c>
      <c r="EM49" s="183">
        <f>(($LR$2*($LQ$3/1000))/($LQ$2*(Sheet3!CE49+273)))*(1-DU49)</f>
        <v>0.65337306732745948</v>
      </c>
      <c r="EN49" s="183">
        <f>(($LR$2*($LQ$3/1000))/($LQ$2*(Sheet3!CF49+273)))*(1-DV49)</f>
        <v>0.66148044537791872</v>
      </c>
      <c r="EO49" s="183">
        <f>(($LR$2*($LQ$3/1000))/($LQ$2*(Sheet3!CG49+273)))*(1-DW49)</f>
        <v>0.67264144353142097</v>
      </c>
      <c r="EP49" s="186">
        <f t="shared" si="132"/>
        <v>4857.0183678701687</v>
      </c>
      <c r="EQ49" s="183">
        <f xml:space="preserve"> (($FV49-(Sheet3!B49/4000))*0.018)/(0.011*JO49*3600)</f>
        <v>4866.9658281322154</v>
      </c>
      <c r="ER49" s="183">
        <f>((($FV49-(SUM(Sheet3!B49:C49)/4000))*0.018)/(0.011*JP49*3600))</f>
        <v>4933.2572925104332</v>
      </c>
      <c r="ES49" s="183">
        <f>((($FV49-(SUM(Sheet3!B49:D49)/4000))*0.018)/(0.011*JQ49*3600))</f>
        <v>4989.0928569610714</v>
      </c>
      <c r="ET49" s="183">
        <f>((($FV49-(SUM(Sheet3!B49:E49)/4000))*0.018)/(0.011*JR49))/3600</f>
        <v>5065.2041011810416</v>
      </c>
      <c r="EU49" s="183">
        <f>((($FV49-(SUM(Sheet3!B49:F49)/4000))*0.018)/(0.011*JS49))/3600</f>
        <v>5093.7994365231834</v>
      </c>
      <c r="EV49" s="183">
        <f>((($FV49-(SUM(Sheet3!B49:G49)/4000))*0.018)/(0.011*JT49))/3600</f>
        <v>5153.9936791316195</v>
      </c>
      <c r="EW49" s="183">
        <f>((($FV49-(SUM(Sheet3!B49:H49)/4000))*0.018)/(0.011*JU49))/3600</f>
        <v>5205.382159313197</v>
      </c>
      <c r="EX49" s="183">
        <f>((($FV49-(SUM(Sheet3!B49:I49)/4000))*0.018)/(0.011*JV49))/3600</f>
        <v>5266.8041814344797</v>
      </c>
      <c r="EY49" s="186">
        <f t="shared" si="133"/>
        <v>49.579447491793452</v>
      </c>
      <c r="EZ49" s="183">
        <f t="shared" si="134"/>
        <v>49.662248291898123</v>
      </c>
      <c r="FA49" s="183">
        <f t="shared" si="135"/>
        <v>50.197560291715902</v>
      </c>
      <c r="FB49" s="183">
        <f t="shared" si="136"/>
        <v>50.666309619052221</v>
      </c>
      <c r="FC49" s="183">
        <f t="shared" si="137"/>
        <v>51.286611421853955</v>
      </c>
      <c r="FD49" s="183">
        <f t="shared" si="138"/>
        <v>51.529119952920873</v>
      </c>
      <c r="FE49" s="183">
        <f t="shared" si="139"/>
        <v>52.019314744620189</v>
      </c>
      <c r="FF49" s="183">
        <f t="shared" si="140"/>
        <v>52.458966699514775</v>
      </c>
      <c r="FG49" s="183">
        <f t="shared" si="141"/>
        <v>52.966127493014177</v>
      </c>
      <c r="FH49" s="186">
        <f t="shared" si="185"/>
        <v>99.383688625957603</v>
      </c>
      <c r="FI49" s="183">
        <f t="shared" si="186"/>
        <v>99.21857659445358</v>
      </c>
      <c r="FJ49" s="183">
        <f t="shared" si="187"/>
        <v>97.939594154915682</v>
      </c>
      <c r="FK49" s="183">
        <f t="shared" si="188"/>
        <v>97.035229079174101</v>
      </c>
      <c r="FL49" s="183">
        <f t="shared" si="189"/>
        <v>95.600455223246271</v>
      </c>
      <c r="FM49" s="183">
        <f t="shared" si="190"/>
        <v>95.148723918526201</v>
      </c>
      <c r="FN49" s="183">
        <f t="shared" si="191"/>
        <v>93.996570778788893</v>
      </c>
      <c r="FO49" s="183">
        <f t="shared" si="192"/>
        <v>93.20039237917554</v>
      </c>
      <c r="FP49" s="183">
        <f t="shared" si="193"/>
        <v>92.069587898258149</v>
      </c>
      <c r="FQ49" s="314">
        <f>Sheet3!CV49</f>
        <v>2</v>
      </c>
      <c r="FR49" s="183">
        <v>5000</v>
      </c>
      <c r="FS49" s="183">
        <v>20</v>
      </c>
      <c r="FT49" s="183">
        <v>0.15717391304347827</v>
      </c>
      <c r="FU49" s="183">
        <v>20.8</v>
      </c>
      <c r="FV49" s="183">
        <v>221</v>
      </c>
      <c r="FW49" s="183">
        <v>44</v>
      </c>
      <c r="FX49" s="183">
        <v>438</v>
      </c>
      <c r="FY49" s="183">
        <v>13.8</v>
      </c>
      <c r="FZ49" s="183">
        <v>17.5</v>
      </c>
      <c r="GA49" s="183">
        <v>145</v>
      </c>
      <c r="GB49" s="186">
        <f>EXP($LP$6-($LQ$6/('Trial and Error method'!T49+$LP$8))) / ($LR$2/1000)</f>
        <v>9.5191267240102975E-2</v>
      </c>
      <c r="GC49" s="183">
        <f>EXP($LP$6-($LQ$6/('Trial and Error method'!U49+$LP$8))) / ($LR$2/1000)</f>
        <v>0.12637487439173031</v>
      </c>
      <c r="GD49" s="183">
        <f>EXP($LP$6-($LQ$6/('Trial and Error method'!V49+$LP$8))) / ($LR$2/1000)</f>
        <v>0.11980385332416631</v>
      </c>
      <c r="GE49" s="183">
        <f>EXP($LP$6-($LQ$6/('Trial and Error method'!W49+$LP$8))) / ($LR$2/1000)</f>
        <v>0.11478259058840955</v>
      </c>
      <c r="GF49" s="183">
        <f>EXP($LP$6-($LQ$6/('Trial and Error method'!X49+$LP$8))) / ($LR$2/1000)</f>
        <v>0.10896496764565326</v>
      </c>
      <c r="GG49" s="183">
        <f>EXP($LP$6-($LQ$6/('Trial and Error method'!Y49+$LP$8))) / ($LR$2/1000)</f>
        <v>0.10533947156200851</v>
      </c>
      <c r="GH49" s="183">
        <f>EXP($LP$6-($LQ$6/('Trial and Error method'!Z49+$LP$8))) / ($LR$2/1000)</f>
        <v>0.10087959139275861</v>
      </c>
      <c r="GI49" s="183">
        <f>EXP($LP$6-($LQ$6/('Trial and Error method'!AA49+$LP$8))) / ($LR$2/1000)</f>
        <v>9.7672526827239536E-2</v>
      </c>
      <c r="GJ49" s="183">
        <f>EXP($LP$6-($LQ$6/('Trial and Error method'!AB49+$LP$8))) / ($LR$2/1000)</f>
        <v>9.4207465163331519E-2</v>
      </c>
      <c r="GK49" s="188">
        <f t="shared" si="142"/>
        <v>0.80590274018080055</v>
      </c>
      <c r="GL49" s="165">
        <f t="shared" si="143"/>
        <v>0.79138995436194026</v>
      </c>
      <c r="GM49" s="165">
        <f t="shared" si="144"/>
        <v>0.79480266453870074</v>
      </c>
      <c r="GN49" s="165">
        <f t="shared" si="145"/>
        <v>0.79715161306070381</v>
      </c>
      <c r="GO49" s="165">
        <f t="shared" si="146"/>
        <v>0.80026199252066343</v>
      </c>
      <c r="GP49" s="165">
        <f t="shared" si="147"/>
        <v>0.80195082333054934</v>
      </c>
      <c r="GQ49" s="165">
        <f t="shared" si="148"/>
        <v>0.80441358115770534</v>
      </c>
      <c r="GR49" s="165">
        <f t="shared" si="149"/>
        <v>0.80590723786410268</v>
      </c>
      <c r="GS49" s="165">
        <f t="shared" si="150"/>
        <v>0.80787695205925558</v>
      </c>
      <c r="GT49" s="188">
        <f t="shared" si="194"/>
        <v>6.8373958928563905E-2</v>
      </c>
      <c r="GU49" s="165">
        <f t="shared" si="195"/>
        <v>6.962377125760208E-2</v>
      </c>
      <c r="GV49" s="165">
        <f t="shared" si="196"/>
        <v>6.9311779849941635E-2</v>
      </c>
      <c r="GW49" s="165">
        <f t="shared" si="197"/>
        <v>6.9119881218575624E-2</v>
      </c>
      <c r="GX49" s="165">
        <f t="shared" si="198"/>
        <v>6.8849070188200634E-2</v>
      </c>
      <c r="GY49" s="165">
        <f t="shared" si="199"/>
        <v>6.8714730510735483E-2</v>
      </c>
      <c r="GZ49" s="165">
        <f t="shared" si="200"/>
        <v>6.8505840284197858E-2</v>
      </c>
      <c r="HA49" s="165">
        <f t="shared" si="201"/>
        <v>6.8404178314886654E-2</v>
      </c>
      <c r="HB49" s="165">
        <f t="shared" si="202"/>
        <v>6.8243442771631635E-2</v>
      </c>
      <c r="HC49" s="188">
        <f>BV49*Sheet3!DF49</f>
        <v>174.02974120993923</v>
      </c>
      <c r="HD49" s="165">
        <f>BW49*Sheet3!BZ49</f>
        <v>172.73352465438799</v>
      </c>
      <c r="HE49" s="165">
        <f>BX49*Sheet3!CA49</f>
        <v>163.39654781768712</v>
      </c>
      <c r="HF49" s="165">
        <f>BY49*Sheet3!CB49</f>
        <v>156.47744513659723</v>
      </c>
      <c r="HG49" s="165">
        <f>BZ49*Sheet3!CC49</f>
        <v>146.36494254161957</v>
      </c>
      <c r="HH49" s="165">
        <f>CA49*Sheet3!CD49</f>
        <v>143.01710530872859</v>
      </c>
      <c r="HI49" s="165">
        <f>CB49*Sheet3!CE49</f>
        <v>135.2048474122046</v>
      </c>
      <c r="HJ49" s="165">
        <f>CC49*Sheet3!CF49</f>
        <v>129.46314515938047</v>
      </c>
      <c r="HK49" s="165">
        <f>CD49*Sheet3!CG49</f>
        <v>121.97331304392134</v>
      </c>
      <c r="HL49" s="188">
        <f>(CE49*Sheet3!DF49)+2501</f>
        <v>2777.9002721684374</v>
      </c>
      <c r="HM49" s="165">
        <f>(CF49*Sheet3!BZ49)+2501</f>
        <v>2775.8257380120308</v>
      </c>
      <c r="HN49" s="165">
        <f>(CG49*Sheet3!CA49)+2501</f>
        <v>2761.3782402492348</v>
      </c>
      <c r="HO49" s="165">
        <f>(CH49*Sheet3!CB49)+2501</f>
        <v>2750.2942699370083</v>
      </c>
      <c r="HP49" s="165">
        <f>(CI49*Sheet3!CC49)+2501</f>
        <v>2734.6329273185561</v>
      </c>
      <c r="HQ49" s="165">
        <f>(CJ49*Sheet3!CD49)+2501</f>
        <v>2729.2668547630601</v>
      </c>
      <c r="HR49" s="165">
        <f>(CK49*Sheet3!CE49)+2501</f>
        <v>2717.2266673940967</v>
      </c>
      <c r="HS49" s="165">
        <f>(CL49*Sheet3!CF49)+2501</f>
        <v>2708.0169550110636</v>
      </c>
      <c r="HT49" s="165">
        <f>(CM49*Sheet3!CG49)+2501</f>
        <v>2696.4069174794636</v>
      </c>
      <c r="HU49" s="188">
        <f>-0.0021*(Sheet3!DF49^2) - 2.2115*(Sheet3!DF49) + 2499</f>
        <v>2134.1799999999998</v>
      </c>
      <c r="HV49" s="165">
        <f>-0.0021*(Sheet3!BZ49^2) - 2.2115*(Sheet3!BZ49) + 2499</f>
        <v>2137.1315489650128</v>
      </c>
      <c r="HW49" s="165">
        <f>-0.0021*(Sheet3!CA49^2) - 2.2115*(Sheet3!CA49) + 2499</f>
        <v>2157.6099868721935</v>
      </c>
      <c r="HX49" s="165">
        <f>-0.0021*(Sheet3!CB49^2) - 2.2115*(Sheet3!CB49) + 2499</f>
        <v>2173.228375683806</v>
      </c>
      <c r="HY49" s="165">
        <f>-0.0021*(Sheet3!CC49^2) - 2.2115*(Sheet3!CC49) + 2499</f>
        <v>2195.1565482552323</v>
      </c>
      <c r="HZ49" s="165">
        <f>-0.0021*(Sheet3!CD49^2) - 2.2115*(Sheet3!CD49) + 2499</f>
        <v>2202.6313385252588</v>
      </c>
      <c r="IA49" s="165">
        <f>-0.0021*(Sheet3!CE49^2) - 2.2115*(Sheet3!CE49) + 2499</f>
        <v>2219.3300088602164</v>
      </c>
      <c r="IB49" s="165">
        <f>-0.0021*(Sheet3!CF49^2) - 2.2115*(Sheet3!CF49) + 2499</f>
        <v>2232.0337587278555</v>
      </c>
      <c r="IC49" s="165">
        <f>-0.0021*(Sheet3!CG49^2) - 2.2115*(Sheet3!CG49) + 2499</f>
        <v>2247.9610591997657</v>
      </c>
      <c r="ID49" s="188">
        <f t="shared" si="203"/>
        <v>0.68796981728082041</v>
      </c>
      <c r="IE49" s="165">
        <f t="shared" si="204"/>
        <v>0.68869584062688682</v>
      </c>
      <c r="IF49" s="165">
        <f t="shared" si="205"/>
        <v>0.69291405286636165</v>
      </c>
      <c r="IG49" s="165">
        <f t="shared" si="206"/>
        <v>0.69716991114081084</v>
      </c>
      <c r="IH49" s="165">
        <f t="shared" si="207"/>
        <v>0.70228204308777398</v>
      </c>
      <c r="II49" s="165">
        <f t="shared" si="208"/>
        <v>0.7045695868118802</v>
      </c>
      <c r="IJ49" s="165">
        <f t="shared" si="209"/>
        <v>0.70862630593125164</v>
      </c>
      <c r="IK49" s="165">
        <f t="shared" si="210"/>
        <v>0.71290235427569482</v>
      </c>
      <c r="IL49" s="165">
        <f t="shared" si="211"/>
        <v>0.71733413545999991</v>
      </c>
      <c r="IM49" s="188">
        <f t="shared" si="212"/>
        <v>27.773024228186515</v>
      </c>
      <c r="IN49" s="165">
        <f t="shared" si="151"/>
        <v>23.679314008069984</v>
      </c>
      <c r="IO49" s="165">
        <f t="shared" si="152"/>
        <v>24.686868729639794</v>
      </c>
      <c r="IP49" s="165">
        <f t="shared" si="153"/>
        <v>25.549417708555886</v>
      </c>
      <c r="IQ49" s="165">
        <f t="shared" si="154"/>
        <v>26.472912337667672</v>
      </c>
      <c r="IR49" s="165">
        <f t="shared" si="155"/>
        <v>27.059251682449641</v>
      </c>
      <c r="IS49" s="165">
        <f t="shared" si="156"/>
        <v>27.74942757128342</v>
      </c>
      <c r="IT49" s="165">
        <f t="shared" si="157"/>
        <v>28.354907319969573</v>
      </c>
      <c r="IU49" s="165">
        <f t="shared" si="158"/>
        <v>28.918579514859658</v>
      </c>
      <c r="IV49" s="188">
        <f>_xlfn.FORECAST.LINEAR(Sheet3!DF49,Sheet2!$AK$2:$AK$69,Sheet2!$AJ$2:$AJ$69)</f>
        <v>1.386217343669711E-5</v>
      </c>
      <c r="IW49" s="165">
        <f>_xlfn.FORECAST.LINEAR(Sheet3!BZ49,Sheet2!$AK$2:$AK$69,Sheet2!$AJ$2:$AJ$69)</f>
        <v>1.3825505755415067E-5</v>
      </c>
      <c r="IX49" s="165">
        <f>_xlfn.FORECAST.LINEAR(Sheet3!CA49,Sheet2!$AK$2:$AK$69,Sheet2!$AJ$2:$AJ$69)</f>
        <v>1.3569503506887285E-5</v>
      </c>
      <c r="IY49" s="165">
        <f>_xlfn.FORECAST.LINEAR(Sheet3!CB49,Sheet2!$AK$2:$AK$69,Sheet2!$AJ$2:$AJ$69)</f>
        <v>1.3372343679857482E-5</v>
      </c>
      <c r="IZ49" s="165">
        <f>_xlfn.FORECAST.LINEAR(Sheet3!CC49,Sheet2!$AK$2:$AK$69,Sheet2!$AJ$2:$AJ$69)</f>
        <v>1.3092647601066325E-5</v>
      </c>
      <c r="JA49" s="165">
        <f>_xlfn.FORECAST.LINEAR(Sheet3!CD49,Sheet2!$AK$2:$AK$69,Sheet2!$AJ$2:$AJ$69)</f>
        <v>1.2996516457730584E-5</v>
      </c>
      <c r="JB49" s="165">
        <f>_xlfn.FORECAST.LINEAR(Sheet3!CE49,Sheet2!$AK$2:$AK$69,Sheet2!$AJ$2:$AJ$69)</f>
        <v>1.2780271407366883E-5</v>
      </c>
      <c r="JC49" s="165">
        <f>_xlfn.FORECAST.LINEAR(Sheet3!CF49,Sheet2!$AK$2:$AK$69,Sheet2!$AJ$2:$AJ$69)</f>
        <v>1.2614353278230268E-5</v>
      </c>
      <c r="JD49" s="165">
        <f>_xlfn.FORECAST.LINEAR(Sheet3!CG49,Sheet2!$AK$2:$AK$69,Sheet2!$AJ$2:$AJ$69)</f>
        <v>1.2404570357005489E-5</v>
      </c>
      <c r="JE49" s="188">
        <f>_xlfn.FORECAST.LINEAR(Sheet3!DF49,New!$MC$2:$MC$18,New!$MB$2:$MB$18)</f>
        <v>2.337798370672098E-5</v>
      </c>
      <c r="JF49" s="165">
        <f>_xlfn.FORECAST.LINEAR(Sheet3!BZ49,New!$MC$2:$MC$18,New!$MB$2:$MB$18)</f>
        <v>2.3334879962336251E-5</v>
      </c>
      <c r="JG49" s="165">
        <f>_xlfn.FORECAST.LINEAR(Sheet3!CA49,New!$MC$2:$MC$18,New!$MB$2:$MB$18)</f>
        <v>2.3033943140136323E-5</v>
      </c>
      <c r="JH49" s="165">
        <f>_xlfn.FORECAST.LINEAR(Sheet3!CB49,New!$MC$2:$MC$18,New!$MB$2:$MB$18)</f>
        <v>2.280217700467053E-5</v>
      </c>
      <c r="JI49" s="165">
        <f>_xlfn.FORECAST.LINEAR(Sheet3!CC49,New!$MC$2:$MC$18,New!$MB$2:$MB$18)</f>
        <v>2.2473387513104572E-5</v>
      </c>
      <c r="JJ49" s="165">
        <f>_xlfn.FORECAST.LINEAR(Sheet3!CD49,New!$MC$2:$MC$18,New!$MB$2:$MB$18)</f>
        <v>2.2360383033822571E-5</v>
      </c>
      <c r="JK49" s="165">
        <f>_xlfn.FORECAST.LINEAR(Sheet3!CE49,New!$MC$2:$MC$18,New!$MB$2:$MB$18)</f>
        <v>2.2106181757673021E-5</v>
      </c>
      <c r="JL49" s="165">
        <f>_xlfn.FORECAST.LINEAR(Sheet3!CF49,New!$MC$2:$MC$18,New!$MB$2:$MB$18)</f>
        <v>2.1911140992152904E-5</v>
      </c>
      <c r="JM49" s="165">
        <f>_xlfn.FORECAST.LINEAR(Sheet3!CG49,New!$MC$2:$MC$18,New!$MB$2:$MB$18)</f>
        <v>2.1664536104780785E-5</v>
      </c>
      <c r="JN49" s="188">
        <f t="shared" si="159"/>
        <v>2.0682348273390483E-5</v>
      </c>
      <c r="JO49" s="165">
        <f t="shared" si="160"/>
        <v>2.0640006133761087E-5</v>
      </c>
      <c r="JP49" s="165">
        <f t="shared" si="161"/>
        <v>2.0350052612694363E-5</v>
      </c>
      <c r="JQ49" s="165">
        <f t="shared" si="162"/>
        <v>2.0122099468884682E-5</v>
      </c>
      <c r="JR49" s="165">
        <f t="shared" si="163"/>
        <v>1.9805380681728993E-5</v>
      </c>
      <c r="JS49" s="165">
        <f t="shared" si="164"/>
        <v>1.9694108917952157E-5</v>
      </c>
      <c r="JT49" s="165">
        <f t="shared" si="165"/>
        <v>1.9450384562326321E-5</v>
      </c>
      <c r="JU49" s="165">
        <f t="shared" si="166"/>
        <v>1.9258170350524838E-5</v>
      </c>
      <c r="JV49" s="165">
        <f t="shared" si="167"/>
        <v>1.9021151796628286E-5</v>
      </c>
      <c r="JW49" s="188">
        <f t="shared" si="231"/>
        <v>1.0152024173422087</v>
      </c>
      <c r="JX49" s="165">
        <f t="shared" si="232"/>
        <v>1.0156392790774205</v>
      </c>
      <c r="JY49" s="165">
        <f t="shared" si="233"/>
        <v>1.0187527390323992</v>
      </c>
      <c r="JZ49" s="165">
        <f t="shared" si="234"/>
        <v>1.021228885833845</v>
      </c>
      <c r="KA49" s="165">
        <f t="shared" si="235"/>
        <v>1.0248648606262865</v>
      </c>
      <c r="KB49" s="165">
        <f t="shared" si="236"/>
        <v>1.0261493500401533</v>
      </c>
      <c r="KC49" s="165">
        <f t="shared" si="237"/>
        <v>1.029106784210124</v>
      </c>
      <c r="KD49" s="165">
        <f t="shared" si="238"/>
        <v>1.0314421045829238</v>
      </c>
      <c r="KE49" s="165">
        <f t="shared" si="239"/>
        <v>1.0344808757250656</v>
      </c>
      <c r="KF49" s="188">
        <f t="shared" si="75"/>
        <v>0.9677010468805306</v>
      </c>
      <c r="KG49" s="165">
        <f t="shared" si="240"/>
        <v>0.96734019899129675</v>
      </c>
      <c r="KH49" s="165">
        <f t="shared" si="241"/>
        <v>0.96478101235846703</v>
      </c>
      <c r="KI49" s="165">
        <f t="shared" si="242"/>
        <v>0.96276124245966299</v>
      </c>
      <c r="KJ49" s="165">
        <f t="shared" si="243"/>
        <v>0.95982008145244224</v>
      </c>
      <c r="KK49" s="165">
        <f t="shared" si="244"/>
        <v>0.95878799546191573</v>
      </c>
      <c r="KL49" s="165">
        <f t="shared" si="245"/>
        <v>0.95642533688362041</v>
      </c>
      <c r="KM49" s="165">
        <f t="shared" si="246"/>
        <v>0.95457299321365752</v>
      </c>
      <c r="KN49" s="165">
        <f t="shared" si="247"/>
        <v>0.95218007656110715</v>
      </c>
      <c r="KO49" s="188">
        <f t="shared" si="213"/>
        <v>0.62180236415007439</v>
      </c>
      <c r="KP49" s="165">
        <f t="shared" si="214"/>
        <v>0.62117398465831442</v>
      </c>
      <c r="KQ49" s="165">
        <f t="shared" si="215"/>
        <v>0.61627960045565322</v>
      </c>
      <c r="KR49" s="165">
        <f t="shared" si="216"/>
        <v>0.61241873189100504</v>
      </c>
      <c r="KS49" s="165">
        <f t="shared" si="217"/>
        <v>0.60684030505678777</v>
      </c>
      <c r="KT49" s="165">
        <f t="shared" si="218"/>
        <v>0.6048811808049761</v>
      </c>
      <c r="KU49" s="165">
        <f t="shared" si="219"/>
        <v>0.60043349531392132</v>
      </c>
      <c r="KV49" s="165">
        <f t="shared" si="220"/>
        <v>0.59693959307454003</v>
      </c>
      <c r="KW49" s="165">
        <f t="shared" si="221"/>
        <v>0.59255325289194294</v>
      </c>
      <c r="KX49" s="188">
        <f>AVERAGE(Sheet3!J49:P49)*KO49^(1/3)/ID49^(1/3)</f>
        <v>113.04304243767056</v>
      </c>
      <c r="KY49" s="165">
        <f>Sheet3!J49*KP49^(1/3)/IE49^(1/3)</f>
        <v>88.019226364000531</v>
      </c>
      <c r="KZ49" s="165">
        <f>Sheet3!K49*KQ49^(1/3)/IF49^(1/3)</f>
        <v>92.126987927006212</v>
      </c>
      <c r="LA49" s="165">
        <f>Sheet3!L49*KR49^(1/3)/IG49^(1/3)</f>
        <v>100.0660722431486</v>
      </c>
      <c r="LB49" s="165">
        <f>Sheet3!M49*KS49^(1/3)/IH49^(1/3)</f>
        <v>107.45771169599962</v>
      </c>
      <c r="LC49" s="165">
        <f>Sheet3!N49*KT49^(1/3)/II49^(1/3)</f>
        <v>117.42208538784199</v>
      </c>
      <c r="LD49" s="165">
        <f>Sheet3!O49*KU49^(1/3)/IJ49^(1/3)</f>
        <v>129.96010816837551</v>
      </c>
      <c r="LE49" s="165">
        <f>Sheet3!P49*KV49^(1/3)/IK49^(1/3)</f>
        <v>144.53085207829787</v>
      </c>
      <c r="LF49" s="165">
        <f>Sheet3!Q49*KW49^(1/3)/IL49^(1/3)</f>
        <v>158.33905161619469</v>
      </c>
      <c r="LG49" s="186">
        <f t="shared" si="248"/>
        <v>25.834997776107215</v>
      </c>
      <c r="LH49" s="183">
        <f t="shared" si="249"/>
        <v>25.836546470400069</v>
      </c>
      <c r="LI49" s="183">
        <f t="shared" si="250"/>
        <v>26.123169883426371</v>
      </c>
      <c r="LJ49" s="183">
        <f t="shared" si="251"/>
        <v>26.127957453366225</v>
      </c>
      <c r="LK49" s="183">
        <f t="shared" si="252"/>
        <v>26.47454481140656</v>
      </c>
      <c r="LL49" s="183">
        <f t="shared" si="253"/>
        <v>26.476749716414311</v>
      </c>
      <c r="LM49" s="183">
        <f t="shared" si="254"/>
        <v>26.825669625279872</v>
      </c>
      <c r="LN49" s="183">
        <f t="shared" si="255"/>
        <v>26.83080818179144</v>
      </c>
      <c r="LO49" s="183">
        <f t="shared" si="256"/>
        <v>27.165187126462953</v>
      </c>
      <c r="LP49" s="220"/>
      <c r="LQ49" s="220"/>
      <c r="LR49" s="220"/>
      <c r="LS49" s="220"/>
      <c r="LT49" s="220"/>
      <c r="LU49" s="220"/>
      <c r="LV49" s="220"/>
      <c r="LW49" s="220"/>
      <c r="LX49" s="220"/>
      <c r="LY49" s="220"/>
      <c r="LZ49" s="222">
        <v>184.06</v>
      </c>
      <c r="MA49" s="220">
        <v>1.5E-5</v>
      </c>
      <c r="MB49" s="220"/>
      <c r="MC49" s="220"/>
      <c r="MD49" s="188">
        <f>Sheet3!DP49</f>
        <v>205.66451988127537</v>
      </c>
      <c r="MF49" s="165"/>
      <c r="MP49"/>
      <c r="MQ49"/>
      <c r="MR49"/>
      <c r="MS49"/>
    </row>
    <row r="50" spans="1:357" x14ac:dyDescent="0.3">
      <c r="A50" s="184" t="str">
        <f>Sheet3!A50</f>
        <v>2023.01.11-2</v>
      </c>
      <c r="B50" s="186">
        <f t="shared" si="102"/>
        <v>0.90381871219679966</v>
      </c>
      <c r="C50" s="183">
        <f t="shared" si="168"/>
        <v>0.90045493456849701</v>
      </c>
      <c r="D50" s="183">
        <f t="shared" si="169"/>
        <v>0.88841886667839109</v>
      </c>
      <c r="E50" s="183">
        <f t="shared" si="170"/>
        <v>0.87873199989232453</v>
      </c>
      <c r="F50" s="183">
        <f t="shared" si="171"/>
        <v>0.86677536162247637</v>
      </c>
      <c r="G50" s="183">
        <f t="shared" si="172"/>
        <v>0.86105490158374143</v>
      </c>
      <c r="H50" s="183">
        <f t="shared" si="173"/>
        <v>0.85054272388078112</v>
      </c>
      <c r="I50" s="183">
        <f t="shared" si="174"/>
        <v>0.8434990737932111</v>
      </c>
      <c r="J50" s="183">
        <f t="shared" si="175"/>
        <v>0.83488531007843059</v>
      </c>
      <c r="K50" s="186">
        <f xml:space="preserve"> (6.057 * (10^(-6)))
+ (4.055 * (10^(-8)) * (Sheet3!DF50 + 273))
+ (1.25 * (10^(-10)) * (Sheet3!DF50 + 273)^2)
- (3.367 * (10^(-14)) * (DD50 + 273)^3)</f>
        <v>4.4158101594786667E-5</v>
      </c>
      <c r="L50" s="183">
        <f xml:space="preserve"> (6.057 * (10^(-6)))
+ (4.055 * (10^(-8)) * (Sheet3!BZ50 + 273))
+ (1.25 * (10^(-10)) * (Sheet3!BZ50 + 273)^2)
- (3.367 * (10^(-14)) * (BX50 + 273)^3)</f>
        <v>4.3885630257303938E-5</v>
      </c>
      <c r="M50" s="183">
        <f xml:space="preserve"> (6.057 * (10^(-6)))
+ (4.055 * (10^(-8)) * (Sheet3!CA50 + 273))
+ (1.25 * (10^(-10)) * (Sheet3!CA50 + 273)^2)
- (3.367 * (10^(-14)) * (BY50 + 273)^3)</f>
        <v>4.2939233482739927E-5</v>
      </c>
      <c r="N50" s="183">
        <f xml:space="preserve"> (6.057 * (10^(-6)))
+ (4.055 * (10^(-8)) * (Sheet3!CB50 + 273))
+ (1.25 * (10^(-10)) * (Sheet3!CB50 + 273)^2)
- (3.367 * (10^(-14)) * (BZ50 + 273)^3)</f>
        <v>4.22303022593688E-5</v>
      </c>
      <c r="O50" s="183">
        <f xml:space="preserve"> (6.057 * (10^(-6)))
+ (4.055 * (10^(-8)) * (Sheet3!CC50 + 273))
+ (1.25 * (10^(-10)) * (Sheet3!CC50 + 273)^2)
- (3.367 * (10^(-14)) * (CA50 + 273)^3)</f>
        <v>4.1322825963654007E-5</v>
      </c>
      <c r="P50" s="183">
        <f xml:space="preserve"> (6.057 * (10^(-6)))
+ (4.055 * (10^(-8)) * (Sheet3!CD50 + 273))
+ (1.25 * (10^(-10)) * (Sheet3!CD50 + 273)^2)
- (3.367 * (10^(-14)) * (CB50 + 273)^3)</f>
        <v>4.0926637687399034E-5</v>
      </c>
      <c r="Q50" s="183">
        <f xml:space="preserve"> (6.057 * (10^(-6)))
+ (4.055 * (10^(-8)) * (Sheet3!CE50 + 273))
+ (1.25 * (10^(-10)) * (Sheet3!CE50 + 273)^2)
- (3.367 * (10^(-14)) * (CC50 + 273)^3)</f>
        <v>4.0152314703258798E-5</v>
      </c>
      <c r="R50" s="183">
        <f xml:space="preserve"> (6.057 * (10^(-6)))
+ (4.055 * (10^(-8)) * (Sheet3!CF50 + 273))
+ (1.25 * (10^(-10)) * (Sheet3!CF50 + 273)^2)
- (3.367 * (10^(-14)) * (CD50 + 273)^3)</f>
        <v>3.9686928040421311E-5</v>
      </c>
      <c r="S50" s="183">
        <f xml:space="preserve"> (6.057 * (10^(-6)))
+ (4.055 * (10^(-8)) * (Sheet3!CG50 + 273))
+ (1.25 * (10^(-10)) * (Sheet3!CG50 + 273)^2)
- (3.367 * (10^(-14)) * (CE50 + 273)^3)</f>
        <v>3.9052846386466886E-5</v>
      </c>
      <c r="T50" s="188">
        <f t="shared" si="104"/>
        <v>4.4158101594786667E-5</v>
      </c>
      <c r="U50" s="165">
        <f t="shared" si="105"/>
        <v>4.3885630257303938E-5</v>
      </c>
      <c r="V50" s="165">
        <f t="shared" si="106"/>
        <v>4.2939233482739927E-5</v>
      </c>
      <c r="W50" s="165">
        <f t="shared" si="107"/>
        <v>4.22303022593688E-5</v>
      </c>
      <c r="X50" s="165">
        <f t="shared" si="108"/>
        <v>4.1322825963654007E-5</v>
      </c>
      <c r="Y50" s="165">
        <f t="shared" si="109"/>
        <v>4.0926637687399034E-5</v>
      </c>
      <c r="Z50" s="165">
        <f t="shared" si="110"/>
        <v>4.0152314703258798E-5</v>
      </c>
      <c r="AA50" s="165">
        <f t="shared" si="111"/>
        <v>3.9686928040421311E-5</v>
      </c>
      <c r="AB50" s="165">
        <f t="shared" si="112"/>
        <v>3.9052846386466886E-5</v>
      </c>
      <c r="AC50" s="186">
        <f t="shared" si="176"/>
        <v>3.9910918516455531E-5</v>
      </c>
      <c r="AD50" s="183">
        <f t="shared" si="177"/>
        <v>3.9517032321837868E-5</v>
      </c>
      <c r="AE50" s="183">
        <f t="shared" si="178"/>
        <v>3.8148025146774631E-5</v>
      </c>
      <c r="AF50" s="183">
        <f t="shared" si="179"/>
        <v>3.7109117960432499E-5</v>
      </c>
      <c r="AG50" s="183">
        <f t="shared" si="180"/>
        <v>3.5817607417908858E-5</v>
      </c>
      <c r="AH50" s="183">
        <f t="shared" si="181"/>
        <v>3.5240081986076817E-5</v>
      </c>
      <c r="AI50" s="183">
        <f t="shared" si="182"/>
        <v>3.4151259117828077E-5</v>
      </c>
      <c r="AJ50" s="183">
        <f t="shared" si="183"/>
        <v>3.3475887043793196E-5</v>
      </c>
      <c r="AK50" s="183">
        <f t="shared" si="184"/>
        <v>3.2604647764810725E-5</v>
      </c>
      <c r="AL50" s="186">
        <f t="shared" si="113"/>
        <v>3.6081612155184711E-2</v>
      </c>
      <c r="AM50" s="183">
        <f t="shared" si="114"/>
        <v>3.5869810771152248E-2</v>
      </c>
      <c r="AN50" s="183">
        <f t="shared" si="115"/>
        <v>3.5113394026745723E-2</v>
      </c>
      <c r="AO50" s="183">
        <f t="shared" si="116"/>
        <v>3.4541390356986619E-2</v>
      </c>
      <c r="AP50" s="183">
        <f t="shared" si="117"/>
        <v>3.3799419008457808E-2</v>
      </c>
      <c r="AQ50" s="183">
        <f t="shared" si="118"/>
        <v>3.3473145759730968E-2</v>
      </c>
      <c r="AR50" s="183">
        <f t="shared" si="119"/>
        <v>3.2829209479414541E-2</v>
      </c>
      <c r="AS50" s="183">
        <f t="shared" si="120"/>
        <v>3.243923133712058E-2</v>
      </c>
      <c r="AT50" s="183">
        <f t="shared" si="121"/>
        <v>3.1908040298419531E-2</v>
      </c>
      <c r="AU50" s="186">
        <f>_xlfn.FORECAST.LINEAR(Sheet3!DF50,Sheet2!$AH$2:$AH$40,Sheet2!$AG$2:$AG$40)</f>
        <v>4.0902410270024961E-2</v>
      </c>
      <c r="AV50" s="183">
        <f>_xlfn.FORECAST.LINEAR(Sheet3!BZ50,Sheet2!$AH$2:$AH$40,Sheet2!$AG$2:$AG$40)</f>
        <v>4.0432701051698293E-2</v>
      </c>
      <c r="AW50" s="183">
        <f>_xlfn.FORECAST.LINEAR(Sheet3!CA50,Sheet2!$AH$2:$AH$40,Sheet2!$AG$2:$AG$40)</f>
        <v>3.8759663275710378E-2</v>
      </c>
      <c r="AX50" s="183">
        <f>_xlfn.FORECAST.LINEAR(Sheet3!CB50,Sheet2!$AH$2:$AH$40,Sheet2!$AG$2:$AG$40)</f>
        <v>3.7493659371381632E-2</v>
      </c>
      <c r="AY50" s="183">
        <f>_xlfn.FORECAST.LINEAR(Sheet3!CC50,Sheet2!$AH$2:$AH$40,Sheet2!$AG$2:$AG$40)</f>
        <v>3.5856715123085789E-2</v>
      </c>
      <c r="AZ50" s="183">
        <f>_xlfn.FORECAST.LINEAR(Sheet3!CD50,Sheet2!$AH$2:$AH$40,Sheet2!$AG$2:$AG$40)</f>
        <v>3.5136087308951694E-2</v>
      </c>
      <c r="BA50" s="183">
        <f>_xlfn.FORECAST.LINEAR(Sheet3!CE50,Sheet2!$AH$2:$AH$40,Sheet2!$AG$2:$AG$40)</f>
        <v>3.3717049228079957E-2</v>
      </c>
      <c r="BB50" s="183">
        <f>_xlfn.FORECAST.LINEAR(Sheet3!CF50,Sheet2!$AH$2:$AH$40,Sheet2!$AG$2:$AG$40)</f>
        <v>3.2857192265872956E-2</v>
      </c>
      <c r="BC50" s="183">
        <f>_xlfn.FORECAST.LINEAR(Sheet3!CG50,Sheet2!$AH$2:$AH$40,Sheet2!$AG$2:$AG$40)</f>
        <v>3.168739794796023E-2</v>
      </c>
      <c r="BD50" s="186">
        <f>_xlfn.FORECAST.LINEAR(Sheet3!DF50,Sheet2!$AB$12:$AB$37,Sheet2!$AA$12:$AA$37)/1000</f>
        <v>3.3915606923988664E-2</v>
      </c>
      <c r="BE50" s="183">
        <f>_xlfn.FORECAST.LINEAR(Sheet3!BZ50,Sheet2!$AB$12:$AB$37,Sheet2!$AA$12:$AA$37)/1000</f>
        <v>3.3810590814909128E-2</v>
      </c>
      <c r="BF50" s="183">
        <f>_xlfn.FORECAST.LINEAR(Sheet3!CA50,Sheet2!$AB$12:$AB$37,Sheet2!$AA$12:$AA$37)/1000</f>
        <v>3.3436538293216557E-2</v>
      </c>
      <c r="BG50" s="183">
        <f>_xlfn.FORECAST.LINEAR(Sheet3!CB50,Sheet2!$AB$12:$AB$37,Sheet2!$AA$12:$AA$37)/1000</f>
        <v>3.3153489123805439E-2</v>
      </c>
      <c r="BH50" s="183">
        <f>_xlfn.FORECAST.LINEAR(Sheet3!CC50,Sheet2!$AB$12:$AB$37,Sheet2!$AA$12:$AA$37)/1000</f>
        <v>3.2787506279464924E-2</v>
      </c>
      <c r="BI50" s="183">
        <f>_xlfn.FORECAST.LINEAR(Sheet3!CD50,Sheet2!$AB$12:$AB$37,Sheet2!$AA$12:$AA$37)/1000</f>
        <v>3.2626390580257535E-2</v>
      </c>
      <c r="BJ50" s="183">
        <f>_xlfn.FORECAST.LINEAR(Sheet3!CE50,Sheet2!$AB$12:$AB$37,Sheet2!$AA$12:$AA$37)/1000</f>
        <v>3.2309126511181487E-2</v>
      </c>
      <c r="BK50" s="183">
        <f>_xlfn.FORECAST.LINEAR(Sheet3!CF50,Sheet2!$AB$12:$AB$37,Sheet2!$AA$12:$AA$37)/1000</f>
        <v>3.2116882397136601E-2</v>
      </c>
      <c r="BL50" s="183">
        <f>_xlfn.FORECAST.LINEAR(Sheet3!CG50,Sheet2!$AB$12:$AB$37,Sheet2!$AA$12:$AA$37)/1000</f>
        <v>3.1855343464330069E-2</v>
      </c>
      <c r="BM50" s="186">
        <f t="shared" si="122"/>
        <v>0.75324930383870381</v>
      </c>
      <c r="BN50" s="183">
        <f t="shared" si="123"/>
        <v>0.75659682894460989</v>
      </c>
      <c r="BO50" s="183">
        <f t="shared" si="124"/>
        <v>0.76883767969162742</v>
      </c>
      <c r="BP50" s="183">
        <f t="shared" si="125"/>
        <v>0.77830770840254349</v>
      </c>
      <c r="BQ50" s="183">
        <f t="shared" si="126"/>
        <v>0.7910301515129361</v>
      </c>
      <c r="BR50" s="183">
        <f t="shared" si="127"/>
        <v>0.79670643006385955</v>
      </c>
      <c r="BS50" s="183">
        <f t="shared" si="128"/>
        <v>0.80826948588465464</v>
      </c>
      <c r="BT50" s="183">
        <f t="shared" si="129"/>
        <v>0.81535015836181612</v>
      </c>
      <c r="BU50" s="183">
        <f t="shared" si="130"/>
        <v>0.82534186119858632</v>
      </c>
      <c r="BV50" s="186">
        <f t="shared" si="222"/>
        <v>1.2002051117926844</v>
      </c>
      <c r="BW50" s="183">
        <f t="shared" si="223"/>
        <v>1.1997209608361854</v>
      </c>
      <c r="BX50" s="183">
        <f t="shared" si="224"/>
        <v>1.1971982969424664</v>
      </c>
      <c r="BY50" s="183">
        <f t="shared" si="225"/>
        <v>1.1959357577231513</v>
      </c>
      <c r="BZ50" s="183">
        <f t="shared" si="226"/>
        <v>1.1929428137599336</v>
      </c>
      <c r="CA50" s="183">
        <f t="shared" si="227"/>
        <v>1.1922334328936912</v>
      </c>
      <c r="CB50" s="183">
        <f t="shared" si="228"/>
        <v>1.1893167117326948</v>
      </c>
      <c r="CC50" s="183">
        <f t="shared" si="229"/>
        <v>1.1884866320259069</v>
      </c>
      <c r="CD50" s="183">
        <f t="shared" si="230"/>
        <v>1.1857325610817218</v>
      </c>
      <c r="CE50" s="187">
        <f xml:space="preserve"> -0.0000000019505*Sheet3!DF50^3 + 0.0000015497*Sheet3!DF50^2  + 0.00016911*Sheet3!DF50 + 1.8585</f>
        <v>1.9096570494375</v>
      </c>
      <c r="CF50" s="185">
        <f xml:space="preserve"> -0.0000000019505*Sheet3!BZ50^3 + 0.0000015497*Sheet3!BZ50^2  + 0.00016911*Sheet3!BZ50 + 1.8585</f>
        <v>1.908743685684978</v>
      </c>
      <c r="CG50" s="185">
        <f xml:space="preserve"> -0.0000000019505*Sheet3!CA50^3 + 0.0000015497*Sheet3!CA50^2  + 0.00016911*Sheet3!CA50 + 1.8585</f>
        <v>1.9055304463133482</v>
      </c>
      <c r="CH50" s="185">
        <f xml:space="preserve"> -0.0000000019505*Sheet3!CB50^3 + 0.0000015497*Sheet3!CB50^2  + 0.00016911*Sheet3!CB50 + 1.8585</f>
        <v>1.903142015176458</v>
      </c>
      <c r="CI50" s="185">
        <f xml:space="preserve"> -0.0000000019505*Sheet3!CC50^3 + 0.0000015497*Sheet3!CC50^2  + 0.00016911*Sheet3!CC50 + 1.8585</f>
        <v>1.900111345887652</v>
      </c>
      <c r="CJ50" s="185">
        <f xml:space="preserve"> -0.0000000019505*Sheet3!CD50^3 + 0.0000015497*Sheet3!CD50^2  + 0.00016911*Sheet3!CD50 + 1.8585</f>
        <v>1.8987984776650875</v>
      </c>
      <c r="CK50" s="185">
        <f xml:space="preserve"> -0.0000000019505*Sheet3!CE50^3 + 0.0000015497*Sheet3!CE50^2  + 0.00016911*Sheet3!CE50 + 1.8585</f>
        <v>1.8962526750417752</v>
      </c>
      <c r="CL50" s="185">
        <f xml:space="preserve"> -0.0000000019505*Sheet3!CF50^3 + 0.0000015497*Sheet3!CF50^2  + 0.00016911*Sheet3!CF50 + 1.8585</f>
        <v>1.8947362252576845</v>
      </c>
      <c r="CM50" s="185">
        <f xml:space="preserve"> -0.0000000019505*Sheet3!CG50^3 + 0.0000015497*Sheet3!CG50^2  + 0.00016911*Sheet3!CG50 + 1.8585</f>
        <v>1.892705841199223</v>
      </c>
      <c r="CN50" s="186">
        <f>_xlfn.FORECAST.LINEAR(Sheet3!DF50,New!$LU$2:$LU$14,New!$LT$2:$LT$14)</f>
        <v>1.023844178140866</v>
      </c>
      <c r="CO50" s="183">
        <f>_xlfn.FORECAST.LINEAR(Sheet3!BZ50,New!$LU$2:$LU$14,New!$LT$2:$LT$14)</f>
        <v>1.0234984659939312</v>
      </c>
      <c r="CP50" s="183">
        <f>_xlfn.FORECAST.LINEAR(Sheet3!CA50,New!$LU$2:$LU$14,New!$LT$2:$LT$14)</f>
        <v>1.0222670882417551</v>
      </c>
      <c r="CQ50" s="183">
        <f>_xlfn.FORECAST.LINEAR(Sheet3!CB50,New!$LU$2:$LU$14,New!$LT$2:$LT$14)</f>
        <v>1.0213352927591108</v>
      </c>
      <c r="CR50" s="183">
        <f>_xlfn.FORECAST.LINEAR(Sheet3!CC50,New!$LU$2:$LU$14,New!$LT$2:$LT$14)</f>
        <v>1.0201304803168372</v>
      </c>
      <c r="CS50" s="183">
        <f>_xlfn.FORECAST.LINEAR(Sheet3!CD50,New!$LU$2:$LU$14,New!$LT$2:$LT$14)</f>
        <v>1.0196000887915171</v>
      </c>
      <c r="CT50" s="183">
        <f>_xlfn.FORECAST.LINEAR(Sheet3!CE50,New!$LU$2:$LU$14,New!$LT$2:$LT$14)</f>
        <v>1.0185556581472393</v>
      </c>
      <c r="CU50" s="183">
        <f>_xlfn.FORECAST.LINEAR(Sheet3!CF50,New!$LU$2:$LU$14,New!$LT$2:$LT$14)</f>
        <v>1.0179227921423517</v>
      </c>
      <c r="CV50" s="183">
        <f>_xlfn.FORECAST.LINEAR(Sheet3!CG50,New!$LU$2:$LU$14,New!$LT$2:$LT$14)</f>
        <v>1.01706180817751</v>
      </c>
      <c r="CW50" s="186">
        <f>EXP((17.625*Sheet3!BA50)/(243.04+Sheet3!BA50)) / EXP((17.625*Sheet3!DF50)/(243.04+Sheet3!DF50))</f>
        <v>4.3246269412088437E-2</v>
      </c>
      <c r="CX50" s="183">
        <f>EXP((17.625*(Sheet3!BC50+273))/(243.04+(Sheet3!BC50+273)))/EXP((17.625*(Sheet3!BZ50+273))/(243.04+(Sheet3!BZ50+273)))</f>
        <v>0.41457666706287322</v>
      </c>
      <c r="CY50" s="183">
        <f>EXP((17.625*(Sheet3!BE50+273))/(243.04+(Sheet3!BE50+273))) / EXP((17.625*(Sheet3!CA50+273))/(243.04+(Sheet3!CA50+273)))</f>
        <v>0.44254969207779815</v>
      </c>
      <c r="CZ50" s="183">
        <f>EXP((17.625*(Sheet3!BG50+273))/(243.04+(Sheet3!BG50+273))) / EXP((17.625*(Sheet3!CB50+273))/(243.04+(Sheet3!CB50+273)))</f>
        <v>0.46507018430503566</v>
      </c>
      <c r="DA50" s="183">
        <f>EXP((17.625*(Sheet3!BI50+273))/(243.04+(Sheet3!BI50+273))) / EXP((17.625*(Sheet3!CC50+273))/(243.04+(Sheet3!CC50+273)))</f>
        <v>0.49619325961004568</v>
      </c>
      <c r="DB50" s="183">
        <f>EXP((17.625*(Sheet3!BK50+273))/(243.04+(Sheet3!BK50+273)))/EXP((17.625*(Sheet3!CD50+273))/(243.04+(Sheet3!CD50+273)))</f>
        <v>0.51112551103733506</v>
      </c>
      <c r="DC50" s="183">
        <f>EXP((17.625*(Sheet3!BM50+273))/(243.04+(Sheet3!BM50+273))) / EXP((17.625*(Sheet3!CE50+273))/(243.04+(Sheet3!CE50+273)))</f>
        <v>0.5412982630850256</v>
      </c>
      <c r="DD50" s="183">
        <f>EXP((17.625*(Sheet3!BO50+273))/(243.04+(Sheet3!BO50+273))) / EXP((17.625*(Sheet3!CF50+273))/(243.04+(Sheet3!CF50+273)))</f>
        <v>0.56133792672123028</v>
      </c>
      <c r="DE50" s="183">
        <f>EXP((17.625*(Sheet3!BQ50+273))/(243.04+(Sheet3!BQ50+273))) / EXP((17.625*(Sheet3!CG50+273))/(243.04+(Sheet3!CG50+273)))</f>
        <v>0.58903053884539558</v>
      </c>
      <c r="DF50" s="186">
        <f>((Sheet3!DA50-Sheet3!DB50)/New!$LQ$3)/(((Sheet3!DA50-Sheet3!DB50)/New!$LQ$3)+(Sheet3!DB50/New!$LP$3))</f>
        <v>0.71448129521308479</v>
      </c>
      <c r="DG50" s="183">
        <f>((Sheet3!DA50-Sheet3!DB50)/New!$LQ$3)/(((Sheet3!DA50-Sheet3!DB50)/New!$LQ$3)+((Sheet3!DB50-(Sheet3!B50*0.004))/New!$LP$3))</f>
        <v>0.71459258405802151</v>
      </c>
      <c r="DH50" s="183" cm="1">
        <f t="array" ref="DH50">((Sheet3!DA50-Sheet3!DB50)/New!$LQ$3)/(((Sheet3!DA50-Sheet3!DB50)/New!$LQ$3)+((Sheet3!DB50-(SUM(Sheet3!B50:C50*0.004)))/New!$LP$3))</f>
        <v>0.71854716676686858</v>
      </c>
      <c r="DI50" s="183" cm="1">
        <f t="array" ref="DI50">((Sheet3!DA50-Sheet3!DB50)/New!$LQ$3)/(((Sheet3!DA50-Sheet3!DB50)/New!$LQ$3)+((Sheet3!DB50-(SUM(Sheet3!B50:D50*0.004)))/New!$LP$3))</f>
        <v>0.71873478496532117</v>
      </c>
      <c r="DJ50" s="183" cm="1">
        <f t="array" ref="DJ50">((Sheet3!DA50-Sheet3!DB50)/New!$LQ$3)/(((Sheet3!DA50-Sheet3!DB50)/New!$LQ$3)+((Sheet3!DB50-(SUM(Sheet3!B50:E50*0.004)))/New!$LP$3))</f>
        <v>0.72513441544281254</v>
      </c>
      <c r="DK50" s="183" cm="1">
        <f t="array" ref="DK50">((Sheet3!DA50-Sheet3!DB50)/New!$LQ$3)/(((Sheet3!DA50-Sheet3!DB50)/New!$LQ$3)+((Sheet3!DB50-(SUM(Sheet3!B50:F50*0.004)))/New!$LP$3))</f>
        <v>0.72524904799228118</v>
      </c>
      <c r="DL50" s="183" cm="1">
        <f t="array" ref="DL50">((Sheet3!DA50-Sheet3!DB50)/New!$LQ$3)/(((Sheet3!DA50-Sheet3!DB50)/New!$LQ$3)+((Sheet3!DB50-(SUM(Sheet3!B50:G50*0.004)))/New!$LP$3))</f>
        <v>0.73246672906638344</v>
      </c>
      <c r="DM50" s="183" cm="1">
        <f t="array" ref="DM50">((Sheet3!DA50-Sheet3!DB50)/New!$LQ$3)/(((Sheet3!DA50-Sheet3!DB50)/New!$LQ$3)+((Sheet3!DB50-(SUM(Sheet3!B50:H50*0.004)))/New!$LP$3))</f>
        <v>0.7325836917745352</v>
      </c>
      <c r="DN50" s="183" cm="1">
        <f t="array" ref="DN50">((Sheet3!DA50-Sheet3!DB50)/New!$LQ$3)/(((Sheet3!DA50-Sheet3!DB50)/New!$LQ$3)+((Sheet3!DB50-(SUM(Sheet3!B50:I50*0.004)))/New!$LP$3))</f>
        <v>0.74036678595144567</v>
      </c>
      <c r="DO50" s="186">
        <f>(Sheet3!DB50/$LP$3) / ((Sheet3!DB50/$LP$3) + ((Sheet3!DA50-Sheet3!DB50)/$LQ$3))</f>
        <v>0.28551870478691521</v>
      </c>
      <c r="DP50" s="183">
        <f>((Sheet3!$DB50-(Sheet3!B50/4000)) / $LP$3) / (((Sheet3!$DA50-Sheet3!DB50) / $LQ$3) + (Sheet3!$DB50-((Sheet3!B50/4000)))/$LP$3)</f>
        <v>0.28551175024965431</v>
      </c>
      <c r="DQ50" s="183">
        <f>((Sheet3!$DB50-(SUM(Sheet3!B50:C50)/4000))/$LP$3)/(((Sheet3!$DA50-Sheet3!$DB50)/$LQ$3)+(Sheet3!$DB50-(SUM(Sheet3!B50:C50)/4000))/$LP$3)</f>
        <v>0.28526593633339653</v>
      </c>
      <c r="DR50" s="183">
        <f>((Sheet3!$DB50-(SUM(Sheet3!B50:D50)/4000))/$LP$3)/(((Sheet3!$DA50-Sheet3!$DB50)/$LQ$3)+(Sheet3!$DB50-(SUM(Sheet3!B50:D50)/4000))/$LP$3)</f>
        <v>0.2852543371599458</v>
      </c>
      <c r="DS50" s="183">
        <f>((Sheet3!$DB50-(SUM(Sheet3!B50:E50)/4000))/$LP$3)/(((Sheet3!$DA50-Sheet3!$DB50)/$LQ$3)+(Sheet3!$DB50-(SUM(Sheet3!B50:E50)/4000))/$LP$3)</f>
        <v>0.2848620635615548</v>
      </c>
      <c r="DT50" s="183">
        <f>((Sheet3!$DB50-(SUM(Sheet3!B50:F50)/4000))/$LP$3)/(((Sheet3!$DA50-Sheet3!$DB50)/$LQ$3)+(Sheet3!$DB50-(SUM(Sheet3!B50:F50)/4000))/$LP$3)</f>
        <v>0.28485509623527716</v>
      </c>
      <c r="DU50" s="183">
        <f>((Sheet3!$DB50-(SUM(Sheet3!B50:G50)/4000))/$LP$3)/(((Sheet3!$DA50-Sheet3!$DB50)/$LQ$3)+(Sheet3!$DB50-(SUM(Sheet3!B50:G50)/4000))/$LP$3)</f>
        <v>0.28442053142557805</v>
      </c>
      <c r="DV50" s="183">
        <f>((Sheet3!$DB50-(SUM(Sheet3!B50:H50)/4000))/$LP$3)/(((Sheet3!$DA50-Sheet3!$DB50)/$LQ$3)+(Sheet3!$DB50-(SUM(Sheet3!B50:H50)/4000))/$LP$3)</f>
        <v>0.28441355549323161</v>
      </c>
      <c r="DW50" s="183">
        <f>((Sheet3!$DB50-(SUM(Sheet3!B50:I50)/4000))/$LP$3)/(((Sheet3!$DA50-Sheet3!$DB50)/$LQ$3)+(Sheet3!$DB50-(SUM(Sheet3!B50:I50)/4000))/$LP$3)</f>
        <v>0.28395400720505087</v>
      </c>
      <c r="DX50" s="186">
        <f>($LR$2*($LP$3/1000))/($LP$2*(Sheet3!DF50+273))*DO50</f>
        <v>0.14996818718960619</v>
      </c>
      <c r="DY50" s="183">
        <f>(($LR$2*($LP$3/1000))/($LP$2*(Sheet3!BZ50+273)))*(DP50)</f>
        <v>0.15063054988300564</v>
      </c>
      <c r="DZ50" s="183">
        <f>(($LR$2*($LP$3/1000))/($LP$2*(Sheet3!CA50+273)))*(DQ50)</f>
        <v>0.15291986599812357</v>
      </c>
      <c r="EA50" s="183">
        <f>(($LR$2*($LP$3/1000))/($LP$2*(Sheet3!CB50+273)))*(DR50)</f>
        <v>0.15479637567306029</v>
      </c>
      <c r="EB50" s="183">
        <f>(($LR$2*($LP$3/1000))/($LP$2*(Sheet3!CC50+273)))*(DS50)</f>
        <v>0.15708426843490339</v>
      </c>
      <c r="EC50" s="183">
        <f>(($LR$2*($LP$3/1000))/($LP$2*(Sheet3!CD50+273)))*(DT50)</f>
        <v>0.15820713811792558</v>
      </c>
      <c r="ED50" s="183">
        <f>(($LR$2*($LP$3/1000))/($LP$2*(Sheet3!CE50+273)))*(DU50)</f>
        <v>0.16022894022568535</v>
      </c>
      <c r="EE50" s="183">
        <f>(($LR$2*($LP$3/1000))/($LP$2*(Sheet3!CF50+273)))*(DV50)</f>
        <v>0.16162814990908669</v>
      </c>
      <c r="EF50" s="183">
        <f>(($LR$2*($LP$3/1000))/($LP$2*(Sheet3!CG50+273)))*(DW50)</f>
        <v>0.16331268582774508</v>
      </c>
      <c r="EG50" s="186">
        <f>(($LR$2*($LQ$3/1000))/($LQ$2*(Sheet3!DF50+273)))*(1-DO50)</f>
        <v>0.60328111664909767</v>
      </c>
      <c r="EH50" s="183">
        <f>(($LR$2*($LQ$3/1000))/($LQ$2*(Sheet3!BZ50+273)))*(1-DP50)</f>
        <v>0.60596627906160427</v>
      </c>
      <c r="EI50" s="183">
        <f>(($LR$2*($LQ$3/1000))/($LQ$2*(Sheet3!CA50+273)))*(1-DQ50)</f>
        <v>0.61591781369350385</v>
      </c>
      <c r="EJ50" s="183">
        <f>(($LR$2*($LQ$3/1000))/($LQ$2*(Sheet3!CB50+273)))*(1-DR50)</f>
        <v>0.62351133272948323</v>
      </c>
      <c r="EK50" s="183">
        <f>(($LR$2*($LQ$3/1000))/($LQ$2*(Sheet3!CC50+273)))*(1-DS50)</f>
        <v>0.63394588307803268</v>
      </c>
      <c r="EL50" s="183">
        <f>(($LR$2*($LQ$3/1000))/($LQ$2*(Sheet3!CD50+273)))*(1-DT50)</f>
        <v>0.63849929194593391</v>
      </c>
      <c r="EM50" s="183">
        <f>(($LR$2*($LQ$3/1000))/($LQ$2*(Sheet3!CE50+273)))*(1-DU50)</f>
        <v>0.64804054565896929</v>
      </c>
      <c r="EN50" s="183">
        <f>(($LR$2*($LQ$3/1000))/($LQ$2*(Sheet3!CF50+273)))*(1-DV50)</f>
        <v>0.65372200845272943</v>
      </c>
      <c r="EO50" s="183">
        <f>(($LR$2*($LQ$3/1000))/($LQ$2*(Sheet3!CG50+273)))*(1-DW50)</f>
        <v>0.66202917537084127</v>
      </c>
      <c r="EP50" s="186">
        <f t="shared" si="132"/>
        <v>4857.0183678701687</v>
      </c>
      <c r="EQ50" s="183">
        <f xml:space="preserve"> (($FV50-(Sheet3!B50/4000))*0.018)/(0.011*JO50*3600)</f>
        <v>4874.5956191139958</v>
      </c>
      <c r="ER50" s="183">
        <f>((($FV50-(SUM(Sheet3!B50:C50)/4000))*0.018)/(0.011*JP50*3600))</f>
        <v>4936.7021559979221</v>
      </c>
      <c r="ES50" s="183">
        <f>((($FV50-(SUM(Sheet3!B50:D50)/4000))*0.018)/(0.011*JQ50*3600))</f>
        <v>4986.0615336544524</v>
      </c>
      <c r="ET50" s="183">
        <f>((($FV50-(SUM(Sheet3!B50:E50)/4000))*0.018)/(0.011*JR50))/3600</f>
        <v>5048.6404688985904</v>
      </c>
      <c r="EU50" s="183">
        <f>((($FV50-(SUM(Sheet3!B50:F50)/4000))*0.018)/(0.011*JS50))/3600</f>
        <v>5077.9391550788278</v>
      </c>
      <c r="EV50" s="183">
        <f>((($FV50-(SUM(Sheet3!B50:G50)/4000))*0.018)/(0.011*JT50))/3600</f>
        <v>5133.5211165392748</v>
      </c>
      <c r="EW50" s="183">
        <f>((($FV50-(SUM(Sheet3!B50:H50)/4000))*0.018)/(0.011*JU50))/3600</f>
        <v>5169.7672114957995</v>
      </c>
      <c r="EX50" s="183">
        <f>((($FV50-(SUM(Sheet3!B50:I50)/4000))*0.018)/(0.011*JV50))/3600</f>
        <v>5216.501195500935</v>
      </c>
      <c r="EY50" s="186">
        <f t="shared" si="133"/>
        <v>49.579447491793452</v>
      </c>
      <c r="EZ50" s="183">
        <f t="shared" si="134"/>
        <v>49.725778916082369</v>
      </c>
      <c r="FA50" s="183">
        <f t="shared" si="135"/>
        <v>50.237938258351477</v>
      </c>
      <c r="FB50" s="183">
        <f t="shared" si="136"/>
        <v>50.652343352002859</v>
      </c>
      <c r="FC50" s="183">
        <f t="shared" si="137"/>
        <v>51.168834162107864</v>
      </c>
      <c r="FD50" s="183">
        <f t="shared" si="138"/>
        <v>51.416979358932224</v>
      </c>
      <c r="FE50" s="183">
        <f t="shared" si="139"/>
        <v>51.876529745621241</v>
      </c>
      <c r="FF50" s="183">
        <f t="shared" si="140"/>
        <v>52.186007171399496</v>
      </c>
      <c r="FG50" s="183">
        <f t="shared" si="141"/>
        <v>52.572423524769619</v>
      </c>
      <c r="FH50" s="186">
        <f t="shared" si="185"/>
        <v>99.383688625957603</v>
      </c>
      <c r="FI50" s="183">
        <f t="shared" si="186"/>
        <v>99.091904453779264</v>
      </c>
      <c r="FJ50" s="183">
        <f t="shared" si="187"/>
        <v>98.00136228648995</v>
      </c>
      <c r="FK50" s="183">
        <f t="shared" si="188"/>
        <v>97.200131345424836</v>
      </c>
      <c r="FL50" s="183">
        <f t="shared" si="189"/>
        <v>96.082048112187437</v>
      </c>
      <c r="FM50" s="183">
        <f t="shared" si="190"/>
        <v>95.61600247814539</v>
      </c>
      <c r="FN50" s="183">
        <f t="shared" si="191"/>
        <v>94.614747893559965</v>
      </c>
      <c r="FO50" s="183">
        <f t="shared" si="192"/>
        <v>94.04855328853678</v>
      </c>
      <c r="FP50" s="183">
        <f t="shared" si="193"/>
        <v>93.193500467440444</v>
      </c>
      <c r="FQ50" s="314">
        <f>Sheet3!CV50</f>
        <v>2</v>
      </c>
      <c r="FR50" s="183">
        <v>5000</v>
      </c>
      <c r="FS50" s="183">
        <v>20</v>
      </c>
      <c r="FT50" s="183">
        <v>8.9800000000000005E-2</v>
      </c>
      <c r="FU50" s="183">
        <v>11.8</v>
      </c>
      <c r="FV50" s="183">
        <v>221</v>
      </c>
      <c r="FW50" s="183">
        <v>44</v>
      </c>
      <c r="FX50" s="183">
        <v>438</v>
      </c>
      <c r="FY50" s="183">
        <v>39.5</v>
      </c>
      <c r="FZ50" s="183">
        <v>11.6</v>
      </c>
      <c r="GA50" s="183">
        <v>145</v>
      </c>
      <c r="GB50" s="186">
        <f>EXP($LP$6-($LQ$6/('Trial and Error method'!T50+$LP$8))) / ($LR$2/1000)</f>
        <v>0.14341399884882214</v>
      </c>
      <c r="GC50" s="183">
        <f>EXP($LP$6-($LQ$6/('Trial and Error method'!U50+$LP$8))) / ($LR$2/1000)</f>
        <v>0.20371787193320862</v>
      </c>
      <c r="GD50" s="183">
        <f>EXP($LP$6-($LQ$6/('Trial and Error method'!V50+$LP$8))) / ($LR$2/1000)</f>
        <v>0.19535658159132227</v>
      </c>
      <c r="GE50" s="183">
        <f>EXP($LP$6-($LQ$6/('Trial and Error method'!W50+$LP$8))) / ($LR$2/1000)</f>
        <v>0.18846173308151729</v>
      </c>
      <c r="GF50" s="183">
        <f>EXP($LP$6-($LQ$6/('Trial and Error method'!X50+$LP$8))) / ($LR$2/1000)</f>
        <v>0.18104191675291814</v>
      </c>
      <c r="GG50" s="183">
        <f>EXP($LP$6-($LQ$6/('Trial and Error method'!Y50+$LP$8))) / ($LR$2/1000)</f>
        <v>0.17529074749522161</v>
      </c>
      <c r="GH50" s="183">
        <f>EXP($LP$6-($LQ$6/('Trial and Error method'!Z50+$LP$8))) / ($LR$2/1000)</f>
        <v>0.16844233622364199</v>
      </c>
      <c r="GI50" s="183">
        <f>EXP($LP$6-($LQ$6/('Trial and Error method'!AA50+$LP$8))) / ($LR$2/1000)</f>
        <v>0.16249084480211717</v>
      </c>
      <c r="GJ50" s="183">
        <f>EXP($LP$6-($LQ$6/('Trial and Error method'!AB50+$LP$8))) / ($LR$2/1000)</f>
        <v>0.15573824228744315</v>
      </c>
      <c r="GK50" s="188">
        <f t="shared" si="142"/>
        <v>0.78338670067770633</v>
      </c>
      <c r="GL50" s="165">
        <f t="shared" si="143"/>
        <v>0.75464655073751563</v>
      </c>
      <c r="GM50" s="165">
        <f t="shared" si="144"/>
        <v>0.75880117858997154</v>
      </c>
      <c r="GN50" s="165">
        <f t="shared" si="145"/>
        <v>0.76211781324033556</v>
      </c>
      <c r="GO50" s="165">
        <f t="shared" si="146"/>
        <v>0.76587556925557843</v>
      </c>
      <c r="GP50" s="165">
        <f t="shared" si="147"/>
        <v>0.76862602461327179</v>
      </c>
      <c r="GQ50" s="165">
        <f t="shared" si="148"/>
        <v>0.77211737420787718</v>
      </c>
      <c r="GR50" s="165">
        <f t="shared" si="149"/>
        <v>0.77494995274740319</v>
      </c>
      <c r="GS50" s="165">
        <f t="shared" si="150"/>
        <v>0.77839471491688872</v>
      </c>
      <c r="GT50" s="188">
        <f t="shared" si="194"/>
        <v>7.0339336650053583E-2</v>
      </c>
      <c r="GU50" s="165">
        <f t="shared" si="195"/>
        <v>7.3014434267648157E-2</v>
      </c>
      <c r="GV50" s="165">
        <f t="shared" si="196"/>
        <v>7.2615369682028197E-2</v>
      </c>
      <c r="GW50" s="165">
        <f t="shared" si="197"/>
        <v>7.2310545124945447E-2</v>
      </c>
      <c r="GX50" s="165">
        <f t="shared" si="198"/>
        <v>7.1960761021529568E-2</v>
      </c>
      <c r="GY50" s="165">
        <f t="shared" si="199"/>
        <v>7.1713791058293744E-2</v>
      </c>
      <c r="GZ50" s="165">
        <f t="shared" si="200"/>
        <v>7.1397489811352549E-2</v>
      </c>
      <c r="HA50" s="165">
        <f t="shared" si="201"/>
        <v>7.1153586828639287E-2</v>
      </c>
      <c r="HB50" s="165">
        <f t="shared" si="202"/>
        <v>7.084080634914075E-2</v>
      </c>
      <c r="HC50" s="188">
        <f>BV50*Sheet3!DF50</f>
        <v>174.02974120993923</v>
      </c>
      <c r="HD50" s="165">
        <f>BW50*Sheet3!BZ50</f>
        <v>171.74222206402658</v>
      </c>
      <c r="HE50" s="165">
        <f>BX50*Sheet3!CA50</f>
        <v>163.49993454426777</v>
      </c>
      <c r="HF50" s="165">
        <f>BY50*Sheet3!CB50</f>
        <v>157.3700474011859</v>
      </c>
      <c r="HG50" s="165">
        <f>BZ50*Sheet3!CC50</f>
        <v>149.29248509107933</v>
      </c>
      <c r="HH50" s="165">
        <f>CA50*Sheet3!CD50</f>
        <v>145.82313170476863</v>
      </c>
      <c r="HI50" s="165">
        <f>CB50*Sheet3!CE50</f>
        <v>138.82574278214454</v>
      </c>
      <c r="HJ50" s="165">
        <f>CC50*Sheet3!CF50</f>
        <v>134.7078040059877</v>
      </c>
      <c r="HK50" s="165">
        <f>CD50*Sheet3!CG50</f>
        <v>128.93788254438502</v>
      </c>
      <c r="HL50" s="188">
        <f>(CE50*Sheet3!DF50)+2501</f>
        <v>2777.9002721684374</v>
      </c>
      <c r="HM50" s="165">
        <f>(CF50*Sheet3!BZ50)+2501</f>
        <v>2774.2401055173186</v>
      </c>
      <c r="HN50" s="165">
        <f>(CG50*Sheet3!CA50)+2501</f>
        <v>2761.2360060484734</v>
      </c>
      <c r="HO50" s="165">
        <f>(CH50*Sheet3!CB50)+2501</f>
        <v>2751.4294626240608</v>
      </c>
      <c r="HP50" s="165">
        <f>(CI50*Sheet3!CC50)+2501</f>
        <v>2738.7920731030185</v>
      </c>
      <c r="HQ50" s="165">
        <f>(CJ50*Sheet3!CD50)+2501</f>
        <v>2733.2437308416429</v>
      </c>
      <c r="HR50" s="165">
        <f>(CK50*Sheet3!CE50)+2501</f>
        <v>2722.3444774788213</v>
      </c>
      <c r="HS50" s="165">
        <f>(CL50*Sheet3!CF50)+2501</f>
        <v>2715.756943155498</v>
      </c>
      <c r="HT50" s="165">
        <f>(CM50*Sheet3!CG50)+2501</f>
        <v>2706.81494634927</v>
      </c>
      <c r="HU50" s="188">
        <f>-0.0021*(Sheet3!DF50^2) - 2.2115*(Sheet3!DF50) + 2499</f>
        <v>2134.1799999999998</v>
      </c>
      <c r="HV50" s="165">
        <f>-0.0021*(Sheet3!BZ50^2) - 2.2115*(Sheet3!BZ50) + 2499</f>
        <v>2139.3856583647653</v>
      </c>
      <c r="HW50" s="165">
        <f>-0.0021*(Sheet3!CA50^2) - 2.2115*(Sheet3!CA50) + 2499</f>
        <v>2157.8109213576454</v>
      </c>
      <c r="HX50" s="165">
        <f>-0.0021*(Sheet3!CB50^2) - 2.2115*(Sheet3!CB50) + 2499</f>
        <v>2171.6325210789068</v>
      </c>
      <c r="HY50" s="165">
        <f>-0.0021*(Sheet3!CC50^2) - 2.2115*(Sheet3!CC50) + 2499</f>
        <v>2189.3493622664764</v>
      </c>
      <c r="HZ50" s="165">
        <f>-0.0021*(Sheet3!CD50^2) - 2.2115*(Sheet3!CD50) + 2499</f>
        <v>2197.0935650390929</v>
      </c>
      <c r="IA50" s="165">
        <f>-0.0021*(Sheet3!CE50^2) - 2.2115*(Sheet3!CE50) + 2499</f>
        <v>2212.2444924578535</v>
      </c>
      <c r="IB50" s="165">
        <f>-0.0021*(Sheet3!CF50^2) - 2.2115*(Sheet3!CF50) + 2499</f>
        <v>2221.3613892075209</v>
      </c>
      <c r="IC50" s="165">
        <f>-0.0021*(Sheet3!CG50^2) - 2.2115*(Sheet3!CG50) + 2499</f>
        <v>2233.6872970237582</v>
      </c>
      <c r="ID50" s="188">
        <f t="shared" si="203"/>
        <v>0.68796981728082041</v>
      </c>
      <c r="IE50" s="165">
        <f t="shared" si="204"/>
        <v>0.6892538686254307</v>
      </c>
      <c r="IF50" s="165">
        <f t="shared" si="205"/>
        <v>0.69361557148495157</v>
      </c>
      <c r="IG50" s="165">
        <f t="shared" si="206"/>
        <v>0.69737755951517832</v>
      </c>
      <c r="IH50" s="165">
        <f t="shared" si="207"/>
        <v>0.70182265543357558</v>
      </c>
      <c r="II50" s="165">
        <f t="shared" si="208"/>
        <v>0.70415093882498148</v>
      </c>
      <c r="IJ50" s="165">
        <f t="shared" si="209"/>
        <v>0.70815175117151508</v>
      </c>
      <c r="IK50" s="165">
        <f t="shared" si="210"/>
        <v>0.71113883784614229</v>
      </c>
      <c r="IL50" s="165">
        <f t="shared" si="211"/>
        <v>0.71452039961977887</v>
      </c>
      <c r="IM50" s="188">
        <f t="shared" si="212"/>
        <v>21.332304500779767</v>
      </c>
      <c r="IN50" s="165">
        <f t="shared" si="151"/>
        <v>12.776697298505828</v>
      </c>
      <c r="IO50" s="165">
        <f t="shared" si="152"/>
        <v>14.087918171231248</v>
      </c>
      <c r="IP50" s="165">
        <f t="shared" si="153"/>
        <v>15.199529564665726</v>
      </c>
      <c r="IQ50" s="165">
        <f t="shared" si="154"/>
        <v>16.356578235043699</v>
      </c>
      <c r="IR50" s="165">
        <f t="shared" si="155"/>
        <v>17.263167930347315</v>
      </c>
      <c r="IS50" s="165">
        <f t="shared" si="156"/>
        <v>18.318605579229036</v>
      </c>
      <c r="IT50" s="165">
        <f t="shared" si="157"/>
        <v>19.270839138659106</v>
      </c>
      <c r="IU50" s="165">
        <f t="shared" si="158"/>
        <v>20.288376607035477</v>
      </c>
      <c r="IV50" s="188">
        <f>_xlfn.FORECAST.LINEAR(Sheet3!DF50,Sheet2!$AK$2:$AK$69,Sheet2!$AJ$2:$AJ$69)</f>
        <v>1.386217343669711E-5</v>
      </c>
      <c r="IW50" s="165">
        <f>_xlfn.FORECAST.LINEAR(Sheet3!BZ50,Sheet2!$AK$2:$AK$69,Sheet2!$AJ$2:$AJ$69)</f>
        <v>1.3797463887201709E-5</v>
      </c>
      <c r="IX50" s="165">
        <f>_xlfn.FORECAST.LINEAR(Sheet3!CA50,Sheet2!$AK$2:$AK$69,Sheet2!$AJ$2:$AJ$69)</f>
        <v>1.3566977627726872E-5</v>
      </c>
      <c r="IY50" s="165">
        <f>_xlfn.FORECAST.LINEAR(Sheet3!CB50,Sheet2!$AK$2:$AK$69,Sheet2!$AJ$2:$AJ$69)</f>
        <v>1.3392566440736806E-5</v>
      </c>
      <c r="IZ50" s="165">
        <f>_xlfn.FORECAST.LINEAR(Sheet3!CC50,Sheet2!$AK$2:$AK$69,Sheet2!$AJ$2:$AJ$69)</f>
        <v>1.3167052610640668E-5</v>
      </c>
      <c r="JA50" s="165">
        <f>_xlfn.FORECAST.LINEAR(Sheet3!CD50,Sheet2!$AK$2:$AK$69,Sheet2!$AJ$2:$AJ$69)</f>
        <v>1.3067775229258638E-5</v>
      </c>
      <c r="JB50" s="165">
        <f>_xlfn.FORECAST.LINEAR(Sheet3!CE50,Sheet2!$AK$2:$AK$69,Sheet2!$AJ$2:$AJ$69)</f>
        <v>1.287228126970393E-5</v>
      </c>
      <c r="JC50" s="165">
        <f>_xlfn.FORECAST.LINEAR(Sheet3!CF50,Sheet2!$AK$2:$AK$69,Sheet2!$AJ$2:$AJ$69)</f>
        <v>1.2753822967239442E-5</v>
      </c>
      <c r="JD50" s="165">
        <f>_xlfn.FORECAST.LINEAR(Sheet3!CG50,Sheet2!$AK$2:$AK$69,Sheet2!$AJ$2:$AJ$69)</f>
        <v>1.2592666106013511E-5</v>
      </c>
      <c r="JE50" s="188">
        <f>_xlfn.FORECAST.LINEAR(Sheet3!DF50,New!$MC$2:$MC$18,New!$MB$2:$MB$18)</f>
        <v>2.337798370672098E-5</v>
      </c>
      <c r="JF50" s="165">
        <f>_xlfn.FORECAST.LINEAR(Sheet3!BZ50,New!$MC$2:$MC$18,New!$MB$2:$MB$18)</f>
        <v>2.3301916069412627E-5</v>
      </c>
      <c r="JG50" s="165">
        <f>_xlfn.FORECAST.LINEAR(Sheet3!CA50,New!$MC$2:$MC$18,New!$MB$2:$MB$18)</f>
        <v>2.3030973908216807E-5</v>
      </c>
      <c r="JH50" s="165">
        <f>_xlfn.FORECAST.LINEAR(Sheet3!CB50,New!$MC$2:$MC$18,New!$MB$2:$MB$18)</f>
        <v>2.2825949348195368E-5</v>
      </c>
      <c r="JI50" s="165">
        <f>_xlfn.FORECAST.LINEAR(Sheet3!CC50,New!$MC$2:$MC$18,New!$MB$2:$MB$18)</f>
        <v>2.2560852397752365E-5</v>
      </c>
      <c r="JJ50" s="165">
        <f>_xlfn.FORECAST.LINEAR(Sheet3!CD50,New!$MC$2:$MC$18,New!$MB$2:$MB$18)</f>
        <v>2.2444149439707073E-5</v>
      </c>
      <c r="JK50" s="165">
        <f>_xlfn.FORECAST.LINEAR(Sheet3!CE50,New!$MC$2:$MC$18,New!$MB$2:$MB$18)</f>
        <v>2.221434157166684E-5</v>
      </c>
      <c r="JL50" s="165">
        <f>_xlfn.FORECAST.LINEAR(Sheet3!CF50,New!$MC$2:$MC$18,New!$MB$2:$MB$18)</f>
        <v>2.2075090977924526E-5</v>
      </c>
      <c r="JM50" s="165">
        <f>_xlfn.FORECAST.LINEAR(Sheet3!CG50,New!$MC$2:$MC$18,New!$MB$2:$MB$18)</f>
        <v>2.1885647197754825E-5</v>
      </c>
      <c r="JN50" s="188">
        <f t="shared" si="159"/>
        <v>2.0682348273390483E-5</v>
      </c>
      <c r="JO50" s="165">
        <f t="shared" si="160"/>
        <v>2.0607630147302778E-5</v>
      </c>
      <c r="JP50" s="165">
        <f t="shared" si="161"/>
        <v>2.0343494412611876E-5</v>
      </c>
      <c r="JQ50" s="165">
        <f t="shared" si="162"/>
        <v>2.0141876646682464E-5</v>
      </c>
      <c r="JR50" s="165">
        <f t="shared" si="163"/>
        <v>1.9884606141230803E-5</v>
      </c>
      <c r="JS50" s="165">
        <f t="shared" si="164"/>
        <v>1.9769741698093872E-5</v>
      </c>
      <c r="JT50" s="165">
        <f t="shared" si="165"/>
        <v>1.9547410671253589E-5</v>
      </c>
      <c r="JU50" s="165">
        <f t="shared" si="166"/>
        <v>1.941022864883114E-5</v>
      </c>
      <c r="JV50" s="165">
        <f t="shared" si="167"/>
        <v>1.9227730142041199E-5</v>
      </c>
      <c r="JW50" s="188">
        <f t="shared" si="231"/>
        <v>1.0152024173422087</v>
      </c>
      <c r="JX50" s="165">
        <f t="shared" si="232"/>
        <v>1.0159748837419862</v>
      </c>
      <c r="JY50" s="165">
        <f t="shared" si="233"/>
        <v>1.0187840228542855</v>
      </c>
      <c r="JZ50" s="165">
        <f t="shared" si="234"/>
        <v>1.0209716717176047</v>
      </c>
      <c r="KA50" s="165">
        <f t="shared" si="235"/>
        <v>1.0238830826290679</v>
      </c>
      <c r="KB50" s="165">
        <f t="shared" si="236"/>
        <v>1.0251954551817353</v>
      </c>
      <c r="KC50" s="165">
        <f t="shared" si="237"/>
        <v>1.0278367309470717</v>
      </c>
      <c r="KD50" s="165">
        <f t="shared" si="238"/>
        <v>1.0294751291287123</v>
      </c>
      <c r="KE50" s="165">
        <f t="shared" si="239"/>
        <v>1.0317517322709253</v>
      </c>
      <c r="KF50" s="188">
        <f t="shared" si="75"/>
        <v>0.9677010468805306</v>
      </c>
      <c r="KG50" s="165">
        <f t="shared" si="240"/>
        <v>0.96706328450968915</v>
      </c>
      <c r="KH50" s="165">
        <f t="shared" si="241"/>
        <v>0.96475540881805544</v>
      </c>
      <c r="KI50" s="165">
        <f t="shared" si="242"/>
        <v>0.96297041265227135</v>
      </c>
      <c r="KJ50" s="165">
        <f t="shared" si="243"/>
        <v>0.96061137506313465</v>
      </c>
      <c r="KK50" s="165">
        <f t="shared" si="244"/>
        <v>0.95955410441638211</v>
      </c>
      <c r="KL50" s="165">
        <f t="shared" si="245"/>
        <v>0.95743764706498447</v>
      </c>
      <c r="KM50" s="165">
        <f t="shared" si="246"/>
        <v>0.95613239382392656</v>
      </c>
      <c r="KN50" s="165">
        <f t="shared" si="247"/>
        <v>0.95432827636507123</v>
      </c>
      <c r="KO50" s="188">
        <f t="shared" si="213"/>
        <v>0.62179999428501886</v>
      </c>
      <c r="KP50" s="165">
        <f t="shared" si="214"/>
        <v>0.62064204717419558</v>
      </c>
      <c r="KQ50" s="165">
        <f t="shared" si="215"/>
        <v>0.61622115992914528</v>
      </c>
      <c r="KR50" s="165">
        <f t="shared" si="216"/>
        <v>0.61280797755280114</v>
      </c>
      <c r="KS50" s="165">
        <f t="shared" si="217"/>
        <v>0.60832258595828415</v>
      </c>
      <c r="KT50" s="165">
        <f t="shared" si="218"/>
        <v>0.6063126173300436</v>
      </c>
      <c r="KU50" s="165">
        <f t="shared" si="219"/>
        <v>0.60231331936236543</v>
      </c>
      <c r="KV50" s="165">
        <f t="shared" si="220"/>
        <v>0.59984495106160163</v>
      </c>
      <c r="KW50" s="165">
        <f t="shared" si="221"/>
        <v>0.59654258539392313</v>
      </c>
      <c r="KX50" s="188">
        <f>AVERAGE(Sheet3!J50:P50)*KO50^(1/3)/ID50^(1/3)</f>
        <v>91.720804382831332</v>
      </c>
      <c r="KY50" s="165">
        <f>Sheet3!J50*KP50^(1/3)/IE50^(1/3)</f>
        <v>74.376528632710134</v>
      </c>
      <c r="KZ50" s="165">
        <f>Sheet3!K50*KQ50^(1/3)/IF50^(1/3)</f>
        <v>75.436402219012308</v>
      </c>
      <c r="LA50" s="165">
        <f>Sheet3!L50*KR50^(1/3)/IG50^(1/3)</f>
        <v>79.841409883769728</v>
      </c>
      <c r="LB50" s="165">
        <f>Sheet3!M50*KS50^(1/3)/IH50^(1/3)</f>
        <v>85.248243850386103</v>
      </c>
      <c r="LC50" s="165">
        <f>Sheet3!N50*KT50^(1/3)/II50^(1/3)</f>
        <v>94.05052226646427</v>
      </c>
      <c r="LD50" s="165">
        <f>Sheet3!O50*KU50^(1/3)/IJ50^(1/3)</f>
        <v>105.31848144408866</v>
      </c>
      <c r="LE50" s="165">
        <f>Sheet3!P50*KV50^(1/3)/IK50^(1/3)</f>
        <v>118.84357021411805</v>
      </c>
      <c r="LF50" s="165">
        <f>Sheet3!Q50*KW50^(1/3)/IL50^(1/3)</f>
        <v>135.66258883470638</v>
      </c>
      <c r="LG50" s="186">
        <f t="shared" si="248"/>
        <v>25.834997776107215</v>
      </c>
      <c r="LH50" s="183">
        <f t="shared" si="249"/>
        <v>25.838095415067826</v>
      </c>
      <c r="LI50" s="183">
        <f t="shared" si="250"/>
        <v>25.948191792614651</v>
      </c>
      <c r="LJ50" s="183">
        <f t="shared" si="251"/>
        <v>25.953416256532126</v>
      </c>
      <c r="LK50" s="183">
        <f t="shared" si="252"/>
        <v>26.131682746285261</v>
      </c>
      <c r="LL50" s="183">
        <f t="shared" si="253"/>
        <v>26.134876988534984</v>
      </c>
      <c r="LM50" s="183">
        <f t="shared" si="254"/>
        <v>26.336072347394257</v>
      </c>
      <c r="LN50" s="183">
        <f t="shared" si="255"/>
        <v>26.339333916001106</v>
      </c>
      <c r="LO50" s="183">
        <f t="shared" si="256"/>
        <v>26.55645356095286</v>
      </c>
      <c r="LP50" s="220"/>
      <c r="LQ50" s="220"/>
      <c r="LR50" s="220"/>
      <c r="LS50" s="220"/>
      <c r="LT50" s="220"/>
      <c r="LU50" s="220"/>
      <c r="LV50" s="220"/>
      <c r="LW50" s="220"/>
      <c r="LX50" s="220"/>
      <c r="LY50" s="220"/>
      <c r="LZ50" s="222">
        <v>187.96</v>
      </c>
      <c r="MA50" s="220">
        <v>1.5E-5</v>
      </c>
      <c r="MB50" s="220"/>
      <c r="MC50" s="220"/>
      <c r="MD50" s="188">
        <f>Sheet3!DP50</f>
        <v>169.52509461765669</v>
      </c>
      <c r="MF50" s="165"/>
      <c r="MP50"/>
      <c r="MQ50"/>
      <c r="MR50"/>
      <c r="MS50"/>
    </row>
    <row r="51" spans="1:357" x14ac:dyDescent="0.3">
      <c r="A51" s="184" t="str">
        <f>Sheet3!A51</f>
        <v>2023.01.12-1</v>
      </c>
      <c r="B51" s="186">
        <f t="shared" si="102"/>
        <v>0.77883240025866363</v>
      </c>
      <c r="C51" s="183">
        <f t="shared" si="168"/>
        <v>0.77571313265618325</v>
      </c>
      <c r="D51" s="183">
        <f t="shared" si="169"/>
        <v>0.76953601725776533</v>
      </c>
      <c r="E51" s="183">
        <f t="shared" si="170"/>
        <v>0.7631147398585042</v>
      </c>
      <c r="F51" s="183">
        <f t="shared" si="171"/>
        <v>0.75940823316343775</v>
      </c>
      <c r="G51" s="183">
        <f t="shared" si="172"/>
        <v>0.75324718648601219</v>
      </c>
      <c r="H51" s="183">
        <f t="shared" si="173"/>
        <v>0.75186748466273789</v>
      </c>
      <c r="I51" s="183">
        <f t="shared" si="174"/>
        <v>0.74524649563735823</v>
      </c>
      <c r="J51" s="183">
        <f t="shared" si="175"/>
        <v>0.74308752369576891</v>
      </c>
      <c r="K51" s="186">
        <f xml:space="preserve"> (6.057 * (10^(-6)))
+ (4.055 * (10^(-8)) * (Sheet3!DF51 + 273))
+ (1.25 * (10^(-10)) * (Sheet3!DF51 + 273)^2)
- (3.367 * (10^(-14)) * (DD51 + 273)^3)</f>
        <v>3.5902277626210679E-5</v>
      </c>
      <c r="L51" s="183">
        <f xml:space="preserve"> (6.057 * (10^(-6)))
+ (4.055 * (10^(-8)) * (Sheet3!BZ51 + 273))
+ (1.25 * (10^(-10)) * (Sheet3!BZ51 + 273)^2)
- (3.367 * (10^(-14)) * (BX51 + 273)^3)</f>
        <v>3.5720556794656886E-5</v>
      </c>
      <c r="M51" s="183">
        <f xml:space="preserve"> (6.057 * (10^(-6)))
+ (4.055 * (10^(-8)) * (Sheet3!CA51 + 273))
+ (1.25 * (10^(-10)) * (Sheet3!CA51 + 273)^2)
- (3.367 * (10^(-14)) * (BY51 + 273)^3)</f>
        <v>3.5301992561579632E-5</v>
      </c>
      <c r="N51" s="183">
        <f xml:space="preserve"> (6.057 * (10^(-6)))
+ (4.055 * (10^(-8)) * (Sheet3!CB51 + 273))
+ (1.25 * (10^(-10)) * (Sheet3!CB51 + 273)^2)
- (3.367 * (10^(-14)) * (BZ51 + 273)^3)</f>
        <v>3.4949736958472478E-5</v>
      </c>
      <c r="O51" s="183">
        <f xml:space="preserve"> (6.057 * (10^(-6)))
+ (4.055 * (10^(-8)) * (Sheet3!CC51 + 273))
+ (1.25 * (10^(-10)) * (Sheet3!CC51 + 273)^2)
- (3.367 * (10^(-14)) * (CA51 + 273)^3)</f>
        <v>3.4694450230163993E-5</v>
      </c>
      <c r="P51" s="183">
        <f xml:space="preserve"> (6.057 * (10^(-6)))
+ (4.055 * (10^(-8)) * (Sheet3!CD51 + 273))
+ (1.25 * (10^(-10)) * (Sheet3!CD51 + 273)^2)
- (3.367 * (10^(-14)) * (CB51 + 273)^3)</f>
        <v>3.4364338194018104E-5</v>
      </c>
      <c r="Q51" s="183">
        <f xml:space="preserve"> (6.057 * (10^(-6)))
+ (4.055 * (10^(-8)) * (Sheet3!CE51 + 273))
+ (1.25 * (10^(-10)) * (Sheet3!CE51 + 273)^2)
- (3.367 * (10^(-14)) * (CC51 + 273)^3)</f>
        <v>3.421285811732846E-5</v>
      </c>
      <c r="R51" s="183">
        <f xml:space="preserve"> (6.057 * (10^(-6)))
+ (4.055 * (10^(-8)) * (Sheet3!CF51 + 273))
+ (1.25 * (10^(-10)) * (Sheet3!CF51 + 273)^2)
- (3.367 * (10^(-14)) * (CD51 + 273)^3)</f>
        <v>3.3866170963959031E-5</v>
      </c>
      <c r="S51" s="183">
        <f xml:space="preserve"> (6.057 * (10^(-6)))
+ (4.055 * (10^(-8)) * (Sheet3!CG51 + 273))
+ (1.25 * (10^(-10)) * (Sheet3!CG51 + 273)^2)
- (3.367 * (10^(-14)) * (CE51 + 273)^3)</f>
        <v>3.362619303133671E-5</v>
      </c>
      <c r="T51" s="188">
        <f t="shared" si="104"/>
        <v>3.5902277626210679E-5</v>
      </c>
      <c r="U51" s="165">
        <f t="shared" si="105"/>
        <v>3.5720556794656886E-5</v>
      </c>
      <c r="V51" s="165">
        <f t="shared" si="106"/>
        <v>3.5301992561579632E-5</v>
      </c>
      <c r="W51" s="165">
        <f t="shared" si="107"/>
        <v>3.4949736958472478E-5</v>
      </c>
      <c r="X51" s="165">
        <f t="shared" si="108"/>
        <v>3.4694450230163993E-5</v>
      </c>
      <c r="Y51" s="165">
        <f t="shared" si="109"/>
        <v>3.4364338194018104E-5</v>
      </c>
      <c r="Z51" s="165">
        <f t="shared" si="110"/>
        <v>3.421285811732846E-5</v>
      </c>
      <c r="AA51" s="165">
        <f t="shared" si="111"/>
        <v>3.3866170963959031E-5</v>
      </c>
      <c r="AB51" s="165">
        <f t="shared" si="112"/>
        <v>3.362619303133671E-5</v>
      </c>
      <c r="AC51" s="186">
        <f t="shared" si="176"/>
        <v>2.796185705837458E-5</v>
      </c>
      <c r="AD51" s="183">
        <f t="shared" si="177"/>
        <v>2.7708905011406405E-5</v>
      </c>
      <c r="AE51" s="183">
        <f t="shared" si="178"/>
        <v>2.7166154757101245E-5</v>
      </c>
      <c r="AF51" s="183">
        <f t="shared" si="179"/>
        <v>2.6670659427187873E-5</v>
      </c>
      <c r="AG51" s="183">
        <f t="shared" si="180"/>
        <v>2.6347251149865665E-5</v>
      </c>
      <c r="AH51" s="183">
        <f t="shared" si="181"/>
        <v>2.5884841060097945E-5</v>
      </c>
      <c r="AI51" s="183">
        <f t="shared" si="182"/>
        <v>2.5723535575798884E-5</v>
      </c>
      <c r="AJ51" s="183">
        <f t="shared" si="183"/>
        <v>2.5238645231546121E-5</v>
      </c>
      <c r="AK51" s="183">
        <f t="shared" si="184"/>
        <v>2.4987204510971915E-5</v>
      </c>
      <c r="AL51" s="186">
        <f t="shared" si="113"/>
        <v>2.9157232604590709E-2</v>
      </c>
      <c r="AM51" s="183">
        <f t="shared" si="114"/>
        <v>2.8996201456939798E-2</v>
      </c>
      <c r="AN51" s="183">
        <f t="shared" si="115"/>
        <v>2.8622869337056461E-2</v>
      </c>
      <c r="AO51" s="183">
        <f t="shared" si="116"/>
        <v>2.8303861530595734E-2</v>
      </c>
      <c r="AP51" s="183">
        <f t="shared" si="117"/>
        <v>2.8074546289473361E-2</v>
      </c>
      <c r="AQ51" s="183">
        <f t="shared" si="118"/>
        <v>2.7772645845354132E-2</v>
      </c>
      <c r="AR51" s="183">
        <f t="shared" si="119"/>
        <v>2.7638609524535528E-2</v>
      </c>
      <c r="AS51" s="183">
        <f t="shared" si="120"/>
        <v>2.731902562632299E-2</v>
      </c>
      <c r="AT51" s="183">
        <f t="shared" si="121"/>
        <v>2.7110391266479253E-2</v>
      </c>
      <c r="AU51" s="186">
        <f>_xlfn.FORECAST.LINEAR(Sheet3!DF51,Sheet2!$AH$2:$AH$40,Sheet2!$AG$2:$AG$40)</f>
        <v>2.5653712965492358E-2</v>
      </c>
      <c r="AV51" s="183">
        <f>_xlfn.FORECAST.LINEAR(Sheet3!BZ51,Sheet2!$AH$2:$AH$40,Sheet2!$AG$2:$AG$40)</f>
        <v>2.5301786787401196E-2</v>
      </c>
      <c r="AW51" s="183">
        <f>_xlfn.FORECAST.LINEAR(Sheet3!CA51,Sheet2!$AH$2:$AH$40,Sheet2!$AG$2:$AG$40)</f>
        <v>2.4479064164549258E-2</v>
      </c>
      <c r="AX51" s="183">
        <f>_xlfn.FORECAST.LINEAR(Sheet3!CB51,Sheet2!$AH$2:$AH$40,Sheet2!$AG$2:$AG$40)</f>
        <v>2.3782628419006885E-2</v>
      </c>
      <c r="AY51" s="183">
        <f>_xlfn.FORECAST.LINEAR(Sheet3!CC51,Sheet2!$AH$2:$AH$40,Sheet2!$AG$2:$AG$40)</f>
        <v>2.3275586155993396E-2</v>
      </c>
      <c r="AZ51" s="183">
        <f>_xlfn.FORECAST.LINEAR(Sheet3!CD51,Sheet2!$AH$2:$AH$40,Sheet2!$AG$2:$AG$40)</f>
        <v>2.2616949069096722E-2</v>
      </c>
      <c r="BA51" s="183">
        <f>_xlfn.FORECAST.LINEAR(Sheet3!CE51,Sheet2!$AH$2:$AH$40,Sheet2!$AG$2:$AG$40)</f>
        <v>2.2313598908387616E-2</v>
      </c>
      <c r="BB51" s="183">
        <f>_xlfn.FORECAST.LINEAR(Sheet3!CF51,Sheet2!$AH$2:$AH$40,Sheet2!$AG$2:$AG$40)</f>
        <v>2.1616590711255299E-2</v>
      </c>
      <c r="BC51" s="183">
        <f>_xlfn.FORECAST.LINEAR(Sheet3!CG51,Sheet2!$AH$2:$AH$40,Sheet2!$AG$2:$AG$40)</f>
        <v>2.1142911456293739E-2</v>
      </c>
      <c r="BD51" s="186">
        <f>_xlfn.FORECAST.LINEAR(Sheet3!DF51,Sheet2!$AB$12:$AB$37,Sheet2!$AA$12:$AA$37)/1000</f>
        <v>3.0506351161118033E-2</v>
      </c>
      <c r="BE51" s="183">
        <f>_xlfn.FORECAST.LINEAR(Sheet3!BZ51,Sheet2!$AB$12:$AB$37,Sheet2!$AA$12:$AA$37)/1000</f>
        <v>3.0427668613566532E-2</v>
      </c>
      <c r="BF51" s="183">
        <f>_xlfn.FORECAST.LINEAR(Sheet3!CA51,Sheet2!$AB$12:$AB$37,Sheet2!$AA$12:$AA$37)/1000</f>
        <v>3.0243726878270344E-2</v>
      </c>
      <c r="BG51" s="183">
        <f>_xlfn.FORECAST.LINEAR(Sheet3!CB51,Sheet2!$AB$12:$AB$37,Sheet2!$AA$12:$AA$37)/1000</f>
        <v>3.008801996563764E-2</v>
      </c>
      <c r="BH51" s="183">
        <f>_xlfn.FORECAST.LINEAR(Sheet3!CC51,Sheet2!$AB$12:$AB$37,Sheet2!$AA$12:$AA$37)/1000</f>
        <v>2.9974657051896551E-2</v>
      </c>
      <c r="BI51" s="183">
        <f>_xlfn.FORECAST.LINEAR(Sheet3!CD51,Sheet2!$AB$12:$AB$37,Sheet2!$AA$12:$AA$37)/1000</f>
        <v>2.9827401044429252E-2</v>
      </c>
      <c r="BJ51" s="183">
        <f>_xlfn.FORECAST.LINEAR(Sheet3!CE51,Sheet2!$AB$12:$AB$37,Sheet2!$AA$12:$AA$37)/1000</f>
        <v>2.9759578969998157E-2</v>
      </c>
      <c r="BK51" s="183">
        <f>_xlfn.FORECAST.LINEAR(Sheet3!CF51,Sheet2!$AB$12:$AB$37,Sheet2!$AA$12:$AA$37)/1000</f>
        <v>2.9603744070440207E-2</v>
      </c>
      <c r="BL51" s="183">
        <f>_xlfn.FORECAST.LINEAR(Sheet3!CG51,Sheet2!$AB$12:$AB$37,Sheet2!$AA$12:$AA$37)/1000</f>
        <v>2.9497840353061675E-2</v>
      </c>
      <c r="BM51" s="186">
        <f t="shared" si="122"/>
        <v>0.88002902053273591</v>
      </c>
      <c r="BN51" s="183">
        <f t="shared" si="123"/>
        <v>0.88345497288516894</v>
      </c>
      <c r="BO51" s="183">
        <f t="shared" si="124"/>
        <v>0.89179193823204661</v>
      </c>
      <c r="BP51" s="183">
        <f t="shared" si="125"/>
        <v>0.89877092488009547</v>
      </c>
      <c r="BQ51" s="183">
        <f t="shared" si="126"/>
        <v>0.9040996353203502</v>
      </c>
      <c r="BR51" s="183">
        <f t="shared" si="127"/>
        <v>0.91088204483155155</v>
      </c>
      <c r="BS51" s="183">
        <f t="shared" si="128"/>
        <v>0.91430369602512485</v>
      </c>
      <c r="BT51" s="183">
        <f t="shared" si="129"/>
        <v>0.92164393711842352</v>
      </c>
      <c r="BU51" s="183">
        <f t="shared" si="130"/>
        <v>0.9271057189968418</v>
      </c>
      <c r="BV51" s="186">
        <f t="shared" si="222"/>
        <v>1.1849043564046586</v>
      </c>
      <c r="BW51" s="183">
        <f t="shared" si="223"/>
        <v>1.1845061635130947</v>
      </c>
      <c r="BX51" s="183">
        <f t="shared" si="224"/>
        <v>1.1814666188762231</v>
      </c>
      <c r="BY51" s="183">
        <f t="shared" si="225"/>
        <v>1.1807635079619525</v>
      </c>
      <c r="BZ51" s="183">
        <f t="shared" si="226"/>
        <v>1.1785856284230114</v>
      </c>
      <c r="CA51" s="183">
        <f t="shared" si="227"/>
        <v>1.1779032282630171</v>
      </c>
      <c r="CB51" s="183">
        <f t="shared" si="228"/>
        <v>1.1751547350887741</v>
      </c>
      <c r="CC51" s="183">
        <f t="shared" si="229"/>
        <v>1.1744539585154716</v>
      </c>
      <c r="CD51" s="183">
        <f t="shared" si="230"/>
        <v>1.1702774967171301</v>
      </c>
      <c r="CE51" s="187">
        <f xml:space="preserve"> -0.0000000019505*Sheet3!DF51^3 + 0.0000015497*Sheet3!DF51^2  + 0.00016911*Sheet3!DF51 + 1.8585</f>
        <v>1.8828730816875001</v>
      </c>
      <c r="CF51" s="185">
        <f xml:space="preserve"> -0.0000000019505*Sheet3!BZ51^3 + 0.0000015497*Sheet3!BZ51^2  + 0.00016911*Sheet3!BZ51 + 1.8585</f>
        <v>1.8823346634489944</v>
      </c>
      <c r="CG51" s="185">
        <f xml:space="preserve"> -0.0000000019505*Sheet3!CA51^3 + 0.0000015497*Sheet3!CA51^2  + 0.00016911*Sheet3!CA51 + 1.8585</f>
        <v>1.8810918856659806</v>
      </c>
      <c r="CH51" s="185">
        <f xml:space="preserve"> -0.0000000019505*Sheet3!CB51^3 + 0.0000015497*Sheet3!CB51^2  + 0.00016911*Sheet3!CB51 + 1.8585</f>
        <v>1.8800575371580677</v>
      </c>
      <c r="CI51" s="185">
        <f xml:space="preserve"> -0.0000000019505*Sheet3!CC51^3 + 0.0000015497*Sheet3!CC51^2  + 0.00016911*Sheet3!CC51 + 1.8585</f>
        <v>1.879314811575816</v>
      </c>
      <c r="CJ51" s="185">
        <f xml:space="preserve"> -0.0000000019505*Sheet3!CD51^3 + 0.0000015497*Sheet3!CD51^2  + 0.00016911*Sheet3!CD51 + 1.8585</f>
        <v>1.8783632002365866</v>
      </c>
      <c r="CK51" s="185">
        <f xml:space="preserve"> -0.0000000019505*Sheet3!CE51^3 + 0.0000015497*Sheet3!CE51^2  + 0.00016911*Sheet3!CE51 + 1.8585</f>
        <v>1.8779299721975036</v>
      </c>
      <c r="CL51" s="185">
        <f xml:space="preserve"> -0.0000000019505*Sheet3!CF51^3 + 0.0000015497*Sheet3!CF51^2  + 0.00016911*Sheet3!CF51 + 1.8585</f>
        <v>1.8769467662027977</v>
      </c>
      <c r="CM51" s="185">
        <f xml:space="preserve"> -0.0000000019505*Sheet3!CG51^3 + 0.0000015497*Sheet3!CG51^2  + 0.00016911*Sheet3!CG51 + 1.8585</f>
        <v>1.8762884079738404</v>
      </c>
      <c r="CN51" s="186">
        <f>_xlfn.FORECAST.LINEAR(Sheet3!DF51,New!$LU$2:$LU$14,New!$LT$2:$LT$14)</f>
        <v>1.0126209368728181</v>
      </c>
      <c r="CO51" s="183">
        <f>_xlfn.FORECAST.LINEAR(Sheet3!BZ51,New!$LU$2:$LU$14,New!$LT$2:$LT$14)</f>
        <v>1.0123619145887253</v>
      </c>
      <c r="CP51" s="183">
        <f>_xlfn.FORECAST.LINEAR(Sheet3!CA51,New!$LU$2:$LU$14,New!$LT$2:$LT$14)</f>
        <v>1.0117563799447788</v>
      </c>
      <c r="CQ51" s="183">
        <f>_xlfn.FORECAST.LINEAR(Sheet3!CB51,New!$LU$2:$LU$14,New!$LT$2:$LT$14)</f>
        <v>1.0112437940993249</v>
      </c>
      <c r="CR51" s="183">
        <f>_xlfn.FORECAST.LINEAR(Sheet3!CC51,New!$LU$2:$LU$14,New!$LT$2:$LT$14)</f>
        <v>1.0108706043417182</v>
      </c>
      <c r="CS51" s="183">
        <f>_xlfn.FORECAST.LINEAR(Sheet3!CD51,New!$LU$2:$LU$14,New!$LT$2:$LT$14)</f>
        <v>1.0103858388049185</v>
      </c>
      <c r="CT51" s="183">
        <f>_xlfn.FORECAST.LINEAR(Sheet3!CE51,New!$LU$2:$LU$14,New!$LT$2:$LT$14)</f>
        <v>1.0101625691069012</v>
      </c>
      <c r="CU51" s="183">
        <f>_xlfn.FORECAST.LINEAR(Sheet3!CF51,New!$LU$2:$LU$14,New!$LT$2:$LT$14)</f>
        <v>1.0096495619295669</v>
      </c>
      <c r="CV51" s="183">
        <f>_xlfn.FORECAST.LINEAR(Sheet3!CG51,New!$LU$2:$LU$14,New!$LT$2:$LT$14)</f>
        <v>1.0093009277835852</v>
      </c>
      <c r="CW51" s="186">
        <f>EXP((17.625*Sheet3!BA51)/(243.04+Sheet3!BA51)) / EXP((17.625*Sheet3!DF51)/(243.04+Sheet3!DF51))</f>
        <v>0.20655084980524538</v>
      </c>
      <c r="CX51" s="183">
        <f>EXP((17.625*(Sheet3!BC51+273))/(243.04+(Sheet3!BC51+273)))/EXP((17.625*(Sheet3!BZ51+273))/(243.04+(Sheet3!BZ51+273)))</f>
        <v>0.78934161455240659</v>
      </c>
      <c r="CY51" s="183">
        <f>EXP((17.625*(Sheet3!BE51+273))/(243.04+(Sheet3!BE51+273))) / EXP((17.625*(Sheet3!CA51+273))/(243.04+(Sheet3!CA51+273)))</f>
        <v>0.81999480010872905</v>
      </c>
      <c r="CZ51" s="183">
        <f>EXP((17.625*(Sheet3!BG51+273))/(243.04+(Sheet3!BG51+273))) / EXP((17.625*(Sheet3!CB51+273))/(243.04+(Sheet3!CB51+273)))</f>
        <v>0.84572822187495977</v>
      </c>
      <c r="DA51" s="183">
        <f>EXP((17.625*(Sheet3!BI51+273))/(243.04+(Sheet3!BI51+273))) / EXP((17.625*(Sheet3!CC51+273))/(243.04+(Sheet3!CC51+273)))</f>
        <v>0.86474956644836332</v>
      </c>
      <c r="DB51" s="183">
        <f>EXP((17.625*(Sheet3!BK51+273))/(243.04+(Sheet3!BK51+273)))/EXP((17.625*(Sheet3!CD51+273))/(243.04+(Sheet3!CD51+273)))</f>
        <v>0.89262089149180901</v>
      </c>
      <c r="DC51" s="183">
        <f>EXP((17.625*(Sheet3!BM51+273))/(243.04+(Sheet3!BM51+273))) / EXP((17.625*(Sheet3!CE51+273))/(243.04+(Sheet3!CE51+273)))</f>
        <v>0.9031546542272072</v>
      </c>
      <c r="DD51" s="183">
        <f>EXP((17.625*(Sheet3!BO51+273))/(243.04+(Sheet3!BO51+273))) / EXP((17.625*(Sheet3!CF51+273))/(243.04+(Sheet3!CF51+273)))</f>
        <v>0.93441100442513503</v>
      </c>
      <c r="DE51" s="183">
        <f>EXP((17.625*(Sheet3!BQ51+273))/(243.04+(Sheet3!BQ51+273))) / EXP((17.625*(Sheet3!CG51+273))/(243.04+(Sheet3!CG51+273)))</f>
        <v>0.95205989024089421</v>
      </c>
      <c r="DF51" s="186">
        <f>((Sheet3!DA51-Sheet3!DB51)/New!$LQ$3)/(((Sheet3!DA51-Sheet3!DB51)/New!$LQ$3)+(Sheet3!DB51/New!$LP$3))</f>
        <v>0.71592203852799807</v>
      </c>
      <c r="DG51" s="183">
        <f>((Sheet3!DA51-Sheet3!DB51)/New!$LQ$3)/(((Sheet3!DA51-Sheet3!DB51)/New!$LQ$3)+((Sheet3!DB51-(Sheet3!B51*0.004))/New!$LP$3))</f>
        <v>0.71629770201906884</v>
      </c>
      <c r="DH51" s="183" cm="1">
        <f t="array" ref="DH51">((Sheet3!DA51-Sheet3!DB51)/New!$LQ$3)/(((Sheet3!DA51-Sheet3!DB51)/New!$LQ$3)+((Sheet3!DB51-(SUM(Sheet3!B51:C51*0.004)))/New!$LP$3))</f>
        <v>0.72678520335523367</v>
      </c>
      <c r="DI51" s="183" cm="1">
        <f t="array" ref="DI51">((Sheet3!DA51-Sheet3!DB51)/New!$LQ$3)/(((Sheet3!DA51-Sheet3!DB51)/New!$LQ$3)+((Sheet3!DB51-(SUM(Sheet3!B51:D51*0.004)))/New!$LP$3))</f>
        <v>0.72719387742901509</v>
      </c>
      <c r="DJ51" s="183" cm="1">
        <f t="array" ref="DJ51">((Sheet3!DA51-Sheet3!DB51)/New!$LQ$3)/(((Sheet3!DA51-Sheet3!DB51)/New!$LQ$3)+((Sheet3!DB51-(SUM(Sheet3!B51:E51*0.004)))/New!$LP$3))</f>
        <v>0.73526690314901522</v>
      </c>
      <c r="DK51" s="183" cm="1">
        <f t="array" ref="DK51">((Sheet3!DA51-Sheet3!DB51)/New!$LQ$3)/(((Sheet3!DA51-Sheet3!DB51)/New!$LQ$3)+((Sheet3!DB51-(SUM(Sheet3!B51:F51*0.004)))/New!$LP$3))</f>
        <v>0.73577329192141983</v>
      </c>
      <c r="DL51" s="183" cm="1">
        <f t="array" ref="DL51">((Sheet3!DA51-Sheet3!DB51)/New!$LQ$3)/(((Sheet3!DA51-Sheet3!DB51)/New!$LQ$3)+((Sheet3!DB51-(SUM(Sheet3!B51:G51*0.004)))/New!$LP$3))</f>
        <v>0.74766134299422282</v>
      </c>
      <c r="DM51" s="183" cm="1">
        <f t="array" ref="DM51">((Sheet3!DA51-Sheet3!DB51)/New!$LQ$3)/(((Sheet3!DA51-Sheet3!DB51)/New!$LQ$3)+((Sheet3!DB51-(SUM(Sheet3!B51:H51*0.004)))/New!$LP$3))</f>
        <v>0.74813939367394167</v>
      </c>
      <c r="DN51" s="183" cm="1">
        <f t="array" ref="DN51">((Sheet3!DA51-Sheet3!DB51)/New!$LQ$3)/(((Sheet3!DA51-Sheet3!DB51)/New!$LQ$3)+((Sheet3!DB51-(SUM(Sheet3!B51:I51*0.004)))/New!$LP$3))</f>
        <v>0.76688924866628727</v>
      </c>
      <c r="DO51" s="186">
        <f>(Sheet3!DB51/$LP$3) / ((Sheet3!DB51/$LP$3) + ((Sheet3!DA51-Sheet3!DB51)/$LQ$3))</f>
        <v>0.28407796147200193</v>
      </c>
      <c r="DP51" s="183">
        <f>((Sheet3!$DB51-(Sheet3!B51/4000)) / $LP$3) / (((Sheet3!$DA51-Sheet3!DB51) / $LQ$3) + (Sheet3!$DB51-((Sheet3!B51/4000)))/$LP$3)</f>
        <v>0.2840544940481724</v>
      </c>
      <c r="DQ51" s="183">
        <f>((Sheet3!$DB51-(SUM(Sheet3!B51:C51)/4000))/$LP$3)/(((Sheet3!$DA51-Sheet3!$DB51)/$LQ$3)+(Sheet3!$DB51-(SUM(Sheet3!B51:C51)/4000))/$LP$3)</f>
        <v>0.2834085364525491</v>
      </c>
      <c r="DR51" s="183">
        <f>((Sheet3!$DB51-(SUM(Sheet3!B51:D51)/4000))/$LP$3)/(((Sheet3!$DA51-Sheet3!$DB51)/$LQ$3)+(Sheet3!$DB51-(SUM(Sheet3!B51:D51)/4000))/$LP$3)</f>
        <v>0.28338371889058489</v>
      </c>
      <c r="DS51" s="183">
        <f>((Sheet3!$DB51-(SUM(Sheet3!B51:E51)/4000))/$LP$3)/(((Sheet3!$DA51-Sheet3!$DB51)/$LQ$3)+(Sheet3!$DB51-(SUM(Sheet3!B51:E51)/4000))/$LP$3)</f>
        <v>0.28289877861440138</v>
      </c>
      <c r="DT51" s="183">
        <f>((Sheet3!$DB51-(SUM(Sheet3!B51:F51)/4000))/$LP$3)/(((Sheet3!$DA51-Sheet3!$DB51)/$LQ$3)+(Sheet3!$DB51-(SUM(Sheet3!B51:F51)/4000))/$LP$3)</f>
        <v>0.28286869332501741</v>
      </c>
      <c r="DU51" s="183">
        <f>((Sheet3!$DB51-(SUM(Sheet3!B51:G51)/4000))/$LP$3)/(((Sheet3!$DA51-Sheet3!$DB51)/$LQ$3)+(Sheet3!$DB51-(SUM(Sheet3!B51:G51)/4000))/$LP$3)</f>
        <v>0.28217341297445686</v>
      </c>
      <c r="DV51" s="183">
        <f>((Sheet3!$DB51-(SUM(Sheet3!B51:H51)/4000))/$LP$3)/(((Sheet3!$DA51-Sheet3!$DB51)/$LQ$3)+(Sheet3!$DB51-(SUM(Sheet3!B51:H51)/4000))/$LP$3)</f>
        <v>0.28214588829692988</v>
      </c>
      <c r="DW51" s="183">
        <f>((Sheet3!$DB51-(SUM(Sheet3!B51:I51)/4000))/$LP$3)/(((Sheet3!$DA51-Sheet3!$DB51)/$LQ$3)+(Sheet3!$DB51-(SUM(Sheet3!B51:I51)/4000))/$LP$3)</f>
        <v>0.28109181119077653</v>
      </c>
      <c r="DX51" s="186">
        <f>($LR$2*($LP$3/1000))/($LP$2*(Sheet3!DF51+273))*DO51</f>
        <v>0.17421894315115077</v>
      </c>
      <c r="DY51" s="183">
        <f>(($LR$2*($LP$3/1000))/($LP$2*(Sheet3!BZ51+273)))*(DP51)</f>
        <v>0.17488099167312757</v>
      </c>
      <c r="DZ51" s="183">
        <f>(($LR$2*($LP$3/1000))/($LP$2*(Sheet3!CA51+273)))*(DQ51)</f>
        <v>0.17608170433275247</v>
      </c>
      <c r="EA51" s="183">
        <f>(($LR$2*($LP$3/1000))/($LP$2*(Sheet3!CB51+273)))*(DR51)</f>
        <v>0.17744228101873177</v>
      </c>
      <c r="EB51" s="183">
        <f>(($LR$2*($LP$3/1000))/($LP$2*(Sheet3!CC51+273)))*(DS51)</f>
        <v>0.17815230033817986</v>
      </c>
      <c r="EC51" s="183">
        <f>(($LR$2*($LP$3/1000))/($LP$2*(Sheet3!CD51+273)))*(DT51)</f>
        <v>0.17946739724626662</v>
      </c>
      <c r="ED51" s="183">
        <f>(($LR$2*($LP$3/1000))/($LP$2*(Sheet3!CE51+273)))*(DU51)</f>
        <v>0.17964591394852011</v>
      </c>
      <c r="EE51" s="183">
        <f>(($LR$2*($LP$3/1000))/($LP$2*(Sheet3!CF51+273)))*(DV51)</f>
        <v>0.1810683800979668</v>
      </c>
      <c r="EF51" s="183">
        <f>(($LR$2*($LP$3/1000))/($LP$2*(Sheet3!CG51+273)))*(DW51)</f>
        <v>0.18138006592493691</v>
      </c>
      <c r="EG51" s="186">
        <f>(($LR$2*($LQ$3/1000))/($LQ$2*(Sheet3!DF51+273)))*(1-DO51)</f>
        <v>0.70581007738158519</v>
      </c>
      <c r="EH51" s="183">
        <f>(($LR$2*($LQ$3/1000))/($LQ$2*(Sheet3!BZ51+273)))*(1-DP51)</f>
        <v>0.7085739812120414</v>
      </c>
      <c r="EI51" s="183">
        <f>(($LR$2*($LQ$3/1000))/($LQ$2*(Sheet3!CA51+273)))*(1-DQ51)</f>
        <v>0.71571023389929411</v>
      </c>
      <c r="EJ51" s="183">
        <f>(($LR$2*($LQ$3/1000))/($LQ$2*(Sheet3!CB51+273)))*(1-DR51)</f>
        <v>0.72132864386136375</v>
      </c>
      <c r="EK51" s="183">
        <f>(($LR$2*($LQ$3/1000))/($LQ$2*(Sheet3!CC51+273)))*(1-DS51)</f>
        <v>0.72594733498217034</v>
      </c>
      <c r="EL51" s="183">
        <f>(($LR$2*($LQ$3/1000))/($LQ$2*(Sheet3!CD51+273)))*(1-DT51)</f>
        <v>0.73141464758528496</v>
      </c>
      <c r="EM51" s="183">
        <f>(($LR$2*($LQ$3/1000))/($LQ$2*(Sheet3!CE51+273)))*(1-DU51)</f>
        <v>0.7346577820766047</v>
      </c>
      <c r="EN51" s="183">
        <f>(($LR$2*($LQ$3/1000))/($LQ$2*(Sheet3!CF51+273)))*(1-DV51)</f>
        <v>0.74057555702045674</v>
      </c>
      <c r="EO51" s="183">
        <f>(($LR$2*($LQ$3/1000))/($LQ$2*(Sheet3!CG51+273)))*(1-DW51)</f>
        <v>0.74572565307190486</v>
      </c>
      <c r="EP51" s="186">
        <f t="shared" si="132"/>
        <v>4903.4508961443398</v>
      </c>
      <c r="EQ51" s="183">
        <f xml:space="preserve"> (($FV51-(Sheet3!B51/4000))*0.018)/(0.011*JO51*3600)</f>
        <v>4918.4584047688459</v>
      </c>
      <c r="ER51" s="183">
        <f>((($FV51-(SUM(Sheet3!B51:C51)/4000))*0.018)/(0.011*JP51*3600))</f>
        <v>4949.5740620740489</v>
      </c>
      <c r="ES51" s="183">
        <f>((($FV51-(SUM(Sheet3!B51:D51)/4000))*0.018)/(0.011*JQ51*3600))</f>
        <v>4980.1314012559469</v>
      </c>
      <c r="ET51" s="183">
        <f>((($FV51-(SUM(Sheet3!B51:E51)/4000))*0.018)/(0.011*JR51))/3600</f>
        <v>4999.1530190043732</v>
      </c>
      <c r="EU51" s="183">
        <f>((($FV51-(SUM(Sheet3!B51:F51)/4000))*0.018)/(0.011*JS51))/3600</f>
        <v>5028.610559359784</v>
      </c>
      <c r="EV51" s="183">
        <f>((($FV51-(SUM(Sheet3!B51:G51)/4000))*0.018)/(0.011*JT51))/3600</f>
        <v>5037.1836674639071</v>
      </c>
      <c r="EW51" s="183">
        <f>((($FV51-(SUM(Sheet3!B51:H51)/4000))*0.018)/(0.011*JU51))/3600</f>
        <v>5068.9203357704191</v>
      </c>
      <c r="EX51" s="183">
        <f>((($FV51-(SUM(Sheet3!B51:I51)/4000))*0.018)/(0.011*JV51))/3600</f>
        <v>5082.8652388487935</v>
      </c>
      <c r="EY51" s="186">
        <f t="shared" si="133"/>
        <v>51.25689010662046</v>
      </c>
      <c r="EZ51" s="183">
        <f t="shared" si="134"/>
        <v>51.394936971772786</v>
      </c>
      <c r="FA51" s="183">
        <f t="shared" si="135"/>
        <v>51.663749335609459</v>
      </c>
      <c r="FB51" s="183">
        <f t="shared" si="136"/>
        <v>51.947310962018307</v>
      </c>
      <c r="FC51" s="183">
        <f t="shared" si="137"/>
        <v>52.109827196320396</v>
      </c>
      <c r="FD51" s="183">
        <f t="shared" si="138"/>
        <v>52.38462206487057</v>
      </c>
      <c r="FE51" s="183">
        <f t="shared" si="139"/>
        <v>52.44320016106289</v>
      </c>
      <c r="FF51" s="183">
        <f t="shared" si="140"/>
        <v>52.7407835307203</v>
      </c>
      <c r="FG51" s="183">
        <f t="shared" si="141"/>
        <v>52.838519384935402</v>
      </c>
      <c r="FH51" s="186">
        <f t="shared" si="185"/>
        <v>83.02828152370428</v>
      </c>
      <c r="FI51" s="183">
        <f t="shared" si="186"/>
        <v>82.792108127791522</v>
      </c>
      <c r="FJ51" s="183">
        <f t="shared" si="187"/>
        <v>82.153597038643738</v>
      </c>
      <c r="FK51" s="183">
        <f t="shared" si="188"/>
        <v>81.683860908653557</v>
      </c>
      <c r="FL51" s="183">
        <f t="shared" si="189"/>
        <v>81.27554198664194</v>
      </c>
      <c r="FM51" s="183">
        <f t="shared" si="190"/>
        <v>80.825530908354125</v>
      </c>
      <c r="FN51" s="183">
        <f t="shared" si="191"/>
        <v>80.525396192704221</v>
      </c>
      <c r="FO51" s="183">
        <f t="shared" si="192"/>
        <v>80.045934268227853</v>
      </c>
      <c r="FP51" s="183">
        <f t="shared" si="193"/>
        <v>79.581829692613752</v>
      </c>
      <c r="FQ51" s="314">
        <f>Sheet3!CV51</f>
        <v>1</v>
      </c>
      <c r="FR51" s="183">
        <v>5000</v>
      </c>
      <c r="FS51" s="183">
        <v>20</v>
      </c>
      <c r="FT51" s="183">
        <v>0.1503956043956044</v>
      </c>
      <c r="FU51" s="183">
        <v>22.8</v>
      </c>
      <c r="FV51" s="183">
        <v>197</v>
      </c>
      <c r="FW51" s="183">
        <v>39</v>
      </c>
      <c r="FX51" s="183">
        <v>195</v>
      </c>
      <c r="FY51" s="183">
        <v>8</v>
      </c>
      <c r="FZ51" s="183">
        <v>30.8</v>
      </c>
      <c r="GA51" s="183">
        <v>85</v>
      </c>
      <c r="GB51" s="186">
        <f>EXP($LP$6-($LQ$6/('Trial and Error method'!T51+$LP$8))) / ($LR$2/1000)</f>
        <v>0.12166763206150043</v>
      </c>
      <c r="GC51" s="183">
        <f>EXP($LP$6-($LQ$6/('Trial and Error method'!U51+$LP$8))) / ($LR$2/1000)</f>
        <v>0.24276838350286009</v>
      </c>
      <c r="GD51" s="183">
        <f>EXP($LP$6-($LQ$6/('Trial and Error method'!V51+$LP$8))) / ($LR$2/1000)</f>
        <v>0.23585712564016464</v>
      </c>
      <c r="GE51" s="183">
        <f>EXP($LP$6-($LQ$6/('Trial and Error method'!W51+$LP$8))) / ($LR$2/1000)</f>
        <v>0.23216746643214825</v>
      </c>
      <c r="GF51" s="183">
        <f>EXP($LP$6-($LQ$6/('Trial and Error method'!X51+$LP$8))) / ($LR$2/1000)</f>
        <v>0.22887451244182291</v>
      </c>
      <c r="GG51" s="183">
        <f>EXP($LP$6-($LQ$6/('Trial and Error method'!Y51+$LP$8))) / ($LR$2/1000)</f>
        <v>0.22659183880780889</v>
      </c>
      <c r="GH51" s="183">
        <f>EXP($LP$6-($LQ$6/('Trial and Error method'!Z51+$LP$8))) / ($LR$2/1000)</f>
        <v>0.22369365177177108</v>
      </c>
      <c r="GI51" s="183">
        <f>EXP($LP$6-($LQ$6/('Trial and Error method'!AA51+$LP$8))) / ($LR$2/1000)</f>
        <v>0.22094921636423145</v>
      </c>
      <c r="GJ51" s="183">
        <f>EXP($LP$6-($LQ$6/('Trial and Error method'!AB51+$LP$8))) / ($LR$2/1000)</f>
        <v>0.21443623987747312</v>
      </c>
      <c r="GK51" s="188">
        <f t="shared" si="142"/>
        <v>0.79436201176229382</v>
      </c>
      <c r="GL51" s="165">
        <f t="shared" si="143"/>
        <v>0.73639567877445367</v>
      </c>
      <c r="GM51" s="165">
        <f t="shared" si="144"/>
        <v>0.74011259269674634</v>
      </c>
      <c r="GN51" s="165">
        <f t="shared" si="145"/>
        <v>0.74192980442239509</v>
      </c>
      <c r="GO51" s="165">
        <f t="shared" si="146"/>
        <v>0.74378638282105569</v>
      </c>
      <c r="GP51" s="165">
        <f t="shared" si="147"/>
        <v>0.74491546743568593</v>
      </c>
      <c r="GQ51" s="165">
        <f t="shared" si="148"/>
        <v>0.74668483261482255</v>
      </c>
      <c r="GR51" s="165">
        <f t="shared" si="149"/>
        <v>0.74803528653631224</v>
      </c>
      <c r="GS51" s="165">
        <f t="shared" si="150"/>
        <v>0.751743521145259</v>
      </c>
      <c r="GT51" s="188">
        <f t="shared" si="194"/>
        <v>6.4823228138493533E-2</v>
      </c>
      <c r="GU51" s="165">
        <f t="shared" si="195"/>
        <v>6.9937268202133668E-2</v>
      </c>
      <c r="GV51" s="165">
        <f t="shared" si="196"/>
        <v>6.9596982273290003E-2</v>
      </c>
      <c r="GW51" s="165">
        <f t="shared" si="197"/>
        <v>6.9457582637689128E-2</v>
      </c>
      <c r="GX51" s="165">
        <f t="shared" si="198"/>
        <v>6.9289806991298455E-2</v>
      </c>
      <c r="GY51" s="165">
        <f t="shared" si="199"/>
        <v>6.9216450651470779E-2</v>
      </c>
      <c r="GZ51" s="165">
        <f t="shared" si="200"/>
        <v>6.9041252103419187E-2</v>
      </c>
      <c r="HA51" s="165">
        <f t="shared" si="201"/>
        <v>6.8952541360461098E-2</v>
      </c>
      <c r="HB51" s="165">
        <f t="shared" si="202"/>
        <v>6.8590573568871438E-2</v>
      </c>
      <c r="HC51" s="188">
        <f>BV51*Sheet3!DF51</f>
        <v>100.71687029439599</v>
      </c>
      <c r="HD51" s="165">
        <f>BW51*Sheet3!BZ51</f>
        <v>99.042783875250464</v>
      </c>
      <c r="HE51" s="165">
        <f>BX51*Sheet3!CA51</f>
        <v>94.963966574511588</v>
      </c>
      <c r="HF51" s="165">
        <f>BY51*Sheet3!CB51</f>
        <v>91.671794856478201</v>
      </c>
      <c r="HG51" s="165">
        <f>BZ51*Sheet3!CC51</f>
        <v>89.151323889247692</v>
      </c>
      <c r="HH51" s="165">
        <f>CA51*Sheet3!CD51</f>
        <v>86.047074410874217</v>
      </c>
      <c r="HI51" s="165">
        <f>CB51*Sheet3!CE51</f>
        <v>84.443616710523543</v>
      </c>
      <c r="HJ51" s="165">
        <f>CC51*Sheet3!CF51</f>
        <v>81.172248357285255</v>
      </c>
      <c r="HK51" s="165">
        <f>CD51*Sheet3!CG51</f>
        <v>78.702411586941636</v>
      </c>
      <c r="HL51" s="188">
        <f>(CE51*Sheet3!DF51)+2501</f>
        <v>2661.0442119434374</v>
      </c>
      <c r="HM51" s="165">
        <f>(CF51*Sheet3!BZ51)+2501</f>
        <v>2658.3918912333374</v>
      </c>
      <c r="HN51" s="165">
        <f>(CG51*Sheet3!CA51)+2501</f>
        <v>2652.1984715436838</v>
      </c>
      <c r="HO51" s="165">
        <f>(CH51*Sheet3!CB51)+2501</f>
        <v>2646.9633937723993</v>
      </c>
      <c r="HP51" s="165">
        <f>(CI51*Sheet3!CC51)+2501</f>
        <v>2643.1563265461118</v>
      </c>
      <c r="HQ51" s="165">
        <f>(CJ51*Sheet3!CD51)+2501</f>
        <v>2638.2164148830357</v>
      </c>
      <c r="HR51" s="165">
        <f>(CK51*Sheet3!CE51)+2501</f>
        <v>2635.9432496389259</v>
      </c>
      <c r="HS51" s="165">
        <f>(CL51*Sheet3!CF51)+2501</f>
        <v>2630.7249568235075</v>
      </c>
      <c r="HT51" s="165">
        <f>(CM51*Sheet3!CG51)+2501</f>
        <v>2627.1823994346682</v>
      </c>
      <c r="HU51" s="188">
        <f>-0.0021*(Sheet3!DF51^2) - 2.2115*(Sheet3!DF51) + 2499</f>
        <v>2295.85</v>
      </c>
      <c r="HV51" s="165">
        <f>-0.0021*(Sheet3!BZ51^2) - 2.2115*(Sheet3!BZ51) + 2499</f>
        <v>2299.4026929845209</v>
      </c>
      <c r="HW51" s="165">
        <f>-0.0021*(Sheet3!CA51^2) - 2.2115*(Sheet3!CA51) + 2499</f>
        <v>2307.676652853499</v>
      </c>
      <c r="HX51" s="165">
        <f>-0.0021*(Sheet3!CB51^2) - 2.2115*(Sheet3!CB51) + 2499</f>
        <v>2314.6461718230544</v>
      </c>
      <c r="HY51" s="165">
        <f>-0.0021*(Sheet3!CC51^2) - 2.2115*(Sheet3!CC51) + 2499</f>
        <v>2319.700512448891</v>
      </c>
      <c r="HZ51" s="165">
        <f>-0.0021*(Sheet3!CD51^2) - 2.2115*(Sheet3!CD51) + 2499</f>
        <v>2326.2410310099622</v>
      </c>
      <c r="IA51" s="165">
        <f>-0.0021*(Sheet3!CE51^2) - 2.2115*(Sheet3!CE51) + 2499</f>
        <v>2329.2439264081891</v>
      </c>
      <c r="IB51" s="165">
        <f>-0.0021*(Sheet3!CF51^2) - 2.2115*(Sheet3!CF51) + 2499</f>
        <v>2336.1210145294799</v>
      </c>
      <c r="IC51" s="165">
        <f>-0.0021*(Sheet3!CG51^2) - 2.2115*(Sheet3!CG51) + 2499</f>
        <v>2340.7765800463008</v>
      </c>
      <c r="ID51" s="188">
        <f t="shared" si="203"/>
        <v>0.74212781534988048</v>
      </c>
      <c r="IE51" s="165">
        <f t="shared" si="204"/>
        <v>0.74370523463755289</v>
      </c>
      <c r="IF51" s="165">
        <f t="shared" si="205"/>
        <v>0.7462789320871176</v>
      </c>
      <c r="IG51" s="165">
        <f t="shared" si="206"/>
        <v>0.74959498499944388</v>
      </c>
      <c r="IH51" s="165">
        <f t="shared" si="207"/>
        <v>0.75109963222032006</v>
      </c>
      <c r="II51" s="165">
        <f t="shared" si="208"/>
        <v>0.75435755993433551</v>
      </c>
      <c r="IJ51" s="165">
        <f t="shared" si="209"/>
        <v>0.75445071804703379</v>
      </c>
      <c r="IK51" s="165">
        <f t="shared" si="210"/>
        <v>0.75802499710185545</v>
      </c>
      <c r="IL51" s="165">
        <f t="shared" si="211"/>
        <v>0.7582790479787348</v>
      </c>
      <c r="IM51" s="188">
        <f t="shared" si="212"/>
        <v>24.170621179860078</v>
      </c>
      <c r="IN51" s="165">
        <f t="shared" si="151"/>
        <v>6.6393822214835509</v>
      </c>
      <c r="IO51" s="165">
        <f t="shared" si="152"/>
        <v>7.637105180670491</v>
      </c>
      <c r="IP51" s="165">
        <f t="shared" si="153"/>
        <v>8.2340229644464529</v>
      </c>
      <c r="IQ51" s="165">
        <f t="shared" si="154"/>
        <v>8.683406783164255</v>
      </c>
      <c r="IR51" s="165">
        <f t="shared" si="155"/>
        <v>9.0613697555514836</v>
      </c>
      <c r="IS51" s="165">
        <f t="shared" si="156"/>
        <v>9.4043594720359156</v>
      </c>
      <c r="IT51" s="165">
        <f t="shared" si="157"/>
        <v>9.8576505396866452</v>
      </c>
      <c r="IU51" s="165">
        <f t="shared" si="158"/>
        <v>10.701899131360939</v>
      </c>
      <c r="IV51" s="188">
        <f>_xlfn.FORECAST.LINEAR(Sheet3!DF51,Sheet2!$AK$2:$AK$69,Sheet2!$AJ$2:$AJ$69)</f>
        <v>1.1761434736095797E-5</v>
      </c>
      <c r="IW51" s="165">
        <f>_xlfn.FORECAST.LINEAR(Sheet3!BZ51,Sheet2!$AK$2:$AK$69,Sheet2!$AJ$2:$AJ$69)</f>
        <v>1.1712951581941307E-5</v>
      </c>
      <c r="IX51" s="165">
        <f>_xlfn.FORECAST.LINEAR(Sheet3!CA51,Sheet2!$AK$2:$AK$69,Sheet2!$AJ$2:$AJ$69)</f>
        <v>1.159960909640508E-5</v>
      </c>
      <c r="IY51" s="165">
        <f>_xlfn.FORECAST.LINEAR(Sheet3!CB51,Sheet2!$AK$2:$AK$69,Sheet2!$AJ$2:$AJ$69)</f>
        <v>1.1503664538393026E-5</v>
      </c>
      <c r="IZ51" s="165">
        <f>_xlfn.FORECAST.LINEAR(Sheet3!CC51,Sheet2!$AK$2:$AK$69,Sheet2!$AJ$2:$AJ$69)</f>
        <v>1.1433811797304364E-5</v>
      </c>
      <c r="JA51" s="165">
        <f>_xlfn.FORECAST.LINEAR(Sheet3!CD51,Sheet2!$AK$2:$AK$69,Sheet2!$AJ$2:$AJ$69)</f>
        <v>1.1343074576251134E-5</v>
      </c>
      <c r="JB51" s="165">
        <f>_xlfn.FORECAST.LINEAR(Sheet3!CE51,Sheet2!$AK$2:$AK$69,Sheet2!$AJ$2:$AJ$69)</f>
        <v>1.1301283503236272E-5</v>
      </c>
      <c r="JC51" s="165">
        <f>_xlfn.FORECAST.LINEAR(Sheet3!CF51,Sheet2!$AK$2:$AK$69,Sheet2!$AJ$2:$AJ$69)</f>
        <v>1.1205260081358983E-5</v>
      </c>
      <c r="JD51" s="165">
        <f>_xlfn.FORECAST.LINEAR(Sheet3!CG51,Sheet2!$AK$2:$AK$69,Sheet2!$AJ$2:$AJ$69)</f>
        <v>1.1140003599267628E-5</v>
      </c>
      <c r="JE51" s="188">
        <f>_xlfn.FORECAST.LINEAR(Sheet3!DF51,New!$MC$2:$MC$18,New!$MB$2:$MB$18)</f>
        <v>2.0908514659214704E-5</v>
      </c>
      <c r="JF51" s="165">
        <f>_xlfn.FORECAST.LINEAR(Sheet3!BZ51,New!$MC$2:$MC$18,New!$MB$2:$MB$18)</f>
        <v>2.0851521541281608E-5</v>
      </c>
      <c r="JG51" s="165">
        <f>_xlfn.FORECAST.LINEAR(Sheet3!CA51,New!$MC$2:$MC$18,New!$MB$2:$MB$18)</f>
        <v>2.0718284713817525E-5</v>
      </c>
      <c r="JH51" s="165">
        <f>_xlfn.FORECAST.LINEAR(Sheet3!CB51,New!$MC$2:$MC$18,New!$MB$2:$MB$18)</f>
        <v>2.0605499570087074E-5</v>
      </c>
      <c r="JI51" s="165">
        <f>_xlfn.FORECAST.LINEAR(Sheet3!CC51,New!$MC$2:$MC$18,New!$MB$2:$MB$18)</f>
        <v>2.0523385986921045E-5</v>
      </c>
      <c r="JJ51" s="165">
        <f>_xlfn.FORECAST.LINEAR(Sheet3!CD51,New!$MC$2:$MC$18,New!$MB$2:$MB$18)</f>
        <v>2.0416722193473747E-5</v>
      </c>
      <c r="JK51" s="165">
        <f>_xlfn.FORECAST.LINEAR(Sheet3!CE51,New!$MC$2:$MC$18,New!$MB$2:$MB$18)</f>
        <v>2.0367595778445197E-5</v>
      </c>
      <c r="JL51" s="165">
        <f>_xlfn.FORECAST.LINEAR(Sheet3!CF51,New!$MC$2:$MC$18,New!$MB$2:$MB$18)</f>
        <v>2.0254717928337649E-5</v>
      </c>
      <c r="JM51" s="165">
        <f>_xlfn.FORECAST.LINEAR(Sheet3!CG51,New!$MC$2:$MC$18,New!$MB$2:$MB$18)</f>
        <v>2.0178007358561584E-5</v>
      </c>
      <c r="JN51" s="188">
        <f t="shared" si="159"/>
        <v>1.8261721477799552E-5</v>
      </c>
      <c r="JO51" s="165">
        <f t="shared" si="160"/>
        <v>1.8205584295292498E-5</v>
      </c>
      <c r="JP51" s="165">
        <f t="shared" si="161"/>
        <v>1.8079769686971965E-5</v>
      </c>
      <c r="JQ51" s="165">
        <f t="shared" si="162"/>
        <v>1.7968401391463817E-5</v>
      </c>
      <c r="JR51" s="165">
        <f t="shared" si="163"/>
        <v>1.7891598950676703E-5</v>
      </c>
      <c r="JS51" s="165">
        <f t="shared" si="164"/>
        <v>1.7786270425386516E-5</v>
      </c>
      <c r="JT51" s="165">
        <f t="shared" si="165"/>
        <v>1.7744019726927457E-5</v>
      </c>
      <c r="JU51" s="165">
        <f t="shared" si="166"/>
        <v>1.7632453082617963E-5</v>
      </c>
      <c r="JV51" s="165">
        <f t="shared" si="167"/>
        <v>1.756612575867194E-5</v>
      </c>
      <c r="JW51" s="188">
        <f t="shared" si="231"/>
        <v>1.0444458673781256</v>
      </c>
      <c r="JX51" s="165">
        <f t="shared" si="232"/>
        <v>1.0452397038321777</v>
      </c>
      <c r="JY51" s="165">
        <f t="shared" si="233"/>
        <v>1.0471203866046481</v>
      </c>
      <c r="JZ51" s="165">
        <f t="shared" si="234"/>
        <v>1.0487402091849236</v>
      </c>
      <c r="KA51" s="165">
        <f t="shared" si="235"/>
        <v>1.0499359514229483</v>
      </c>
      <c r="KB51" s="165">
        <f t="shared" si="236"/>
        <v>1.0515103123890364</v>
      </c>
      <c r="KC51" s="165">
        <f t="shared" si="237"/>
        <v>1.0522435851491578</v>
      </c>
      <c r="KD51" s="165">
        <f t="shared" si="238"/>
        <v>1.053948321312008</v>
      </c>
      <c r="KE51" s="165">
        <f t="shared" si="239"/>
        <v>1.0551229418619521</v>
      </c>
      <c r="KF51" s="188">
        <f t="shared" si="75"/>
        <v>0.94446821821306282</v>
      </c>
      <c r="KG51" s="165">
        <f t="shared" si="240"/>
        <v>0.94386261846085884</v>
      </c>
      <c r="KH51" s="165">
        <f t="shared" si="241"/>
        <v>0.94243295271124394</v>
      </c>
      <c r="KI51" s="165">
        <f t="shared" si="242"/>
        <v>0.94120726518555919</v>
      </c>
      <c r="KJ51" s="165">
        <f t="shared" si="243"/>
        <v>0.94030582016501718</v>
      </c>
      <c r="KK51" s="165">
        <f t="shared" si="244"/>
        <v>0.93912325586507828</v>
      </c>
      <c r="KL51" s="165">
        <f t="shared" si="245"/>
        <v>0.93857413178126192</v>
      </c>
      <c r="KM51" s="165">
        <f t="shared" si="246"/>
        <v>0.93730158037430999</v>
      </c>
      <c r="KN51" s="165">
        <f t="shared" si="247"/>
        <v>0.93642804589650031</v>
      </c>
      <c r="KO51" s="188">
        <f t="shared" si="213"/>
        <v>0.57799318772766561</v>
      </c>
      <c r="KP51" s="165">
        <f t="shared" si="214"/>
        <v>0.57690191733349794</v>
      </c>
      <c r="KQ51" s="165">
        <f t="shared" si="215"/>
        <v>0.57428851716169871</v>
      </c>
      <c r="KR51" s="165">
        <f t="shared" si="216"/>
        <v>0.5720269819770899</v>
      </c>
      <c r="KS51" s="165">
        <f t="shared" si="217"/>
        <v>0.57039124463414126</v>
      </c>
      <c r="KT51" s="165">
        <f t="shared" si="218"/>
        <v>0.56821770962499163</v>
      </c>
      <c r="KU51" s="165">
        <f t="shared" si="219"/>
        <v>0.56724696368001981</v>
      </c>
      <c r="KV51" s="165">
        <f t="shared" si="220"/>
        <v>0.56491547269567621</v>
      </c>
      <c r="KW51" s="165">
        <f t="shared" si="221"/>
        <v>0.56346770003290325</v>
      </c>
      <c r="KX51" s="188">
        <f>AVERAGE(Sheet3!J51:P51)*KO51^(1/3)/ID51^(1/3)</f>
        <v>225.45612134092815</v>
      </c>
      <c r="KY51" s="165">
        <f>Sheet3!J51*KP51^(1/3)/IE51^(1/3)</f>
        <v>221.94978137223072</v>
      </c>
      <c r="KZ51" s="165">
        <f>Sheet3!K51*KQ51^(1/3)/IF51^(1/3)</f>
        <v>213.211183016326</v>
      </c>
      <c r="LA51" s="165">
        <f>Sheet3!L51*KR51^(1/3)/IG51^(1/3)</f>
        <v>210.57344503630424</v>
      </c>
      <c r="LB51" s="165">
        <f>Sheet3!M51*KS51^(1/3)/IH51^(1/3)</f>
        <v>212.57712367925254</v>
      </c>
      <c r="LC51" s="165">
        <f>Sheet3!N51*KT51^(1/3)/II51^(1/3)</f>
        <v>218.33015597843479</v>
      </c>
      <c r="LD51" s="165">
        <f>Sheet3!O51*KU51^(1/3)/IJ51^(1/3)</f>
        <v>232.1297422793732</v>
      </c>
      <c r="LE51" s="165">
        <f>Sheet3!P51*KV51^(1/3)/IK51^(1/3)</f>
        <v>256.05888376062666</v>
      </c>
      <c r="LF51" s="165">
        <f>Sheet3!Q51*KW51^(1/3)/IL51^(1/3)</f>
        <v>315.11117210799233</v>
      </c>
      <c r="LG51" s="186">
        <f t="shared" si="248"/>
        <v>25.850766711688941</v>
      </c>
      <c r="LH51" s="183">
        <f t="shared" si="249"/>
        <v>25.861223160750058</v>
      </c>
      <c r="LI51" s="183">
        <f t="shared" si="250"/>
        <v>26.153304273360238</v>
      </c>
      <c r="LJ51" s="183">
        <f t="shared" si="251"/>
        <v>26.164692386158166</v>
      </c>
      <c r="LK51" s="183">
        <f t="shared" si="252"/>
        <v>26.389751011933921</v>
      </c>
      <c r="LL51" s="183">
        <f t="shared" si="253"/>
        <v>26.403874044294508</v>
      </c>
      <c r="LM51" s="183">
        <f t="shared" si="254"/>
        <v>26.735626527847536</v>
      </c>
      <c r="LN51" s="183">
        <f t="shared" si="255"/>
        <v>26.748975018466542</v>
      </c>
      <c r="LO51" s="183">
        <f t="shared" si="256"/>
        <v>27.272981619977518</v>
      </c>
      <c r="LP51" s="220"/>
      <c r="LQ51" s="220"/>
      <c r="LR51" s="220"/>
      <c r="LS51" s="220"/>
      <c r="LT51" s="220"/>
      <c r="LU51" s="220"/>
      <c r="LV51" s="220"/>
      <c r="LW51" s="220"/>
      <c r="LX51" s="220"/>
      <c r="LY51" s="220"/>
      <c r="LZ51" s="222">
        <v>191.6</v>
      </c>
      <c r="MA51" s="220">
        <v>1.5E-5</v>
      </c>
      <c r="MB51" s="220"/>
      <c r="MC51" s="220"/>
      <c r="MD51" s="188">
        <f>Sheet3!DP51</f>
        <v>389.48024397295785</v>
      </c>
      <c r="MF51" s="165"/>
      <c r="MP51"/>
      <c r="MQ51"/>
      <c r="MR51"/>
      <c r="MS51"/>
    </row>
    <row r="52" spans="1:357" x14ac:dyDescent="0.3">
      <c r="A52" s="184" t="str">
        <f>Sheet3!A52</f>
        <v>2023.01.12-2</v>
      </c>
      <c r="B52" s="186">
        <f t="shared" si="102"/>
        <v>0.90381932842246704</v>
      </c>
      <c r="C52" s="183">
        <f t="shared" si="168"/>
        <v>0.90170296718918896</v>
      </c>
      <c r="D52" s="183">
        <f t="shared" si="169"/>
        <v>0.89155426438155594</v>
      </c>
      <c r="E52" s="183">
        <f t="shared" si="170"/>
        <v>0.88009295750323202</v>
      </c>
      <c r="F52" s="183">
        <f t="shared" si="171"/>
        <v>0.86809605062846973</v>
      </c>
      <c r="G52" s="183">
        <f t="shared" si="172"/>
        <v>0.85859818967516888</v>
      </c>
      <c r="H52" s="183">
        <f t="shared" si="173"/>
        <v>0.84792200289635444</v>
      </c>
      <c r="I52" s="183">
        <f t="shared" si="174"/>
        <v>0.8427785129194979</v>
      </c>
      <c r="J52" s="183">
        <f t="shared" si="175"/>
        <v>0.8332887635246794</v>
      </c>
      <c r="K52" s="186">
        <f xml:space="preserve"> (6.057 * (10^(-6)))
+ (4.055 * (10^(-8)) * (Sheet3!DF52 + 273))
+ (1.25 * (10^(-10)) * (Sheet3!DF52 + 273)^2)
- (3.367 * (10^(-14)) * (DD52 + 273)^3)</f>
        <v>4.4158071487712424E-5</v>
      </c>
      <c r="L52" s="183">
        <f xml:space="preserve"> (6.057 * (10^(-6)))
+ (4.055 * (10^(-8)) * (Sheet3!BZ52 + 273))
+ (1.25 * (10^(-10)) * (Sheet3!BZ52 + 273)^2)
- (3.367 * (10^(-14)) * (BX52 + 273)^3)</f>
        <v>4.3981592176055294E-5</v>
      </c>
      <c r="M52" s="183">
        <f xml:space="preserve"> (6.057 * (10^(-6)))
+ (4.055 * (10^(-8)) * (Sheet3!CA52 + 273))
+ (1.25 * (10^(-10)) * (Sheet3!CA52 + 273)^2)
- (3.367 * (10^(-14)) * (BY52 + 273)^3)</f>
        <v>4.3130087284349191E-5</v>
      </c>
      <c r="N52" s="183">
        <f xml:space="preserve"> (6.057 * (10^(-6)))
+ (4.055 * (10^(-8)) * (Sheet3!CB52 + 273))
+ (1.25 * (10^(-10)) * (Sheet3!CB52 + 273)^2)
- (3.367 * (10^(-14)) * (BZ52 + 273)^3)</f>
        <v>4.2287802478536106E-5</v>
      </c>
      <c r="O52" s="183">
        <f xml:space="preserve"> (6.057 * (10^(-6)))
+ (4.055 * (10^(-8)) * (Sheet3!CC52 + 273))
+ (1.25 * (10^(-10)) * (Sheet3!CC52 + 273)^2)
- (3.367 * (10^(-14)) * (CA52 + 273)^3)</f>
        <v>4.138116036161347E-5</v>
      </c>
      <c r="P52" s="183">
        <f xml:space="preserve"> (6.057 * (10^(-6)))
+ (4.055 * (10^(-8)) * (Sheet3!CD52 + 273))
+ (1.25 * (10^(-10)) * (Sheet3!CD52 + 273)^2)
- (3.367 * (10^(-14)) * (CB52 + 273)^3)</f>
        <v>4.0725523956064361E-5</v>
      </c>
      <c r="Q52" s="183">
        <f xml:space="preserve"> (6.057 * (10^(-6)))
+ (4.055 * (10^(-8)) * (Sheet3!CE52 + 273))
+ (1.25 * (10^(-10)) * (Sheet3!CE52 + 273)^2)
- (3.367 * (10^(-14)) * (CC52 + 273)^3)</f>
        <v>3.9911410164343385E-5</v>
      </c>
      <c r="R52" s="183">
        <f xml:space="preserve"> (6.057 * (10^(-6)))
+ (4.055 * (10^(-8)) * (Sheet3!CF52 + 273))
+ (1.25 * (10^(-10)) * (Sheet3!CF52 + 273)^2)
- (3.367 * (10^(-14)) * (CD52 + 273)^3)</f>
        <v>3.9571228345513658E-5</v>
      </c>
      <c r="S52" s="183">
        <f xml:space="preserve"> (6.057 * (10^(-6)))
+ (4.055 * (10^(-8)) * (Sheet3!CG52 + 273))
+ (1.25 * (10^(-10)) * (Sheet3!CG52 + 273)^2)
- (3.367 * (10^(-14)) * (CE52 + 273)^3)</f>
        <v>3.8810257470388098E-5</v>
      </c>
      <c r="T52" s="188">
        <f t="shared" si="104"/>
        <v>4.4158071487712424E-5</v>
      </c>
      <c r="U52" s="165">
        <f t="shared" si="105"/>
        <v>4.3981592176055294E-5</v>
      </c>
      <c r="V52" s="165">
        <f t="shared" si="106"/>
        <v>4.3130087284349191E-5</v>
      </c>
      <c r="W52" s="165">
        <f t="shared" si="107"/>
        <v>4.2287802478536106E-5</v>
      </c>
      <c r="X52" s="165">
        <f t="shared" si="108"/>
        <v>4.138116036161347E-5</v>
      </c>
      <c r="Y52" s="165">
        <f t="shared" si="109"/>
        <v>4.0725523956064361E-5</v>
      </c>
      <c r="Z52" s="165">
        <f t="shared" si="110"/>
        <v>3.9911410164343385E-5</v>
      </c>
      <c r="AA52" s="165">
        <f t="shared" si="111"/>
        <v>3.9571228345513658E-5</v>
      </c>
      <c r="AB52" s="165">
        <f t="shared" si="112"/>
        <v>3.8810257470388098E-5</v>
      </c>
      <c r="AC52" s="186">
        <f t="shared" si="176"/>
        <v>3.9910918516455531E-5</v>
      </c>
      <c r="AD52" s="183">
        <f t="shared" si="177"/>
        <v>3.9658332166853876E-5</v>
      </c>
      <c r="AE52" s="183">
        <f t="shared" si="178"/>
        <v>3.8452813241510243E-5</v>
      </c>
      <c r="AF52" s="183">
        <f t="shared" si="179"/>
        <v>3.7217197149647349E-5</v>
      </c>
      <c r="AG52" s="183">
        <f t="shared" si="180"/>
        <v>3.5922821880340029E-5</v>
      </c>
      <c r="AH52" s="183">
        <f t="shared" si="181"/>
        <v>3.496686114224958E-5</v>
      </c>
      <c r="AI52" s="183">
        <f t="shared" si="182"/>
        <v>3.3841762844967963E-5</v>
      </c>
      <c r="AJ52" s="183">
        <f t="shared" si="183"/>
        <v>3.3349780979429885E-5</v>
      </c>
      <c r="AK52" s="183">
        <f t="shared" si="184"/>
        <v>3.234015145957415E-5</v>
      </c>
      <c r="AL52" s="186">
        <f t="shared" si="113"/>
        <v>3.6081612155184711E-2</v>
      </c>
      <c r="AM52" s="183">
        <f t="shared" si="114"/>
        <v>3.5945823158586791E-2</v>
      </c>
      <c r="AN52" s="183">
        <f t="shared" si="115"/>
        <v>3.526486027048327E-2</v>
      </c>
      <c r="AO52" s="183">
        <f t="shared" si="116"/>
        <v>3.4586770694087582E-2</v>
      </c>
      <c r="AP52" s="183">
        <f t="shared" si="117"/>
        <v>3.3846526942889442E-2</v>
      </c>
      <c r="AQ52" s="183">
        <f t="shared" si="118"/>
        <v>3.3306237545614278E-2</v>
      </c>
      <c r="AR52" s="183">
        <f t="shared" si="119"/>
        <v>3.2627086680296805E-2</v>
      </c>
      <c r="AS52" s="183">
        <f t="shared" si="120"/>
        <v>3.2341440660804306E-2</v>
      </c>
      <c r="AT52" s="183">
        <f t="shared" si="121"/>
        <v>3.1702123726626008E-2</v>
      </c>
      <c r="AU52" s="186">
        <f>_xlfn.FORECAST.LINEAR(Sheet3!DF52,Sheet2!$AH$2:$AH$40,Sheet2!$AG$2:$AG$40)</f>
        <v>4.0902410270024961E-2</v>
      </c>
      <c r="AV52" s="183">
        <f>_xlfn.FORECAST.LINEAR(Sheet3!BZ52,Sheet2!$AH$2:$AH$40,Sheet2!$AG$2:$AG$40)</f>
        <v>4.0601270277545322E-2</v>
      </c>
      <c r="AW52" s="183">
        <f>_xlfn.FORECAST.LINEAR(Sheet3!CA52,Sheet2!$AH$2:$AH$40,Sheet2!$AG$2:$AG$40)</f>
        <v>3.9098586368228085E-2</v>
      </c>
      <c r="AX52" s="183">
        <f>_xlfn.FORECAST.LINEAR(Sheet3!CB52,Sheet2!$AH$2:$AH$40,Sheet2!$AG$2:$AG$40)</f>
        <v>3.7596744293470249E-2</v>
      </c>
      <c r="AY52" s="183">
        <f>_xlfn.FORECAST.LINEAR(Sheet3!CC52,Sheet2!$AH$2:$AH$40,Sheet2!$AG$2:$AG$40)</f>
        <v>3.596249008894372E-2</v>
      </c>
      <c r="AZ52" s="183">
        <f>_xlfn.FORECAST.LINEAR(Sheet3!CD52,Sheet2!$AH$2:$AH$40,Sheet2!$AG$2:$AG$40)</f>
        <v>3.4768866394683684E-2</v>
      </c>
      <c r="BA52" s="183">
        <f>_xlfn.FORECAST.LINEAR(Sheet3!CE52,Sheet2!$AH$2:$AH$40,Sheet2!$AG$2:$AG$40)</f>
        <v>3.3272602440565971E-2</v>
      </c>
      <c r="BB52" s="183">
        <f>_xlfn.FORECAST.LINEAR(Sheet3!CF52,Sheet2!$AH$2:$AH$40,Sheet2!$AG$2:$AG$40)</f>
        <v>3.2642551094998584E-2</v>
      </c>
      <c r="BC52" s="183">
        <f>_xlfn.FORECAST.LINEAR(Sheet3!CG52,Sheet2!$AH$2:$AH$40,Sheet2!$AG$2:$AG$40)</f>
        <v>3.1233273926911286E-2</v>
      </c>
      <c r="BD52" s="186">
        <f>_xlfn.FORECAST.LINEAR(Sheet3!DF52,Sheet2!$AB$12:$AB$37,Sheet2!$AA$12:$AA$37)/1000</f>
        <v>3.3915606923988664E-2</v>
      </c>
      <c r="BE52" s="183">
        <f>_xlfn.FORECAST.LINEAR(Sheet3!BZ52,Sheet2!$AB$12:$AB$37,Sheet2!$AA$12:$AA$37)/1000</f>
        <v>3.3848278992015951E-2</v>
      </c>
      <c r="BF52" s="183">
        <f>_xlfn.FORECAST.LINEAR(Sheet3!CA52,Sheet2!$AB$12:$AB$37,Sheet2!$AA$12:$AA$37)/1000</f>
        <v>3.3512313651810136E-2</v>
      </c>
      <c r="BG52" s="183">
        <f>_xlfn.FORECAST.LINEAR(Sheet3!CB52,Sheet2!$AB$12:$AB$37,Sheet2!$AA$12:$AA$37)/1000</f>
        <v>3.317653652632626E-2</v>
      </c>
      <c r="BH52" s="183">
        <f>_xlfn.FORECAST.LINEAR(Sheet3!CC52,Sheet2!$AB$12:$AB$37,Sheet2!$AA$12:$AA$37)/1000</f>
        <v>3.2811155113507379E-2</v>
      </c>
      <c r="BI52" s="183">
        <f>_xlfn.FORECAST.LINEAR(Sheet3!CD52,Sheet2!$AB$12:$AB$37,Sheet2!$AA$12:$AA$37)/1000</f>
        <v>3.2544288483716953E-2</v>
      </c>
      <c r="BJ52" s="183">
        <f>_xlfn.FORECAST.LINEAR(Sheet3!CE52,Sheet2!$AB$12:$AB$37,Sheet2!$AA$12:$AA$37)/1000</f>
        <v>3.2209758496894066E-2</v>
      </c>
      <c r="BK52" s="183">
        <f>_xlfn.FORECAST.LINEAR(Sheet3!CF52,Sheet2!$AB$12:$AB$37,Sheet2!$AA$12:$AA$37)/1000</f>
        <v>3.206889359952729E-2</v>
      </c>
      <c r="BL52" s="183">
        <f>_xlfn.FORECAST.LINEAR(Sheet3!CG52,Sheet2!$AB$12:$AB$37,Sheet2!$AA$12:$AA$37)/1000</f>
        <v>3.1753811844618597E-2</v>
      </c>
      <c r="BM52" s="186">
        <f t="shared" si="122"/>
        <v>0.75324930383870381</v>
      </c>
      <c r="BN52" s="183">
        <f t="shared" si="123"/>
        <v>0.75539248184954733</v>
      </c>
      <c r="BO52" s="183">
        <f t="shared" si="124"/>
        <v>0.76642604105298329</v>
      </c>
      <c r="BP52" s="183">
        <f t="shared" si="125"/>
        <v>0.77761304942932385</v>
      </c>
      <c r="BQ52" s="183">
        <f t="shared" si="126"/>
        <v>0.79027798005911631</v>
      </c>
      <c r="BR52" s="183">
        <f t="shared" si="127"/>
        <v>0.79970473954043908</v>
      </c>
      <c r="BS52" s="183">
        <f t="shared" si="128"/>
        <v>0.81207191103110676</v>
      </c>
      <c r="BT52" s="183">
        <f t="shared" si="129"/>
        <v>0.81730271131151278</v>
      </c>
      <c r="BU52" s="183">
        <f t="shared" si="130"/>
        <v>0.82957775775119047</v>
      </c>
      <c r="BV52" s="186">
        <f t="shared" si="222"/>
        <v>1.2002051117926844</v>
      </c>
      <c r="BW52" s="183">
        <f t="shared" si="223"/>
        <v>1.1998897109716433</v>
      </c>
      <c r="BX52" s="183">
        <f t="shared" si="224"/>
        <v>1.1965856664879357</v>
      </c>
      <c r="BY52" s="183">
        <f t="shared" si="225"/>
        <v>1.1950960514612312</v>
      </c>
      <c r="BZ52" s="183">
        <f t="shared" si="226"/>
        <v>1.1922402664350573</v>
      </c>
      <c r="CA52" s="183">
        <f t="shared" si="227"/>
        <v>1.1910754037719007</v>
      </c>
      <c r="CB52" s="183">
        <f t="shared" si="228"/>
        <v>1.1872189777405413</v>
      </c>
      <c r="CC52" s="183">
        <f t="shared" si="229"/>
        <v>1.1865428757306313</v>
      </c>
      <c r="CD52" s="183">
        <f t="shared" si="230"/>
        <v>1.1816509477711128</v>
      </c>
      <c r="CE52" s="187">
        <f xml:space="preserve"> -0.0000000019505*Sheet3!DF52^3 + 0.0000015497*Sheet3!DF52^2  + 0.00016911*Sheet3!DF52 + 1.8585</f>
        <v>1.9096570494375</v>
      </c>
      <c r="CF52" s="185">
        <f xml:space="preserve"> -0.0000000019505*Sheet3!BZ52^3 + 0.0000015497*Sheet3!BZ52^2  + 0.00016911*Sheet3!BZ52 + 1.8585</f>
        <v>1.9090709178635317</v>
      </c>
      <c r="CG52" s="185">
        <f xml:space="preserve"> -0.0000000019505*Sheet3!CA52^3 + 0.0000015497*Sheet3!CA52^2  + 0.00016911*Sheet3!CA52 + 1.8585</f>
        <v>1.9061762363373342</v>
      </c>
      <c r="CH52" s="185">
        <f xml:space="preserve"> -0.0000000019505*Sheet3!CB52^3 + 0.0000015497*Sheet3!CB52^2  + 0.00016911*Sheet3!CB52 + 1.8585</f>
        <v>1.9033350665632909</v>
      </c>
      <c r="CI52" s="185">
        <f xml:space="preserve"> -0.0000000019505*Sheet3!CC52^3 + 0.0000015497*Sheet3!CC52^2  + 0.00016911*Sheet3!CC52 + 1.8585</f>
        <v>1.900305163525942</v>
      </c>
      <c r="CJ52" s="185">
        <f xml:space="preserve"> -0.0000000019505*Sheet3!CD52^3 + 0.0000015497*Sheet3!CD52^2  + 0.00016911*Sheet3!CD52 + 1.8585</f>
        <v>1.8981346015159386</v>
      </c>
      <c r="CK52" s="185">
        <f xml:space="preserve"> -0.0000000019505*Sheet3!CE52^3 + 0.0000015497*Sheet3!CE52^2  + 0.00016911*Sheet3!CE52 + 1.8585</f>
        <v>1.8954663395964098</v>
      </c>
      <c r="CL52" s="185">
        <f xml:space="preserve"> -0.0000000019505*Sheet3!CF52^3 + 0.0000015497*Sheet3!CF52^2  + 0.00016911*Sheet3!CF52 + 1.8585</f>
        <v>1.894360830225194</v>
      </c>
      <c r="CM52" s="185">
        <f xml:space="preserve"> -0.0000000019505*Sheet3!CG52^3 + 0.0000015497*Sheet3!CG52^2  + 0.00016911*Sheet3!CG52 + 1.8585</f>
        <v>1.8919279951415016</v>
      </c>
      <c r="CN52" s="186">
        <f>_xlfn.FORECAST.LINEAR(Sheet3!DF52,New!$LU$2:$LU$14,New!$LT$2:$LT$14)</f>
        <v>1.023844178140866</v>
      </c>
      <c r="CO52" s="183">
        <f>_xlfn.FORECAST.LINEAR(Sheet3!BZ52,New!$LU$2:$LU$14,New!$LT$2:$LT$14)</f>
        <v>1.0236225351556614</v>
      </c>
      <c r="CP52" s="183">
        <f>_xlfn.FORECAST.LINEAR(Sheet3!CA52,New!$LU$2:$LU$14,New!$LT$2:$LT$14)</f>
        <v>1.0225165400842746</v>
      </c>
      <c r="CQ52" s="183">
        <f>_xlfn.FORECAST.LINEAR(Sheet3!CB52,New!$LU$2:$LU$14,New!$LT$2:$LT$14)</f>
        <v>1.0214111646141679</v>
      </c>
      <c r="CR52" s="183">
        <f>_xlfn.FORECAST.LINEAR(Sheet3!CC52,New!$LU$2:$LU$14,New!$LT$2:$LT$14)</f>
        <v>1.0202083320793998</v>
      </c>
      <c r="CS52" s="183">
        <f>_xlfn.FORECAST.LINEAR(Sheet3!CD52,New!$LU$2:$LU$14,New!$LT$2:$LT$14)</f>
        <v>1.0193298093809424</v>
      </c>
      <c r="CT52" s="183">
        <f>_xlfn.FORECAST.LINEAR(Sheet3!CE52,New!$LU$2:$LU$14,New!$LT$2:$LT$14)</f>
        <v>1.0182285394808077</v>
      </c>
      <c r="CU52" s="183">
        <f>_xlfn.FORECAST.LINEAR(Sheet3!CF52,New!$LU$2:$LU$14,New!$LT$2:$LT$14)</f>
        <v>1.0177648134246509</v>
      </c>
      <c r="CV52" s="183">
        <f>_xlfn.FORECAST.LINEAR(Sheet3!CG52,New!$LU$2:$LU$14,New!$LT$2:$LT$14)</f>
        <v>1.0167275669402385</v>
      </c>
      <c r="CW52" s="186">
        <f>EXP((17.625*Sheet3!BA52)/(243.04+Sheet3!BA52)) / EXP((17.625*Sheet3!DF52)/(243.04+Sheet3!DF52))</f>
        <v>5.5583140257976074E-2</v>
      </c>
      <c r="CX52" s="183">
        <f>EXP((17.625*(Sheet3!BC52+273))/(243.04+(Sheet3!BC52+273)))/EXP((17.625*(Sheet3!BZ52+273))/(243.04+(Sheet3!BZ52+273)))</f>
        <v>0.41188273027463951</v>
      </c>
      <c r="CY52" s="183">
        <f>EXP((17.625*(Sheet3!BE52+273))/(243.04+(Sheet3!BE52+273))) / EXP((17.625*(Sheet3!CA52+273))/(243.04+(Sheet3!CA52+273)))</f>
        <v>0.43654886934270104</v>
      </c>
      <c r="CZ52" s="183">
        <f>EXP((17.625*(Sheet3!BG52+273))/(243.04+(Sheet3!BG52+273))) / EXP((17.625*(Sheet3!CB52+273))/(243.04+(Sheet3!CB52+273)))</f>
        <v>0.46264257153584004</v>
      </c>
      <c r="DA52" s="183">
        <f>EXP((17.625*(Sheet3!BI52+273))/(243.04+(Sheet3!BI52+273))) / EXP((17.625*(Sheet3!CC52+273))/(243.04+(Sheet3!CC52+273)))</f>
        <v>0.49358269201404653</v>
      </c>
      <c r="DB52" s="183">
        <f>EXP((17.625*(Sheet3!BK52+273))/(243.04+(Sheet3!BK52+273)))/EXP((17.625*(Sheet3!CD52+273))/(243.04+(Sheet3!CD52+273)))</f>
        <v>0.51847130406795106</v>
      </c>
      <c r="DC52" s="183">
        <f>EXP((17.625*(Sheet3!BM52+273))/(243.04+(Sheet3!BM52+273))) / EXP((17.625*(Sheet3!CE52+273))/(243.04+(Sheet3!CE52+273)))</f>
        <v>0.55044126978631869</v>
      </c>
      <c r="DD52" s="183">
        <f>EXP((17.625*(Sheet3!BO52+273))/(243.04+(Sheet3!BO52+273))) / EXP((17.625*(Sheet3!CF52+273))/(243.04+(Sheet3!CF52+273)))</f>
        <v>0.56532072601382155</v>
      </c>
      <c r="DE52" s="183">
        <f>EXP((17.625*(Sheet3!BQ52+273))/(243.04+(Sheet3!BQ52+273))) / EXP((17.625*(Sheet3!CG52+273))/(243.04+(Sheet3!CG52+273)))</f>
        <v>0.59807065563032502</v>
      </c>
      <c r="DF52" s="186">
        <f>((Sheet3!DA52-Sheet3!DB52)/New!$LQ$3)/(((Sheet3!DA52-Sheet3!DB52)/New!$LQ$3)+(Sheet3!DB52/New!$LP$3))</f>
        <v>0.71448129521308479</v>
      </c>
      <c r="DG52" s="183">
        <f>((Sheet3!DA52-Sheet3!DB52)/New!$LQ$3)/(((Sheet3!DA52-Sheet3!DB52)/New!$LQ$3)+((Sheet3!DB52-(Sheet3!B52*0.004))/New!$LP$3))</f>
        <v>0.71457403350968574</v>
      </c>
      <c r="DH52" s="183" cm="1">
        <f t="array" ref="DH52">((Sheet3!DA52-Sheet3!DB52)/New!$LQ$3)/(((Sheet3!DA52-Sheet3!DB52)/New!$LQ$3)+((Sheet3!DB52-(SUM(Sheet3!B52:C52*0.004)))/New!$LP$3))</f>
        <v>0.72273547508305547</v>
      </c>
      <c r="DI52" s="183" cm="1">
        <f t="array" ref="DI52">((Sheet3!DA52-Sheet3!DB52)/New!$LQ$3)/(((Sheet3!DA52-Sheet3!DB52)/New!$LQ$3)+((Sheet3!DB52-(SUM(Sheet3!B52:D52*0.004)))/New!$LP$3))</f>
        <v>0.72292528714393656</v>
      </c>
      <c r="DJ52" s="183" cm="1">
        <f t="array" ref="DJ52">((Sheet3!DA52-Sheet3!DB52)/New!$LQ$3)/(((Sheet3!DA52-Sheet3!DB52)/New!$LQ$3)+((Sheet3!DB52-(SUM(Sheet3!B52:E52*0.004)))/New!$LP$3))</f>
        <v>0.72878213002735459</v>
      </c>
      <c r="DK52" s="183" cm="1">
        <f t="array" ref="DK52">((Sheet3!DA52-Sheet3!DB52)/New!$LQ$3)/(((Sheet3!DA52-Sheet3!DB52)/New!$LQ$3)+((Sheet3!DB52-(SUM(Sheet3!B52:F52*0.004)))/New!$LP$3))</f>
        <v>0.72893652331997483</v>
      </c>
      <c r="DL52" s="183" cm="1">
        <f t="array" ref="DL52">((Sheet3!DA52-Sheet3!DB52)/New!$LQ$3)/(((Sheet3!DA52-Sheet3!DB52)/New!$LQ$3)+((Sheet3!DB52-(SUM(Sheet3!B52:G52*0.004)))/New!$LP$3))</f>
        <v>0.740307050646688</v>
      </c>
      <c r="DM52" s="183" cm="1">
        <f t="array" ref="DM52">((Sheet3!DA52-Sheet3!DB52)/New!$LQ$3)/(((Sheet3!DA52-Sheet3!DB52)/New!$LQ$3)+((Sheet3!DB52-(SUM(Sheet3!B52:H52*0.004)))/New!$LP$3))</f>
        <v>0.74072540031956147</v>
      </c>
      <c r="DN52" s="183" cm="1">
        <f t="array" ref="DN52">((Sheet3!DA52-Sheet3!DB52)/New!$LQ$3)/(((Sheet3!DA52-Sheet3!DB52)/New!$LQ$3)+((Sheet3!DB52-(SUM(Sheet3!B52:I52*0.004)))/New!$LP$3))</f>
        <v>0.75802302636730701</v>
      </c>
      <c r="DO52" s="186">
        <f>(Sheet3!DB52/$LP$3) / ((Sheet3!DB52/$LP$3) + ((Sheet3!DA52-Sheet3!DB52)/$LQ$3))</f>
        <v>0.28551870478691521</v>
      </c>
      <c r="DP52" s="183">
        <f>((Sheet3!$DB52-(Sheet3!B52/4000)) / $LP$3) / (((Sheet3!$DA52-Sheet3!DB52) / $LQ$3) + (Sheet3!$DB52-((Sheet3!B52/4000)))/$LP$3)</f>
        <v>0.28551290934859963</v>
      </c>
      <c r="DQ52" s="183">
        <f>((Sheet3!$DB52-(SUM(Sheet3!B52:C52)/4000))/$LP$3)/(((Sheet3!$DA52-Sheet3!$DB52)/$LQ$3)+(Sheet3!$DB52-(SUM(Sheet3!B52:C52)/4000))/$LP$3)</f>
        <v>0.28500834605949887</v>
      </c>
      <c r="DR52" s="183">
        <f>((Sheet3!$DB52-(SUM(Sheet3!B52:D52)/4000))/$LP$3)/(((Sheet3!$DA52-Sheet3!$DB52)/$LQ$3)+(Sheet3!$DB52-(SUM(Sheet3!B52:D52)/4000))/$LP$3)</f>
        <v>0.28499673852378565</v>
      </c>
      <c r="DS52" s="183">
        <f>((Sheet3!$DB52-(SUM(Sheet3!B52:E52)/4000))/$LP$3)/(((Sheet3!$DA52-Sheet3!$DB52)/$LQ$3)+(Sheet3!$DB52-(SUM(Sheet3!B52:E52)/4000))/$LP$3)</f>
        <v>0.28464136562394154</v>
      </c>
      <c r="DT52" s="183">
        <f>((Sheet3!$DB52-(SUM(Sheet3!B52:F52)/4000))/$LP$3)/(((Sheet3!$DA52-Sheet3!$DB52)/$LQ$3)+(Sheet3!$DB52-(SUM(Sheet3!B52:F52)/4000))/$LP$3)</f>
        <v>0.28463207009065111</v>
      </c>
      <c r="DU52" s="183">
        <f>((Sheet3!$DB52-(SUM(Sheet3!B52:G52)/4000))/$LP$3)/(((Sheet3!$DA52-Sheet3!$DB52)/$LQ$3)+(Sheet3!$DB52-(SUM(Sheet3!B52:G52)/4000))/$LP$3)</f>
        <v>0.28395749966960576</v>
      </c>
      <c r="DV52" s="183">
        <f>((Sheet3!$DB52-(SUM(Sheet3!B52:H52)/4000))/$LP$3)/(((Sheet3!$DA52-Sheet3!$DB52)/$LQ$3)+(Sheet3!$DB52-(SUM(Sheet3!B52:H52)/4000))/$LP$3)</f>
        <v>0.28393305170225891</v>
      </c>
      <c r="DW52" s="183">
        <f>((Sheet3!$DB52-(SUM(Sheet3!B52:I52)/4000))/$LP$3)/(((Sheet3!$DA52-Sheet3!$DB52)/$LQ$3)+(Sheet3!$DB52-(SUM(Sheet3!B52:I52)/4000))/$LP$3)</f>
        <v>0.28294442273330739</v>
      </c>
      <c r="DX52" s="186">
        <f>($LR$2*($LP$3/1000))/($LP$2*(Sheet3!DF52+273))*DO52</f>
        <v>0.14996818718960619</v>
      </c>
      <c r="DY52" s="183">
        <f>(($LR$2*($LP$3/1000))/($LP$2*(Sheet3!BZ52+273)))*(DP52)</f>
        <v>0.15039146131268968</v>
      </c>
      <c r="DZ52" s="183">
        <f>(($LR$2*($LP$3/1000))/($LP$2*(Sheet3!CA52+273)))*(DQ52)</f>
        <v>0.15228592938483151</v>
      </c>
      <c r="EA52" s="183">
        <f>(($LR$2*($LP$3/1000))/($LP$2*(Sheet3!CB52+273)))*(DR52)</f>
        <v>0.15450169297415856</v>
      </c>
      <c r="EB52" s="183">
        <f>(($LR$2*($LP$3/1000))/($LP$2*(Sheet3!CC52+273)))*(DS52)</f>
        <v>0.15679865851053587</v>
      </c>
      <c r="EC52" s="183">
        <f>(($LR$2*($LP$3/1000))/($LP$2*(Sheet3!CD52+273)))*(DT52)</f>
        <v>0.15866321089505903</v>
      </c>
      <c r="ED52" s="183">
        <f>(($LR$2*($LP$3/1000))/($LP$2*(Sheet3!CE52+273)))*(DU52)</f>
        <v>0.16068913788956171</v>
      </c>
      <c r="EE52" s="183">
        <f>(($LR$2*($LP$3/1000))/($LP$2*(Sheet3!CF52+273)))*(DV52)</f>
        <v>0.16170858734345006</v>
      </c>
      <c r="EF52" s="183">
        <f>(($LR$2*($LP$3/1000))/($LP$2*(Sheet3!CG52+273)))*(DW52)</f>
        <v>0.16349734095230042</v>
      </c>
      <c r="EG52" s="186">
        <f>(($LR$2*($LQ$3/1000))/($LQ$2*(Sheet3!DF52+273)))*(1-DO52)</f>
        <v>0.60328111664909767</v>
      </c>
      <c r="EH52" s="183">
        <f>(($LR$2*($LQ$3/1000))/($LQ$2*(Sheet3!BZ52+273)))*(1-DP52)</f>
        <v>0.60500102053685767</v>
      </c>
      <c r="EI52" s="183">
        <f>(($LR$2*($LQ$3/1000))/($LQ$2*(Sheet3!CA52+273)))*(1-DQ52)</f>
        <v>0.61414011166815174</v>
      </c>
      <c r="EJ52" s="183">
        <f>(($LR$2*($LQ$3/1000))/($LQ$2*(Sheet3!CB52+273)))*(1-DR52)</f>
        <v>0.62311135645516524</v>
      </c>
      <c r="EK52" s="183">
        <f>(($LR$2*($LQ$3/1000))/($LQ$2*(Sheet3!CC52+273)))*(1-DS52)</f>
        <v>0.63347932154858044</v>
      </c>
      <c r="EL52" s="183">
        <f>(($LR$2*($LQ$3/1000))/($LQ$2*(Sheet3!CD52+273)))*(1-DT52)</f>
        <v>0.64104152864538011</v>
      </c>
      <c r="EM52" s="183">
        <f>(($LR$2*($LQ$3/1000))/($LQ$2*(Sheet3!CE52+273)))*(1-DU52)</f>
        <v>0.65138277314154502</v>
      </c>
      <c r="EN52" s="183">
        <f>(($LR$2*($LQ$3/1000))/($LQ$2*(Sheet3!CF52+273)))*(1-DV52)</f>
        <v>0.65559412396806271</v>
      </c>
      <c r="EO52" s="183">
        <f>(($LR$2*($LQ$3/1000))/($LQ$2*(Sheet3!CG52+273)))*(1-DW52)</f>
        <v>0.66608041679889007</v>
      </c>
      <c r="EP52" s="186">
        <f t="shared" si="132"/>
        <v>4857.0183678701687</v>
      </c>
      <c r="EQ52" s="183">
        <f xml:space="preserve"> (($FV52-(Sheet3!B52/4000))*0.018)/(0.011*JO52*3600)</f>
        <v>4868.263228139208</v>
      </c>
      <c r="ER52" s="183">
        <f>((($FV52-(SUM(Sheet3!B52:C52)/4000))*0.018)/(0.011*JP52*3600))</f>
        <v>4921.8111537200875</v>
      </c>
      <c r="ES52" s="183">
        <f>((($FV52-(SUM(Sheet3!B52:D52)/4000))*0.018)/(0.011*JQ52*3600))</f>
        <v>4980.1468476657674</v>
      </c>
      <c r="ET52" s="183">
        <f>((($FV52-(SUM(Sheet3!B52:E52)/4000))*0.018)/(0.011*JR52))/3600</f>
        <v>5042.7511275701272</v>
      </c>
      <c r="EU52" s="183">
        <f>((($FV52-(SUM(Sheet3!B52:F52)/4000))*0.018)/(0.011*JS52))/3600</f>
        <v>5091.3824759431454</v>
      </c>
      <c r="EV52" s="183">
        <f>((($FV52-(SUM(Sheet3!B52:G52)/4000))*0.018)/(0.011*JT52))/3600</f>
        <v>5148.7503838576895</v>
      </c>
      <c r="EW52" s="183">
        <f>((($FV52-(SUM(Sheet3!B52:H52)/4000))*0.018)/(0.011*JU52))/3600</f>
        <v>5175.2880962111658</v>
      </c>
      <c r="EX52" s="183">
        <f>((($FV52-(SUM(Sheet3!B52:I52)/4000))*0.018)/(0.011*JV52))/3600</f>
        <v>5228.5472219028934</v>
      </c>
      <c r="EY52" s="186">
        <f t="shared" si="133"/>
        <v>49.579447491793452</v>
      </c>
      <c r="EZ52" s="183">
        <f t="shared" si="134"/>
        <v>49.672997712772471</v>
      </c>
      <c r="FA52" s="183">
        <f t="shared" si="135"/>
        <v>50.105488519905983</v>
      </c>
      <c r="FB52" s="183">
        <f t="shared" si="136"/>
        <v>50.594813164612731</v>
      </c>
      <c r="FC52" s="183">
        <f t="shared" si="137"/>
        <v>51.112270064559873</v>
      </c>
      <c r="FD52" s="183">
        <f t="shared" si="138"/>
        <v>51.524312682446677</v>
      </c>
      <c r="FE52" s="183">
        <f t="shared" si="139"/>
        <v>51.992097969033075</v>
      </c>
      <c r="FF52" s="183">
        <f t="shared" si="140"/>
        <v>52.218236933751932</v>
      </c>
      <c r="FG52" s="183">
        <f t="shared" si="141"/>
        <v>52.643907455674487</v>
      </c>
      <c r="FH52" s="186">
        <f t="shared" si="185"/>
        <v>99.383688625957603</v>
      </c>
      <c r="FI52" s="183">
        <f t="shared" si="186"/>
        <v>99.196488418900302</v>
      </c>
      <c r="FJ52" s="183">
        <f t="shared" si="187"/>
        <v>98.164613968821556</v>
      </c>
      <c r="FK52" s="183">
        <f t="shared" si="188"/>
        <v>97.217288957481358</v>
      </c>
      <c r="FL52" s="183">
        <f t="shared" si="189"/>
        <v>96.109601436242627</v>
      </c>
      <c r="FM52" s="183">
        <f t="shared" si="190"/>
        <v>95.337833198670864</v>
      </c>
      <c r="FN52" s="183">
        <f t="shared" si="191"/>
        <v>94.241704840340319</v>
      </c>
      <c r="FO52" s="183">
        <f t="shared" si="192"/>
        <v>93.822945066930998</v>
      </c>
      <c r="FP52" s="183">
        <f t="shared" si="193"/>
        <v>92.717981534046785</v>
      </c>
      <c r="FQ52" s="314">
        <f>Sheet3!CV52</f>
        <v>1</v>
      </c>
      <c r="FR52" s="183">
        <v>5000</v>
      </c>
      <c r="FS52" s="183">
        <v>20</v>
      </c>
      <c r="FT52" s="183">
        <v>0.14591208791208793</v>
      </c>
      <c r="FU52" s="183">
        <v>19.8</v>
      </c>
      <c r="FV52" s="183">
        <v>221</v>
      </c>
      <c r="FW52" s="183">
        <v>44</v>
      </c>
      <c r="FX52" s="183">
        <v>225</v>
      </c>
      <c r="FY52" s="183">
        <v>8</v>
      </c>
      <c r="FZ52" s="183">
        <v>32.700000000000003</v>
      </c>
      <c r="GA52" s="183">
        <v>145</v>
      </c>
      <c r="GB52" s="186">
        <f>EXP($LP$6-($LQ$6/('Trial and Error method'!T52+$LP$8))) / ($LR$2/1000)</f>
        <v>0.16767206625439124</v>
      </c>
      <c r="GC52" s="183">
        <f>EXP($LP$6-($LQ$6/('Trial and Error method'!U52+$LP$8))) / ($LR$2/1000)</f>
        <v>0.18947941135976301</v>
      </c>
      <c r="GD52" s="183">
        <f>EXP($LP$6-($LQ$6/('Trial and Error method'!V52+$LP$8))) / ($LR$2/1000)</f>
        <v>0.30203924908396718</v>
      </c>
      <c r="GE52" s="183">
        <f>EXP($LP$6-($LQ$6/('Trial and Error method'!W52+$LP$8))) / ($LR$2/1000)</f>
        <v>0.29718144713549732</v>
      </c>
      <c r="GF52" s="183">
        <f>EXP($LP$6-($LQ$6/('Trial and Error method'!X52+$LP$8))) / ($LR$2/1000)</f>
        <v>0.29021450000937349</v>
      </c>
      <c r="GG52" s="183">
        <f>EXP($LP$6-($LQ$6/('Trial and Error method'!Y52+$LP$8))) / ($LR$2/1000)</f>
        <v>0.28773307772555307</v>
      </c>
      <c r="GH52" s="183">
        <f>EXP($LP$6-($LQ$6/('Trial and Error method'!Z52+$LP$8))) / ($LR$2/1000)</f>
        <v>0.27944200256683377</v>
      </c>
      <c r="GI52" s="183">
        <f>EXP($LP$6-($LQ$6/('Trial and Error method'!AA52+$LP$8))) / ($LR$2/1000)</f>
        <v>0.27840631538635763</v>
      </c>
      <c r="GJ52" s="183">
        <f>EXP($LP$6-($LQ$6/('Trial and Error method'!AB52+$LP$8))) / ($LR$2/1000)</f>
        <v>0.26737082246124699</v>
      </c>
      <c r="GK52" s="188">
        <f t="shared" si="142"/>
        <v>0.77190589571115575</v>
      </c>
      <c r="GL52" s="165">
        <f t="shared" si="143"/>
        <v>0.76149486051468873</v>
      </c>
      <c r="GM52" s="165">
        <f t="shared" si="144"/>
        <v>0.70644198767634803</v>
      </c>
      <c r="GN52" s="165">
        <f t="shared" si="145"/>
        <v>0.70889345433688589</v>
      </c>
      <c r="GO52" s="165">
        <f t="shared" si="146"/>
        <v>0.71256843480763787</v>
      </c>
      <c r="GP52" s="165">
        <f t="shared" si="147"/>
        <v>0.71381630345884239</v>
      </c>
      <c r="GQ52" s="165">
        <f t="shared" si="148"/>
        <v>0.71829788337054012</v>
      </c>
      <c r="GR52" s="165">
        <f t="shared" si="149"/>
        <v>0.71882677540968098</v>
      </c>
      <c r="GS52" s="165">
        <f t="shared" si="150"/>
        <v>0.72481449266328069</v>
      </c>
      <c r="GT52" s="188">
        <f t="shared" si="194"/>
        <v>7.1385483808492814E-2</v>
      </c>
      <c r="GU52" s="165">
        <f t="shared" si="195"/>
        <v>7.2357136058499097E-2</v>
      </c>
      <c r="GV52" s="165">
        <f t="shared" si="196"/>
        <v>7.7983941942150123E-2</v>
      </c>
      <c r="GW52" s="165">
        <f t="shared" si="197"/>
        <v>7.7727805544577394E-2</v>
      </c>
      <c r="GX52" s="165">
        <f t="shared" si="198"/>
        <v>7.7333369374404257E-2</v>
      </c>
      <c r="GY52" s="165">
        <f t="shared" si="199"/>
        <v>7.7217420187624217E-2</v>
      </c>
      <c r="GZ52" s="165">
        <f t="shared" si="200"/>
        <v>7.6737236652744706E-2</v>
      </c>
      <c r="HA52" s="165">
        <f t="shared" si="201"/>
        <v>7.6694011105989474E-2</v>
      </c>
      <c r="HB52" s="165">
        <f t="shared" si="202"/>
        <v>7.6047787643592102E-2</v>
      </c>
      <c r="HC52" s="188">
        <f>BV52*Sheet3!DF52</f>
        <v>174.02974120993923</v>
      </c>
      <c r="HD52" s="165">
        <f>BW52*Sheet3!BZ52</f>
        <v>172.56224160950762</v>
      </c>
      <c r="HE52" s="165">
        <f>BX52*Sheet3!CA52</f>
        <v>165.01201323296073</v>
      </c>
      <c r="HF52" s="165">
        <f>BY52*Sheet3!CB52</f>
        <v>157.74430114869449</v>
      </c>
      <c r="HG52" s="165">
        <f>BZ52*Sheet3!CC52</f>
        <v>149.70077345791756</v>
      </c>
      <c r="HH52" s="165">
        <f>CA52*Sheet3!CD52</f>
        <v>143.96047509112722</v>
      </c>
      <c r="HI52" s="165">
        <f>CB52*Sheet3!CE52</f>
        <v>136.50468030590159</v>
      </c>
      <c r="HJ52" s="165">
        <f>CC52*Sheet3!CF52</f>
        <v>133.48538191197417</v>
      </c>
      <c r="HK52" s="165">
        <f>CD52*Sheet3!CG52</f>
        <v>126.38258660984374</v>
      </c>
      <c r="HL52" s="188">
        <f>(CE52*Sheet3!DF52)+2501</f>
        <v>2777.9002721684374</v>
      </c>
      <c r="HM52" s="165">
        <f>(CF52*Sheet3!BZ52)+2501</f>
        <v>2775.5531976528773</v>
      </c>
      <c r="HN52" s="165">
        <f>(CG52*Sheet3!CA52)+2501</f>
        <v>2763.8662427973541</v>
      </c>
      <c r="HO52" s="165">
        <f>(CH52*Sheet3!CB52)+2501</f>
        <v>2752.2268863743043</v>
      </c>
      <c r="HP52" s="165">
        <f>(CI52*Sheet3!CC52)+2501</f>
        <v>2739.6072344599879</v>
      </c>
      <c r="HQ52" s="165">
        <f>(CJ52*Sheet3!CD52)+2501</f>
        <v>2730.4198655734081</v>
      </c>
      <c r="HR52" s="165">
        <f>(CK52*Sheet3!CE52)+2501</f>
        <v>2718.9379133659295</v>
      </c>
      <c r="HS52" s="165">
        <f>(CL52*Sheet3!CF52)+2501</f>
        <v>2714.1144892223019</v>
      </c>
      <c r="HT52" s="165">
        <f>(CM52*Sheet3!CG52)+2501</f>
        <v>2703.3497329364254</v>
      </c>
      <c r="HU52" s="188">
        <f>-0.0021*(Sheet3!DF52^2) - 2.2115*(Sheet3!DF52) + 2499</f>
        <v>2134.1799999999998</v>
      </c>
      <c r="HV52" s="165">
        <f>-0.0021*(Sheet3!BZ52^2) - 2.2115*(Sheet3!BZ52) + 2499</f>
        <v>2137.5191023475527</v>
      </c>
      <c r="HW52" s="165">
        <f>-0.0021*(Sheet3!CA52^2) - 2.2115*(Sheet3!CA52) + 2499</f>
        <v>2154.0930426209884</v>
      </c>
      <c r="HX52" s="165">
        <f>-0.0021*(Sheet3!CB52^2) - 2.2115*(Sheet3!CB52) + 2499</f>
        <v>2170.5109889041</v>
      </c>
      <c r="HY52" s="165">
        <f>-0.0021*(Sheet3!CC52^2) - 2.2115*(Sheet3!CC52) + 2499</f>
        <v>2188.2098130781965</v>
      </c>
      <c r="HZ52" s="165">
        <f>-0.0021*(Sheet3!CD52^2) - 2.2115*(Sheet3!CD52) + 2499</f>
        <v>2201.0269040505445</v>
      </c>
      <c r="IA52" s="165">
        <f>-0.0021*(Sheet3!CE52^2) - 2.2115*(Sheet3!CE52) + 2499</f>
        <v>2216.9628784130587</v>
      </c>
      <c r="IB52" s="165">
        <f>-0.0021*(Sheet3!CF52^2) - 2.2115*(Sheet3!CF52) + 2499</f>
        <v>2223.6296894392772</v>
      </c>
      <c r="IC52" s="165">
        <f>-0.0021*(Sheet3!CG52^2) - 2.2115*(Sheet3!CG52) + 2499</f>
        <v>2238.4483413960834</v>
      </c>
      <c r="ID52" s="188">
        <f t="shared" si="203"/>
        <v>0.68796981728082041</v>
      </c>
      <c r="IE52" s="165">
        <f t="shared" si="204"/>
        <v>0.68878864622064806</v>
      </c>
      <c r="IF52" s="165">
        <f t="shared" si="205"/>
        <v>0.69219754893463525</v>
      </c>
      <c r="IG52" s="165">
        <f t="shared" si="206"/>
        <v>0.69662508196152695</v>
      </c>
      <c r="IH52" s="165">
        <f t="shared" si="207"/>
        <v>0.70110031552038665</v>
      </c>
      <c r="II52" s="165">
        <f t="shared" si="208"/>
        <v>0.70497229181715415</v>
      </c>
      <c r="IJ52" s="165">
        <f t="shared" si="209"/>
        <v>0.70885841890987733</v>
      </c>
      <c r="IK52" s="165">
        <f t="shared" si="210"/>
        <v>0.71103014917080665</v>
      </c>
      <c r="IL52" s="165">
        <f t="shared" si="211"/>
        <v>0.71433320120541954</v>
      </c>
      <c r="IM52" s="188">
        <f t="shared" si="212"/>
        <v>17.953873137890561</v>
      </c>
      <c r="IN52" s="165">
        <f t="shared" si="151"/>
        <v>14.852997967976652</v>
      </c>
      <c r="IO52" s="165">
        <f t="shared" si="152"/>
        <v>-2.8609305694212681</v>
      </c>
      <c r="IP52" s="165">
        <f t="shared" si="153"/>
        <v>-2.0556706884662117</v>
      </c>
      <c r="IQ52" s="165">
        <f t="shared" si="154"/>
        <v>-0.94309492806725326</v>
      </c>
      <c r="IR52" s="165">
        <f t="shared" si="155"/>
        <v>-0.52703987504149719</v>
      </c>
      <c r="IS52" s="165">
        <f t="shared" si="156"/>
        <v>0.76819264572151769</v>
      </c>
      <c r="IT52" s="165">
        <f t="shared" si="157"/>
        <v>0.94252452725505098</v>
      </c>
      <c r="IU52" s="165">
        <f t="shared" si="158"/>
        <v>2.6510790877830641</v>
      </c>
      <c r="IV52" s="188">
        <f>_xlfn.FORECAST.LINEAR(Sheet3!DF52,Sheet2!$AK$2:$AK$69,Sheet2!$AJ$2:$AJ$69)</f>
        <v>1.386217343669711E-5</v>
      </c>
      <c r="IW52" s="165">
        <f>_xlfn.FORECAST.LINEAR(Sheet3!BZ52,Sheet2!$AK$2:$AK$69,Sheet2!$AJ$2:$AJ$69)</f>
        <v>1.3820686847786152E-5</v>
      </c>
      <c r="IX52" s="165">
        <f>_xlfn.FORECAST.LINEAR(Sheet3!CA52,Sheet2!$AK$2:$AK$69,Sheet2!$AJ$2:$AJ$69)</f>
        <v>1.3613669410163119E-5</v>
      </c>
      <c r="IY52" s="165">
        <f>_xlfn.FORECAST.LINEAR(Sheet3!CB52,Sheet2!$AK$2:$AK$69,Sheet2!$AJ$2:$AJ$69)</f>
        <v>1.3406767947983962E-5</v>
      </c>
      <c r="IZ52" s="165">
        <f>_xlfn.FORECAST.LINEAR(Sheet3!CC52,Sheet2!$AK$2:$AK$69,Sheet2!$AJ$2:$AJ$69)</f>
        <v>1.3181624712105788E-5</v>
      </c>
      <c r="JA52" s="165">
        <f>_xlfn.FORECAST.LINEAR(Sheet3!CD52,Sheet2!$AK$2:$AK$69,Sheet2!$AJ$2:$AJ$69)</f>
        <v>1.3017184993852515E-5</v>
      </c>
      <c r="JB52" s="165">
        <f>_xlfn.FORECAST.LINEAR(Sheet3!CE52,Sheet2!$AK$2:$AK$69,Sheet2!$AJ$2:$AJ$69)</f>
        <v>1.2811052002164398E-5</v>
      </c>
      <c r="JC52" s="165">
        <f>_xlfn.FORECAST.LINEAR(Sheet3!CF52,Sheet2!$AK$2:$AK$69,Sheet2!$AJ$2:$AJ$69)</f>
        <v>1.272425289935803E-5</v>
      </c>
      <c r="JD52" s="165">
        <f>_xlfn.FORECAST.LINEAR(Sheet3!CG52,Sheet2!$AK$2:$AK$69,Sheet2!$AJ$2:$AJ$69)</f>
        <v>1.2530103653179812E-5</v>
      </c>
      <c r="JE52" s="188">
        <f>_xlfn.FORECAST.LINEAR(Sheet3!DF52,New!$MC$2:$MC$18,New!$MB$2:$MB$18)</f>
        <v>2.337798370672098E-5</v>
      </c>
      <c r="JF52" s="165">
        <f>_xlfn.FORECAST.LINEAR(Sheet3!BZ52,New!$MC$2:$MC$18,New!$MB$2:$MB$18)</f>
        <v>2.3329215220105819E-5</v>
      </c>
      <c r="JG52" s="165">
        <f>_xlfn.FORECAST.LINEAR(Sheet3!CA52,New!$MC$2:$MC$18,New!$MB$2:$MB$18)</f>
        <v>2.3085861225457265E-5</v>
      </c>
      <c r="JH52" s="165">
        <f>_xlfn.FORECAST.LINEAR(Sheet3!CB52,New!$MC$2:$MC$18,New!$MB$2:$MB$18)</f>
        <v>2.2842643562742257E-5</v>
      </c>
      <c r="JI52" s="165">
        <f>_xlfn.FORECAST.LINEAR(Sheet3!CC52,New!$MC$2:$MC$18,New!$MB$2:$MB$18)</f>
        <v>2.2577982254747399E-5</v>
      </c>
      <c r="JJ52" s="165">
        <f>_xlfn.FORECAST.LINEAR(Sheet3!CD52,New!$MC$2:$MC$18,New!$MB$2:$MB$18)</f>
        <v>2.2384679396904645E-5</v>
      </c>
      <c r="JK52" s="165">
        <f>_xlfn.FORECAST.LINEAR(Sheet3!CE52,New!$MC$2:$MC$18,New!$MB$2:$MB$18)</f>
        <v>2.2142365089800211E-5</v>
      </c>
      <c r="JL52" s="165">
        <f>_xlfn.FORECAST.LINEAR(Sheet3!CF52,New!$MC$2:$MC$18,New!$MB$2:$MB$18)</f>
        <v>2.204033064940537E-5</v>
      </c>
      <c r="JM52" s="165">
        <f>_xlfn.FORECAST.LINEAR(Sheet3!CG52,New!$MC$2:$MC$18,New!$MB$2:$MB$18)</f>
        <v>2.1812103524396176E-5</v>
      </c>
      <c r="JN52" s="188">
        <f t="shared" si="159"/>
        <v>2.0682348273390483E-5</v>
      </c>
      <c r="JO52" s="165">
        <f t="shared" si="160"/>
        <v>2.0634458854256263E-5</v>
      </c>
      <c r="JP52" s="165">
        <f t="shared" si="161"/>
        <v>2.0399918306222692E-5</v>
      </c>
      <c r="JQ52" s="165">
        <f t="shared" si="162"/>
        <v>2.0160732637425929E-5</v>
      </c>
      <c r="JR52" s="165">
        <f t="shared" si="163"/>
        <v>1.9903547453470986E-5</v>
      </c>
      <c r="JS52" s="165">
        <f t="shared" si="164"/>
        <v>1.971325622205093E-5</v>
      </c>
      <c r="JT52" s="165">
        <f t="shared" si="165"/>
        <v>1.9480808099822321E-5</v>
      </c>
      <c r="JU52" s="165">
        <f t="shared" si="166"/>
        <v>1.9380453793791912E-5</v>
      </c>
      <c r="JV52" s="165">
        <f t="shared" si="167"/>
        <v>1.9164609963176344E-5</v>
      </c>
      <c r="JW52" s="188">
        <f t="shared" si="231"/>
        <v>1.0152024173422087</v>
      </c>
      <c r="JX52" s="165">
        <f t="shared" si="232"/>
        <v>1.0156968581995907</v>
      </c>
      <c r="JY52" s="165">
        <f t="shared" si="233"/>
        <v>1.0182075396249626</v>
      </c>
      <c r="JZ52" s="165">
        <f t="shared" si="234"/>
        <v>1.0207914893261925</v>
      </c>
      <c r="KA52" s="165">
        <f t="shared" si="235"/>
        <v>1.0236920538625491</v>
      </c>
      <c r="KB52" s="165">
        <f t="shared" si="236"/>
        <v>1.0258716378064003</v>
      </c>
      <c r="KC52" s="165">
        <f t="shared" si="237"/>
        <v>1.0286799501707742</v>
      </c>
      <c r="KD52" s="165">
        <f t="shared" si="238"/>
        <v>1.0298886944822421</v>
      </c>
      <c r="KE52" s="165">
        <f t="shared" si="239"/>
        <v>1.0326507170965393</v>
      </c>
      <c r="KF52" s="188">
        <f t="shared" si="75"/>
        <v>0.9677010468805306</v>
      </c>
      <c r="KG52" s="165">
        <f t="shared" si="240"/>
        <v>0.96729267103738015</v>
      </c>
      <c r="KH52" s="165">
        <f t="shared" si="241"/>
        <v>0.96522757185339692</v>
      </c>
      <c r="KI52" s="165">
        <f t="shared" si="242"/>
        <v>0.96311702725491388</v>
      </c>
      <c r="KJ52" s="165">
        <f t="shared" si="243"/>
        <v>0.96076558657564737</v>
      </c>
      <c r="KK52" s="165">
        <f t="shared" si="244"/>
        <v>0.959010831698762</v>
      </c>
      <c r="KL52" s="165">
        <f t="shared" si="245"/>
        <v>0.95676516143714818</v>
      </c>
      <c r="KM52" s="165">
        <f t="shared" si="246"/>
        <v>0.95580383467600027</v>
      </c>
      <c r="KN52" s="165">
        <f t="shared" si="247"/>
        <v>0.95361891214705252</v>
      </c>
      <c r="KO52" s="188">
        <f t="shared" si="213"/>
        <v>0.62180041822967858</v>
      </c>
      <c r="KP52" s="165">
        <f t="shared" si="214"/>
        <v>0.62108276606338286</v>
      </c>
      <c r="KQ52" s="165">
        <f t="shared" si="215"/>
        <v>0.61713167654713497</v>
      </c>
      <c r="KR52" s="165">
        <f t="shared" si="216"/>
        <v>0.61309482865445175</v>
      </c>
      <c r="KS52" s="165">
        <f t="shared" si="217"/>
        <v>0.6086224149976216</v>
      </c>
      <c r="KT52" s="165">
        <f t="shared" si="218"/>
        <v>0.60528793352536336</v>
      </c>
      <c r="KU52" s="165">
        <f t="shared" si="219"/>
        <v>0.60105665033200628</v>
      </c>
      <c r="KV52" s="165">
        <f t="shared" si="220"/>
        <v>0.59924093175910109</v>
      </c>
      <c r="KW52" s="165">
        <f t="shared" si="221"/>
        <v>0.59524582997708986</v>
      </c>
      <c r="KX52" s="188">
        <f>AVERAGE(Sheet3!J52:P52)*KO52^(1/3)/ID52^(1/3)</f>
        <v>113.76547702943058</v>
      </c>
      <c r="KY52" s="165">
        <f>Sheet3!J52*KP52^(1/3)/IE52^(1/3)</f>
        <v>84.049950433673928</v>
      </c>
      <c r="KZ52" s="165">
        <f>Sheet3!K52*KQ52^(1/3)/IF52^(1/3)</f>
        <v>88.090797146009024</v>
      </c>
      <c r="LA52" s="165">
        <f>Sheet3!L52*KR52^(1/3)/IG52^(1/3)</f>
        <v>95.897212033510115</v>
      </c>
      <c r="LB52" s="165">
        <f>Sheet3!M52*KS52^(1/3)/IH52^(1/3)</f>
        <v>106.14774976254216</v>
      </c>
      <c r="LC52" s="165">
        <f>Sheet3!N52*KT52^(1/3)/II52^(1/3)</f>
        <v>120.40987832963887</v>
      </c>
      <c r="LD52" s="165">
        <f>Sheet3!O52*KU52^(1/3)/IJ52^(1/3)</f>
        <v>135.34233684347495</v>
      </c>
      <c r="LE52" s="165">
        <f>Sheet3!P52*KV52^(1/3)/IK52^(1/3)</f>
        <v>155.01743809139305</v>
      </c>
      <c r="LF52" s="165">
        <f>Sheet3!Q52*KW52^(1/3)/IL52^(1/3)</f>
        <v>181.05470357933709</v>
      </c>
      <c r="LG52" s="186">
        <f t="shared" si="248"/>
        <v>25.834997776107215</v>
      </c>
      <c r="LH52" s="183">
        <f t="shared" si="249"/>
        <v>25.837579072355521</v>
      </c>
      <c r="LI52" s="183">
        <f t="shared" si="250"/>
        <v>26.06484471266716</v>
      </c>
      <c r="LJ52" s="183">
        <f t="shared" si="251"/>
        <v>26.070132560194402</v>
      </c>
      <c r="LK52" s="183">
        <f t="shared" si="252"/>
        <v>26.233344687307497</v>
      </c>
      <c r="LL52" s="183">
        <f t="shared" si="253"/>
        <v>26.23764845802955</v>
      </c>
      <c r="LM52" s="183">
        <f t="shared" si="254"/>
        <v>26.554786543276034</v>
      </c>
      <c r="LN52" s="183">
        <f t="shared" si="255"/>
        <v>26.566461519670696</v>
      </c>
      <c r="LO52" s="183">
        <f t="shared" si="256"/>
        <v>27.049590619137746</v>
      </c>
      <c r="LP52" s="220"/>
      <c r="LQ52" s="220"/>
      <c r="LR52" s="220"/>
      <c r="LS52" s="220"/>
      <c r="LT52" s="220"/>
      <c r="LU52" s="220"/>
      <c r="LV52" s="220"/>
      <c r="LW52" s="220"/>
      <c r="LX52" s="220"/>
      <c r="LY52" s="220"/>
      <c r="LZ52" s="222">
        <v>195.04</v>
      </c>
      <c r="MA52" s="220">
        <v>1.5999999999999999E-5</v>
      </c>
      <c r="MB52" s="220"/>
      <c r="MC52" s="220"/>
      <c r="MD52" s="188">
        <f>Sheet3!DP52</f>
        <v>127.00784889604741</v>
      </c>
      <c r="MF52" s="165"/>
      <c r="MP52"/>
      <c r="MQ52"/>
      <c r="MR52"/>
      <c r="MS52"/>
    </row>
    <row r="53" spans="1:357" x14ac:dyDescent="0.3">
      <c r="A53" s="184">
        <f>Sheet3!A53</f>
        <v>44939</v>
      </c>
      <c r="B53" s="186">
        <f t="shared" si="102"/>
        <v>1.0055725433594618</v>
      </c>
      <c r="C53" s="183">
        <f t="shared" si="168"/>
        <v>1.0049655961892787</v>
      </c>
      <c r="D53" s="183">
        <f t="shared" si="169"/>
        <v>0.98805864184147707</v>
      </c>
      <c r="E53" s="183">
        <f t="shared" si="170"/>
        <v>0.97458291665501573</v>
      </c>
      <c r="F53" s="183">
        <f t="shared" si="171"/>
        <v>0.95753227546298492</v>
      </c>
      <c r="G53" s="183">
        <f t="shared" si="172"/>
        <v>0.94941190720618174</v>
      </c>
      <c r="H53" s="183">
        <f t="shared" si="173"/>
        <v>0.93596974552232104</v>
      </c>
      <c r="I53" s="183">
        <f t="shared" si="174"/>
        <v>0.92459052439088296</v>
      </c>
      <c r="J53" s="183">
        <f t="shared" si="175"/>
        <v>0.9103844357691111</v>
      </c>
      <c r="K53" s="186">
        <f xml:space="preserve"> (6.057 * (10^(-6)))
+ (4.055 * (10^(-8)) * (Sheet3!DF53 + 273))
+ (1.25 * (10^(-10)) * (Sheet3!DF53 + 273)^2)
- (3.367 * (10^(-14)) * (DD53 + 273)^3)</f>
        <v>5.3312552217876868E-5</v>
      </c>
      <c r="L53" s="183">
        <f xml:space="preserve"> (6.057 * (10^(-6)))
+ (4.055 * (10^(-8)) * (Sheet3!BZ53 + 273))
+ (1.25 * (10^(-10)) * (Sheet3!BZ53 + 273)^2)
- (3.367 * (10^(-14)) * (BX53 + 273)^3)</f>
        <v>5.322985735570006E-5</v>
      </c>
      <c r="M53" s="183">
        <f xml:space="preserve"> (6.057 * (10^(-6)))
+ (4.055 * (10^(-8)) * (Sheet3!CA53 + 273))
+ (1.25 * (10^(-10)) * (Sheet3!CA53 + 273)^2)
- (3.367 * (10^(-14)) * (BY53 + 273)^3)</f>
        <v>5.1450534560655849E-5</v>
      </c>
      <c r="N53" s="183">
        <f xml:space="preserve"> (6.057 * (10^(-6)))
+ (4.055 * (10^(-8)) * (Sheet3!CB53 + 273))
+ (1.25 * (10^(-10)) * (Sheet3!CB53 + 273)^2)
- (3.367 * (10^(-14)) * (BZ53 + 273)^3)</f>
        <v>5.0144691065438936E-5</v>
      </c>
      <c r="O53" s="183">
        <f xml:space="preserve"> (6.057 * (10^(-6)))
+ (4.055 * (10^(-8)) * (Sheet3!CC53 + 273))
+ (1.25 * (10^(-10)) * (Sheet3!CC53 + 273)^2)
- (3.367 * (10^(-14)) * (CA53 + 273)^3)</f>
        <v>4.8478322580897133E-5</v>
      </c>
      <c r="P53" s="183">
        <f xml:space="preserve"> (6.057 * (10^(-6)))
+ (4.055 * (10^(-8)) * (Sheet3!CD53 + 273))
+ (1.25 * (10^(-10)) * (Sheet3!CD53 + 273)^2)
- (3.367 * (10^(-14)) * (CB53 + 273)^3)</f>
        <v>4.775871341474749E-5</v>
      </c>
      <c r="Q53" s="183">
        <f xml:space="preserve"> (6.057 * (10^(-6)))
+ (4.055 * (10^(-8)) * (Sheet3!CE53 + 273))
+ (1.25 * (10^(-10)) * (Sheet3!CE53 + 273)^2)
- (3.367 * (10^(-14)) * (CC53 + 273)^3)</f>
        <v>4.6500444429124286E-5</v>
      </c>
      <c r="R53" s="183">
        <f xml:space="preserve"> (6.057 * (10^(-6)))
+ (4.055 * (10^(-8)) * (Sheet3!CF53 + 273))
+ (1.25 * (10^(-10)) * (Sheet3!CF53 + 273)^2)
- (3.367 * (10^(-14)) * (CD53 + 273)^3)</f>
        <v>4.5562232628883437E-5</v>
      </c>
      <c r="S53" s="183">
        <f xml:space="preserve"> (6.057 * (10^(-6)))
+ (4.055 * (10^(-8)) * (Sheet3!CG53 + 273))
+ (1.25 * (10^(-10)) * (Sheet3!CG53 + 273)^2)
- (3.367 * (10^(-14)) * (CE53 + 273)^3)</f>
        <v>4.4313693031835425E-5</v>
      </c>
      <c r="T53" s="188">
        <f t="shared" si="104"/>
        <v>5.3312552217876868E-5</v>
      </c>
      <c r="U53" s="165">
        <f t="shared" si="105"/>
        <v>5.322985735570006E-5</v>
      </c>
      <c r="V53" s="165">
        <f t="shared" si="106"/>
        <v>5.1450534560655849E-5</v>
      </c>
      <c r="W53" s="165">
        <f t="shared" si="107"/>
        <v>5.0144691065438936E-5</v>
      </c>
      <c r="X53" s="165">
        <f t="shared" si="108"/>
        <v>4.8478322580897133E-5</v>
      </c>
      <c r="Y53" s="165">
        <f t="shared" si="109"/>
        <v>4.775871341474749E-5</v>
      </c>
      <c r="Z53" s="165">
        <f t="shared" si="110"/>
        <v>4.6500444429124286E-5</v>
      </c>
      <c r="AA53" s="165">
        <f t="shared" si="111"/>
        <v>4.5562232628883437E-5</v>
      </c>
      <c r="AB53" s="165">
        <f t="shared" si="112"/>
        <v>4.4313693031835425E-5</v>
      </c>
      <c r="AC53" s="186">
        <f t="shared" si="176"/>
        <v>5.3609638726714553E-5</v>
      </c>
      <c r="AD53" s="183">
        <f t="shared" si="177"/>
        <v>5.3494175332541373E-5</v>
      </c>
      <c r="AE53" s="183">
        <f t="shared" si="178"/>
        <v>5.0836145300019594E-5</v>
      </c>
      <c r="AF53" s="183">
        <f t="shared" si="179"/>
        <v>4.8870159273320184E-5</v>
      </c>
      <c r="AG53" s="183">
        <f t="shared" si="180"/>
        <v>4.6419558531515035E-5</v>
      </c>
      <c r="AH53" s="183">
        <f t="shared" si="181"/>
        <v>4.5342691188808873E-5</v>
      </c>
      <c r="AI53" s="183">
        <f t="shared" si="182"/>
        <v>4.3523009139002289E-5</v>
      </c>
      <c r="AJ53" s="183">
        <f t="shared" si="183"/>
        <v>4.2126408558758733E-5</v>
      </c>
      <c r="AK53" s="183">
        <f t="shared" si="184"/>
        <v>4.0342496427633085E-5</v>
      </c>
      <c r="AL53" s="186">
        <f t="shared" si="113"/>
        <v>4.2931521784307272E-2</v>
      </c>
      <c r="AM53" s="183">
        <f t="shared" si="114"/>
        <v>4.2877452254735528E-2</v>
      </c>
      <c r="AN53" s="183">
        <f t="shared" si="115"/>
        <v>4.1599478974198932E-2</v>
      </c>
      <c r="AO53" s="183">
        <f t="shared" si="116"/>
        <v>4.0648730753482472E-2</v>
      </c>
      <c r="AP53" s="183">
        <f t="shared" si="117"/>
        <v>3.9408265342863513E-2</v>
      </c>
      <c r="AQ53" s="183">
        <f t="shared" si="118"/>
        <v>3.8867856939623704E-2</v>
      </c>
      <c r="AR53" s="183">
        <f t="shared" si="119"/>
        <v>3.790538763440305E-2</v>
      </c>
      <c r="AS53" s="183">
        <f t="shared" si="120"/>
        <v>3.7182772634753392E-2</v>
      </c>
      <c r="AT53" s="183">
        <f t="shared" si="121"/>
        <v>3.6207198844543056E-2</v>
      </c>
      <c r="AU53" s="186">
        <f>_xlfn.FORECAST.LINEAR(Sheet3!DF53,Sheet2!$AH$2:$AH$40,Sheet2!$AG$2:$AG$40)</f>
        <v>5.615110757455756E-2</v>
      </c>
      <c r="AV53" s="183">
        <f>_xlfn.FORECAST.LINEAR(Sheet3!BZ53,Sheet2!$AH$2:$AH$40,Sheet2!$AG$2:$AG$40)</f>
        <v>5.6029886887090083E-2</v>
      </c>
      <c r="AW53" s="183">
        <f>_xlfn.FORECAST.LINEAR(Sheet3!CA53,Sheet2!$AH$2:$AH$40,Sheet2!$AG$2:$AG$40)</f>
        <v>5.317732560667867E-2</v>
      </c>
      <c r="AX53" s="183">
        <f>_xlfn.FORECAST.LINEAR(Sheet3!CB53,Sheet2!$AH$2:$AH$40,Sheet2!$AG$2:$AG$40)</f>
        <v>5.1050950869055742E-2</v>
      </c>
      <c r="AY53" s="183">
        <f>_xlfn.FORECAST.LINEAR(Sheet3!CC53,Sheet2!$AH$2:$AH$40,Sheet2!$AG$2:$AG$40)</f>
        <v>4.8295172193249365E-2</v>
      </c>
      <c r="AZ53" s="183">
        <f>_xlfn.FORECAST.LINEAR(Sheet3!CD53,Sheet2!$AH$2:$AH$40,Sheet2!$AG$2:$AG$40)</f>
        <v>4.7089781396361927E-2</v>
      </c>
      <c r="BA53" s="183">
        <f>_xlfn.FORECAST.LINEAR(Sheet3!CE53,Sheet2!$AH$2:$AH$40,Sheet2!$AG$2:$AG$40)</f>
        <v>4.4959133406712259E-2</v>
      </c>
      <c r="BB53" s="183">
        <f>_xlfn.FORECAST.LINEAR(Sheet3!CF53,Sheet2!$AH$2:$AH$40,Sheet2!$AG$2:$AG$40)</f>
        <v>4.33506946612311E-2</v>
      </c>
      <c r="BC53" s="183">
        <f>_xlfn.FORECAST.LINEAR(Sheet3!CG53,Sheet2!$AH$2:$AH$40,Sheet2!$AG$2:$AG$40)</f>
        <v>4.1193110417986914E-2</v>
      </c>
      <c r="BD53" s="186">
        <f>_xlfn.FORECAST.LINEAR(Sheet3!DF53,Sheet2!$AB$12:$AB$37,Sheet2!$AA$12:$AA$37)/1000</f>
        <v>3.7324862686859299E-2</v>
      </c>
      <c r="BE53" s="183">
        <f>_xlfn.FORECAST.LINEAR(Sheet3!BZ53,Sheet2!$AB$12:$AB$37,Sheet2!$AA$12:$AA$37)/1000</f>
        <v>3.7297760546979794E-2</v>
      </c>
      <c r="BF53" s="183">
        <f>_xlfn.FORECAST.LINEAR(Sheet3!CA53,Sheet2!$AB$12:$AB$37,Sheet2!$AA$12:$AA$37)/1000</f>
        <v>3.6659993871573787E-2</v>
      </c>
      <c r="BG53" s="183">
        <f>_xlfn.FORECAST.LINEAR(Sheet3!CB53,Sheet2!$AB$12:$AB$37,Sheet2!$AA$12:$AA$37)/1000</f>
        <v>3.6184585698437022E-2</v>
      </c>
      <c r="BH53" s="183">
        <f>_xlfn.FORECAST.LINEAR(Sheet3!CC53,Sheet2!$AB$12:$AB$37,Sheet2!$AA$12:$AA$37)/1000</f>
        <v>3.5568457373239284E-2</v>
      </c>
      <c r="BI53" s="183">
        <f>_xlfn.FORECAST.LINEAR(Sheet3!CD53,Sheet2!$AB$12:$AB$37,Sheet2!$AA$12:$AA$37)/1000</f>
        <v>3.5298959891668959E-2</v>
      </c>
      <c r="BJ53" s="183">
        <f>_xlfn.FORECAST.LINEAR(Sheet3!CE53,Sheet2!$AB$12:$AB$37,Sheet2!$AA$12:$AA$37)/1000</f>
        <v>3.4822596318289961E-2</v>
      </c>
      <c r="BK53" s="183">
        <f>_xlfn.FORECAST.LINEAR(Sheet3!CF53,Sheet2!$AB$12:$AB$37,Sheet2!$AA$12:$AA$37)/1000</f>
        <v>3.4462986644575339E-2</v>
      </c>
      <c r="BL53" s="183">
        <f>_xlfn.FORECAST.LINEAR(Sheet3!CG53,Sheet2!$AB$12:$AB$37,Sheet2!$AA$12:$AA$37)/1000</f>
        <v>3.3980600748373391E-2</v>
      </c>
      <c r="BM53" s="186">
        <f t="shared" si="122"/>
        <v>0.65837625584019954</v>
      </c>
      <c r="BN53" s="183">
        <f t="shared" si="123"/>
        <v>0.65903387595995189</v>
      </c>
      <c r="BO53" s="183">
        <f t="shared" si="124"/>
        <v>0.67496956716706136</v>
      </c>
      <c r="BP53" s="183">
        <f t="shared" si="125"/>
        <v>0.68730179159069582</v>
      </c>
      <c r="BQ53" s="183">
        <f t="shared" si="126"/>
        <v>0.70410668725148873</v>
      </c>
      <c r="BR53" s="183">
        <f t="shared" si="127"/>
        <v>0.71165626922175496</v>
      </c>
      <c r="BS53" s="183">
        <f t="shared" si="128"/>
        <v>0.72557662769094544</v>
      </c>
      <c r="BT53" s="183">
        <f t="shared" si="129"/>
        <v>0.73631522672572869</v>
      </c>
      <c r="BU53" s="183">
        <f t="shared" si="130"/>
        <v>0.75142148135744846</v>
      </c>
      <c r="BV53" s="186">
        <f t="shared" si="222"/>
        <v>1.2163519137646308</v>
      </c>
      <c r="BW53" s="183">
        <f t="shared" si="223"/>
        <v>1.2162272682498998</v>
      </c>
      <c r="BX53" s="183">
        <f t="shared" si="224"/>
        <v>1.2123585704613187</v>
      </c>
      <c r="BY53" s="183">
        <f t="shared" si="225"/>
        <v>1.2101961276976989</v>
      </c>
      <c r="BZ53" s="183">
        <f t="shared" si="226"/>
        <v>1.205723828314325</v>
      </c>
      <c r="CA53" s="183">
        <f t="shared" si="227"/>
        <v>1.2045172476771611</v>
      </c>
      <c r="CB53" s="183">
        <f t="shared" si="228"/>
        <v>1.2003247001622828</v>
      </c>
      <c r="CC53" s="183">
        <f t="shared" si="229"/>
        <v>1.1987360162279916</v>
      </c>
      <c r="CD53" s="183">
        <f t="shared" si="230"/>
        <v>1.1943965809761576</v>
      </c>
      <c r="CE53" s="187">
        <f xml:space="preserve"> -0.0000000019505*Sheet3!DF53^3 + 0.0000015497*Sheet3!DF53^2  + 0.00016911*Sheet3!DF53 + 1.8585</f>
        <v>1.9414898911875</v>
      </c>
      <c r="CF53" s="185">
        <f xml:space="preserve"> -0.0000000019505*Sheet3!BZ53^3 + 0.0000015497*Sheet3!BZ53^2  + 0.00016911*Sheet3!BZ53 + 1.8585</f>
        <v>1.9412235436790615</v>
      </c>
      <c r="CG53" s="185">
        <f xml:space="preserve"> -0.0000000019505*Sheet3!CA53^3 + 0.0000015497*Sheet3!CA53^2  + 0.00016911*Sheet3!CA53 + 1.8585</f>
        <v>1.9350049684495669</v>
      </c>
      <c r="CH53" s="185">
        <f xml:space="preserve"> -0.0000000019505*Sheet3!CB53^3 + 0.0000015497*Sheet3!CB53^2  + 0.00016911*Sheet3!CB53 + 1.8585</f>
        <v>1.9304371801011402</v>
      </c>
      <c r="CI53" s="185">
        <f xml:space="preserve"> -0.0000000019505*Sheet3!CC53^3 + 0.0000015497*Sheet3!CC53^2  + 0.00016911*Sheet3!CC53 + 1.8585</f>
        <v>1.9246157346011421</v>
      </c>
      <c r="CJ53" s="185">
        <f xml:space="preserve"> -0.0000000019505*Sheet3!CD53^3 + 0.0000015497*Sheet3!CD53^2  + 0.00016911*Sheet3!CD53 + 1.8585</f>
        <v>1.9221077821819599</v>
      </c>
      <c r="CK53" s="185">
        <f xml:space="preserve"> -0.0000000019505*Sheet3!CE53^3 + 0.0000015497*Sheet3!CE53^2  + 0.00016911*Sheet3!CE53 + 1.8585</f>
        <v>1.9177370000770673</v>
      </c>
      <c r="CL53" s="185">
        <f xml:space="preserve"> -0.0000000019505*Sheet3!CF53^3 + 0.0000015497*Sheet3!CF53^2  + 0.00016911*Sheet3!CF53 + 1.8585</f>
        <v>1.9144936940863171</v>
      </c>
      <c r="CM53" s="185">
        <f xml:space="preserve"> -0.0000000019505*Sheet3!CG53^3 + 0.0000015497*Sheet3!CG53^2  + 0.00016911*Sheet3!CG53 + 1.8585</f>
        <v>1.91022472924377</v>
      </c>
      <c r="CN53" s="186">
        <f>_xlfn.FORECAST.LINEAR(Sheet3!DF53,New!$LU$2:$LU$14,New!$LT$2:$LT$14)</f>
        <v>1.0350674194089138</v>
      </c>
      <c r="CO53" s="183">
        <f>_xlfn.FORECAST.LINEAR(Sheet3!BZ53,New!$LU$2:$LU$14,New!$LT$2:$LT$14)</f>
        <v>1.0349781993926097</v>
      </c>
      <c r="CP53" s="183">
        <f>_xlfn.FORECAST.LINEAR(Sheet3!CA53,New!$LU$2:$LU$14,New!$LT$2:$LT$14)</f>
        <v>1.0328786768666802</v>
      </c>
      <c r="CQ53" s="183">
        <f>_xlfn.FORECAST.LINEAR(Sheet3!CB53,New!$LU$2:$LU$14,New!$LT$2:$LT$14)</f>
        <v>1.0313136371632865</v>
      </c>
      <c r="CR53" s="183">
        <f>_xlfn.FORECAST.LINEAR(Sheet3!CC53,New!$LU$2:$LU$14,New!$LT$2:$LT$14)</f>
        <v>1.0292853479040642</v>
      </c>
      <c r="CS53" s="183">
        <f>_xlfn.FORECAST.LINEAR(Sheet3!CD53,New!$LU$2:$LU$14,New!$LT$2:$LT$14)</f>
        <v>1.028398164463697</v>
      </c>
      <c r="CT53" s="183">
        <f>_xlfn.FORECAST.LINEAR(Sheet3!CE53,New!$LU$2:$LU$14,New!$LT$2:$LT$14)</f>
        <v>1.0268299795907498</v>
      </c>
      <c r="CU53" s="183">
        <f>_xlfn.FORECAST.LINEAR(Sheet3!CF53,New!$LU$2:$LU$14,New!$LT$2:$LT$14)</f>
        <v>1.0256461475725194</v>
      </c>
      <c r="CV53" s="183">
        <f>_xlfn.FORECAST.LINEAR(Sheet3!CG53,New!$LU$2:$LU$14,New!$LT$2:$LT$14)</f>
        <v>1.0240581372635422</v>
      </c>
      <c r="CW53" s="186">
        <f>EXP((17.625*Sheet3!BA53)/(243.04+Sheet3!BA53)) / EXP((17.625*Sheet3!DF53)/(243.04+Sheet3!DF53))</f>
        <v>1.2718515444669915E-2</v>
      </c>
      <c r="CX53" s="183">
        <f>EXP((17.625*(Sheet3!BC53+273))/(243.04+(Sheet3!BC53+273)))/EXP((17.625*(Sheet3!BZ53+273))/(243.04+(Sheet3!BZ53+273)))</f>
        <v>0.23859966888724599</v>
      </c>
      <c r="CY53" s="183">
        <f>EXP((17.625*(Sheet3!BE53+273))/(243.04+(Sheet3!BE53+273))) / EXP((17.625*(Sheet3!CA53+273))/(243.04+(Sheet3!CA53+273)))</f>
        <v>0.26206346104432227</v>
      </c>
      <c r="CZ53" s="183">
        <f>EXP((17.625*(Sheet3!BG53+273))/(243.04+(Sheet3!BG53+273))) / EXP((17.625*(Sheet3!CB53+273))/(243.04+(Sheet3!CB53+273)))</f>
        <v>0.28142481829984312</v>
      </c>
      <c r="DA53" s="183">
        <f>EXP((17.625*(Sheet3!BI53+273))/(243.04+(Sheet3!BI53+273))) / EXP((17.625*(Sheet3!CC53+273))/(243.04+(Sheet3!CC53+273)))</f>
        <v>0.3091913969639794</v>
      </c>
      <c r="DB53" s="183">
        <f>EXP((17.625*(Sheet3!BK53+273))/(243.04+(Sheet3!BK53+273)))/EXP((17.625*(Sheet3!CD53+273))/(243.04+(Sheet3!CD53+273)))</f>
        <v>0.32276127055453985</v>
      </c>
      <c r="DC53" s="183">
        <f>EXP((17.625*(Sheet3!BM53+273))/(243.04+(Sheet3!BM53+273))) / EXP((17.625*(Sheet3!CE53+273))/(243.04+(Sheet3!CE53+273)))</f>
        <v>0.34789594724535078</v>
      </c>
      <c r="DD53" s="183">
        <f>EXP((17.625*(Sheet3!BO53+273))/(243.04+(Sheet3!BO53+273))) / EXP((17.625*(Sheet3!CF53+273))/(243.04+(Sheet3!CF53+273)))</f>
        <v>0.3693005862429789</v>
      </c>
      <c r="DE53" s="183">
        <f>EXP((17.625*(Sheet3!BQ53+273))/(243.04+(Sheet3!BQ53+273))) / EXP((17.625*(Sheet3!CG53+273))/(243.04+(Sheet3!CG53+273)))</f>
        <v>0.39976359777569631</v>
      </c>
      <c r="DF53" s="186">
        <f>((Sheet3!DA53-Sheet3!DB53)/New!$LQ$3)/(((Sheet3!DA53-Sheet3!DB53)/New!$LQ$3)+(Sheet3!DB53/New!$LP$3))</f>
        <v>0.71332409423876464</v>
      </c>
      <c r="DG53" s="183">
        <f>((Sheet3!DA53-Sheet3!DB53)/New!$LQ$3)/(((Sheet3!DA53-Sheet3!DB53)/New!$LQ$3)+((Sheet3!DB53-(Sheet3!B53*0.004))/New!$LP$3))</f>
        <v>0.71332409423876464</v>
      </c>
      <c r="DH53" s="183" cm="1">
        <f t="array" ref="DH53">((Sheet3!DA53-Sheet3!DB53)/New!$LQ$3)/(((Sheet3!DA53-Sheet3!DB53)/New!$LQ$3)+((Sheet3!DB53-(SUM(Sheet3!B53:C53*0.004)))/New!$LP$3))</f>
        <v>0.71738789284025628</v>
      </c>
      <c r="DI53" s="183" cm="1">
        <f t="array" ref="DI53">((Sheet3!DA53-Sheet3!DB53)/New!$LQ$3)/(((Sheet3!DA53-Sheet3!DB53)/New!$LQ$3)+((Sheet3!DB53-(SUM(Sheet3!B53:D53*0.004)))/New!$LP$3))</f>
        <v>0.71738789284025628</v>
      </c>
      <c r="DJ53" s="183" cm="1">
        <f t="array" ref="DJ53">((Sheet3!DA53-Sheet3!DB53)/New!$LQ$3)/(((Sheet3!DA53-Sheet3!DB53)/New!$LQ$3)+((Sheet3!DB53-(SUM(Sheet3!B53:E53*0.004)))/New!$LP$3))</f>
        <v>0.72481048790757818</v>
      </c>
      <c r="DK53" s="183" cm="1">
        <f t="array" ref="DK53">((Sheet3!DA53-Sheet3!DB53)/New!$LQ$3)/(((Sheet3!DA53-Sheet3!DB53)/New!$LQ$3)+((Sheet3!DB53-(SUM(Sheet3!B53:F53*0.004)))/New!$LP$3))</f>
        <v>0.72481048790757818</v>
      </c>
      <c r="DL53" s="183" cm="1">
        <f t="array" ref="DL53">((Sheet3!DA53-Sheet3!DB53)/New!$LQ$3)/(((Sheet3!DA53-Sheet3!DB53)/New!$LQ$3)+((Sheet3!DB53-(SUM(Sheet3!B53:G53*0.004)))/New!$LP$3))</f>
        <v>0.73415156872317233</v>
      </c>
      <c r="DM53" s="183" cm="1">
        <f t="array" ref="DM53">((Sheet3!DA53-Sheet3!DB53)/New!$LQ$3)/(((Sheet3!DA53-Sheet3!DB53)/New!$LQ$3)+((Sheet3!DB53-(SUM(Sheet3!B53:H53*0.004)))/New!$LP$3))</f>
        <v>0.73416889782285977</v>
      </c>
      <c r="DN53" s="183" cm="1">
        <f t="array" ref="DN53">((Sheet3!DA53-Sheet3!DB53)/New!$LQ$3)/(((Sheet3!DA53-Sheet3!DB53)/New!$LQ$3)+((Sheet3!DB53-(SUM(Sheet3!B53:I53*0.004)))/New!$LP$3))</f>
        <v>0.74451988728956642</v>
      </c>
      <c r="DO53" s="186">
        <f>(Sheet3!DB53/$LP$3) / ((Sheet3!DB53/$LP$3) + ((Sheet3!DA53-Sheet3!DB53)/$LQ$3))</f>
        <v>0.28667590576123536</v>
      </c>
      <c r="DP53" s="183">
        <f>((Sheet3!$DB53-(Sheet3!B53/4000)) / $LP$3) / (((Sheet3!$DA53-Sheet3!DB53) / $LQ$3) + (Sheet3!$DB53-((Sheet3!B53/4000)))/$LP$3)</f>
        <v>0.28667590576123536</v>
      </c>
      <c r="DQ53" s="183">
        <f>((Sheet3!$DB53-(SUM(Sheet3!B53:C53)/4000))/$LP$3)/(((Sheet3!$DA53-Sheet3!$DB53)/$LQ$3)+(Sheet3!$DB53-(SUM(Sheet3!B53:C53)/4000))/$LP$3)</f>
        <v>0.28642326766998788</v>
      </c>
      <c r="DR53" s="183">
        <f>((Sheet3!$DB53-(SUM(Sheet3!B53:D53)/4000))/$LP$3)/(((Sheet3!$DA53-Sheet3!$DB53)/$LQ$3)+(Sheet3!$DB53-(SUM(Sheet3!B53:D53)/4000))/$LP$3)</f>
        <v>0.28642326766998788</v>
      </c>
      <c r="DS53" s="183">
        <f>((Sheet3!$DB53-(SUM(Sheet3!B53:E53)/4000))/$LP$3)/(((Sheet3!$DA53-Sheet3!$DB53)/$LQ$3)+(Sheet3!$DB53-(SUM(Sheet3!B53:E53)/4000))/$LP$3)</f>
        <v>0.28596868255074481</v>
      </c>
      <c r="DT53" s="183">
        <f>((Sheet3!$DB53-(SUM(Sheet3!B53:F53)/4000))/$LP$3)/(((Sheet3!$DA53-Sheet3!$DB53)/$LQ$3)+(Sheet3!$DB53-(SUM(Sheet3!B53:F53)/4000))/$LP$3)</f>
        <v>0.28596868255074481</v>
      </c>
      <c r="DU53" s="183">
        <f>((Sheet3!$DB53-(SUM(Sheet3!B53:G53)/4000))/$LP$3)/(((Sheet3!$DA53-Sheet3!$DB53)/$LQ$3)+(Sheet3!$DB53-(SUM(Sheet3!B53:G53)/4000))/$LP$3)</f>
        <v>0.28540887103542445</v>
      </c>
      <c r="DV53" s="183">
        <f>((Sheet3!$DB53-(SUM(Sheet3!B53:H53)/4000))/$LP$3)/(((Sheet3!$DA53-Sheet3!$DB53)/$LQ$3)+(Sheet3!$DB53-(SUM(Sheet3!B53:H53)/4000))/$LP$3)</f>
        <v>0.28540784493428778</v>
      </c>
      <c r="DW53" s="183">
        <f>((Sheet3!$DB53-(SUM(Sheet3!B53:I53)/4000))/$LP$3)/(((Sheet3!$DA53-Sheet3!$DB53)/$LQ$3)+(Sheet3!$DB53-(SUM(Sheet3!B53:I53)/4000))/$LP$3)</f>
        <v>0.28480295890771978</v>
      </c>
      <c r="DX53" s="186">
        <f>($LR$2*($LP$3/1000))/($LP$2*(Sheet3!DF53+273))*DO53</f>
        <v>0.13167525116803988</v>
      </c>
      <c r="DY53" s="183">
        <f>(($LR$2*($LP$3/1000))/($LP$2*(Sheet3!BZ53+273)))*(DP53)</f>
        <v>0.13180677519199038</v>
      </c>
      <c r="DZ53" s="183">
        <f>(($LR$2*($LP$3/1000))/($LP$2*(Sheet3!CA53+273)))*(DQ53)</f>
        <v>0.13486050649542636</v>
      </c>
      <c r="EA53" s="183">
        <f>(($LR$2*($LP$3/1000))/($LP$2*(Sheet3!CB53+273)))*(DR53)</f>
        <v>0.13732451393055706</v>
      </c>
      <c r="EB53" s="183">
        <f>(($LR$2*($LP$3/1000))/($LP$2*(Sheet3!CC53+273)))*(DS53)</f>
        <v>0.14043183812955448</v>
      </c>
      <c r="EC53" s="183">
        <f>(($LR$2*($LP$3/1000))/($LP$2*(Sheet3!CD53+273)))*(DT53)</f>
        <v>0.1419375782288749</v>
      </c>
      <c r="ED53" s="183">
        <f>(($LR$2*($LP$3/1000))/($LP$2*(Sheet3!CE53+273)))*(DU53)</f>
        <v>0.14439640560346689</v>
      </c>
      <c r="EE53" s="183">
        <f>(($LR$2*($LP$3/1000))/($LP$2*(Sheet3!CF53+273)))*(DV53)</f>
        <v>0.1465328948182443</v>
      </c>
      <c r="EF53" s="183">
        <f>(($LR$2*($LP$3/1000))/($LP$2*(Sheet3!CG53+273)))*(DW53)</f>
        <v>0.14918400840841178</v>
      </c>
      <c r="EG53" s="186">
        <f>(($LR$2*($LQ$3/1000))/($LQ$2*(Sheet3!DF53+273)))*(1-DO53)</f>
        <v>0.52670100467215963</v>
      </c>
      <c r="EH53" s="183">
        <f>(($LR$2*($LQ$3/1000))/($LQ$2*(Sheet3!BZ53+273)))*(1-DP53)</f>
        <v>0.52722710076796153</v>
      </c>
      <c r="EI53" s="183">
        <f>(($LR$2*($LQ$3/1000))/($LQ$2*(Sheet3!CA53+273)))*(1-DQ53)</f>
        <v>0.540109060671635</v>
      </c>
      <c r="EJ53" s="183">
        <f>(($LR$2*($LQ$3/1000))/($LQ$2*(Sheet3!CB53+273)))*(1-DR53)</f>
        <v>0.54997727766013871</v>
      </c>
      <c r="EK53" s="183">
        <f>(($LR$2*($LQ$3/1000))/($LQ$2*(Sheet3!CC53+273)))*(1-DS53)</f>
        <v>0.56367484912193422</v>
      </c>
      <c r="EL53" s="183">
        <f>(($LR$2*($LQ$3/1000))/($LQ$2*(Sheet3!CD53+273)))*(1-DT53)</f>
        <v>0.56971869099288008</v>
      </c>
      <c r="EM53" s="183">
        <f>(($LR$2*($LQ$3/1000))/($LQ$2*(Sheet3!CE53+273)))*(1-DU53)</f>
        <v>0.58118022208747855</v>
      </c>
      <c r="EN53" s="183">
        <f>(($LR$2*($LQ$3/1000))/($LQ$2*(Sheet3!CF53+273)))*(1-DV53)</f>
        <v>0.58978233190748441</v>
      </c>
      <c r="EO53" s="183">
        <f>(($LR$2*($LQ$3/1000))/($LQ$2*(Sheet3!CG53+273)))*(1-DW53)</f>
        <v>0.60223747294903662</v>
      </c>
      <c r="EP53" s="186">
        <f t="shared" si="132"/>
        <v>4920.6171533089964</v>
      </c>
      <c r="EQ53" s="183">
        <f xml:space="preserve"> (($FV53-(Sheet3!B53/4000))*0.018)/(0.011*JO53*3600)</f>
        <v>4924.7167709770874</v>
      </c>
      <c r="ER53" s="183">
        <f>((($FV53-(SUM(Sheet3!B53:C53)/4000))*0.018)/(0.011*JP53*3600))</f>
        <v>5021.4480655051493</v>
      </c>
      <c r="ES53" s="183">
        <f>((($FV53-(SUM(Sheet3!B53:D53)/4000))*0.018)/(0.011*JQ53*3600))</f>
        <v>5097.4941759005842</v>
      </c>
      <c r="ET53" s="183">
        <f>((($FV53-(SUM(Sheet3!B53:E53)/4000))*0.018)/(0.011*JR53))/3600</f>
        <v>5196.257764574194</v>
      </c>
      <c r="EU53" s="183">
        <f>((($FV53-(SUM(Sheet3!B53:F53)/4000))*0.018)/(0.011*JS53))/3600</f>
        <v>5242.2037557502636</v>
      </c>
      <c r="EV53" s="183">
        <f>((($FV53-(SUM(Sheet3!B53:G53)/4000))*0.018)/(0.011*JT53))/3600</f>
        <v>5321.230687511179</v>
      </c>
      <c r="EW53" s="183">
        <f>((($FV53-(SUM(Sheet3!B53:H53)/4000))*0.018)/(0.011*JU53))/3600</f>
        <v>5385.8245752612302</v>
      </c>
      <c r="EX53" s="183">
        <f>((($FV53-(SUM(Sheet3!B53:I53)/4000))*0.018)/(0.011*JV53))/3600</f>
        <v>5470.2921702087615</v>
      </c>
      <c r="EY53" s="186">
        <f t="shared" si="133"/>
        <v>49.092726583998683</v>
      </c>
      <c r="EZ53" s="183">
        <f t="shared" si="134"/>
        <v>49.124236903890456</v>
      </c>
      <c r="FA53" s="183">
        <f t="shared" si="135"/>
        <v>49.862121629700525</v>
      </c>
      <c r="FB53" s="183">
        <f t="shared" si="136"/>
        <v>50.450892826149676</v>
      </c>
      <c r="FC53" s="183">
        <f t="shared" si="137"/>
        <v>51.205452005497953</v>
      </c>
      <c r="FD53" s="183">
        <f t="shared" si="138"/>
        <v>51.564493468805807</v>
      </c>
      <c r="FE53" s="183">
        <f t="shared" si="139"/>
        <v>52.166890935572496</v>
      </c>
      <c r="FF53" s="183">
        <f t="shared" si="140"/>
        <v>52.675887657366829</v>
      </c>
      <c r="FG53" s="183">
        <f t="shared" si="141"/>
        <v>53.325414842468732</v>
      </c>
      <c r="FH53" s="186">
        <f t="shared" si="185"/>
        <v>117.09030337733225</v>
      </c>
      <c r="FI53" s="183">
        <f t="shared" si="186"/>
        <v>117.01789568871557</v>
      </c>
      <c r="FJ53" s="183">
        <f t="shared" si="187"/>
        <v>115.23546001909317</v>
      </c>
      <c r="FK53" s="183">
        <f t="shared" si="188"/>
        <v>113.93137548683104</v>
      </c>
      <c r="FL53" s="183">
        <f t="shared" si="189"/>
        <v>112.10655775744033</v>
      </c>
      <c r="FM53" s="183">
        <f t="shared" si="190"/>
        <v>111.34451973942805</v>
      </c>
      <c r="FN53" s="183">
        <f t="shared" si="191"/>
        <v>109.85590125525013</v>
      </c>
      <c r="FO53" s="183">
        <f t="shared" si="192"/>
        <v>108.81308633876019</v>
      </c>
      <c r="FP53" s="183">
        <f t="shared" si="193"/>
        <v>107.2646610371674</v>
      </c>
      <c r="FQ53" s="314">
        <f>Sheet3!CV53</f>
        <v>1</v>
      </c>
      <c r="FR53" s="183">
        <v>5000</v>
      </c>
      <c r="FS53" s="183">
        <v>20</v>
      </c>
      <c r="FT53" s="183">
        <v>0.12180000000000001</v>
      </c>
      <c r="FU53" s="183">
        <v>14.6</v>
      </c>
      <c r="FV53" s="183">
        <v>250</v>
      </c>
      <c r="FW53" s="183">
        <v>50</v>
      </c>
      <c r="FX53" s="183">
        <v>255</v>
      </c>
      <c r="FY53" s="183">
        <v>8</v>
      </c>
      <c r="FZ53" s="183">
        <v>34.799999999999997</v>
      </c>
      <c r="GA53" s="183">
        <v>205</v>
      </c>
      <c r="GB53" s="186">
        <f>EXP($LP$6-($LQ$6/('Trial and Error method'!T53+$LP$8))) / ($LR$2/1000)</f>
        <v>0.26343592247869219</v>
      </c>
      <c r="GC53" s="183">
        <f>EXP($LP$6-($LQ$6/('Trial and Error method'!U53+$LP$8))) / ($LR$2/1000)</f>
        <v>0.24497890394166397</v>
      </c>
      <c r="GD53" s="183">
        <f>EXP($LP$6-($LQ$6/('Trial and Error method'!V53+$LP$8))) / ($LR$2/1000)</f>
        <v>0.22802524643841052</v>
      </c>
      <c r="GE53" s="183">
        <f>EXP($LP$6-($LQ$6/('Trial and Error method'!W53+$LP$8))) / ($LR$2/1000)</f>
        <v>0.18818120381144815</v>
      </c>
      <c r="GF53" s="183">
        <f>EXP($LP$6-($LQ$6/('Trial and Error method'!X53+$LP$8))) / ($LR$2/1000)</f>
        <v>0.36568001488274887</v>
      </c>
      <c r="GG53" s="183">
        <f>EXP($LP$6-($LQ$6/('Trial and Error method'!Y53+$LP$8))) / ($LR$2/1000)</f>
        <v>0.3657313440585081</v>
      </c>
      <c r="GH53" s="183">
        <f>EXP($LP$6-($LQ$6/('Trial and Error method'!Z53+$LP$8))) / ($LR$2/1000)</f>
        <v>0.35345456743082565</v>
      </c>
      <c r="GI53" s="183">
        <f>EXP($LP$6-($LQ$6/('Trial and Error method'!AA53+$LP$8))) / ($LR$2/1000)</f>
        <v>0.35040266927438335</v>
      </c>
      <c r="GJ53" s="183">
        <f>EXP($LP$6-($LQ$6/('Trial and Error method'!AB53+$LP$8))) / ($LR$2/1000)</f>
        <v>0.33832508646022075</v>
      </c>
      <c r="GK53" s="188">
        <f t="shared" si="142"/>
        <v>0.72488199674309384</v>
      </c>
      <c r="GL53" s="165">
        <f t="shared" si="143"/>
        <v>0.73397520582327591</v>
      </c>
      <c r="GM53" s="165">
        <f t="shared" si="144"/>
        <v>0.74239297427826956</v>
      </c>
      <c r="GN53" s="165">
        <f t="shared" si="145"/>
        <v>0.76164205970889243</v>
      </c>
      <c r="GO53" s="165">
        <f t="shared" si="146"/>
        <v>0.67338952714690159</v>
      </c>
      <c r="GP53" s="165">
        <f t="shared" si="147"/>
        <v>0.67336281883251603</v>
      </c>
      <c r="GQ53" s="165">
        <f t="shared" si="148"/>
        <v>0.68000094770413211</v>
      </c>
      <c r="GR53" s="165">
        <f t="shared" si="149"/>
        <v>0.68157833280972191</v>
      </c>
      <c r="GS53" s="165">
        <f t="shared" si="150"/>
        <v>0.68808908311948191</v>
      </c>
      <c r="GT53" s="188">
        <f t="shared" si="194"/>
        <v>8.2304038540093979E-2</v>
      </c>
      <c r="GU53" s="165">
        <f t="shared" si="195"/>
        <v>8.1275142136928755E-2</v>
      </c>
      <c r="GV53" s="165">
        <f t="shared" si="196"/>
        <v>8.0285126247230915E-2</v>
      </c>
      <c r="GW53" s="165">
        <f t="shared" si="197"/>
        <v>7.8221566452221031E-2</v>
      </c>
      <c r="GX53" s="165">
        <f t="shared" si="198"/>
        <v>8.8413159506704822E-2</v>
      </c>
      <c r="GY53" s="165">
        <f t="shared" si="199"/>
        <v>8.8404142752131057E-2</v>
      </c>
      <c r="GZ53" s="165">
        <f t="shared" si="200"/>
        <v>8.7500318150390499E-2</v>
      </c>
      <c r="HA53" s="165">
        <f t="shared" si="201"/>
        <v>8.7292691077547016E-2</v>
      </c>
      <c r="HB53" s="165">
        <f t="shared" si="202"/>
        <v>8.6433600606263178E-2</v>
      </c>
      <c r="HC53" s="188">
        <f>BV53*Sheet3!DF53</f>
        <v>249.35214232174931</v>
      </c>
      <c r="HD53" s="165">
        <f>BW53*Sheet3!BZ53</f>
        <v>248.74648048037918</v>
      </c>
      <c r="HE53" s="165">
        <f>BX53*Sheet3!CA53</f>
        <v>234.34754738314743</v>
      </c>
      <c r="HF53" s="165">
        <f>BY53*Sheet3!CB53</f>
        <v>223.80410577593648</v>
      </c>
      <c r="HG53" s="165">
        <f>BZ53*Sheet3!CC53</f>
        <v>209.90296769100095</v>
      </c>
      <c r="HH53" s="165">
        <f>CA53*Sheet3!CD53</f>
        <v>203.97997900388953</v>
      </c>
      <c r="HI53" s="165">
        <f>CB53*Sheet3!CE53</f>
        <v>193.2069542081498</v>
      </c>
      <c r="HJ53" s="165">
        <f>CC53*Sheet3!CF53</f>
        <v>185.36464655574562</v>
      </c>
      <c r="HK53" s="165">
        <f>CD53*Sheet3!CG53</f>
        <v>174.55369804504298</v>
      </c>
      <c r="HL53" s="188">
        <f>(CE53*Sheet3!DF53)+2501</f>
        <v>2899.0054276934375</v>
      </c>
      <c r="HM53" s="165">
        <f>(CF53*Sheet3!BZ53)+2501</f>
        <v>2898.0249121372271</v>
      </c>
      <c r="HN53" s="165">
        <f>(CG53*Sheet3!CA53)+2501</f>
        <v>2875.034282908407</v>
      </c>
      <c r="HO53" s="165">
        <f>(CH53*Sheet3!CB53)+2501</f>
        <v>2857.999792811333</v>
      </c>
      <c r="HP53" s="165">
        <f>(CI53*Sheet3!CC53)+2501</f>
        <v>2836.0539691351773</v>
      </c>
      <c r="HQ53" s="165">
        <f>(CJ53*Sheet3!CD53)+2501</f>
        <v>2826.500947212483</v>
      </c>
      <c r="HR53" s="165">
        <f>(CK53*Sheet3!CE53)+2501</f>
        <v>2809.6832460475657</v>
      </c>
      <c r="HS53" s="165">
        <f>(CL53*Sheet3!CF53)+2501</f>
        <v>2797.0447021974005</v>
      </c>
      <c r="HT53" s="165">
        <f>(CM53*Sheet3!CG53)+2501</f>
        <v>2780.1675695471931</v>
      </c>
      <c r="HU53" s="188">
        <f>-0.0021*(Sheet3!DF53^2) - 2.2115*(Sheet3!DF53) + 2499</f>
        <v>1957.3899999999999</v>
      </c>
      <c r="HV53" s="165">
        <f>-0.0021*(Sheet3!BZ53^2) - 2.2115*(Sheet3!BZ53) + 2499</f>
        <v>1958.8550266885575</v>
      </c>
      <c r="HW53" s="165">
        <f>-0.0021*(Sheet3!CA53^2) - 2.2115*(Sheet3!CA53) + 2499</f>
        <v>1993.0541832340402</v>
      </c>
      <c r="HX53" s="165">
        <f>-0.0021*(Sheet3!CB53^2) - 2.2115*(Sheet3!CB53) + 2499</f>
        <v>2018.2029231254432</v>
      </c>
      <c r="HY53" s="165">
        <f>-0.0021*(Sheet3!CC53^2) - 2.2115*(Sheet3!CC53) + 2499</f>
        <v>2050.3582212043721</v>
      </c>
      <c r="HZ53" s="165">
        <f>-0.0021*(Sheet3!CD53^2) - 2.2115*(Sheet3!CD53) + 2499</f>
        <v>2064.2678612347945</v>
      </c>
      <c r="IA53" s="165">
        <f>-0.0021*(Sheet3!CE53^2) - 2.2115*(Sheet3!CE53) + 2499</f>
        <v>2088.6234323654844</v>
      </c>
      <c r="IB53" s="165">
        <f>-0.0021*(Sheet3!CF53^2) - 2.2115*(Sheet3!CF53) + 2499</f>
        <v>2106.814060951745</v>
      </c>
      <c r="IC53" s="165">
        <f>-0.0021*(Sheet3!CG53^2) - 2.2115*(Sheet3!CG53) + 2499</f>
        <v>2130.951063014023</v>
      </c>
      <c r="ID53" s="188">
        <f t="shared" si="203"/>
        <v>0.6543057114733688</v>
      </c>
      <c r="IE53" s="165">
        <f t="shared" si="204"/>
        <v>0.65451836003435782</v>
      </c>
      <c r="IF53" s="165">
        <f t="shared" si="205"/>
        <v>0.65936253101520459</v>
      </c>
      <c r="IG53" s="165">
        <f t="shared" si="206"/>
        <v>0.66353230993447598</v>
      </c>
      <c r="IH53" s="165">
        <f t="shared" si="207"/>
        <v>0.66863170390238513</v>
      </c>
      <c r="II53" s="165">
        <f t="shared" si="208"/>
        <v>0.67131392675212731</v>
      </c>
      <c r="IJ53" s="165">
        <f t="shared" si="209"/>
        <v>0.67540689026820266</v>
      </c>
      <c r="IK53" s="165">
        <f t="shared" si="210"/>
        <v>0.67937399272530907</v>
      </c>
      <c r="IL53" s="165">
        <f t="shared" si="211"/>
        <v>0.68401597991286622</v>
      </c>
      <c r="IM53" s="188">
        <f t="shared" si="212"/>
        <v>3.7439869172326761</v>
      </c>
      <c r="IN53" s="165">
        <f t="shared" si="151"/>
        <v>6.6384220750384948</v>
      </c>
      <c r="IO53" s="165">
        <f t="shared" si="152"/>
        <v>9.3444196044679728</v>
      </c>
      <c r="IP53" s="165">
        <f t="shared" si="153"/>
        <v>15.509179312121232</v>
      </c>
      <c r="IQ53" s="165">
        <f t="shared" si="154"/>
        <v>-14.449962591870454</v>
      </c>
      <c r="IR53" s="165">
        <f t="shared" si="155"/>
        <v>-14.555874593396071</v>
      </c>
      <c r="IS53" s="165">
        <f t="shared" si="156"/>
        <v>-12.43570586288558</v>
      </c>
      <c r="IT53" s="165">
        <f t="shared" si="157"/>
        <v>-11.953163630867397</v>
      </c>
      <c r="IU53" s="165">
        <f t="shared" si="158"/>
        <v>-9.8580144407884873</v>
      </c>
      <c r="IV53" s="188">
        <f>_xlfn.FORECAST.LINEAR(Sheet3!DF53,Sheet2!$AK$2:$AK$69,Sheet2!$AJ$2:$AJ$69)</f>
        <v>1.5962912137298422E-5</v>
      </c>
      <c r="IW53" s="165">
        <f>_xlfn.FORECAST.LINEAR(Sheet3!BZ53,Sheet2!$AK$2:$AK$69,Sheet2!$AJ$2:$AJ$69)</f>
        <v>1.5946212154054557E-5</v>
      </c>
      <c r="IX53" s="165">
        <f>_xlfn.FORECAST.LINEAR(Sheet3!CA53,Sheet2!$AK$2:$AK$69,Sheet2!$AJ$2:$AJ$69)</f>
        <v>1.5553228690751379E-5</v>
      </c>
      <c r="IY53" s="165">
        <f>_xlfn.FORECAST.LINEAR(Sheet3!CB53,Sheet2!$AK$2:$AK$69,Sheet2!$AJ$2:$AJ$69)</f>
        <v>1.5260288407781916E-5</v>
      </c>
      <c r="IZ53" s="165">
        <f>_xlfn.FORECAST.LINEAR(Sheet3!CC53,Sheet2!$AK$2:$AK$69,Sheet2!$AJ$2:$AJ$69)</f>
        <v>1.4880638212165699E-5</v>
      </c>
      <c r="JA53" s="165">
        <f>_xlfn.FORECAST.LINEAR(Sheet3!CD53,Sheet2!$AK$2:$AK$69,Sheet2!$AJ$2:$AJ$69)</f>
        <v>1.4714577397540086E-5</v>
      </c>
      <c r="JB53" s="165">
        <f>_xlfn.FORECAST.LINEAR(Sheet3!CE53,Sheet2!$AK$2:$AK$69,Sheet2!$AJ$2:$AJ$69)</f>
        <v>1.4421048409468101E-5</v>
      </c>
      <c r="JC53" s="165">
        <f>_xlfn.FORECAST.LINEAR(Sheet3!CF53,Sheet2!$AK$2:$AK$69,Sheet2!$AJ$2:$AJ$69)</f>
        <v>1.4199461643549774E-5</v>
      </c>
      <c r="JD53" s="165">
        <f>_xlfn.FORECAST.LINEAR(Sheet3!CG53,Sheet2!$AK$2:$AK$69,Sheet2!$AJ$2:$AJ$69)</f>
        <v>1.3902221779116017E-5</v>
      </c>
      <c r="JE53" s="188">
        <f>_xlfn.FORECAST.LINEAR(Sheet3!DF53,New!$MC$2:$MC$18,New!$MB$2:$MB$18)</f>
        <v>2.5847452754227255E-5</v>
      </c>
      <c r="JF53" s="165">
        <f>_xlfn.FORECAST.LINEAR(Sheet3!BZ53,New!$MC$2:$MC$18,New!$MB$2:$MB$18)</f>
        <v>2.5827821520841218E-5</v>
      </c>
      <c r="JG53" s="165">
        <f>_xlfn.FORECAST.LINEAR(Sheet3!CA53,New!$MC$2:$MC$18,New!$MB$2:$MB$18)</f>
        <v>2.5365859974395083E-5</v>
      </c>
      <c r="JH53" s="165">
        <f>_xlfn.FORECAST.LINEAR(Sheet3!CB53,New!$MC$2:$MC$18,New!$MB$2:$MB$18)</f>
        <v>2.5021501601145829E-5</v>
      </c>
      <c r="JI53" s="165">
        <f>_xlfn.FORECAST.LINEAR(Sheet3!CC53,New!$MC$2:$MC$18,New!$MB$2:$MB$18)</f>
        <v>2.457521363268712E-5</v>
      </c>
      <c r="JJ53" s="165">
        <f>_xlfn.FORECAST.LINEAR(Sheet3!CD53,New!$MC$2:$MC$18,New!$MB$2:$MB$18)</f>
        <v>2.4380005136930724E-5</v>
      </c>
      <c r="JK53" s="165">
        <f>_xlfn.FORECAST.LINEAR(Sheet3!CE53,New!$MC$2:$MC$18,New!$MB$2:$MB$18)</f>
        <v>2.4034954726624043E-5</v>
      </c>
      <c r="JL53" s="165">
        <f>_xlfn.FORECAST.LINEAR(Sheet3!CF53,New!$MC$2:$MC$18,New!$MB$2:$MB$18)</f>
        <v>2.3774474134908519E-5</v>
      </c>
      <c r="JM53" s="165">
        <f>_xlfn.FORECAST.LINEAR(Sheet3!CG53,New!$MC$2:$MC$18,New!$MB$2:$MB$18)</f>
        <v>2.3425061499870179E-5</v>
      </c>
      <c r="JN53" s="188">
        <f t="shared" si="159"/>
        <v>2.3093925029291481E-5</v>
      </c>
      <c r="JO53" s="165">
        <f t="shared" si="160"/>
        <v>2.3074700316992571E-5</v>
      </c>
      <c r="JP53" s="165">
        <f t="shared" si="161"/>
        <v>2.2624608274847631E-5</v>
      </c>
      <c r="JQ53" s="165">
        <f t="shared" si="162"/>
        <v>2.228708685762727E-5</v>
      </c>
      <c r="JR53" s="165">
        <f t="shared" si="163"/>
        <v>2.1853773629799208E-5</v>
      </c>
      <c r="JS53" s="165">
        <f t="shared" si="164"/>
        <v>2.1662233327830371E-5</v>
      </c>
      <c r="JT53" s="165">
        <f t="shared" si="165"/>
        <v>2.1328862084652294E-5</v>
      </c>
      <c r="JU53" s="165">
        <f t="shared" si="166"/>
        <v>2.1073037235468608E-5</v>
      </c>
      <c r="JV53" s="165">
        <f t="shared" si="167"/>
        <v>2.0735409822848865E-5</v>
      </c>
      <c r="JW53" s="188">
        <f t="shared" si="231"/>
        <v>0.99342087640971777</v>
      </c>
      <c r="JX53" s="165">
        <f t="shared" si="232"/>
        <v>0.99357211775472687</v>
      </c>
      <c r="JY53" s="165">
        <f t="shared" si="233"/>
        <v>0.99722178811407536</v>
      </c>
      <c r="JZ53" s="165">
        <f t="shared" si="234"/>
        <v>1.0000605572373851</v>
      </c>
      <c r="KA53" s="165">
        <f t="shared" si="235"/>
        <v>1.0039002493507181</v>
      </c>
      <c r="KB53" s="165">
        <f t="shared" si="236"/>
        <v>1.0056399138243435</v>
      </c>
      <c r="KC53" s="165">
        <f t="shared" si="237"/>
        <v>1.0088095600403941</v>
      </c>
      <c r="KD53" s="165">
        <f t="shared" si="238"/>
        <v>1.0112861225040428</v>
      </c>
      <c r="KE53" s="165">
        <f t="shared" si="239"/>
        <v>1.0147278187543414</v>
      </c>
      <c r="KF53" s="188">
        <f t="shared" si="75"/>
        <v>0.98626119619886909</v>
      </c>
      <c r="KG53" s="165">
        <f t="shared" si="240"/>
        <v>0.98612835768894491</v>
      </c>
      <c r="KH53" s="165">
        <f t="shared" si="241"/>
        <v>0.98294001855050295</v>
      </c>
      <c r="KI53" s="165">
        <f t="shared" si="242"/>
        <v>0.98048276106567511</v>
      </c>
      <c r="KJ53" s="165">
        <f t="shared" si="243"/>
        <v>0.97719021438343623</v>
      </c>
      <c r="KK53" s="165">
        <f t="shared" si="244"/>
        <v>0.97571008547219695</v>
      </c>
      <c r="KL53" s="165">
        <f t="shared" si="245"/>
        <v>0.97303173893131301</v>
      </c>
      <c r="KM53" s="165">
        <f t="shared" si="246"/>
        <v>0.97095543706381471</v>
      </c>
      <c r="KN53" s="165">
        <f t="shared" si="247"/>
        <v>0.96809355858956925</v>
      </c>
      <c r="KO53" s="188">
        <f t="shared" si="213"/>
        <v>0.65795185842089765</v>
      </c>
      <c r="KP53" s="165">
        <f t="shared" si="214"/>
        <v>0.65776843390875728</v>
      </c>
      <c r="KQ53" s="165">
        <f t="shared" si="215"/>
        <v>0.65148884687604192</v>
      </c>
      <c r="KR53" s="165">
        <f t="shared" si="216"/>
        <v>0.6466672539107815</v>
      </c>
      <c r="KS53" s="165">
        <f t="shared" si="217"/>
        <v>0.64023643688434351</v>
      </c>
      <c r="KT53" s="165">
        <f t="shared" si="218"/>
        <v>0.63735343553180812</v>
      </c>
      <c r="KU53" s="165">
        <f t="shared" si="219"/>
        <v>0.63216041520835176</v>
      </c>
      <c r="KV53" s="165">
        <f t="shared" si="220"/>
        <v>0.62814275619142135</v>
      </c>
      <c r="KW53" s="165">
        <f t="shared" si="221"/>
        <v>0.62271750193003061</v>
      </c>
      <c r="KX53" s="188">
        <f>AVERAGE(Sheet3!J53:P53)*KO53^(1/3)/ID53^(1/3)</f>
        <v>78.20488858219872</v>
      </c>
      <c r="KY53" s="165">
        <f>Sheet3!J53*KP53^(1/3)/IE53^(1/3)</f>
        <v>57.046288699392306</v>
      </c>
      <c r="KZ53" s="165">
        <f>Sheet3!K53*KQ53^(1/3)/IF53^(1/3)</f>
        <v>59.265235534929289</v>
      </c>
      <c r="LA53" s="165">
        <f>Sheet3!L53*KR53^(1/3)/IG53^(1/3)</f>
        <v>64.551631006166076</v>
      </c>
      <c r="LB53" s="165">
        <f>Sheet3!M53*KS53^(1/3)/IH53^(1/3)</f>
        <v>70.898037257306797</v>
      </c>
      <c r="LC53" s="165">
        <f>Sheet3!N53*KT53^(1/3)/II53^(1/3)</f>
        <v>80.604792843058078</v>
      </c>
      <c r="LD53" s="165">
        <f>Sheet3!O53*KU53^(1/3)/IJ53^(1/3)</f>
        <v>93.875464597527809</v>
      </c>
      <c r="LE53" s="165">
        <f>Sheet3!P53*KV53^(1/3)/IK53^(1/3)</f>
        <v>111.98084412817538</v>
      </c>
      <c r="LF53" s="165">
        <f>Sheet3!Q53*KW53^(1/3)/IL53^(1/3)</f>
        <v>134.21237953844889</v>
      </c>
      <c r="LG53" s="186">
        <f t="shared" si="248"/>
        <v>25.822332211443282</v>
      </c>
      <c r="LH53" s="183">
        <f t="shared" si="249"/>
        <v>25.822332211443282</v>
      </c>
      <c r="LI53" s="183">
        <f t="shared" si="250"/>
        <v>25.935468543728653</v>
      </c>
      <c r="LJ53" s="183">
        <f t="shared" si="251"/>
        <v>25.935468543728653</v>
      </c>
      <c r="LK53" s="183">
        <f t="shared" si="252"/>
        <v>26.142237545955133</v>
      </c>
      <c r="LL53" s="183">
        <f t="shared" si="253"/>
        <v>26.142237545955133</v>
      </c>
      <c r="LM53" s="183">
        <f t="shared" si="254"/>
        <v>26.402670241926245</v>
      </c>
      <c r="LN53" s="183">
        <f t="shared" si="255"/>
        <v>26.403153607441215</v>
      </c>
      <c r="LO53" s="183">
        <f t="shared" si="256"/>
        <v>26.692021240628414</v>
      </c>
      <c r="LP53" s="220"/>
      <c r="LQ53" s="220"/>
      <c r="LR53" s="220"/>
      <c r="LS53" s="220"/>
      <c r="LT53" s="220"/>
      <c r="LU53" s="220"/>
      <c r="LV53" s="220"/>
      <c r="LW53" s="220"/>
      <c r="LX53" s="220"/>
      <c r="LY53" s="220"/>
      <c r="LZ53" s="222">
        <v>198.28</v>
      </c>
      <c r="MA53" s="220">
        <v>1.5999999999999999E-5</v>
      </c>
      <c r="MB53" s="220"/>
      <c r="MC53" s="220"/>
      <c r="MD53" s="188">
        <f>Sheet3!DP53</f>
        <v>160.61742022864183</v>
      </c>
      <c r="MF53" s="165"/>
      <c r="MP53"/>
      <c r="MQ53"/>
      <c r="MR53"/>
      <c r="MS53"/>
    </row>
    <row r="54" spans="1:357" x14ac:dyDescent="0.3">
      <c r="A54" s="184">
        <f>Sheet3!A54</f>
        <v>44942</v>
      </c>
      <c r="B54" s="186">
        <f t="shared" si="102"/>
        <v>0.78030686986966868</v>
      </c>
      <c r="C54" s="183">
        <f t="shared" si="168"/>
        <v>0.77900763105031157</v>
      </c>
      <c r="D54" s="183">
        <f t="shared" si="169"/>
        <v>0.77468956981400461</v>
      </c>
      <c r="E54" s="183">
        <f t="shared" si="170"/>
        <v>0.76835281331674765</v>
      </c>
      <c r="F54" s="183">
        <f t="shared" si="171"/>
        <v>0.76222433320020333</v>
      </c>
      <c r="G54" s="183">
        <f t="shared" si="172"/>
        <v>0.75726523564972037</v>
      </c>
      <c r="H54" s="183">
        <f t="shared" si="173"/>
        <v>0.75513116322577334</v>
      </c>
      <c r="I54" s="183">
        <f t="shared" si="174"/>
        <v>0.7503889991718139</v>
      </c>
      <c r="J54" s="183">
        <f t="shared" si="175"/>
        <v>0.74629974487532313</v>
      </c>
      <c r="K54" s="186">
        <f xml:space="preserve"> (6.057 * (10^(-6)))
+ (4.055 * (10^(-8)) * (Sheet3!DF54 + 273))
+ (1.25 * (10^(-10)) * (Sheet3!DF54 + 273)^2)
- (3.367 * (10^(-14)) * (DD54 + 273)^3)</f>
        <v>3.5902393082450632E-5</v>
      </c>
      <c r="L54" s="183">
        <f xml:space="preserve"> (6.057 * (10^(-6)))
+ (4.055 * (10^(-8)) * (Sheet3!BZ54 + 273))
+ (1.25 * (10^(-10)) * (Sheet3!BZ54 + 273)^2)
- (3.367 * (10^(-14)) * (BX54 + 273)^3)</f>
        <v>3.5818314224237581E-5</v>
      </c>
      <c r="M54" s="183">
        <f xml:space="preserve"> (6.057 * (10^(-6)))
+ (4.055 * (10^(-8)) * (Sheet3!CA54 + 273))
+ (1.25 * (10^(-10)) * (Sheet3!CA54 + 273)^2)
- (3.367 * (10^(-14)) * (BY54 + 273)^3)</f>
        <v>3.5473147891448712E-5</v>
      </c>
      <c r="N54" s="183">
        <f xml:space="preserve"> (6.057 * (10^(-6)))
+ (4.055 * (10^(-8)) * (Sheet3!CB54 + 273))
+ (1.25 * (10^(-10)) * (Sheet3!CB54 + 273)^2)
- (3.367 * (10^(-14)) * (BZ54 + 273)^3)</f>
        <v>3.5113936130713861E-5</v>
      </c>
      <c r="O54" s="183">
        <f xml:space="preserve"> (6.057 * (10^(-6)))
+ (4.055 * (10^(-8)) * (Sheet3!CC54 + 273))
+ (1.25 * (10^(-10)) * (Sheet3!CC54 + 273)^2)
- (3.367 * (10^(-14)) * (CA54 + 273)^3)</f>
        <v>3.4701716455406631E-5</v>
      </c>
      <c r="P54" s="183">
        <f xml:space="preserve"> (6.057 * (10^(-6)))
+ (4.055 * (10^(-8)) * (Sheet3!CD54 + 273))
+ (1.25 * (10^(-10)) * (Sheet3!CD54 + 273)^2)
- (3.367 * (10^(-14)) * (CB54 + 273)^3)</f>
        <v>3.4429500398055395E-5</v>
      </c>
      <c r="Q54" s="183">
        <f xml:space="preserve"> (6.057 * (10^(-6)))
+ (4.055 * (10^(-8)) * (Sheet3!CE54 + 273))
+ (1.25 * (10^(-10)) * (Sheet3!CE54 + 273)^2)
- (3.367 * (10^(-14)) * (CC54 + 273)^3)</f>
        <v>3.4204351407023428E-5</v>
      </c>
      <c r="R54" s="183">
        <f xml:space="preserve"> (6.057 * (10^(-6)))
+ (4.055 * (10^(-8)) * (Sheet3!CF54 + 273))
+ (1.25 * (10^(-10)) * (Sheet3!CF54 + 273)^2)
- (3.367 * (10^(-14)) * (CD54 + 273)^3)</f>
        <v>3.3939675049504307E-5</v>
      </c>
      <c r="S54" s="183">
        <f xml:space="preserve"> (6.057 * (10^(-6)))
+ (4.055 * (10^(-8)) * (Sheet3!CG54 + 273))
+ (1.25 * (10^(-10)) * (Sheet3!CG54 + 273)^2)
- (3.367 * (10^(-14)) * (CE54 + 273)^3)</f>
        <v>3.3545800247426252E-5</v>
      </c>
      <c r="T54" s="188">
        <f t="shared" si="104"/>
        <v>3.5902393082450632E-5</v>
      </c>
      <c r="U54" s="165">
        <f t="shared" si="105"/>
        <v>3.5818314224237581E-5</v>
      </c>
      <c r="V54" s="165">
        <f t="shared" si="106"/>
        <v>3.5473147891448712E-5</v>
      </c>
      <c r="W54" s="165">
        <f t="shared" si="107"/>
        <v>3.5113936130713861E-5</v>
      </c>
      <c r="X54" s="165">
        <f t="shared" si="108"/>
        <v>3.4701716455406631E-5</v>
      </c>
      <c r="Y54" s="165">
        <f t="shared" si="109"/>
        <v>3.4429500398055395E-5</v>
      </c>
      <c r="Z54" s="165">
        <f t="shared" si="110"/>
        <v>3.4204351407023428E-5</v>
      </c>
      <c r="AA54" s="165">
        <f t="shared" si="111"/>
        <v>3.3939675049504307E-5</v>
      </c>
      <c r="AB54" s="165">
        <f t="shared" si="112"/>
        <v>3.3545800247426252E-5</v>
      </c>
      <c r="AC54" s="186">
        <f t="shared" si="176"/>
        <v>2.80148839669975E-5</v>
      </c>
      <c r="AD54" s="183">
        <f t="shared" si="177"/>
        <v>2.7902740112038995E-5</v>
      </c>
      <c r="AE54" s="183">
        <f t="shared" si="178"/>
        <v>2.7480677679974966E-5</v>
      </c>
      <c r="AF54" s="183">
        <f t="shared" si="179"/>
        <v>2.6979891612658586E-5</v>
      </c>
      <c r="AG54" s="183">
        <f t="shared" si="180"/>
        <v>2.6450492686124844E-5</v>
      </c>
      <c r="AH54" s="183">
        <f t="shared" si="181"/>
        <v>2.6072263732235561E-5</v>
      </c>
      <c r="AI54" s="183">
        <f t="shared" si="182"/>
        <v>2.5828771665368717E-5</v>
      </c>
      <c r="AJ54" s="183">
        <f t="shared" si="183"/>
        <v>2.5467958792614119E-5</v>
      </c>
      <c r="AK54" s="183">
        <f t="shared" si="184"/>
        <v>2.5035222166292765E-5</v>
      </c>
      <c r="AL54" s="186">
        <f t="shared" si="113"/>
        <v>2.9186123831148391E-2</v>
      </c>
      <c r="AM54" s="183">
        <f t="shared" si="114"/>
        <v>2.9113616586812323E-2</v>
      </c>
      <c r="AN54" s="183">
        <f t="shared" si="115"/>
        <v>2.8811395535409758E-2</v>
      </c>
      <c r="AO54" s="183">
        <f t="shared" si="116"/>
        <v>2.8490852338158748E-2</v>
      </c>
      <c r="AP54" s="183">
        <f t="shared" si="117"/>
        <v>2.8124520787809783E-2</v>
      </c>
      <c r="AQ54" s="183">
        <f t="shared" si="118"/>
        <v>2.7878716627292899E-2</v>
      </c>
      <c r="AR54" s="183">
        <f t="shared" si="119"/>
        <v>2.7681579848439844E-2</v>
      </c>
      <c r="AS54" s="183">
        <f t="shared" si="120"/>
        <v>2.7441523669266988E-2</v>
      </c>
      <c r="AT54" s="183">
        <f t="shared" si="121"/>
        <v>2.7098657944605715E-2</v>
      </c>
      <c r="AU54" s="186">
        <f>_xlfn.FORECAST.LINEAR(Sheet3!DF54,Sheet2!$AH$2:$AH$40,Sheet2!$AG$2:$AG$40)</f>
        <v>2.5653712965492358E-2</v>
      </c>
      <c r="AV54" s="183">
        <f>_xlfn.FORECAST.LINEAR(Sheet3!BZ54,Sheet2!$AH$2:$AH$40,Sheet2!$AG$2:$AG$40)</f>
        <v>2.5493128875289619E-2</v>
      </c>
      <c r="AW54" s="183">
        <f>_xlfn.FORECAST.LINEAR(Sheet3!CA54,Sheet2!$AH$2:$AH$40,Sheet2!$AG$2:$AG$40)</f>
        <v>2.4816032781287307E-2</v>
      </c>
      <c r="AX54" s="183">
        <f>_xlfn.FORECAST.LINEAR(Sheet3!CB54,Sheet2!$AH$2:$AH$40,Sheet2!$AG$2:$AG$40)</f>
        <v>2.410762606210588E-2</v>
      </c>
      <c r="AY54" s="183">
        <f>_xlfn.FORECAST.LINEAR(Sheet3!CC54,Sheet2!$AH$2:$AH$40,Sheet2!$AG$2:$AG$40)</f>
        <v>2.3289962336738849E-2</v>
      </c>
      <c r="AZ54" s="183">
        <f>_xlfn.FORECAST.LINEAR(Sheet3!CD54,Sheet2!$AH$2:$AH$40,Sheet2!$AG$2:$AG$40)</f>
        <v>2.2747118431064244E-2</v>
      </c>
      <c r="BA54" s="183">
        <f>_xlfn.FORECAST.LINEAR(Sheet3!CE54,Sheet2!$AH$2:$AH$40,Sheet2!$AG$2:$AG$40)</f>
        <v>2.229644002602079E-2</v>
      </c>
      <c r="BB54" s="183">
        <f>_xlfn.FORECAST.LINEAR(Sheet3!CF54,Sheet2!$AH$2:$AH$40,Sheet2!$AG$2:$AG$40)</f>
        <v>2.1764541326315289E-2</v>
      </c>
      <c r="BC54" s="183">
        <f>_xlfn.FORECAST.LINEAR(Sheet3!CG54,Sheet2!$AH$2:$AH$40,Sheet2!$AG$2:$AG$40)</f>
        <v>2.0980153721054755E-2</v>
      </c>
      <c r="BD54" s="186">
        <f>_xlfn.FORECAST.LINEAR(Sheet3!DF54,Sheet2!$AB$12:$AB$37,Sheet2!$AA$12:$AA$37)/1000</f>
        <v>3.0506351161118033E-2</v>
      </c>
      <c r="BE54" s="183">
        <f>_xlfn.FORECAST.LINEAR(Sheet3!BZ54,Sheet2!$AB$12:$AB$37,Sheet2!$AA$12:$AA$37)/1000</f>
        <v>3.0470448275513089E-2</v>
      </c>
      <c r="BF54" s="183">
        <f>_xlfn.FORECAST.LINEAR(Sheet3!CA54,Sheet2!$AB$12:$AB$37,Sheet2!$AA$12:$AA$37)/1000</f>
        <v>3.0319065261318924E-2</v>
      </c>
      <c r="BG54" s="183">
        <f>_xlfn.FORECAST.LINEAR(Sheet3!CB54,Sheet2!$AB$12:$AB$37,Sheet2!$AA$12:$AA$37)/1000</f>
        <v>3.0160681916067019E-2</v>
      </c>
      <c r="BH54" s="183">
        <f>_xlfn.FORECAST.LINEAR(Sheet3!CC54,Sheet2!$AB$12:$AB$37,Sheet2!$AA$12:$AA$37)/1000</f>
        <v>2.9977871233152542E-2</v>
      </c>
      <c r="BI54" s="183">
        <f>_xlfn.FORECAST.LINEAR(Sheet3!CD54,Sheet2!$AB$12:$AB$37,Sheet2!$AA$12:$AA$37)/1000</f>
        <v>2.9856503900796205E-2</v>
      </c>
      <c r="BJ54" s="183">
        <f>_xlfn.FORECAST.LINEAR(Sheet3!CE54,Sheet2!$AB$12:$AB$37,Sheet2!$AA$12:$AA$37)/1000</f>
        <v>2.9755742641069515E-2</v>
      </c>
      <c r="BK54" s="183">
        <f>_xlfn.FORECAST.LINEAR(Sheet3!CF54,Sheet2!$AB$12:$AB$37,Sheet2!$AA$12:$AA$37)/1000</f>
        <v>2.9636822403424336E-2</v>
      </c>
      <c r="BL54" s="183">
        <f>_xlfn.FORECAST.LINEAR(Sheet3!CG54,Sheet2!$AB$12:$AB$37,Sheet2!$AA$12:$AA$37)/1000</f>
        <v>2.946145149073897E-2</v>
      </c>
      <c r="BM54" s="186">
        <f t="shared" si="122"/>
        <v>0.88227413980459513</v>
      </c>
      <c r="BN54" s="183">
        <f t="shared" si="123"/>
        <v>0.88385200138179787</v>
      </c>
      <c r="BO54" s="183">
        <f t="shared" si="124"/>
        <v>0.8908111227151021</v>
      </c>
      <c r="BP54" s="183">
        <f t="shared" si="125"/>
        <v>0.89789015421915308</v>
      </c>
      <c r="BQ54" s="183">
        <f t="shared" si="126"/>
        <v>0.90642928956077484</v>
      </c>
      <c r="BR54" s="183">
        <f t="shared" si="127"/>
        <v>0.91203357206812141</v>
      </c>
      <c r="BS54" s="183">
        <f t="shared" si="128"/>
        <v>0.91710305684710491</v>
      </c>
      <c r="BT54" s="183">
        <f t="shared" si="129"/>
        <v>0.92275526534165186</v>
      </c>
      <c r="BU54" s="183">
        <f t="shared" si="130"/>
        <v>0.93173581165500685</v>
      </c>
      <c r="BV54" s="186">
        <f t="shared" si="222"/>
        <v>1.180820931248765</v>
      </c>
      <c r="BW54" s="183">
        <f t="shared" si="223"/>
        <v>1.1805102288918565</v>
      </c>
      <c r="BX54" s="183">
        <f t="shared" si="224"/>
        <v>1.1769316047410856</v>
      </c>
      <c r="BY54" s="183">
        <f t="shared" si="225"/>
        <v>1.1760939933136529</v>
      </c>
      <c r="BZ54" s="183">
        <f t="shared" si="226"/>
        <v>1.1730524606310779</v>
      </c>
      <c r="CA54" s="183">
        <f t="shared" si="227"/>
        <v>1.1724199826102359</v>
      </c>
      <c r="CB54" s="183">
        <f t="shared" si="228"/>
        <v>1.1686083324802192</v>
      </c>
      <c r="CC54" s="183">
        <f t="shared" si="229"/>
        <v>1.1676899733795725</v>
      </c>
      <c r="CD54" s="183">
        <f t="shared" si="230"/>
        <v>1.1617255613777451</v>
      </c>
      <c r="CE54" s="187">
        <f xml:space="preserve"> -0.0000000019505*Sheet3!DF54^3 + 0.0000015497*Sheet3!DF54^2  + 0.00016911*Sheet3!DF54 + 1.8585</f>
        <v>1.8828730816875001</v>
      </c>
      <c r="CF54" s="185">
        <f xml:space="preserve"> -0.0000000019505*Sheet3!BZ54^3 + 0.0000015497*Sheet3!BZ54^2  + 0.00016911*Sheet3!BZ54 + 1.8585</f>
        <v>1.8826268986968562</v>
      </c>
      <c r="CG54" s="185">
        <f xml:space="preserve"> -0.0000000019505*Sheet3!CA54^3 + 0.0000015497*Sheet3!CA54^2  + 0.00016911*Sheet3!CA54 + 1.8585</f>
        <v>1.881598186604043</v>
      </c>
      <c r="CH54" s="185">
        <f xml:space="preserve"> -0.0000000019505*Sheet3!CB54^3 + 0.0000015497*Sheet3!CB54^2  + 0.00016911*Sheet3!CB54 + 1.8585</f>
        <v>1.8805381920255819</v>
      </c>
      <c r="CI54" s="185">
        <f xml:space="preserve"> -0.0000000019505*Sheet3!CC54^3 + 0.0000015497*Sheet3!CC54^2  + 0.00016911*Sheet3!CC54 + 1.8585</f>
        <v>1.8793357491319851</v>
      </c>
      <c r="CJ54" s="185">
        <f xml:space="preserve"> -0.0000000019505*Sheet3!CD54^3 + 0.0000015497*Sheet3!CD54^2  + 0.00016911*Sheet3!CD54 + 1.8585</f>
        <v>1.8785500826162955</v>
      </c>
      <c r="CK54" s="185">
        <f xml:space="preserve"> -0.0000000019505*Sheet3!CE54^3 + 0.0000015497*Sheet3!CE54^2  + 0.00016911*Sheet3!CE54 + 1.8585</f>
        <v>1.877905562786623</v>
      </c>
      <c r="CL54" s="185">
        <f xml:space="preserve"> -0.0000000019505*Sheet3!CF54^3 + 0.0000015497*Sheet3!CF54^2  + 0.00016911*Sheet3!CF54 + 1.8585</f>
        <v>1.877154034425502</v>
      </c>
      <c r="CM54" s="185">
        <f xml:space="preserve"> -0.0000000019505*Sheet3!CG54^3 + 0.0000015497*Sheet3!CG54^2  + 0.00016911*Sheet3!CG54 + 1.8585</f>
        <v>1.8760640443276957</v>
      </c>
      <c r="CN54" s="186">
        <f>_xlfn.FORECAST.LINEAR(Sheet3!DF54,New!$LU$2:$LU$14,New!$LT$2:$LT$14)</f>
        <v>1.0126209368728181</v>
      </c>
      <c r="CO54" s="183">
        <f>_xlfn.FORECAST.LINEAR(Sheet3!BZ54,New!$LU$2:$LU$14,New!$LT$2:$LT$14)</f>
        <v>1.0125027448756814</v>
      </c>
      <c r="CP54" s="183">
        <f>_xlfn.FORECAST.LINEAR(Sheet3!CA54,New!$LU$2:$LU$14,New!$LT$2:$LT$14)</f>
        <v>1.0120043932674831</v>
      </c>
      <c r="CQ54" s="183">
        <f>_xlfn.FORECAST.LINEAR(Sheet3!CB54,New!$LU$2:$LU$14,New!$LT$2:$LT$14)</f>
        <v>1.0114829966283805</v>
      </c>
      <c r="CR54" s="183">
        <f>_xlfn.FORECAST.LINEAR(Sheet3!CC54,New!$LU$2:$LU$14,New!$LT$2:$LT$14)</f>
        <v>1.0108811853993518</v>
      </c>
      <c r="CS54" s="183">
        <f>_xlfn.FORECAST.LINEAR(Sheet3!CD54,New!$LU$2:$LU$14,New!$LT$2:$LT$14)</f>
        <v>1.0104816451630547</v>
      </c>
      <c r="CT54" s="183">
        <f>_xlfn.FORECAST.LINEAR(Sheet3!CE54,New!$LU$2:$LU$14,New!$LT$2:$LT$14)</f>
        <v>1.0101499399443672</v>
      </c>
      <c r="CU54" s="183">
        <f>_xlfn.FORECAST.LINEAR(Sheet3!CF54,New!$LU$2:$LU$14,New!$LT$2:$LT$14)</f>
        <v>1.0097584555232566</v>
      </c>
      <c r="CV54" s="183">
        <f>_xlfn.FORECAST.LINEAR(Sheet3!CG54,New!$LU$2:$LU$14,New!$LT$2:$LT$14)</f>
        <v>1.009181135955185</v>
      </c>
      <c r="CW54" s="186">
        <f>EXP((17.625*Sheet3!BA54)/(243.04+Sheet3!BA54)) / EXP((17.625*Sheet3!DF54)/(243.04+Sheet3!DF54))</f>
        <v>0.4092136654242175</v>
      </c>
      <c r="CX54" s="183">
        <f>EXP((17.625*(Sheet3!BC54+273))/(243.04+(Sheet3!BC54+273)))/EXP((17.625*(Sheet3!BZ54+273))/(243.04+(Sheet3!BZ54+273)))</f>
        <v>0.77826199770422211</v>
      </c>
      <c r="CY54" s="183">
        <f>EXP((17.625*(Sheet3!BE54+273))/(243.04+(Sheet3!BE54+273))) / EXP((17.625*(Sheet3!CA54+273))/(243.04+(Sheet3!CA54+273)))</f>
        <v>0.80267139969934276</v>
      </c>
      <c r="CZ54" s="183">
        <f>EXP((17.625*(Sheet3!BG54+273))/(243.04+(Sheet3!BG54+273))) / EXP((17.625*(Sheet3!CB54+273))/(243.04+(Sheet3!CB54+273)))</f>
        <v>0.82741717381810032</v>
      </c>
      <c r="DA54" s="183">
        <f>EXP((17.625*(Sheet3!BI54+273))/(243.04+(Sheet3!BI54+273))) / EXP((17.625*(Sheet3!CC54+273))/(243.04+(Sheet3!CC54+273)))</f>
        <v>0.85792944400264004</v>
      </c>
      <c r="DB54" s="183">
        <f>EXP((17.625*(Sheet3!BK54+273))/(243.04+(Sheet3!BK54+273)))/EXP((17.625*(Sheet3!CD54+273))/(243.04+(Sheet3!CD54+273)))</f>
        <v>0.8805349925788698</v>
      </c>
      <c r="DC54" s="183">
        <f>EXP((17.625*(Sheet3!BM54+273))/(243.04+(Sheet3!BM54+273))) / EXP((17.625*(Sheet3!CE54+273))/(243.04+(Sheet3!CE54+273)))</f>
        <v>0.89609163497609445</v>
      </c>
      <c r="DD54" s="183">
        <f>EXP((17.625*(Sheet3!BO54+273))/(243.04+(Sheet3!BO54+273))) / EXP((17.625*(Sheet3!CF54+273))/(243.04+(Sheet3!CF54+273)))</f>
        <v>0.91917805473786718</v>
      </c>
      <c r="DE54" s="183">
        <f>EXP((17.625*(Sheet3!BQ54+273))/(243.04+(Sheet3!BQ54+273))) / EXP((17.625*(Sheet3!CG54+273))/(243.04+(Sheet3!CG54+273)))</f>
        <v>0.94881263888621414</v>
      </c>
      <c r="DF54" s="186">
        <f>((Sheet3!DA54-Sheet3!DB54)/New!$LQ$3)/(((Sheet3!DA54-Sheet3!DB54)/New!$LQ$3)+(Sheet3!DB54/New!$LP$3))</f>
        <v>0.72194763558642794</v>
      </c>
      <c r="DG54" s="183">
        <f>((Sheet3!DA54-Sheet3!DB54)/New!$LQ$3)/(((Sheet3!DA54-Sheet3!DB54)/New!$LQ$3)+((Sheet3!DB54-(Sheet3!B54*0.004))/New!$LP$3))</f>
        <v>0.72271649935892257</v>
      </c>
      <c r="DH54" s="183" cm="1">
        <f t="array" ref="DH54">((Sheet3!DA54-Sheet3!DB54)/New!$LQ$3)/(((Sheet3!DA54-Sheet3!DB54)/New!$LQ$3)+((Sheet3!DB54-(SUM(Sheet3!B54:C54*0.004)))/New!$LP$3))</f>
        <v>0.73662342561991123</v>
      </c>
      <c r="DI54" s="183" cm="1">
        <f t="array" ref="DI54">((Sheet3!DA54-Sheet3!DB54)/New!$LQ$3)/(((Sheet3!DA54-Sheet3!DB54)/New!$LQ$3)+((Sheet3!DB54-(SUM(Sheet3!B54:D54*0.004)))/New!$LP$3))</f>
        <v>0.73764249213836475</v>
      </c>
      <c r="DJ54" s="183" cm="1">
        <f t="array" ref="DJ54">((Sheet3!DA54-Sheet3!DB54)/New!$LQ$3)/(((Sheet3!DA54-Sheet3!DB54)/New!$LQ$3)+((Sheet3!DB54-(SUM(Sheet3!B54:E54*0.004)))/New!$LP$3))</f>
        <v>0.74889090151249771</v>
      </c>
      <c r="DK54" s="183" cm="1">
        <f t="array" ref="DK54">((Sheet3!DA54-Sheet3!DB54)/New!$LQ$3)/(((Sheet3!DA54-Sheet3!DB54)/New!$LQ$3)+((Sheet3!DB54-(SUM(Sheet3!B54:F54*0.004)))/New!$LP$3))</f>
        <v>0.74968061067516345</v>
      </c>
      <c r="DL54" s="183" cm="1">
        <f t="array" ref="DL54">((Sheet3!DA54-Sheet3!DB54)/New!$LQ$3)/(((Sheet3!DA54-Sheet3!DB54)/New!$LQ$3)+((Sheet3!DB54-(SUM(Sheet3!B54:G54*0.004)))/New!$LP$3))</f>
        <v>0.76685484372166601</v>
      </c>
      <c r="DM54" s="183" cm="1">
        <f t="array" ref="DM54">((Sheet3!DA54-Sheet3!DB54)/New!$LQ$3)/(((Sheet3!DA54-Sheet3!DB54)/New!$LQ$3)+((Sheet3!DB54-(SUM(Sheet3!B54:H54*0.004)))/New!$LP$3))</f>
        <v>0.76922551394853722</v>
      </c>
      <c r="DN54" s="183" cm="1">
        <f t="array" ref="DN54">((Sheet3!DA54-Sheet3!DB54)/New!$LQ$3)/(((Sheet3!DA54-Sheet3!DB54)/New!$LQ$3)+((Sheet3!DB54-(SUM(Sheet3!B54:I54*0.004)))/New!$LP$3))</f>
        <v>0.79745275485288625</v>
      </c>
      <c r="DO54" s="186">
        <f>(Sheet3!DB54/$LP$3) / ((Sheet3!DB54/$LP$3) + ((Sheet3!DA54-Sheet3!DB54)/$LQ$3))</f>
        <v>0.27805236441357195</v>
      </c>
      <c r="DP54" s="183">
        <f>((Sheet3!$DB54-(Sheet3!B54/4000)) / $LP$3) / (((Sheet3!$DA54-Sheet3!DB54) / $LQ$3) + (Sheet3!$DB54-((Sheet3!B54/4000)))/$LP$3)</f>
        <v>0.27800435835818493</v>
      </c>
      <c r="DQ54" s="183">
        <f>((Sheet3!$DB54-(SUM(Sheet3!B54:C54)/4000))/$LP$3)/(((Sheet3!$DA54-Sheet3!$DB54)/$LQ$3)+(Sheet3!$DB54-(SUM(Sheet3!B54:C54)/4000))/$LP$3)</f>
        <v>0.2771522809226048</v>
      </c>
      <c r="DR54" s="183">
        <f>((Sheet3!$DB54-(SUM(Sheet3!B54:D54)/4000))/$LP$3)/(((Sheet3!$DA54-Sheet3!$DB54)/$LQ$3)+(Sheet3!$DB54-(SUM(Sheet3!B54:D54)/4000))/$LP$3)</f>
        <v>0.27709102874581415</v>
      </c>
      <c r="DS54" s="183">
        <f>((Sheet3!$DB54-(SUM(Sheet3!B54:E54)/4000))/$LP$3)/(((Sheet3!$DA54-Sheet3!$DB54)/$LQ$3)+(Sheet3!$DB54-(SUM(Sheet3!B54:E54)/4000))/$LP$3)</f>
        <v>0.27642533631929772</v>
      </c>
      <c r="DT54" s="183">
        <f>((Sheet3!$DB54-(SUM(Sheet3!B54:F54)/4000))/$LP$3)/(((Sheet3!$DA54-Sheet3!$DB54)/$LQ$3)+(Sheet3!$DB54-(SUM(Sheet3!B54:F54)/4000))/$LP$3)</f>
        <v>0.27637930571342523</v>
      </c>
      <c r="DU54" s="183">
        <f>((Sheet3!$DB54-(SUM(Sheet3!B54:G54)/4000))/$LP$3)/(((Sheet3!$DA54-Sheet3!$DB54)/$LQ$3)+(Sheet3!$DB54-(SUM(Sheet3!B54:G54)/4000))/$LP$3)</f>
        <v>0.27540031844778395</v>
      </c>
      <c r="DV54" s="183">
        <f>((Sheet3!$DB54-(SUM(Sheet3!B54:H54)/4000))/$LP$3)/(((Sheet3!$DA54-Sheet3!$DB54)/$LQ$3)+(Sheet3!$DB54-(SUM(Sheet3!B54:H54)/4000))/$LP$3)</f>
        <v>0.27526841393759616</v>
      </c>
      <c r="DW54" s="183">
        <f>((Sheet3!$DB54-(SUM(Sheet3!B54:I54)/4000))/$LP$3)/(((Sheet3!$DA54-Sheet3!$DB54)/$LQ$3)+(Sheet3!$DB54-(SUM(Sheet3!B54:I54)/4000))/$LP$3)</f>
        <v>0.27375467723253161</v>
      </c>
      <c r="DX54" s="186">
        <f>($LR$2*($LP$3/1000))/($LP$2*(Sheet3!DF54+273))*DO54</f>
        <v>0.17052357323954356</v>
      </c>
      <c r="DY54" s="183">
        <f>(($LR$2*($LP$3/1000))/($LP$2*(Sheet3!BZ54+273)))*(DP54)</f>
        <v>0.17079558169305092</v>
      </c>
      <c r="DZ54" s="183">
        <f>(($LR$2*($LP$3/1000))/($LP$2*(Sheet3!CA54+273)))*(DQ54)</f>
        <v>0.17155102548262519</v>
      </c>
      <c r="EA54" s="183">
        <f>(($LR$2*($LP$3/1000))/($LP$2*(Sheet3!CB54+273)))*(DR54)</f>
        <v>0.17287160930335954</v>
      </c>
      <c r="EB54" s="183">
        <f>(($LR$2*($LP$3/1000))/($LP$2*(Sheet3!CC54+273)))*(DS54)</f>
        <v>0.17404748440452739</v>
      </c>
      <c r="EC54" s="183">
        <f>(($LR$2*($LP$3/1000))/($LP$2*(Sheet3!CD54+273)))*(DT54)</f>
        <v>0.17509102433035245</v>
      </c>
      <c r="ED54" s="183">
        <f>(($LR$2*($LP$3/1000))/($LP$2*(Sheet3!CE54+273)))*(DU54)</f>
        <v>0.17536815180657472</v>
      </c>
      <c r="EE54" s="183">
        <f>(($LR$2*($LP$3/1000))/($LP$2*(Sheet3!CF54+273)))*(DV54)</f>
        <v>0.17635464121463562</v>
      </c>
      <c r="EF54" s="183">
        <f>(($LR$2*($LP$3/1000))/($LP$2*(Sheet3!CG54+273)))*(DW54)</f>
        <v>0.17697874018133439</v>
      </c>
      <c r="EG54" s="186">
        <f>(($LR$2*($LQ$3/1000))/($LQ$2*(Sheet3!DF54+273)))*(1-DO54)</f>
        <v>0.71175056656505153</v>
      </c>
      <c r="EH54" s="183">
        <f>(($LR$2*($LQ$3/1000))/($LQ$2*(Sheet3!BZ54+273)))*(1-DP54)</f>
        <v>0.713056419688747</v>
      </c>
      <c r="EI54" s="183">
        <f>(($LR$2*($LQ$3/1000))/($LQ$2*(Sheet3!CA54+273)))*(1-DQ54)</f>
        <v>0.71926009723247686</v>
      </c>
      <c r="EJ54" s="183">
        <f>(($LR$2*($LQ$3/1000))/($LQ$2*(Sheet3!CB54+273)))*(1-DR54)</f>
        <v>0.72501854491579354</v>
      </c>
      <c r="EK54" s="183">
        <f>(($LR$2*($LQ$3/1000))/($LQ$2*(Sheet3!CC54+273)))*(1-DS54)</f>
        <v>0.7323818051562474</v>
      </c>
      <c r="EL54" s="183">
        <f>(($LR$2*($LQ$3/1000))/($LQ$2*(Sheet3!CD54+273)))*(1-DT54)</f>
        <v>0.7369425477377689</v>
      </c>
      <c r="EM54" s="183">
        <f>(($LR$2*($LQ$3/1000))/($LQ$2*(Sheet3!CE54+273)))*(1-DU54)</f>
        <v>0.74173490504053019</v>
      </c>
      <c r="EN54" s="183">
        <f>(($LR$2*($LQ$3/1000))/($LQ$2*(Sheet3!CF54+273)))*(1-DV54)</f>
        <v>0.74640062412701624</v>
      </c>
      <c r="EO54" s="183">
        <f>(($LR$2*($LQ$3/1000))/($LQ$2*(Sheet3!CG54+273)))*(1-DW54)</f>
        <v>0.75475707147367244</v>
      </c>
      <c r="EP54" s="186">
        <f t="shared" si="132"/>
        <v>2952.9693656292143</v>
      </c>
      <c r="EQ54" s="183">
        <f xml:space="preserve"> (($FV54-(Sheet3!B54/4000))*0.018)/(0.011*JO54*3600)</f>
        <v>2956.9141247629695</v>
      </c>
      <c r="ER54" s="183">
        <f>((($FV54-(SUM(Sheet3!B54:C54)/4000))*0.018)/(0.011*JP54*3600))</f>
        <v>2970.833267373433</v>
      </c>
      <c r="ES54" s="183">
        <f>((($FV54-(SUM(Sheet3!B54:D54)/4000))*0.018)/(0.011*JQ54*3600))</f>
        <v>2989.225102927036</v>
      </c>
      <c r="ET54" s="183">
        <f>((($FV54-(SUM(Sheet3!B54:E54)/4000))*0.018)/(0.011*JR54))/3600</f>
        <v>3008.1098464512265</v>
      </c>
      <c r="EU54" s="183">
        <f>((($FV54-(SUM(Sheet3!B54:F54)/4000))*0.018)/(0.011*JS54))/3600</f>
        <v>3022.5662881399398</v>
      </c>
      <c r="EV54" s="183">
        <f>((($FV54-(SUM(Sheet3!B54:G54)/4000))*0.018)/(0.011*JT54))/3600</f>
        <v>3030.4661521525445</v>
      </c>
      <c r="EW54" s="183">
        <f>((($FV54-(SUM(Sheet3!B54:H54)/4000))*0.018)/(0.011*JU54))/3600</f>
        <v>3044.4751197130176</v>
      </c>
      <c r="EX54" s="183">
        <f>((($FV54-(SUM(Sheet3!B54:I54)/4000))*0.018)/(0.011*JV54))/3600</f>
        <v>3059.4122836231518</v>
      </c>
      <c r="EY54" s="186">
        <f t="shared" si="133"/>
        <v>37.220410905695203</v>
      </c>
      <c r="EZ54" s="183">
        <f t="shared" si="134"/>
        <v>37.263035116216052</v>
      </c>
      <c r="FA54" s="183">
        <f t="shared" si="135"/>
        <v>37.398790071151055</v>
      </c>
      <c r="FB54" s="183">
        <f t="shared" si="136"/>
        <v>37.601910969854892</v>
      </c>
      <c r="FC54" s="183">
        <f t="shared" si="137"/>
        <v>37.79782997779256</v>
      </c>
      <c r="FD54" s="183">
        <f t="shared" si="138"/>
        <v>37.958606816362732</v>
      </c>
      <c r="FE54" s="183">
        <f t="shared" si="139"/>
        <v>38.025059474304626</v>
      </c>
      <c r="FF54" s="183">
        <f t="shared" si="140"/>
        <v>38.179460846860401</v>
      </c>
      <c r="FG54" s="183">
        <f t="shared" si="141"/>
        <v>38.312667805347473</v>
      </c>
      <c r="FH54" s="186">
        <f t="shared" si="185"/>
        <v>60.351084541102573</v>
      </c>
      <c r="FI54" s="183">
        <f t="shared" si="186"/>
        <v>60.27009540191321</v>
      </c>
      <c r="FJ54" s="183">
        <f t="shared" si="187"/>
        <v>59.8617407380938</v>
      </c>
      <c r="FK54" s="183">
        <f t="shared" si="188"/>
        <v>59.517249615262628</v>
      </c>
      <c r="FL54" s="183">
        <f t="shared" si="189"/>
        <v>59.058103052473697</v>
      </c>
      <c r="FM54" s="183">
        <f t="shared" si="190"/>
        <v>58.790957944455862</v>
      </c>
      <c r="FN54" s="183">
        <f t="shared" si="191"/>
        <v>58.477428893313203</v>
      </c>
      <c r="FO54" s="183">
        <f t="shared" si="192"/>
        <v>58.205698806054002</v>
      </c>
      <c r="FP54" s="183">
        <f t="shared" si="193"/>
        <v>57.678993322356611</v>
      </c>
      <c r="FQ54" s="314">
        <f>Sheet3!CV54</f>
        <v>1</v>
      </c>
      <c r="FR54" s="183">
        <v>3000</v>
      </c>
      <c r="FS54" s="183">
        <v>20</v>
      </c>
      <c r="FT54" s="183">
        <v>0.12909890109890113</v>
      </c>
      <c r="FU54" s="183">
        <v>33.6</v>
      </c>
      <c r="FV54" s="183">
        <v>119</v>
      </c>
      <c r="FW54" s="183">
        <v>23</v>
      </c>
      <c r="FX54" s="183">
        <v>120</v>
      </c>
      <c r="FY54" s="183">
        <v>9</v>
      </c>
      <c r="FZ54" s="183">
        <v>37.6</v>
      </c>
      <c r="GA54" s="183">
        <v>85</v>
      </c>
      <c r="GB54" s="186">
        <f>EXP($LP$6-($LQ$6/('Trial and Error method'!T54+$LP$8))) / ($LR$2/1000)</f>
        <v>7.665446153181768E-2</v>
      </c>
      <c r="GC54" s="183">
        <f>EXP($LP$6-($LQ$6/('Trial and Error method'!U54+$LP$8))) / ($LR$2/1000)</f>
        <v>0.22307424901041042</v>
      </c>
      <c r="GD54" s="183">
        <f>EXP($LP$6-($LQ$6/('Trial and Error method'!V54+$LP$8))) / ($LR$2/1000)</f>
        <v>0.21711926243176397</v>
      </c>
      <c r="GE54" s="183">
        <f>EXP($LP$6-($LQ$6/('Trial and Error method'!W54+$LP$8))) / ($LR$2/1000)</f>
        <v>0.20936636049529944</v>
      </c>
      <c r="GF54" s="183">
        <f>EXP($LP$6-($LQ$6/('Trial and Error method'!X54+$LP$8))) / ($LR$2/1000)</f>
        <v>0.19737866446686067</v>
      </c>
      <c r="GG54" s="183">
        <f>EXP($LP$6-($LQ$6/('Trial and Error method'!Y54+$LP$8))) / ($LR$2/1000)</f>
        <v>0.18549647138127554</v>
      </c>
      <c r="GH54" s="183">
        <f>EXP($LP$6-($LQ$6/('Trial and Error method'!Z54+$LP$8))) / ($LR$2/1000)</f>
        <v>0.1708095332950535</v>
      </c>
      <c r="GI54" s="183">
        <f>EXP($LP$6-($LQ$6/('Trial and Error method'!AA54+$LP$8))) / ($LR$2/1000)</f>
        <v>0.15727820896506289</v>
      </c>
      <c r="GJ54" s="183">
        <f>EXP($LP$6-($LQ$6/('Trial and Error method'!AB54+$LP$8))) / ($LR$2/1000)</f>
        <v>0.14119661200212921</v>
      </c>
      <c r="GK54" s="188">
        <f t="shared" si="142"/>
        <v>0.81852123617906702</v>
      </c>
      <c r="GL54" s="165">
        <f t="shared" si="143"/>
        <v>0.74912507739904943</v>
      </c>
      <c r="GM54" s="165">
        <f t="shared" si="144"/>
        <v>0.75246514216845628</v>
      </c>
      <c r="GN54" s="165">
        <f t="shared" si="145"/>
        <v>0.75626596973999061</v>
      </c>
      <c r="GO54" s="165">
        <f t="shared" si="146"/>
        <v>0.76241516328621861</v>
      </c>
      <c r="GP54" s="165">
        <f t="shared" si="147"/>
        <v>0.76816628074774618</v>
      </c>
      <c r="GQ54" s="165">
        <f t="shared" si="148"/>
        <v>0.77572026066036603</v>
      </c>
      <c r="GR54" s="165">
        <f t="shared" si="149"/>
        <v>0.7822441577818442</v>
      </c>
      <c r="GS54" s="165">
        <f t="shared" si="150"/>
        <v>0.79067325205489059</v>
      </c>
      <c r="GT54" s="188">
        <f t="shared" si="194"/>
        <v>4.5827887673856864E-2</v>
      </c>
      <c r="GU54" s="165">
        <f t="shared" si="195"/>
        <v>5.0074776907992835E-2</v>
      </c>
      <c r="GV54" s="165">
        <f t="shared" si="196"/>
        <v>4.9849671411242621E-2</v>
      </c>
      <c r="GW54" s="165">
        <f t="shared" si="197"/>
        <v>4.9619781576025229E-2</v>
      </c>
      <c r="GX54" s="165">
        <f t="shared" si="198"/>
        <v>4.9228624677442219E-2</v>
      </c>
      <c r="GY54" s="165">
        <f t="shared" si="199"/>
        <v>4.887751461952889E-2</v>
      </c>
      <c r="GZ54" s="165">
        <f t="shared" si="200"/>
        <v>4.8391409223644107E-2</v>
      </c>
      <c r="HA54" s="165">
        <f t="shared" si="201"/>
        <v>4.8003587834891004E-2</v>
      </c>
      <c r="HB54" s="165">
        <f t="shared" si="202"/>
        <v>4.7476343106373789E-2</v>
      </c>
      <c r="HC54" s="188">
        <f>BV54*Sheet3!DF54</f>
        <v>100.36977915614503</v>
      </c>
      <c r="HD54" s="165">
        <f>BW54*Sheet3!BZ54</f>
        <v>99.597451989040536</v>
      </c>
      <c r="HE54" s="165">
        <f>BX54*Sheet3!CA54</f>
        <v>96.159934567506468</v>
      </c>
      <c r="HF54" s="165">
        <f>BY54*Sheet3!CB54</f>
        <v>92.813239813777074</v>
      </c>
      <c r="HG54" s="165">
        <f>BZ54*Sheet3!CC54</f>
        <v>88.799136379170818</v>
      </c>
      <c r="HH54" s="165">
        <f>CA54*Sheet3!CD54</f>
        <v>86.247014046916462</v>
      </c>
      <c r="HI54" s="165">
        <f>CB54*Sheet3!CE54</f>
        <v>83.894309039926597</v>
      </c>
      <c r="HJ54" s="165">
        <f>CC54*Sheet3!CF54</f>
        <v>81.384527626382962</v>
      </c>
      <c r="HK54" s="165">
        <f>CD54*Sheet3!CG54</f>
        <v>77.38330063969461</v>
      </c>
      <c r="HL54" s="188">
        <f>(CE54*Sheet3!DF54)+2501</f>
        <v>2661.0442119434374</v>
      </c>
      <c r="HM54" s="165">
        <f>(CF54*Sheet3!BZ54)+2501</f>
        <v>2659.8337293207928</v>
      </c>
      <c r="HN54" s="165">
        <f>(CG54*Sheet3!CA54)+2501</f>
        <v>2654.7339619204022</v>
      </c>
      <c r="HO54" s="165">
        <f>(CH54*Sheet3!CB54)+2501</f>
        <v>2649.4055213169422</v>
      </c>
      <c r="HP54" s="165">
        <f>(CI54*Sheet3!CC54)+2501</f>
        <v>2643.2642184303013</v>
      </c>
      <c r="HQ54" s="165">
        <f>(CJ54*Sheet3!CD54)+2501</f>
        <v>2639.1922329594977</v>
      </c>
      <c r="HR54" s="165">
        <f>(CK54*Sheet3!CE54)+2501</f>
        <v>2635.8147067357017</v>
      </c>
      <c r="HS54" s="165">
        <f>(CL54*Sheet3!CF54)+2501</f>
        <v>2631.8320683199172</v>
      </c>
      <c r="HT54" s="165">
        <f>(CM54*Sheet3!CG54)+2501</f>
        <v>2625.9658549213295</v>
      </c>
      <c r="HU54" s="188">
        <f>-0.0021*(Sheet3!DF54^2) - 2.2115*(Sheet3!DF54) + 2499</f>
        <v>2295.85</v>
      </c>
      <c r="HV54" s="165">
        <f>-0.0021*(Sheet3!BZ54^2) - 2.2115*(Sheet3!BZ54) + 2499</f>
        <v>2297.4720945857148</v>
      </c>
      <c r="HW54" s="165">
        <f>-0.0021*(Sheet3!CA54^2) - 2.2115*(Sheet3!CA54) + 2499</f>
        <v>2304.2931474859874</v>
      </c>
      <c r="HX54" s="165">
        <f>-0.0021*(Sheet3!CB54^2) - 2.2115*(Sheet3!CB54) + 2499</f>
        <v>2311.3977115769221</v>
      </c>
      <c r="HY54" s="165">
        <f>-0.0021*(Sheet3!CC54^2) - 2.2115*(Sheet3!CC54) + 2499</f>
        <v>2319.5574368928937</v>
      </c>
      <c r="HZ54" s="165">
        <f>-0.0021*(Sheet3!CD54^2) - 2.2115*(Sheet3!CD54) + 2499</f>
        <v>2324.9506359602433</v>
      </c>
      <c r="IA54" s="165">
        <f>-0.0021*(Sheet3!CE54^2) - 2.2115*(Sheet3!CE54) + 2499</f>
        <v>2329.4136051962637</v>
      </c>
      <c r="IB54" s="165">
        <f>-0.0021*(Sheet3!CF54^2) - 2.2115*(Sheet3!CF54) + 2499</f>
        <v>2334.6638888784387</v>
      </c>
      <c r="IC54" s="165">
        <f>-0.0021*(Sheet3!CG54^2) - 2.2115*(Sheet3!CG54) + 2499</f>
        <v>2342.3728796707828</v>
      </c>
      <c r="ID54" s="188">
        <f t="shared" si="203"/>
        <v>0.74109342648604815</v>
      </c>
      <c r="IE54" s="165">
        <f t="shared" si="204"/>
        <v>0.74171846709657763</v>
      </c>
      <c r="IF54" s="165">
        <f t="shared" si="205"/>
        <v>0.74311643774000757</v>
      </c>
      <c r="IG54" s="165">
        <f t="shared" si="206"/>
        <v>0.74627795973230904</v>
      </c>
      <c r="IH54" s="165">
        <f t="shared" si="207"/>
        <v>0.7488305407699215</v>
      </c>
      <c r="II54" s="165">
        <f t="shared" si="208"/>
        <v>0.75138123714089999</v>
      </c>
      <c r="IJ54" s="165">
        <f t="shared" si="209"/>
        <v>0.7515997807926651</v>
      </c>
      <c r="IK54" s="165">
        <f t="shared" si="210"/>
        <v>0.75399764704998085</v>
      </c>
      <c r="IL54" s="165">
        <f t="shared" si="211"/>
        <v>0.75483478532565951</v>
      </c>
      <c r="IM54" s="188">
        <f t="shared" si="212"/>
        <v>21.189870075380632</v>
      </c>
      <c r="IN54" s="165">
        <f t="shared" si="151"/>
        <v>6.3194565441570578</v>
      </c>
      <c r="IO54" s="165">
        <f t="shared" si="152"/>
        <v>6.8958881507077461</v>
      </c>
      <c r="IP54" s="165">
        <f t="shared" si="153"/>
        <v>7.7674132843642534</v>
      </c>
      <c r="IQ54" s="165">
        <f t="shared" si="154"/>
        <v>9.0262305703453514</v>
      </c>
      <c r="IR54" s="165">
        <f t="shared" si="155"/>
        <v>10.327726141844266</v>
      </c>
      <c r="IS54" s="165">
        <f t="shared" si="156"/>
        <v>11.789850563488104</v>
      </c>
      <c r="IT54" s="165">
        <f t="shared" si="157"/>
        <v>13.223426929758492</v>
      </c>
      <c r="IU54" s="165">
        <f t="shared" si="158"/>
        <v>14.741424331087616</v>
      </c>
      <c r="IV54" s="188">
        <f>_xlfn.FORECAST.LINEAR(Sheet3!DF54,Sheet2!$AK$2:$AK$69,Sheet2!$AJ$2:$AJ$69)</f>
        <v>1.1761434736095797E-5</v>
      </c>
      <c r="IW54" s="165">
        <f>_xlfn.FORECAST.LINEAR(Sheet3!BZ54,Sheet2!$AK$2:$AK$69,Sheet2!$AJ$2:$AJ$69)</f>
        <v>1.1739311848726955E-5</v>
      </c>
      <c r="IX54" s="165">
        <f>_xlfn.FORECAST.LINEAR(Sheet3!CA54,Sheet2!$AK$2:$AK$69,Sheet2!$AJ$2:$AJ$69)</f>
        <v>1.1646031620239908E-5</v>
      </c>
      <c r="IY54" s="165">
        <f>_xlfn.FORECAST.LINEAR(Sheet3!CB54,Sheet2!$AK$2:$AK$69,Sheet2!$AJ$2:$AJ$69)</f>
        <v>1.1548437879539967E-5</v>
      </c>
      <c r="IZ54" s="165">
        <f>_xlfn.FORECAST.LINEAR(Sheet3!CC54,Sheet2!$AK$2:$AK$69,Sheet2!$AJ$2:$AJ$69)</f>
        <v>1.1435792333651546E-5</v>
      </c>
      <c r="JA54" s="165">
        <f>_xlfn.FORECAST.LINEAR(Sheet3!CD54,Sheet2!$AK$2:$AK$69,Sheet2!$AJ$2:$AJ$69)</f>
        <v>1.1361007374762156E-5</v>
      </c>
      <c r="JB54" s="165">
        <f>_xlfn.FORECAST.LINEAR(Sheet3!CE54,Sheet2!$AK$2:$AK$69,Sheet2!$AJ$2:$AJ$69)</f>
        <v>1.1298919607650494E-5</v>
      </c>
      <c r="JC54" s="165">
        <f>_xlfn.FORECAST.LINEAR(Sheet3!CF54,Sheet2!$AK$2:$AK$69,Sheet2!$AJ$2:$AJ$69)</f>
        <v>1.1225642516437023E-5</v>
      </c>
      <c r="JD54" s="165">
        <f>_xlfn.FORECAST.LINEAR(Sheet3!CG54,Sheet2!$AK$2:$AK$69,Sheet2!$AJ$2:$AJ$69)</f>
        <v>1.1117581259417186E-5</v>
      </c>
      <c r="JE54" s="188">
        <f>_xlfn.FORECAST.LINEAR(Sheet3!DF54,New!$MC$2:$MC$18,New!$MB$2:$MB$18)</f>
        <v>2.0908514659214704E-5</v>
      </c>
      <c r="JF54" s="165">
        <f>_xlfn.FORECAST.LINEAR(Sheet3!BZ54,New!$MC$2:$MC$18,New!$MB$2:$MB$18)</f>
        <v>2.0882508671138611E-5</v>
      </c>
      <c r="JG54" s="165">
        <f>_xlfn.FORECAST.LINEAR(Sheet3!CA54,New!$MC$2:$MC$18,New!$MB$2:$MB$18)</f>
        <v>2.0772855511072991E-5</v>
      </c>
      <c r="JH54" s="165">
        <f>_xlfn.FORECAST.LINEAR(Sheet3!CB54,New!$MC$2:$MC$18,New!$MB$2:$MB$18)</f>
        <v>2.0658131713287064E-5</v>
      </c>
      <c r="JI54" s="165">
        <f>_xlfn.FORECAST.LINEAR(Sheet3!CC54,New!$MC$2:$MC$18,New!$MB$2:$MB$18)</f>
        <v>2.0525714155200818E-5</v>
      </c>
      <c r="JJ54" s="165">
        <f>_xlfn.FORECAST.LINEAR(Sheet3!CD54,New!$MC$2:$MC$18,New!$MB$2:$MB$18)</f>
        <v>2.0437802630962454E-5</v>
      </c>
      <c r="JK54" s="165">
        <f>_xlfn.FORECAST.LINEAR(Sheet3!CE54,New!$MC$2:$MC$18,New!$MB$2:$MB$18)</f>
        <v>2.0364816962127421E-5</v>
      </c>
      <c r="JL54" s="165">
        <f>_xlfn.FORECAST.LINEAR(Sheet3!CF54,New!$MC$2:$MC$18,New!$MB$2:$MB$18)</f>
        <v>2.0278677972737085E-5</v>
      </c>
      <c r="JM54" s="165">
        <f>_xlfn.FORECAST.LINEAR(Sheet3!CG54,New!$MC$2:$MC$18,New!$MB$2:$MB$18)</f>
        <v>2.0151649356865571E-5</v>
      </c>
      <c r="JN54" s="188">
        <f t="shared" si="159"/>
        <v>1.8317463675883236E-5</v>
      </c>
      <c r="JO54" s="165">
        <f t="shared" si="160"/>
        <v>1.8292181243256396E-5</v>
      </c>
      <c r="JP54" s="165">
        <f t="shared" si="161"/>
        <v>1.8191559756186609E-5</v>
      </c>
      <c r="JQ54" s="165">
        <f t="shared" si="162"/>
        <v>1.8078567933205319E-5</v>
      </c>
      <c r="JR54" s="165">
        <f t="shared" si="163"/>
        <v>1.7953587599228412E-5</v>
      </c>
      <c r="JS54" s="165">
        <f t="shared" si="164"/>
        <v>1.7866929001567356E-5</v>
      </c>
      <c r="JT54" s="165">
        <f t="shared" si="165"/>
        <v>1.7803629126899291E-5</v>
      </c>
      <c r="JU54" s="165">
        <f t="shared" si="166"/>
        <v>1.7719467281379014E-5</v>
      </c>
      <c r="JV54" s="165">
        <f t="shared" si="167"/>
        <v>1.7607437016339189E-5</v>
      </c>
      <c r="JW54" s="188">
        <f t="shared" si="231"/>
        <v>1.0444458673781256</v>
      </c>
      <c r="JX54" s="165">
        <f t="shared" si="232"/>
        <v>1.0448073135452312</v>
      </c>
      <c r="JY54" s="165">
        <f t="shared" si="233"/>
        <v>1.0463458478309386</v>
      </c>
      <c r="JZ54" s="165">
        <f t="shared" si="234"/>
        <v>1.0479810870646584</v>
      </c>
      <c r="KA54" s="165">
        <f t="shared" si="235"/>
        <v>1.0499018552330035</v>
      </c>
      <c r="KB54" s="165">
        <f t="shared" si="236"/>
        <v>1.0511972494331656</v>
      </c>
      <c r="KC54" s="165">
        <f t="shared" si="237"/>
        <v>1.0522852180907534</v>
      </c>
      <c r="KD54" s="165">
        <f t="shared" si="238"/>
        <v>1.0535841239209651</v>
      </c>
      <c r="KE54" s="165">
        <f t="shared" si="239"/>
        <v>1.0555296007792052</v>
      </c>
      <c r="KF54" s="188">
        <f t="shared" si="75"/>
        <v>0.94446821821306282</v>
      </c>
      <c r="KG54" s="165">
        <f t="shared" si="240"/>
        <v>0.94419232132306452</v>
      </c>
      <c r="KH54" s="165">
        <f t="shared" si="241"/>
        <v>0.94302088459997691</v>
      </c>
      <c r="KI54" s="165">
        <f t="shared" si="242"/>
        <v>0.9417810260920696</v>
      </c>
      <c r="KJ54" s="165">
        <f t="shared" si="243"/>
        <v>0.94033148531006872</v>
      </c>
      <c r="KK54" s="165">
        <f t="shared" si="244"/>
        <v>0.9393580204602342</v>
      </c>
      <c r="KL54" s="165">
        <f t="shared" si="245"/>
        <v>0.93854298588959706</v>
      </c>
      <c r="KM54" s="165">
        <f t="shared" si="246"/>
        <v>0.93757296964689851</v>
      </c>
      <c r="KN54" s="165">
        <f t="shared" si="247"/>
        <v>0.93612624832516267</v>
      </c>
      <c r="KO54" s="188">
        <f t="shared" si="213"/>
        <v>0.57828029190231556</v>
      </c>
      <c r="KP54" s="165">
        <f t="shared" si="214"/>
        <v>0.5778043459591734</v>
      </c>
      <c r="KQ54" s="165">
        <f t="shared" si="215"/>
        <v>0.57568455347452197</v>
      </c>
      <c r="KR54" s="165">
        <f t="shared" si="216"/>
        <v>0.57340476987660216</v>
      </c>
      <c r="KS54" s="165">
        <f t="shared" si="217"/>
        <v>0.57077685961830105</v>
      </c>
      <c r="KT54" s="165">
        <f t="shared" si="218"/>
        <v>0.56899488960628208</v>
      </c>
      <c r="KU54" s="165">
        <f t="shared" si="219"/>
        <v>0.56755641675020141</v>
      </c>
      <c r="KV54" s="165">
        <f t="shared" si="220"/>
        <v>0.56579153974773777</v>
      </c>
      <c r="KW54" s="165">
        <f t="shared" si="221"/>
        <v>0.56333300771155903</v>
      </c>
      <c r="KX54" s="188">
        <f>AVERAGE(Sheet3!J54:P54)*KO54^(1/3)/ID54^(1/3)</f>
        <v>224.46346097064887</v>
      </c>
      <c r="KY54" s="165">
        <f>Sheet3!J54*KP54^(1/3)/IE54^(1/3)</f>
        <v>133.39555354075287</v>
      </c>
      <c r="KZ54" s="165">
        <f>Sheet3!K54*KQ54^(1/3)/IF54^(1/3)</f>
        <v>189.3980301147129</v>
      </c>
      <c r="LA54" s="165">
        <f>Sheet3!L54*KR54^(1/3)/IG54^(1/3)</f>
        <v>233.35631000295942</v>
      </c>
      <c r="LB54" s="165">
        <f>Sheet3!M54*KS54^(1/3)/IH54^(1/3)</f>
        <v>256.14141411938192</v>
      </c>
      <c r="LC54" s="165">
        <f>Sheet3!N54*KT54^(1/3)/II54^(1/3)</f>
        <v>257.26487960549531</v>
      </c>
      <c r="LD54" s="165">
        <f>Sheet3!O54*KU54^(1/3)/IJ54^(1/3)</f>
        <v>248.47997669952477</v>
      </c>
      <c r="LE54" s="165">
        <f>Sheet3!P54*KV54^(1/3)/IK54^(1/3)</f>
        <v>240.98798413279786</v>
      </c>
      <c r="LF54" s="165">
        <f>Sheet3!Q54*KW54^(1/3)/IL54^(1/3)</f>
        <v>255.09687020713429</v>
      </c>
      <c r="LG54" s="186">
        <f t="shared" si="248"/>
        <v>25.916716871493453</v>
      </c>
      <c r="LH54" s="183">
        <f t="shared" si="249"/>
        <v>25.938118337257102</v>
      </c>
      <c r="LI54" s="183">
        <f t="shared" si="250"/>
        <v>26.325512746773356</v>
      </c>
      <c r="LJ54" s="183">
        <f t="shared" si="251"/>
        <v>26.353921455182885</v>
      </c>
      <c r="LK54" s="183">
        <f t="shared" si="252"/>
        <v>26.667682941594084</v>
      </c>
      <c r="LL54" s="183">
        <f t="shared" si="253"/>
        <v>26.689723677580091</v>
      </c>
      <c r="LM54" s="183">
        <f t="shared" si="254"/>
        <v>27.169453011016277</v>
      </c>
      <c r="LN54" s="183">
        <f t="shared" si="255"/>
        <v>27.235731361035434</v>
      </c>
      <c r="LO54" s="183">
        <f t="shared" si="256"/>
        <v>28.025922290883646</v>
      </c>
      <c r="LP54" s="220"/>
      <c r="LQ54" s="220"/>
      <c r="LR54" s="220"/>
      <c r="LS54" s="220"/>
      <c r="LT54" s="220"/>
      <c r="LU54" s="220"/>
      <c r="LV54" s="220"/>
      <c r="LW54" s="220"/>
      <c r="LX54" s="220"/>
      <c r="LY54" s="220"/>
      <c r="LZ54" s="222">
        <v>201.37</v>
      </c>
      <c r="MA54" s="220">
        <v>1.5999999999999999E-5</v>
      </c>
      <c r="MB54" s="220"/>
      <c r="MC54" s="220"/>
      <c r="MD54" s="188">
        <f>Sheet3!DP54</f>
        <v>181.35909859793213</v>
      </c>
      <c r="MF54" s="165"/>
      <c r="MP54"/>
      <c r="MQ54"/>
      <c r="MR54"/>
      <c r="MS54"/>
    </row>
    <row r="55" spans="1:357" s="300" customFormat="1" x14ac:dyDescent="0.3">
      <c r="A55" s="190" t="str">
        <f>Sheet3!A55</f>
        <v>2023.01.17-1</v>
      </c>
      <c r="B55" s="299">
        <f t="shared" si="102"/>
        <v>0.90497758377949367</v>
      </c>
      <c r="C55" s="299">
        <f t="shared" si="168"/>
        <v>0.90289569411487203</v>
      </c>
      <c r="D55" s="299">
        <f t="shared" si="169"/>
        <v>0.88805900912829006</v>
      </c>
      <c r="E55" s="299">
        <f t="shared" si="170"/>
        <v>0.87540331028466278</v>
      </c>
      <c r="F55" s="299">
        <f t="shared" si="171"/>
        <v>0.86021320959189573</v>
      </c>
      <c r="G55" s="299">
        <f t="shared" si="172"/>
        <v>0.85231250575950457</v>
      </c>
      <c r="H55" s="299">
        <f t="shared" si="173"/>
        <v>0.84079944251053307</v>
      </c>
      <c r="I55" s="299">
        <f t="shared" si="174"/>
        <v>0.83178078048758919</v>
      </c>
      <c r="J55" s="299">
        <f t="shared" si="175"/>
        <v>0.82115326986266512</v>
      </c>
      <c r="K55" s="299">
        <f xml:space="preserve"> (6.057 * (10^(-6)))
+ (4.055 * (10^(-8)) * (Sheet3!DF55 + 273))
+ (1.25 * (10^(-10)) * (Sheet3!DF55 + 273)^2)
- (3.367 * (10^(-14)) * (DD55 + 273)^3)</f>
        <v>4.4157775623601191E-5</v>
      </c>
      <c r="L55" s="299">
        <f xml:space="preserve"> (6.057 * (10^(-6)))
+ (4.055 * (10^(-8)) * (Sheet3!BZ55 + 273))
+ (1.25 * (10^(-10)) * (Sheet3!BZ55 + 273)^2)
- (3.367 * (10^(-14)) * (BX55 + 273)^3)</f>
        <v>4.3991144504693157E-5</v>
      </c>
      <c r="M55" s="299">
        <f xml:space="preserve"> (6.057 * (10^(-6)))
+ (4.055 * (10^(-8)) * (Sheet3!CA55 + 273))
+ (1.25 * (10^(-10)) * (Sheet3!CA55 + 273)^2)
- (3.367 * (10^(-14)) * (BY55 + 273)^3)</f>
        <v>4.2854237826447473E-5</v>
      </c>
      <c r="N55" s="299">
        <f xml:space="preserve"> (6.057 * (10^(-6)))
+ (4.055 * (10^(-8)) * (Sheet3!CB55 + 273))
+ (1.25 * (10^(-10)) * (Sheet3!CB55 + 273)^2)
- (3.367 * (10^(-14)) * (BZ55 + 273)^3)</f>
        <v>4.1983191691745174E-5</v>
      </c>
      <c r="O55" s="299">
        <f xml:space="preserve"> (6.057 * (10^(-6)))
+ (4.055 * (10^(-8)) * (Sheet3!CC55 + 273))
+ (1.25 * (10^(-10)) * (Sheet3!CC55 + 273)^2)
- (3.367 * (10^(-14)) * (CA55 + 273)^3)</f>
        <v>4.0928156389595432E-5</v>
      </c>
      <c r="P55" s="299">
        <f xml:space="preserve"> (6.057 * (10^(-6)))
+ (4.055 * (10^(-8)) * (Sheet3!CD55 + 273))
+ (1.25 * (10^(-10)) * (Sheet3!CD55 + 273)^2)
- (3.367 * (10^(-14)) * (CB55 + 273)^3)</f>
        <v>4.0417738934117599E-5</v>
      </c>
      <c r="Q55" s="299">
        <f xml:space="preserve"> (6.057 * (10^(-6)))
+ (4.055 * (10^(-8)) * (Sheet3!CE55 + 273))
+ (1.25 * (10^(-10)) * (Sheet3!CE55 + 273)^2)
- (3.367 * (10^(-14)) * (CC55 + 273)^3)</f>
        <v>3.9539787571323379E-5</v>
      </c>
      <c r="R55" s="299">
        <f xml:space="preserve"> (6.057 * (10^(-6)))
+ (4.055 * (10^(-8)) * (Sheet3!CF55 + 273))
+ (1.25 * (10^(-10)) * (Sheet3!CF55 + 273)^2)
- (3.367 * (10^(-14)) * (CD55 + 273)^3)</f>
        <v>3.8972796702195453E-5</v>
      </c>
      <c r="S55" s="299">
        <f xml:space="preserve"> (6.057 * (10^(-6)))
+ (4.055 * (10^(-8)) * (Sheet3!CG55 + 273))
+ (1.25 * (10^(-10)) * (Sheet3!CG55 + 273)^2)
- (3.367 * (10^(-14)) * (CE55 + 273)^3)</f>
        <v>3.8147432495110904E-5</v>
      </c>
      <c r="T55" s="300">
        <f t="shared" si="104"/>
        <v>4.4157775623601191E-5</v>
      </c>
      <c r="U55" s="300">
        <f t="shared" si="105"/>
        <v>4.3991144504693157E-5</v>
      </c>
      <c r="V55" s="300">
        <f t="shared" si="106"/>
        <v>4.2854237826447473E-5</v>
      </c>
      <c r="W55" s="300">
        <f t="shared" si="107"/>
        <v>4.1983191691745174E-5</v>
      </c>
      <c r="X55" s="300">
        <f t="shared" si="108"/>
        <v>4.0928156389595432E-5</v>
      </c>
      <c r="Y55" s="300">
        <f t="shared" si="109"/>
        <v>4.0417738934117599E-5</v>
      </c>
      <c r="Z55" s="300">
        <f t="shared" si="110"/>
        <v>3.9539787571323379E-5</v>
      </c>
      <c r="AA55" s="300">
        <f t="shared" si="111"/>
        <v>3.8972796702195453E-5</v>
      </c>
      <c r="AB55" s="300">
        <f t="shared" si="112"/>
        <v>3.8147432495110904E-5</v>
      </c>
      <c r="AC55" s="299">
        <f t="shared" si="176"/>
        <v>3.9961797088923632E-5</v>
      </c>
      <c r="AD55" s="299">
        <f t="shared" si="177"/>
        <v>3.9719414952472567E-5</v>
      </c>
      <c r="AE55" s="299">
        <f t="shared" si="178"/>
        <v>3.805709198110303E-5</v>
      </c>
      <c r="AF55" s="299">
        <f t="shared" si="179"/>
        <v>3.6752224983269275E-5</v>
      </c>
      <c r="AG55" s="299">
        <f t="shared" si="180"/>
        <v>3.5206940770572943E-5</v>
      </c>
      <c r="AH55" s="299">
        <f t="shared" si="181"/>
        <v>3.4448544348071257E-5</v>
      </c>
      <c r="AI55" s="299">
        <f t="shared" si="182"/>
        <v>3.3245031346953602E-5</v>
      </c>
      <c r="AJ55" s="299">
        <f t="shared" si="183"/>
        <v>3.2416823258736277E-5</v>
      </c>
      <c r="AK55" s="299">
        <f t="shared" si="184"/>
        <v>3.1324888930225606E-5</v>
      </c>
      <c r="AL55" s="299">
        <f t="shared" si="113"/>
        <v>3.627064560091843E-2</v>
      </c>
      <c r="AM55" s="299">
        <f t="shared" si="114"/>
        <v>3.6136627255030113E-2</v>
      </c>
      <c r="AN55" s="299">
        <f t="shared" si="115"/>
        <v>3.5186124344839351E-2</v>
      </c>
      <c r="AO55" s="299">
        <f t="shared" si="116"/>
        <v>3.4450079064173765E-2</v>
      </c>
      <c r="AP55" s="299">
        <f t="shared" si="117"/>
        <v>3.3545359145797204E-2</v>
      </c>
      <c r="AQ55" s="299">
        <f t="shared" si="118"/>
        <v>3.310315348031026E-2</v>
      </c>
      <c r="AR55" s="299">
        <f t="shared" si="119"/>
        <v>3.2333875414129229E-2</v>
      </c>
      <c r="AS55" s="299">
        <f t="shared" si="120"/>
        <v>3.1832844553430398E-2</v>
      </c>
      <c r="AT55" s="299">
        <f t="shared" si="121"/>
        <v>3.1102243148520677E-2</v>
      </c>
      <c r="AU55" s="299">
        <f>_xlfn.FORECAST.LINEAR(Sheet3!DF55,Sheet2!$AH$2:$AH$40,Sheet2!$AG$2:$AG$40)</f>
        <v>4.0902410270024961E-2</v>
      </c>
      <c r="AV55" s="299">
        <f>_xlfn.FORECAST.LINEAR(Sheet3!BZ55,Sheet2!$AH$2:$AH$40,Sheet2!$AG$2:$AG$40)</f>
        <v>4.061827193192652E-2</v>
      </c>
      <c r="AW55" s="299">
        <f>_xlfn.FORECAST.LINEAR(Sheet3!CA55,Sheet2!$AH$2:$AH$40,Sheet2!$AG$2:$AG$40)</f>
        <v>3.860868702787322E-2</v>
      </c>
      <c r="AX55" s="299">
        <f>_xlfn.FORECAST.LINEAR(Sheet3!CB55,Sheet2!$AH$2:$AH$40,Sheet2!$AG$2:$AG$40)</f>
        <v>3.7049982814717247E-2</v>
      </c>
      <c r="AY55" s="299">
        <f>_xlfn.FORECAST.LINEAR(Sheet3!CC55,Sheet2!$AH$2:$AH$40,Sheet2!$AG$2:$AG$40)</f>
        <v>3.5139116125880554E-2</v>
      </c>
      <c r="AZ55" s="299">
        <f>_xlfn.FORECAST.LINEAR(Sheet3!CD55,Sheet2!$AH$2:$AH$40,Sheet2!$AG$2:$AG$40)</f>
        <v>3.4205269681781253E-2</v>
      </c>
      <c r="BA55" s="299">
        <f>_xlfn.FORECAST.LINEAR(Sheet3!CE55,Sheet2!$AH$2:$AH$40,Sheet2!$AG$2:$AG$40)</f>
        <v>3.2584450274712629E-2</v>
      </c>
      <c r="BB55" s="299">
        <f>_xlfn.FORECAST.LINEAR(Sheet3!CF55,Sheet2!$AH$2:$AH$40,Sheet2!$AG$2:$AG$40)</f>
        <v>3.1527515848976922E-2</v>
      </c>
      <c r="BC55" s="299">
        <f>_xlfn.FORECAST.LINEAR(Sheet3!CG55,Sheet2!$AH$2:$AH$40,Sheet2!$AG$2:$AG$40)</f>
        <v>2.9984770990658199E-2</v>
      </c>
      <c r="BD55" s="299">
        <f>_xlfn.FORECAST.LINEAR(Sheet3!DF55,Sheet2!$AB$12:$AB$37,Sheet2!$AA$12:$AA$37)/1000</f>
        <v>3.3915606923988664E-2</v>
      </c>
      <c r="BE55" s="299">
        <f>_xlfn.FORECAST.LINEAR(Sheet3!BZ55,Sheet2!$AB$12:$AB$37,Sheet2!$AA$12:$AA$37)/1000</f>
        <v>3.3852080168406289E-2</v>
      </c>
      <c r="BF55" s="299">
        <f>_xlfn.FORECAST.LINEAR(Sheet3!CA55,Sheet2!$AB$12:$AB$37,Sheet2!$AA$12:$AA$37)/1000</f>
        <v>3.3402783498776352E-2</v>
      </c>
      <c r="BG55" s="299">
        <f>_xlfn.FORECAST.LINEAR(Sheet3!CB55,Sheet2!$AB$12:$AB$37,Sheet2!$AA$12:$AA$37)/1000</f>
        <v>3.305429331530782E-2</v>
      </c>
      <c r="BH55" s="299">
        <f>_xlfn.FORECAST.LINEAR(Sheet3!CC55,Sheet2!$AB$12:$AB$37,Sheet2!$AA$12:$AA$37)/1000</f>
        <v>3.2627067753616221E-2</v>
      </c>
      <c r="BI55" s="299">
        <f>_xlfn.FORECAST.LINEAR(Sheet3!CD55,Sheet2!$AB$12:$AB$37,Sheet2!$AA$12:$AA$37)/1000</f>
        <v>3.2418281304019941E-2</v>
      </c>
      <c r="BJ55" s="299">
        <f>_xlfn.FORECAST.LINEAR(Sheet3!CE55,Sheet2!$AB$12:$AB$37,Sheet2!$AA$12:$AA$37)/1000</f>
        <v>3.2055903600943708E-2</v>
      </c>
      <c r="BK55" s="299">
        <f>_xlfn.FORECAST.LINEAR(Sheet3!CF55,Sheet2!$AB$12:$AB$37,Sheet2!$AA$12:$AA$37)/1000</f>
        <v>3.1819597527713128E-2</v>
      </c>
      <c r="BL55" s="299">
        <f>_xlfn.FORECAST.LINEAR(Sheet3!CG55,Sheet2!$AB$12:$AB$37,Sheet2!$AA$12:$AA$37)/1000</f>
        <v>3.1474675486582525E-2</v>
      </c>
      <c r="BM55" s="299">
        <f t="shared" si="122"/>
        <v>0.745005147069983</v>
      </c>
      <c r="BN55" s="299">
        <f t="shared" si="123"/>
        <v>0.74701013031864183</v>
      </c>
      <c r="BO55" s="299">
        <f t="shared" si="124"/>
        <v>0.76161310688021477</v>
      </c>
      <c r="BP55" s="299">
        <f t="shared" si="125"/>
        <v>0.77321960773101606</v>
      </c>
      <c r="BQ55" s="299">
        <f t="shared" si="126"/>
        <v>0.78803856102524905</v>
      </c>
      <c r="BR55" s="299">
        <f t="shared" si="127"/>
        <v>0.79544214603307073</v>
      </c>
      <c r="BS55" s="299">
        <f t="shared" si="128"/>
        <v>0.80897938343183096</v>
      </c>
      <c r="BT55" s="299">
        <f t="shared" si="129"/>
        <v>0.81785678960350583</v>
      </c>
      <c r="BU55" s="299">
        <f t="shared" si="130"/>
        <v>0.83155923097892392</v>
      </c>
      <c r="BV55" s="299">
        <f t="shared" si="222"/>
        <v>1.2182909059864686</v>
      </c>
      <c r="BW55" s="299">
        <f t="shared" si="223"/>
        <v>1.2179186523974925</v>
      </c>
      <c r="BX55" s="299">
        <f t="shared" si="224"/>
        <v>1.2139517453264033</v>
      </c>
      <c r="BY55" s="299">
        <f t="shared" si="225"/>
        <v>1.2122821986108427</v>
      </c>
      <c r="BZ55" s="299">
        <f t="shared" si="226"/>
        <v>1.2090845925483835</v>
      </c>
      <c r="CA55" s="299">
        <f t="shared" si="227"/>
        <v>1.2080638656471059</v>
      </c>
      <c r="CB55" s="299">
        <f t="shared" si="228"/>
        <v>1.2022466065419521</v>
      </c>
      <c r="CC55" s="299">
        <f t="shared" si="229"/>
        <v>1.2006812589268236</v>
      </c>
      <c r="CD55" s="299">
        <f t="shared" si="230"/>
        <v>1.1940128027574417</v>
      </c>
      <c r="CE55" s="301">
        <f xml:space="preserve"> -0.0000000019505*Sheet3!DF55^3 + 0.0000015497*Sheet3!DF55^2  + 0.00016911*Sheet3!DF55 + 1.8585</f>
        <v>1.9096570494375</v>
      </c>
      <c r="CF55" s="302">
        <f xml:space="preserve"> -0.0000000019505*Sheet3!BZ55^3 + 0.0000015497*Sheet3!BZ55^2  + 0.00016911*Sheet3!BZ55 + 1.8585</f>
        <v>1.9091039566881733</v>
      </c>
      <c r="CG55" s="302">
        <f xml:space="preserve"> -0.0000000019505*Sheet3!CA55^3 + 0.0000015497*Sheet3!CA55^2  + 0.00016911*Sheet3!CA55 + 1.8585</f>
        <v>1.9052436313554553</v>
      </c>
      <c r="CH55" s="302">
        <f xml:space="preserve"> -0.0000000019505*Sheet3!CB55^3 + 0.0000015497*Sheet3!CB55^2  + 0.00016911*Sheet3!CB55 + 1.8585</f>
        <v>1.9023140620524055</v>
      </c>
      <c r="CI55" s="302">
        <f xml:space="preserve"> -0.0000000019505*Sheet3!CC55^3 + 0.0000015497*Sheet3!CC55^2  + 0.00016911*Sheet3!CC55 + 1.8585</f>
        <v>1.898803967805857</v>
      </c>
      <c r="CJ55" s="302">
        <f xml:space="preserve"> -0.0000000019505*Sheet3!CD55^3 + 0.0000015497*Sheet3!CD55^2  + 0.00016911*Sheet3!CD55 + 1.8585</f>
        <v>1.897122564369413</v>
      </c>
      <c r="CK55" s="302">
        <f xml:space="preserve"> -0.0000000019505*Sheet3!CE55^3 + 0.0000015497*Sheet3!CE55^2  + 0.00016911*Sheet3!CE55 + 1.8585</f>
        <v>1.8942594336455421</v>
      </c>
      <c r="CL55" s="302">
        <f xml:space="preserve"> -0.0000000019505*Sheet3!CF55^3 + 0.0000015497*Sheet3!CF55^2  + 0.00016911*Sheet3!CF55 + 1.8585</f>
        <v>1.8924313185315622</v>
      </c>
      <c r="CM55" s="302">
        <f xml:space="preserve"> -0.0000000019505*Sheet3!CG55^3 + 0.0000015497*Sheet3!CG55^2  + 0.00016911*Sheet3!CG55 + 1.8585</f>
        <v>1.8898201036996369</v>
      </c>
      <c r="CN55" s="299">
        <f>_xlfn.FORECAST.LINEAR(Sheet3!DF55,New!$LU$2:$LU$14,New!$LT$2:$LT$14)</f>
        <v>1.023844178140866</v>
      </c>
      <c r="CO55" s="299">
        <f>_xlfn.FORECAST.LINEAR(Sheet3!BZ55,New!$LU$2:$LU$14,New!$LT$2:$LT$14)</f>
        <v>1.0236350485963355</v>
      </c>
      <c r="CP55" s="299">
        <f>_xlfn.FORECAST.LINEAR(Sheet3!CA55,New!$LU$2:$LU$14,New!$LT$2:$LT$14)</f>
        <v>1.0221559677426475</v>
      </c>
      <c r="CQ55" s="299">
        <f>_xlfn.FORECAST.LINEAR(Sheet3!CB55,New!$LU$2:$LU$14,New!$LT$2:$LT$14)</f>
        <v>1.0210087409926893</v>
      </c>
      <c r="CR55" s="299">
        <f>_xlfn.FORECAST.LINEAR(Sheet3!CC55,New!$LU$2:$LU$14,New!$LT$2:$LT$14)</f>
        <v>1.0196023180405127</v>
      </c>
      <c r="CS55" s="299">
        <f>_xlfn.FORECAST.LINEAR(Sheet3!CD55,New!$LU$2:$LU$14,New!$LT$2:$LT$14)</f>
        <v>1.0189149948062637</v>
      </c>
      <c r="CT55" s="299">
        <f>_xlfn.FORECAST.LINEAR(Sheet3!CE55,New!$LU$2:$LU$14,New!$LT$2:$LT$14)</f>
        <v>1.0177220504586795</v>
      </c>
      <c r="CU55" s="299">
        <f>_xlfn.FORECAST.LINEAR(Sheet3!CF55,New!$LU$2:$LU$14,New!$LT$2:$LT$14)</f>
        <v>1.0169441328551205</v>
      </c>
      <c r="CV55" s="299">
        <f>_xlfn.FORECAST.LINEAR(Sheet3!CG55,New!$LU$2:$LU$14,New!$LT$2:$LT$14)</f>
        <v>1.0158086523996981</v>
      </c>
      <c r="CW55" s="299">
        <f>EXP((17.625*Sheet3!BA55)/(243.04+Sheet3!BA55)) / EXP((17.625*Sheet3!DF55)/(243.04+Sheet3!DF55))</f>
        <v>5.6093671640401591E-2</v>
      </c>
      <c r="CX55" s="299">
        <f>EXP((17.625*(Sheet3!BC55+273))/(243.04+(Sheet3!BC55+273)))/EXP((17.625*(Sheet3!BZ55+273))/(243.04+(Sheet3!BZ55+273)))</f>
        <v>0.42023056113384361</v>
      </c>
      <c r="CY55" s="299">
        <f>EXP((17.625*(Sheet3!BE55+273))/(243.04+(Sheet3!BE55+273))) / EXP((17.625*(Sheet3!CA55+273))/(243.04+(Sheet3!CA55+273)))</f>
        <v>0.45442941382618129</v>
      </c>
      <c r="CZ55" s="299">
        <f>EXP((17.625*(Sheet3!BG55+273))/(243.04+(Sheet3!BG55+273))) / EXP((17.625*(Sheet3!CB55+273))/(243.04+(Sheet3!CB55+273)))</f>
        <v>0.48288141141774932</v>
      </c>
      <c r="DA55" s="299">
        <f>EXP((17.625*(Sheet3!BI55+273))/(243.04+(Sheet3!BI55+273))) / EXP((17.625*(Sheet3!CC55+273))/(243.04+(Sheet3!CC55+273)))</f>
        <v>0.52142119349116389</v>
      </c>
      <c r="DB55" s="299">
        <f>EXP((17.625*(Sheet3!BK55+273))/(243.04+(Sheet3!BK55+273)))/EXP((17.625*(Sheet3!CD55+273))/(243.04+(Sheet3!CD55+273)))</f>
        <v>0.54201444622577988</v>
      </c>
      <c r="DC55" s="299">
        <f>EXP((17.625*(Sheet3!BM55+273))/(243.04+(Sheet3!BM55+273))) / EXP((17.625*(Sheet3!CE55+273))/(243.04+(Sheet3!CE55+273)))</f>
        <v>0.57794659487940903</v>
      </c>
      <c r="DD55" s="299">
        <f>EXP((17.625*(Sheet3!BO55+273))/(243.04+(Sheet3!BO55+273))) / EXP((17.625*(Sheet3!CF55+273))/(243.04+(Sheet3!CF55+273)))</f>
        <v>0.60445377703211478</v>
      </c>
      <c r="DE55" s="299">
        <f>EXP((17.625*(Sheet3!BQ55+273))/(243.04+(Sheet3!BQ55+273))) / EXP((17.625*(Sheet3!CG55+273))/(243.04+(Sheet3!CG55+273)))</f>
        <v>0.64310170202739403</v>
      </c>
      <c r="DF55" s="299">
        <f>((Sheet3!DA55-Sheet3!DB55)/New!$LQ$3)/(((Sheet3!DA55-Sheet3!DB55)/New!$LQ$3)+(Sheet3!DB55/New!$LP$3))</f>
        <v>0.68864678899082576</v>
      </c>
      <c r="DG55" s="299">
        <f>((Sheet3!DA55-Sheet3!DB55)/New!$LQ$3)/(((Sheet3!DA55-Sheet3!DB55)/New!$LQ$3)+((Sheet3!DB55-(Sheet3!B55*0.004))/New!$LP$3))</f>
        <v>0.68899637915160317</v>
      </c>
      <c r="DH55" s="299" cm="1">
        <f t="array" ref="DH55">((Sheet3!DA55-Sheet3!DB55)/New!$LQ$3)/(((Sheet3!DA55-Sheet3!DB55)/New!$LQ$3)+((Sheet3!DB55-(SUM(Sheet3!B55:C55*0.004)))/New!$LP$3))</f>
        <v>0.69694081090407711</v>
      </c>
      <c r="DI55" s="299" cm="1">
        <f t="array" ref="DI55">((Sheet3!DA55-Sheet3!DB55)/New!$LQ$3)/(((Sheet3!DA55-Sheet3!DB55)/New!$LQ$3)+((Sheet3!DB55-(SUM(Sheet3!B55:D55*0.004)))/New!$LP$3))</f>
        <v>0.69749433757719292</v>
      </c>
      <c r="DJ55" s="299" cm="1">
        <f t="array" ref="DJ55">((Sheet3!DA55-Sheet3!DB55)/New!$LQ$3)/(((Sheet3!DA55-Sheet3!DB55)/New!$LQ$3)+((Sheet3!DB55-(SUM(Sheet3!B55:E55*0.004)))/New!$LP$3))</f>
        <v>0.70301213611365987</v>
      </c>
      <c r="DK55" s="299" cm="1">
        <f t="array" ref="DK55">((Sheet3!DA55-Sheet3!DB55)/New!$LQ$3)/(((Sheet3!DA55-Sheet3!DB55)/New!$LQ$3)+((Sheet3!DB55-(SUM(Sheet3!B55:F55*0.004)))/New!$LP$3))</f>
        <v>0.70350904506050604</v>
      </c>
      <c r="DL55" s="299" cm="1">
        <f t="array" ref="DL55">((Sheet3!DA55-Sheet3!DB55)/New!$LQ$3)/(((Sheet3!DA55-Sheet3!DB55)/New!$LQ$3)+((Sheet3!DB55-(SUM(Sheet3!B55:G55*0.004)))/New!$LP$3))</f>
        <v>0.72173822930349352</v>
      </c>
      <c r="DM55" s="299" cm="1">
        <f t="array" ref="DM55">((Sheet3!DA55-Sheet3!DB55)/New!$LQ$3)/(((Sheet3!DA55-Sheet3!DB55)/New!$LQ$3)+((Sheet3!DB55-(SUM(Sheet3!B55:H55*0.004)))/New!$LP$3))</f>
        <v>0.72422401698097283</v>
      </c>
      <c r="DN55" s="299" cm="1">
        <f t="array" ref="DN55">((Sheet3!DA55-Sheet3!DB55)/New!$LQ$3)/(((Sheet3!DA55-Sheet3!DB55)/New!$LQ$3)+((Sheet3!DB55-(SUM(Sheet3!B55:I55*0.004)))/New!$LP$3))</f>
        <v>0.74791546846120249</v>
      </c>
      <c r="DO55" s="299">
        <f>(Sheet3!DB55/$LP$3) / ((Sheet3!DB55/$LP$3) + ((Sheet3!DA55-Sheet3!DB55)/$LQ$3))</f>
        <v>0.31135321100917435</v>
      </c>
      <c r="DP55" s="299">
        <f>((Sheet3!$DB55-(Sheet3!B55/4000)) / $LP$3) / (((Sheet3!$DA55-Sheet3!DB55) / $LQ$3) + (Sheet3!$DB55-((Sheet3!B55/4000)))/$LP$3)</f>
        <v>0.31133137201773842</v>
      </c>
      <c r="DQ55" s="299">
        <f>((Sheet3!$DB55-(SUM(Sheet3!B55:C55)/4000))/$LP$3)/(((Sheet3!$DA55-Sheet3!$DB55)/$LQ$3)+(Sheet3!$DB55-(SUM(Sheet3!B55:C55)/4000))/$LP$3)</f>
        <v>0.3108406223780551</v>
      </c>
      <c r="DR55" s="299">
        <f>((Sheet3!$DB55-(SUM(Sheet3!B55:D55)/4000))/$LP$3)/(((Sheet3!$DA55-Sheet3!$DB55)/$LQ$3)+(Sheet3!$DB55-(SUM(Sheet3!B55:D55)/4000))/$LP$3)</f>
        <v>0.31080682036001878</v>
      </c>
      <c r="DS55" s="299">
        <f>((Sheet3!$DB55-(SUM(Sheet3!B55:E55)/4000))/$LP$3)/(((Sheet3!$DA55-Sheet3!$DB55)/$LQ$3)+(Sheet3!$DB55-(SUM(Sheet3!B55:E55)/4000))/$LP$3)</f>
        <v>0.31047259850225706</v>
      </c>
      <c r="DT55" s="299">
        <f>((Sheet3!$DB55-(SUM(Sheet3!B55:F55)/4000))/$LP$3)/(((Sheet3!$DA55-Sheet3!$DB55)/$LQ$3)+(Sheet3!$DB55-(SUM(Sheet3!B55:F55)/4000))/$LP$3)</f>
        <v>0.31044274150077933</v>
      </c>
      <c r="DU55" s="299">
        <f>((Sheet3!$DB55-(SUM(Sheet3!B55:G55)/4000))/$LP$3)/(((Sheet3!$DA55-Sheet3!$DB55)/$LQ$3)+(Sheet3!$DB55-(SUM(Sheet3!B55:G55)/4000))/$LP$3)</f>
        <v>0.30937415171271726</v>
      </c>
      <c r="DV55" s="299">
        <f>((Sheet3!$DB55-(SUM(Sheet3!B55:H55)/4000))/$LP$3)/(((Sheet3!$DA55-Sheet3!$DB55)/$LQ$3)+(Sheet3!$DB55-(SUM(Sheet3!B55:H55)/4000))/$LP$3)</f>
        <v>0.30923235497749801</v>
      </c>
      <c r="DW55" s="299">
        <f>((Sheet3!$DB55-(SUM(Sheet3!B55:I55)/4000))/$LP$3)/(((Sheet3!$DA55-Sheet3!$DB55)/$LQ$3)+(Sheet3!$DB55-(SUM(Sheet3!B55:I55)/4000))/$LP$3)</f>
        <v>0.30792548888526988</v>
      </c>
      <c r="DX55" s="299">
        <f>($LR$2*($LP$3/1000))/($LP$2*(Sheet3!DF55+273))*DO55</f>
        <v>0.16353771521048405</v>
      </c>
      <c r="DY55" s="299">
        <f>(($LR$2*($LP$3/1000))/($LP$2*(Sheet3!BZ55+273)))*(DP55)</f>
        <v>0.16396479791820512</v>
      </c>
      <c r="DZ55" s="299">
        <f>(($LR$2*($LP$3/1000))/($LP$2*(Sheet3!CA55+273)))*(DQ55)</f>
        <v>0.16687148822245831</v>
      </c>
      <c r="EA55" s="299">
        <f>(($LR$2*($LP$3/1000))/($LP$2*(Sheet3!CB55+273)))*(DR55)</f>
        <v>0.16939362904636474</v>
      </c>
      <c r="EB55" s="299">
        <f>(($LR$2*($LP$3/1000))/($LP$2*(Sheet3!CC55+273)))*(DS55)</f>
        <v>0.17242977621759573</v>
      </c>
      <c r="EC55" s="299">
        <f>(($LR$2*($LP$3/1000))/($LP$2*(Sheet3!CD55+273)))*(DT55)</f>
        <v>0.17403078326712362</v>
      </c>
      <c r="ED55" s="299">
        <f>(($LR$2*($LP$3/1000))/($LP$2*(Sheet3!CE55+273)))*(DU55)</f>
        <v>0.17630262746994232</v>
      </c>
      <c r="EE55" s="299">
        <f>(($LR$2*($LP$3/1000))/($LP$2*(Sheet3!CF55+273)))*(DV55)</f>
        <v>0.17814479675771921</v>
      </c>
      <c r="EF55" s="299">
        <f>(($LR$2*($LP$3/1000))/($LP$2*(Sheet3!CG55+273)))*(DW55)</f>
        <v>0.18026315097617693</v>
      </c>
      <c r="EG55" s="299">
        <f>(($LR$2*($LQ$3/1000))/($LQ$2*(Sheet3!DF55+273)))*(1-DO55)</f>
        <v>0.5814674318594989</v>
      </c>
      <c r="EH55" s="299">
        <f>(($LR$2*($LQ$3/1000))/($LQ$2*(Sheet3!BZ55+273)))*(1-DP55)</f>
        <v>0.58304533240043666</v>
      </c>
      <c r="EI55" s="299">
        <f>(($LR$2*($LQ$3/1000))/($LQ$2*(Sheet3!CA55+273)))*(1-DQ55)</f>
        <v>0.59474161865775643</v>
      </c>
      <c r="EJ55" s="299">
        <f>(($LR$2*($LQ$3/1000))/($LQ$2*(Sheet3!CB55+273)))*(1-DR55)</f>
        <v>0.60382597868465138</v>
      </c>
      <c r="EK55" s="299">
        <f>(($LR$2*($LQ$3/1000))/($LQ$2*(Sheet3!CC55+273)))*(1-DS55)</f>
        <v>0.61560878480765335</v>
      </c>
      <c r="EL55" s="299">
        <f>(($LR$2*($LQ$3/1000))/($LQ$2*(Sheet3!CD55+273)))*(1-DT55)</f>
        <v>0.62141136276594711</v>
      </c>
      <c r="EM55" s="299">
        <f>(($LR$2*($LQ$3/1000))/($LQ$2*(Sheet3!CE55+273)))*(1-DU55)</f>
        <v>0.63267675596188866</v>
      </c>
      <c r="EN55" s="299">
        <f>(($LR$2*($LQ$3/1000))/($LQ$2*(Sheet3!CF55+273)))*(1-DV55)</f>
        <v>0.63971199284578661</v>
      </c>
      <c r="EO55" s="299">
        <f>(($LR$2*($LQ$3/1000))/($LQ$2*(Sheet3!CG55+273)))*(1-DW55)</f>
        <v>0.65129608000274697</v>
      </c>
      <c r="EP55" s="299">
        <f t="shared" si="132"/>
        <v>2980.2546857105117</v>
      </c>
      <c r="EQ55" s="299">
        <f xml:space="preserve"> (($FV55-(Sheet3!B55/4000))*0.018)/(0.011*JO55*3600)</f>
        <v>2986.7572049044338</v>
      </c>
      <c r="ER55" s="299">
        <f>((($FV55-(SUM(Sheet3!B55:C55)/4000))*0.018)/(0.011*JP55*3600))</f>
        <v>3032.1582334657605</v>
      </c>
      <c r="ES55" s="299">
        <f>((($FV55-(SUM(Sheet3!B55:D55)/4000))*0.018)/(0.011*JQ55*3600))</f>
        <v>3069.8961073553533</v>
      </c>
      <c r="ET55" s="299">
        <f>((($FV55-(SUM(Sheet3!B55:E55)/4000))*0.018)/(0.011*JR55))/3600</f>
        <v>3116.1995042013305</v>
      </c>
      <c r="EU55" s="299">
        <f>((($FV55-(SUM(Sheet3!B55:F55)/4000))*0.018)/(0.011*JS55))/3600</f>
        <v>3139.9603157122897</v>
      </c>
      <c r="EV55" s="299">
        <f>((($FV55-(SUM(Sheet3!B55:G55)/4000))*0.018)/(0.011*JT55))/3600</f>
        <v>3177.487375717636</v>
      </c>
      <c r="EW55" s="299">
        <f>((($FV55-(SUM(Sheet3!B55:H55)/4000))*0.018)/(0.011*JU55))/3600</f>
        <v>3205.0499069701737</v>
      </c>
      <c r="EX55" s="299">
        <f>((($FV55-(SUM(Sheet3!B55:I55)/4000))*0.018)/(0.011*JV55))/3600</f>
        <v>3241.0819560712011</v>
      </c>
      <c r="EY55" s="299">
        <f t="shared" si="133"/>
        <v>36.419015110713147</v>
      </c>
      <c r="EZ55" s="299">
        <f t="shared" si="134"/>
        <v>36.484763538998223</v>
      </c>
      <c r="FA55" s="299">
        <f t="shared" si="135"/>
        <v>36.937359939180695</v>
      </c>
      <c r="FB55" s="299">
        <f t="shared" si="136"/>
        <v>37.325131455746437</v>
      </c>
      <c r="FC55" s="299">
        <f t="shared" si="137"/>
        <v>37.796849347532245</v>
      </c>
      <c r="FD55" s="299">
        <f t="shared" si="138"/>
        <v>38.043861140249525</v>
      </c>
      <c r="FE55" s="299">
        <f t="shared" si="139"/>
        <v>38.409852550832063</v>
      </c>
      <c r="FF55" s="299">
        <f t="shared" si="140"/>
        <v>38.696580045370844</v>
      </c>
      <c r="FG55" s="299">
        <f t="shared" si="141"/>
        <v>39.043785561358177</v>
      </c>
      <c r="FH55" s="299">
        <f t="shared" si="185"/>
        <v>73.385621678620538</v>
      </c>
      <c r="FI55" s="299">
        <f t="shared" si="186"/>
        <v>73.246461138705129</v>
      </c>
      <c r="FJ55" s="299">
        <f t="shared" si="187"/>
        <v>72.204585543894424</v>
      </c>
      <c r="FK55" s="299">
        <f t="shared" si="188"/>
        <v>71.436318318396886</v>
      </c>
      <c r="FL55" s="299">
        <f t="shared" si="189"/>
        <v>70.439382552364435</v>
      </c>
      <c r="FM55" s="299">
        <f t="shared" si="190"/>
        <v>69.965098572738412</v>
      </c>
      <c r="FN55" s="299">
        <f t="shared" si="191"/>
        <v>68.996632614093215</v>
      </c>
      <c r="FO55" s="299">
        <f t="shared" si="192"/>
        <v>68.434567629648143</v>
      </c>
      <c r="FP55" s="299">
        <f t="shared" si="193"/>
        <v>67.463850664892391</v>
      </c>
      <c r="FQ55" s="314">
        <f>Sheet3!CV55</f>
        <v>1</v>
      </c>
      <c r="FR55" s="299">
        <v>3000</v>
      </c>
      <c r="FS55" s="299">
        <v>20</v>
      </c>
      <c r="FT55" s="299">
        <v>0.11453333333333333</v>
      </c>
      <c r="FU55" s="299">
        <v>25.1</v>
      </c>
      <c r="FV55" s="299">
        <v>134</v>
      </c>
      <c r="FW55" s="299">
        <v>27</v>
      </c>
      <c r="FX55" s="299">
        <v>135</v>
      </c>
      <c r="FY55" s="299">
        <v>8.9</v>
      </c>
      <c r="FZ55" s="299">
        <v>41.7</v>
      </c>
      <c r="GA55" s="299">
        <v>145</v>
      </c>
      <c r="GB55" s="299">
        <f>EXP($LP$6-($LQ$6/('Trial and Error method'!T55+$LP$8))) / ($LR$2/1000)</f>
        <v>0.11811163653305819</v>
      </c>
      <c r="GC55" s="299">
        <f>EXP($LP$6-($LQ$6/('Trial and Error method'!U55+$LP$8))) / ($LR$2/1000)</f>
        <v>0.31090679974625085</v>
      </c>
      <c r="GD55" s="299">
        <f>EXP($LP$6-($LQ$6/('Trial and Error method'!V55+$LP$8))) / ($LR$2/1000)</f>
        <v>0.29470410130731689</v>
      </c>
      <c r="GE55" s="299">
        <f>EXP($LP$6-($LQ$6/('Trial and Error method'!W55+$LP$8))) / ($LR$2/1000)</f>
        <v>0.28347862302939619</v>
      </c>
      <c r="GF55" s="299">
        <f>EXP($LP$6-($LQ$6/('Trial and Error method'!X55+$LP$8))) / ($LR$2/1000)</f>
        <v>0.26829662241684366</v>
      </c>
      <c r="GG55" s="299">
        <f>EXP($LP$6-($LQ$6/('Trial and Error method'!Y55+$LP$8))) / ($LR$2/1000)</f>
        <v>0.25820349370246787</v>
      </c>
      <c r="GH55" s="299">
        <f>EXP($LP$6-($LQ$6/('Trial and Error method'!Z55+$LP$8))) / ($LR$2/1000)</f>
        <v>0.24131126353540619</v>
      </c>
      <c r="GI55" s="299">
        <f>EXP($LP$6-($LQ$6/('Trial and Error method'!AA55+$LP$8))) / ($LR$2/1000)</f>
        <v>0.22733878768514212</v>
      </c>
      <c r="GJ55" s="299">
        <f>EXP($LP$6-($LQ$6/('Trial and Error method'!AB55+$LP$8))) / ($LR$2/1000)</f>
        <v>0.20810385490283739</v>
      </c>
      <c r="GK55" s="188">
        <f t="shared" si="142"/>
        <v>0.7812886490670975</v>
      </c>
      <c r="GL55" s="300">
        <f t="shared" si="143"/>
        <v>0.6888808923118489</v>
      </c>
      <c r="GM55" s="300">
        <f t="shared" si="144"/>
        <v>0.6971965152981382</v>
      </c>
      <c r="GN55" s="300">
        <f t="shared" si="145"/>
        <v>0.70276872243524213</v>
      </c>
      <c r="GO55" s="300">
        <f t="shared" si="146"/>
        <v>0.71040674046998509</v>
      </c>
      <c r="GP55" s="300">
        <f t="shared" si="147"/>
        <v>0.71535901211082764</v>
      </c>
      <c r="GQ55" s="300">
        <f t="shared" si="148"/>
        <v>0.72412424909744089</v>
      </c>
      <c r="GR55" s="300">
        <f t="shared" si="149"/>
        <v>0.73094999496583979</v>
      </c>
      <c r="GS55" s="300">
        <f t="shared" si="150"/>
        <v>0.74086486454209333</v>
      </c>
      <c r="GT55" s="300">
        <f t="shared" si="194"/>
        <v>5.1261615433765742E-2</v>
      </c>
      <c r="GU55" s="300">
        <f t="shared" si="195"/>
        <v>5.8134625710246114E-2</v>
      </c>
      <c r="GV55" s="300">
        <f t="shared" si="196"/>
        <v>5.7440204025275055E-2</v>
      </c>
      <c r="GW55" s="300">
        <f t="shared" si="197"/>
        <v>5.6998902998408735E-2</v>
      </c>
      <c r="GX55" s="300">
        <f t="shared" si="198"/>
        <v>5.6400560164218183E-2</v>
      </c>
      <c r="GY55" s="300">
        <f t="shared" si="199"/>
        <v>5.6023551719995804E-2</v>
      </c>
      <c r="GZ55" s="300">
        <f t="shared" si="200"/>
        <v>5.5342912398144851E-2</v>
      </c>
      <c r="HA55" s="300">
        <f t="shared" si="201"/>
        <v>5.4843258434171586E-2</v>
      </c>
      <c r="HB55" s="300">
        <f t="shared" si="202"/>
        <v>5.4101507689684858E-2</v>
      </c>
      <c r="HC55" s="300">
        <f>BV55*Sheet3!DF55</f>
        <v>176.65218136803796</v>
      </c>
      <c r="HD55" s="300">
        <f>BW55*Sheet3!BZ55</f>
        <v>175.23655104158431</v>
      </c>
      <c r="HE55" s="300">
        <f>BX55*Sheet3!CA55</f>
        <v>165.0667779830751</v>
      </c>
      <c r="HF55" s="300">
        <f>BY55*Sheet3!CB55</f>
        <v>157.40467668854876</v>
      </c>
      <c r="HG55" s="300">
        <f>BZ55*Sheet3!CC55</f>
        <v>147.89862150873822</v>
      </c>
      <c r="HH55" s="300">
        <f>CA55*Sheet3!CD55</f>
        <v>143.33477635442529</v>
      </c>
      <c r="HI55" s="300">
        <f>CB55*Sheet3!CE55</f>
        <v>134.97719336762003</v>
      </c>
      <c r="HJ55" s="300">
        <f>CC55*Sheet3!CF55</f>
        <v>129.80807438367009</v>
      </c>
      <c r="HK55" s="300">
        <f>CD55*Sheet3!CG55</f>
        <v>121.8390771606086</v>
      </c>
      <c r="HL55" s="300">
        <f>(CE55*Sheet3!DF55)+2501</f>
        <v>2777.9002721684374</v>
      </c>
      <c r="HM55" s="300">
        <f>(CF55*Sheet3!BZ55)+2501</f>
        <v>2775.6856633579928</v>
      </c>
      <c r="HN55" s="300">
        <f>(CG55*Sheet3!CA55)+2501</f>
        <v>2760.0650153199122</v>
      </c>
      <c r="HO55" s="300">
        <f>(CH55*Sheet3!CB55)+2501</f>
        <v>2747.9995272062561</v>
      </c>
      <c r="HP55" s="300">
        <f>(CI55*Sheet3!CC55)+2501</f>
        <v>2733.2670316738577</v>
      </c>
      <c r="HQ55" s="300">
        <f>(CJ55*Sheet3!CD55)+2501</f>
        <v>2726.0904494483543</v>
      </c>
      <c r="HR55" s="300">
        <f>(CK55*Sheet3!CE55)+2501</f>
        <v>2713.670029985808</v>
      </c>
      <c r="HS55" s="300">
        <f>(CL55*Sheet3!CF55)+2501</f>
        <v>2705.5945695708601</v>
      </c>
      <c r="HT55" s="300">
        <f>(CM55*Sheet3!CG55)+2501</f>
        <v>2693.8404259171957</v>
      </c>
      <c r="HU55" s="188">
        <f>-0.0021*(Sheet3!DF55^2) - 2.2115*(Sheet3!DF55) + 2499</f>
        <v>2134.1799999999998</v>
      </c>
      <c r="HV55" s="165">
        <f>-0.0021*(Sheet3!BZ55^2) - 2.2115*(Sheet3!BZ55) + 2499</f>
        <v>2137.3307415613804</v>
      </c>
      <c r="HW55" s="165">
        <f>-0.0021*(Sheet3!CA55^2) - 2.2115*(Sheet3!CA55) + 2499</f>
        <v>2159.4646781100037</v>
      </c>
      <c r="HX55" s="165">
        <f>-0.0021*(Sheet3!CB55^2) - 2.2115*(Sheet3!CB55) + 2499</f>
        <v>2176.4516980843919</v>
      </c>
      <c r="HY55" s="165">
        <f>-0.0021*(Sheet3!CC55^2) - 2.2115*(Sheet3!CC55) + 2499</f>
        <v>2197.061086625079</v>
      </c>
      <c r="HZ55" s="165">
        <f>-0.0021*(Sheet3!CD55^2) - 2.2115*(Sheet3!CD55) + 2499</f>
        <v>2207.0465869069449</v>
      </c>
      <c r="IA55" s="165">
        <f>-0.0021*(Sheet3!CE55^2) - 2.2115*(Sheet3!CE55) + 2499</f>
        <v>2224.2431762028036</v>
      </c>
      <c r="IB55" s="165">
        <f>-0.0021*(Sheet3!CF55^2) - 2.2115*(Sheet3!CF55) + 2499</f>
        <v>2235.3650333532978</v>
      </c>
      <c r="IC55" s="165">
        <f>-0.0021*(Sheet3!CG55^2) - 2.2115*(Sheet3!CG55) + 2499</f>
        <v>2251.4685546496867</v>
      </c>
      <c r="ID55" s="300">
        <f t="shared" si="203"/>
        <v>0.68647457136800261</v>
      </c>
      <c r="IE55" s="300">
        <f t="shared" si="204"/>
        <v>0.68729621207356639</v>
      </c>
      <c r="IF55" s="300">
        <f t="shared" si="205"/>
        <v>0.692709513155919</v>
      </c>
      <c r="IG55" s="300">
        <f t="shared" si="206"/>
        <v>0.69782908760678708</v>
      </c>
      <c r="IH55" s="300">
        <f t="shared" si="207"/>
        <v>0.70391790944876509</v>
      </c>
      <c r="II55" s="300">
        <f t="shared" si="208"/>
        <v>0.70730581967668038</v>
      </c>
      <c r="IJ55" s="300">
        <f t="shared" si="209"/>
        <v>0.7114230726569607</v>
      </c>
      <c r="IK55" s="300">
        <f t="shared" si="210"/>
        <v>0.71537840964703781</v>
      </c>
      <c r="IL55" s="300">
        <f t="shared" si="211"/>
        <v>0.71914278748732474</v>
      </c>
      <c r="IM55" s="300">
        <f t="shared" si="212"/>
        <v>21.140920897835674</v>
      </c>
      <c r="IN55" s="300">
        <f t="shared" si="151"/>
        <v>5.275434562107801E-2</v>
      </c>
      <c r="IO55" s="300">
        <f t="shared" si="152"/>
        <v>2.0015755532690216</v>
      </c>
      <c r="IP55" s="300">
        <f t="shared" si="153"/>
        <v>3.3902093366808996</v>
      </c>
      <c r="IQ55" s="300">
        <f t="shared" si="154"/>
        <v>5.226256152416469</v>
      </c>
      <c r="IR55" s="300">
        <f t="shared" si="155"/>
        <v>6.4592047818147851</v>
      </c>
      <c r="IS55" s="300">
        <f t="shared" si="156"/>
        <v>8.3782757662524556</v>
      </c>
      <c r="IT55" s="300">
        <f t="shared" si="157"/>
        <v>10.039717495850269</v>
      </c>
      <c r="IU55" s="300">
        <f t="shared" si="158"/>
        <v>12.159057952324453</v>
      </c>
      <c r="IV55" s="300">
        <f>_xlfn.FORECAST.LINEAR(Sheet3!DF55,Sheet2!$AK$2:$AK$69,Sheet2!$AJ$2:$AJ$69)</f>
        <v>1.386217343669711E-5</v>
      </c>
      <c r="IW55" s="300">
        <f>_xlfn.FORECAST.LINEAR(Sheet3!BZ55,Sheet2!$AK$2:$AK$69,Sheet2!$AJ$2:$AJ$69)</f>
        <v>1.382302908283873E-5</v>
      </c>
      <c r="IX55" s="300">
        <f>_xlfn.FORECAST.LINEAR(Sheet3!CA55,Sheet2!$AK$2:$AK$69,Sheet2!$AJ$2:$AJ$69)</f>
        <v>1.3546178365969027E-5</v>
      </c>
      <c r="IY55" s="300">
        <f>_xlfn.FORECAST.LINEAR(Sheet3!CB55,Sheet2!$AK$2:$AK$69,Sheet2!$AJ$2:$AJ$69)</f>
        <v>1.3331443284147072E-5</v>
      </c>
      <c r="IZ55" s="300">
        <f>_xlfn.FORECAST.LINEAR(Sheet3!CC55,Sheet2!$AK$2:$AK$69,Sheet2!$AJ$2:$AJ$69)</f>
        <v>1.30681924946035E-5</v>
      </c>
      <c r="JA55" s="300">
        <f>_xlfn.FORECAST.LINEAR(Sheet3!CD55,Sheet2!$AK$2:$AK$69,Sheet2!$AJ$2:$AJ$69)</f>
        <v>1.2939541021867191E-5</v>
      </c>
      <c r="JB55" s="300">
        <f>_xlfn.FORECAST.LINEAR(Sheet3!CE55,Sheet2!$AK$2:$AK$69,Sheet2!$AJ$2:$AJ$69)</f>
        <v>1.2716248632549275E-5</v>
      </c>
      <c r="JC55" s="300">
        <f>_xlfn.FORECAST.LINEAR(Sheet3!CF55,Sheet2!$AK$2:$AK$69,Sheet2!$AJ$2:$AJ$69)</f>
        <v>1.2570639928553241E-5</v>
      </c>
      <c r="JD55" s="300">
        <f>_xlfn.FORECAST.LINEAR(Sheet3!CG55,Sheet2!$AK$2:$AK$69,Sheet2!$AJ$2:$AJ$69)</f>
        <v>1.2358103489256194E-5</v>
      </c>
      <c r="JE55" s="300">
        <f>_xlfn.FORECAST.LINEAR(Sheet3!DF55,New!$MC$2:$MC$18,New!$MB$2:$MB$18)</f>
        <v>2.337798370672098E-5</v>
      </c>
      <c r="JF55" s="300">
        <f>_xlfn.FORECAST.LINEAR(Sheet3!BZ55,New!$MC$2:$MC$18,New!$MB$2:$MB$18)</f>
        <v>2.3331968573944004E-5</v>
      </c>
      <c r="JG55" s="300">
        <f>_xlfn.FORECAST.LINEAR(Sheet3!CA55,New!$MC$2:$MC$18,New!$MB$2:$MB$18)</f>
        <v>2.300652387399443E-5</v>
      </c>
      <c r="JH55" s="300">
        <f>_xlfn.FORECAST.LINEAR(Sheet3!CB55,New!$MC$2:$MC$18,New!$MB$2:$MB$18)</f>
        <v>2.2754097602311395E-5</v>
      </c>
      <c r="JI55" s="300">
        <f>_xlfn.FORECAST.LINEAR(Sheet3!CC55,New!$MC$2:$MC$18,New!$MB$2:$MB$18)</f>
        <v>2.2444639945191376E-5</v>
      </c>
      <c r="JJ55" s="300">
        <f>_xlfn.FORECAST.LINEAR(Sheet3!CD55,New!$MC$2:$MC$18,New!$MB$2:$MB$18)</f>
        <v>2.2293407033764802E-5</v>
      </c>
      <c r="JK55" s="300">
        <f>_xlfn.FORECAST.LINEAR(Sheet3!CE55,New!$MC$2:$MC$18,New!$MB$2:$MB$18)</f>
        <v>2.2030921440574901E-5</v>
      </c>
      <c r="JL55" s="300">
        <f>_xlfn.FORECAST.LINEAR(Sheet3!CF55,New!$MC$2:$MC$18,New!$MB$2:$MB$18)</f>
        <v>2.1859754894510517E-5</v>
      </c>
      <c r="JM55" s="300">
        <f>_xlfn.FORECAST.LINEAR(Sheet3!CG55,New!$MC$2:$MC$18,New!$MB$2:$MB$18)</f>
        <v>2.1609913180183546E-5</v>
      </c>
      <c r="JN55" s="300">
        <f t="shared" si="159"/>
        <v>2.0437545556469711E-5</v>
      </c>
      <c r="JO55" s="300">
        <f t="shared" si="160"/>
        <v>2.0392632119235069E-5</v>
      </c>
      <c r="JP55" s="300">
        <f t="shared" si="161"/>
        <v>2.0078032886063162E-5</v>
      </c>
      <c r="JQ55" s="300">
        <f t="shared" si="162"/>
        <v>1.9830586697455312E-5</v>
      </c>
      <c r="JR55" s="300">
        <f t="shared" si="163"/>
        <v>1.9529799012530763E-5</v>
      </c>
      <c r="JS55" s="300">
        <f t="shared" si="164"/>
        <v>1.9381469616038835E-5</v>
      </c>
      <c r="JT55" s="300">
        <f t="shared" si="165"/>
        <v>1.9133399814029328E-5</v>
      </c>
      <c r="JU55" s="300">
        <f t="shared" si="166"/>
        <v>1.8966340601941797E-5</v>
      </c>
      <c r="JV55" s="300">
        <f t="shared" si="167"/>
        <v>1.8732591294902096E-5</v>
      </c>
      <c r="JW55" s="300">
        <f t="shared" si="231"/>
        <v>1.0152024173422087</v>
      </c>
      <c r="JX55" s="300">
        <f t="shared" si="232"/>
        <v>1.015668866969881</v>
      </c>
      <c r="JY55" s="300">
        <f t="shared" si="233"/>
        <v>1.0190420561088003</v>
      </c>
      <c r="JZ55" s="300">
        <f t="shared" si="234"/>
        <v>1.0217513987514297</v>
      </c>
      <c r="KA55" s="300">
        <f t="shared" si="235"/>
        <v>1.0251898990416617</v>
      </c>
      <c r="KB55" s="300">
        <f t="shared" si="236"/>
        <v>1.0269193239708125</v>
      </c>
      <c r="KC55" s="300">
        <f t="shared" si="237"/>
        <v>1.0300009602424562</v>
      </c>
      <c r="KD55" s="300">
        <f t="shared" si="238"/>
        <v>1.0320672526461194</v>
      </c>
      <c r="KE55" s="300">
        <f t="shared" si="239"/>
        <v>1.035167391989632</v>
      </c>
      <c r="KF55" s="188">
        <f t="shared" si="75"/>
        <v>0.9677010468805306</v>
      </c>
      <c r="KG55" s="300">
        <f t="shared" si="240"/>
        <v>0.96731577509953026</v>
      </c>
      <c r="KH55" s="300">
        <f t="shared" si="241"/>
        <v>0.96454431112529959</v>
      </c>
      <c r="KI55" s="300">
        <f t="shared" si="242"/>
        <v>0.96233678030732883</v>
      </c>
      <c r="KJ55" s="300">
        <f t="shared" si="243"/>
        <v>0.95955857258535049</v>
      </c>
      <c r="KK55" s="300">
        <f t="shared" si="244"/>
        <v>0.95817104684548626</v>
      </c>
      <c r="KL55" s="300">
        <f t="shared" si="245"/>
        <v>0.95571470792254343</v>
      </c>
      <c r="KM55" s="300">
        <f t="shared" si="246"/>
        <v>0.95407911220813346</v>
      </c>
      <c r="KN55" s="300">
        <f t="shared" si="247"/>
        <v>0.95164217284241759</v>
      </c>
      <c r="KO55" s="300">
        <f t="shared" si="213"/>
        <v>0.62124409892267862</v>
      </c>
      <c r="KP55" s="300">
        <f t="shared" si="214"/>
        <v>0.62055679046268508</v>
      </c>
      <c r="KQ55" s="300">
        <f t="shared" si="215"/>
        <v>0.61516692386698568</v>
      </c>
      <c r="KR55" s="300">
        <f t="shared" si="216"/>
        <v>0.61088189330390741</v>
      </c>
      <c r="KS55" s="300">
        <f t="shared" si="217"/>
        <v>0.60551948417613966</v>
      </c>
      <c r="KT55" s="300">
        <f t="shared" si="218"/>
        <v>0.60284559550691175</v>
      </c>
      <c r="KU55" s="300">
        <f t="shared" si="219"/>
        <v>0.59816412287910314</v>
      </c>
      <c r="KV55" s="300">
        <f t="shared" si="220"/>
        <v>0.59503801192018335</v>
      </c>
      <c r="KW55" s="300">
        <f t="shared" si="221"/>
        <v>0.59052645144336846</v>
      </c>
      <c r="KX55" s="188">
        <f>AVERAGE(Sheet3!J55:P55)*KO55^(1/3)/ID55^(1/3)</f>
        <v>101.15811694366219</v>
      </c>
      <c r="KY55" s="300">
        <f>Sheet3!J55*KP55^(1/3)/IE55^(1/3)</f>
        <v>69.976795142952113</v>
      </c>
      <c r="KZ55" s="300">
        <f>Sheet3!K55*KQ55^(1/3)/IF55^(1/3)</f>
        <v>79.210684171770779</v>
      </c>
      <c r="LA55" s="300">
        <f>Sheet3!L55*KR55^(1/3)/IG55^(1/3)</f>
        <v>89.762505186112321</v>
      </c>
      <c r="LB55" s="300">
        <f>Sheet3!M55*KS55^(1/3)/IH55^(1/3)</f>
        <v>98.638024321021007</v>
      </c>
      <c r="LC55" s="300">
        <f>Sheet3!N55*KT55^(1/3)/II55^(1/3)</f>
        <v>108.5225128477438</v>
      </c>
      <c r="LD55" s="300">
        <f>Sheet3!O55*KU55^(1/3)/IJ55^(1/3)</f>
        <v>118.77345821764588</v>
      </c>
      <c r="LE55" s="300">
        <f>Sheet3!P55*KV55^(1/3)/IK55^(1/3)</f>
        <v>131.11021469640664</v>
      </c>
      <c r="LF55" s="300">
        <f>Sheet3!Q55*KW55^(1/3)/IL55^(1/3)</f>
        <v>157.34976405441219</v>
      </c>
      <c r="LG55" s="299">
        <f t="shared" si="248"/>
        <v>25.55223910550459</v>
      </c>
      <c r="LH55" s="299">
        <f t="shared" si="249"/>
        <v>25.561969807129987</v>
      </c>
      <c r="LI55" s="299">
        <f t="shared" si="250"/>
        <v>25.783199695922736</v>
      </c>
      <c r="LJ55" s="299">
        <f t="shared" si="251"/>
        <v>25.798620885021247</v>
      </c>
      <c r="LK55" s="299">
        <f t="shared" si="252"/>
        <v>25.952395323869752</v>
      </c>
      <c r="LL55" s="299">
        <f t="shared" si="253"/>
        <v>25.966247933088795</v>
      </c>
      <c r="LM55" s="299">
        <f t="shared" si="254"/>
        <v>26.474914463733775</v>
      </c>
      <c r="LN55" s="299">
        <f t="shared" si="255"/>
        <v>26.544348406688599</v>
      </c>
      <c r="LO55" s="299">
        <f t="shared" si="256"/>
        <v>27.206909648904563</v>
      </c>
      <c r="LZ55" s="33">
        <v>204.3</v>
      </c>
      <c r="MA55" s="300">
        <v>1.5999999999999999E-5</v>
      </c>
      <c r="MD55" s="300">
        <f>Sheet3!DP55</f>
        <v>186.07134580448354</v>
      </c>
      <c r="MP55" s="33"/>
      <c r="MQ55" s="33"/>
      <c r="MR55" s="33"/>
      <c r="MS55" s="33"/>
    </row>
    <row r="56" spans="1:357" x14ac:dyDescent="0.3">
      <c r="A56" s="184" t="str">
        <f>Sheet3!A56</f>
        <v>2023.01.17-2</v>
      </c>
      <c r="B56" s="186">
        <f t="shared" si="102"/>
        <v>1.0060757084095207</v>
      </c>
      <c r="C56" s="183">
        <f t="shared" si="168"/>
        <v>1.00569164867901</v>
      </c>
      <c r="D56" s="183">
        <f t="shared" si="169"/>
        <v>0.98477844897704414</v>
      </c>
      <c r="E56" s="183">
        <f t="shared" si="170"/>
        <v>0.96770005610492116</v>
      </c>
      <c r="F56" s="183">
        <f t="shared" si="171"/>
        <v>0.94797481797488981</v>
      </c>
      <c r="G56" s="183">
        <f t="shared" si="172"/>
        <v>0.93821841557062913</v>
      </c>
      <c r="H56" s="183">
        <f t="shared" si="173"/>
        <v>0.9238795218910888</v>
      </c>
      <c r="I56" s="183">
        <f t="shared" si="174"/>
        <v>0.90994115657444663</v>
      </c>
      <c r="J56" s="183">
        <f t="shared" si="175"/>
        <v>0.89475870239618427</v>
      </c>
      <c r="K56" s="186">
        <f xml:space="preserve"> (6.057 * (10^(-6)))
+ (4.055 * (10^(-8)) * (Sheet3!DF56 + 273))
+ (1.25 * (10^(-10)) * (Sheet3!DF56 + 273)^2)
- (3.367 * (10^(-14)) * (DD56 + 273)^3)</f>
        <v>5.3312319740798901E-5</v>
      </c>
      <c r="L56" s="183">
        <f xml:space="preserve"> (6.057 * (10^(-6)))
+ (4.055 * (10^(-8)) * (Sheet3!BZ56 + 273))
+ (1.25 * (10^(-10)) * (Sheet3!BZ56 + 273)^2)
- (3.367 * (10^(-14)) * (BX56 + 273)^3)</f>
        <v>5.3253081722611452E-5</v>
      </c>
      <c r="M56" s="183">
        <f xml:space="preserve"> (6.057 * (10^(-6)))
+ (4.055 * (10^(-8)) * (Sheet3!CA56 + 273))
+ (1.25 * (10^(-10)) * (Sheet3!CA56 + 273)^2)
- (3.367 * (10^(-14)) * (BY56 + 273)^3)</f>
        <v>5.1083387309113626E-5</v>
      </c>
      <c r="N56" s="183">
        <f xml:space="preserve"> (6.057 * (10^(-6)))
+ (4.055 * (10^(-8)) * (Sheet3!CB56 + 273))
+ (1.25 * (10^(-10)) * (Sheet3!CB56 + 273)^2)
- (3.367 * (10^(-14)) * (BZ56 + 273)^3)</f>
        <v>4.9460640732088247E-5</v>
      </c>
      <c r="O56" s="183">
        <f xml:space="preserve"> (6.057 * (10^(-6)))
+ (4.055 * (10^(-8)) * (Sheet3!CC56 + 273))
+ (1.25 * (10^(-10)) * (Sheet3!CC56 + 273)^2)
- (3.367 * (10^(-14)) * (CA56 + 273)^3)</f>
        <v>4.7638297567800079E-5</v>
      </c>
      <c r="P56" s="183">
        <f xml:space="preserve"> (6.057 * (10^(-6)))
+ (4.055 * (10^(-8)) * (Sheet3!CD56 + 273))
+ (1.25 * (10^(-10)) * (Sheet3!CD56 + 273)^2)
- (3.367 * (10^(-14)) * (CB56 + 273)^3)</f>
        <v>4.6802673701511472E-5</v>
      </c>
      <c r="Q56" s="183">
        <f xml:space="preserve"> (6.057 * (10^(-6)))
+ (4.055 * (10^(-8)) * (Sheet3!CE56 + 273))
+ (1.25 * (10^(-10)) * (Sheet3!CE56 + 273)^2)
- (3.367 * (10^(-14)) * (CC56 + 273)^3)</f>
        <v>4.5472260925709053E-5</v>
      </c>
      <c r="R56" s="183">
        <f xml:space="preserve"> (6.057 * (10^(-6)))
+ (4.055 * (10^(-8)) * (Sheet3!CF56 + 273))
+ (1.25 * (10^(-10)) * (Sheet3!CF56 + 273)^2)
- (3.367 * (10^(-14)) * (CD56 + 273)^3)</f>
        <v>4.4354644427523215E-5</v>
      </c>
      <c r="S56" s="183">
        <f xml:space="preserve"> (6.057 * (10^(-6)))
+ (4.055 * (10^(-8)) * (Sheet3!CG56 + 273))
+ (1.25 * (10^(-10)) * (Sheet3!CG56 + 273)^2)
- (3.367 * (10^(-14)) * (CE56 + 273)^3)</f>
        <v>4.3020606369863356E-5</v>
      </c>
      <c r="T56" s="188">
        <f t="shared" si="104"/>
        <v>5.3312319740798901E-5</v>
      </c>
      <c r="U56" s="165">
        <f t="shared" si="105"/>
        <v>5.3253081722611452E-5</v>
      </c>
      <c r="V56" s="165">
        <f t="shared" si="106"/>
        <v>5.1083387309113626E-5</v>
      </c>
      <c r="W56" s="165">
        <f t="shared" si="107"/>
        <v>4.9460640732088247E-5</v>
      </c>
      <c r="X56" s="165">
        <f t="shared" si="108"/>
        <v>4.7638297567800079E-5</v>
      </c>
      <c r="Y56" s="165">
        <f t="shared" si="109"/>
        <v>4.6802673701511472E-5</v>
      </c>
      <c r="Z56" s="165">
        <f t="shared" si="110"/>
        <v>4.5472260925709053E-5</v>
      </c>
      <c r="AA56" s="165">
        <f t="shared" si="111"/>
        <v>4.4354644427523215E-5</v>
      </c>
      <c r="AB56" s="165">
        <f t="shared" si="112"/>
        <v>4.3020606369863356E-5</v>
      </c>
      <c r="AC56" s="186">
        <f t="shared" si="176"/>
        <v>5.3636229850179132E-5</v>
      </c>
      <c r="AD56" s="183">
        <f t="shared" si="177"/>
        <v>5.3556179554851158E-5</v>
      </c>
      <c r="AE56" s="183">
        <f t="shared" si="178"/>
        <v>5.0305818922762536E-5</v>
      </c>
      <c r="AF56" s="183">
        <f t="shared" si="179"/>
        <v>4.7863064811427146E-5</v>
      </c>
      <c r="AG56" s="183">
        <f t="shared" si="180"/>
        <v>4.5159906465468915E-5</v>
      </c>
      <c r="AH56" s="183">
        <f t="shared" si="181"/>
        <v>4.3911130364701246E-5</v>
      </c>
      <c r="AI56" s="183">
        <f t="shared" si="182"/>
        <v>4.2010890683350919E-5</v>
      </c>
      <c r="AJ56" s="183">
        <f t="shared" si="183"/>
        <v>4.0360116449828811E-5</v>
      </c>
      <c r="AK56" s="183">
        <f t="shared" si="184"/>
        <v>3.8493061931795954E-5</v>
      </c>
      <c r="AL56" s="186">
        <f t="shared" si="113"/>
        <v>4.296453909052271E-2</v>
      </c>
      <c r="AM56" s="183">
        <f t="shared" si="114"/>
        <v>4.2926754625494973E-2</v>
      </c>
      <c r="AN56" s="183">
        <f t="shared" si="115"/>
        <v>4.1361580614935077E-2</v>
      </c>
      <c r="AO56" s="183">
        <f t="shared" si="116"/>
        <v>4.0169183564306106E-2</v>
      </c>
      <c r="AP56" s="183">
        <f t="shared" si="117"/>
        <v>3.8799359926396437E-2</v>
      </c>
      <c r="AQ56" s="183">
        <f t="shared" si="118"/>
        <v>3.8162707636255372E-2</v>
      </c>
      <c r="AR56" s="183">
        <f t="shared" si="119"/>
        <v>3.7127750531307929E-2</v>
      </c>
      <c r="AS56" s="183">
        <f t="shared" si="120"/>
        <v>3.6251017912621468E-2</v>
      </c>
      <c r="AT56" s="183">
        <f t="shared" si="121"/>
        <v>3.5186856786864215E-2</v>
      </c>
      <c r="AU56" s="186">
        <f>_xlfn.FORECAST.LINEAR(Sheet3!DF56,Sheet2!$AH$2:$AH$40,Sheet2!$AG$2:$AG$40)</f>
        <v>5.615110757455756E-2</v>
      </c>
      <c r="AV56" s="183">
        <f>_xlfn.FORECAST.LINEAR(Sheet3!BZ56,Sheet2!$AH$2:$AH$40,Sheet2!$AG$2:$AG$40)</f>
        <v>5.6066794801647231E-2</v>
      </c>
      <c r="AW56" s="183">
        <f>_xlfn.FORECAST.LINEAR(Sheet3!CA56,Sheet2!$AH$2:$AH$40,Sheet2!$AG$2:$AG$40)</f>
        <v>5.258236616121674E-2</v>
      </c>
      <c r="AX56" s="183">
        <f>_xlfn.FORECAST.LINEAR(Sheet3!CB56,Sheet2!$AH$2:$AH$40,Sheet2!$AG$2:$AG$40)</f>
        <v>4.9925576148604475E-2</v>
      </c>
      <c r="AY56" s="183">
        <f>_xlfn.FORECAST.LINEAR(Sheet3!CC56,Sheet2!$AH$2:$AH$40,Sheet2!$AG$2:$AG$40)</f>
        <v>4.6887216193826284E-2</v>
      </c>
      <c r="AZ56" s="183">
        <f>_xlfn.FORECAST.LINEAR(Sheet3!CD56,Sheet2!$AH$2:$AH$40,Sheet2!$AG$2:$AG$40)</f>
        <v>4.547363127543174E-2</v>
      </c>
      <c r="BA56" s="183">
        <f>_xlfn.FORECAST.LINEAR(Sheet3!CE56,Sheet2!$AH$2:$AH$40,Sheet2!$AG$2:$AG$40)</f>
        <v>4.3195583045589424E-2</v>
      </c>
      <c r="BB56" s="183">
        <f>_xlfn.FORECAST.LINEAR(Sheet3!CF56,Sheet2!$AH$2:$AH$40,Sheet2!$AG$2:$AG$40)</f>
        <v>4.1254715213684151E-2</v>
      </c>
      <c r="BC56" s="183">
        <f>_xlfn.FORECAST.LINEAR(Sheet3!CG56,Sheet2!$AH$2:$AH$40,Sheet2!$AG$2:$AG$40)</f>
        <v>3.8914352445136406E-2</v>
      </c>
      <c r="BD56" s="186">
        <f>_xlfn.FORECAST.LINEAR(Sheet3!DF56,Sheet2!$AB$12:$AB$37,Sheet2!$AA$12:$AA$37)/1000</f>
        <v>3.7324862686859299E-2</v>
      </c>
      <c r="BE56" s="183">
        <f>_xlfn.FORECAST.LINEAR(Sheet3!BZ56,Sheet2!$AB$12:$AB$37,Sheet2!$AA$12:$AA$37)/1000</f>
        <v>3.7306012302384638E-2</v>
      </c>
      <c r="BF56" s="183">
        <f>_xlfn.FORECAST.LINEAR(Sheet3!CA56,Sheet2!$AB$12:$AB$37,Sheet2!$AA$12:$AA$37)/1000</f>
        <v>3.652697471081489E-2</v>
      </c>
      <c r="BG56" s="183">
        <f>_xlfn.FORECAST.LINEAR(Sheet3!CB56,Sheet2!$AB$12:$AB$37,Sheet2!$AA$12:$AA$37)/1000</f>
        <v>3.5932977959463347E-2</v>
      </c>
      <c r="BH56" s="183">
        <f>_xlfn.FORECAST.LINEAR(Sheet3!CC56,Sheet2!$AB$12:$AB$37,Sheet2!$AA$12:$AA$37)/1000</f>
        <v>3.5253671001063441E-2</v>
      </c>
      <c r="BI56" s="183">
        <f>_xlfn.FORECAST.LINEAR(Sheet3!CD56,Sheet2!$AB$12:$AB$37,Sheet2!$AA$12:$AA$37)/1000</f>
        <v>3.4937626132895507E-2</v>
      </c>
      <c r="BJ56" s="183">
        <f>_xlfn.FORECAST.LINEAR(Sheet3!CE56,Sheet2!$AB$12:$AB$37,Sheet2!$AA$12:$AA$37)/1000</f>
        <v>3.4428307277613451E-2</v>
      </c>
      <c r="BK56" s="183">
        <f>_xlfn.FORECAST.LINEAR(Sheet3!CF56,Sheet2!$AB$12:$AB$37,Sheet2!$AA$12:$AA$37)/1000</f>
        <v>3.3994374154754071E-2</v>
      </c>
      <c r="BL56" s="183">
        <f>_xlfn.FORECAST.LINEAR(Sheet3!CG56,Sheet2!$AB$12:$AB$37,Sheet2!$AA$12:$AA$37)/1000</f>
        <v>3.3471123210982792E-2</v>
      </c>
      <c r="BM56" s="186">
        <f t="shared" si="122"/>
        <v>0.65789786747139523</v>
      </c>
      <c r="BN56" s="183">
        <f t="shared" si="123"/>
        <v>0.65835574663066254</v>
      </c>
      <c r="BO56" s="183">
        <f t="shared" si="124"/>
        <v>0.67788752118262829</v>
      </c>
      <c r="BP56" s="183">
        <f t="shared" si="125"/>
        <v>0.69351770753679454</v>
      </c>
      <c r="BQ56" s="183">
        <f t="shared" si="126"/>
        <v>0.71237946831972887</v>
      </c>
      <c r="BR56" s="183">
        <f t="shared" si="127"/>
        <v>0.72146873147433854</v>
      </c>
      <c r="BS56" s="183">
        <f t="shared" si="128"/>
        <v>0.73686473802873143</v>
      </c>
      <c r="BT56" s="183">
        <f t="shared" si="129"/>
        <v>0.75031496758191918</v>
      </c>
      <c r="BU56" s="183">
        <f t="shared" si="130"/>
        <v>0.76749226192660724</v>
      </c>
      <c r="BV56" s="186">
        <f t="shared" si="222"/>
        <v>1.217568588223394</v>
      </c>
      <c r="BW56" s="183">
        <f t="shared" si="223"/>
        <v>1.2174687883361519</v>
      </c>
      <c r="BX56" s="183">
        <f t="shared" si="224"/>
        <v>1.2128895777973869</v>
      </c>
      <c r="BY56" s="183">
        <f t="shared" si="225"/>
        <v>1.2101381324994165</v>
      </c>
      <c r="BZ56" s="183">
        <f t="shared" si="226"/>
        <v>1.2060356158377494</v>
      </c>
      <c r="CA56" s="183">
        <f t="shared" si="227"/>
        <v>1.2046116246706067</v>
      </c>
      <c r="CB56" s="183">
        <f t="shared" si="228"/>
        <v>1.1993583797231209</v>
      </c>
      <c r="CC56" s="183">
        <f t="shared" si="229"/>
        <v>1.1970827846921595</v>
      </c>
      <c r="CD56" s="183">
        <f t="shared" si="230"/>
        <v>1.191033589090791</v>
      </c>
      <c r="CE56" s="187">
        <f xml:space="preserve"> -0.0000000019505*Sheet3!DF56^3 + 0.0000015497*Sheet3!DF56^2  + 0.00016911*Sheet3!DF56 + 1.8585</f>
        <v>1.9414898911875</v>
      </c>
      <c r="CF56" s="185">
        <f xml:space="preserve"> -0.0000000019505*Sheet3!BZ56^3 + 0.0000015497*Sheet3!BZ56^2  + 0.00016911*Sheet3!BZ56 + 1.8585</f>
        <v>1.9413046212342193</v>
      </c>
      <c r="CG56" s="185">
        <f xml:space="preserve"> -0.0000000019505*Sheet3!CA56^3 + 0.0000015497*Sheet3!CA56^2  + 0.00016911*Sheet3!CA56 + 1.8585</f>
        <v>1.9337207019724982</v>
      </c>
      <c r="CH56" s="185">
        <f xml:space="preserve"> -0.0000000019505*Sheet3!CB56^3 + 0.0000015497*Sheet3!CB56^2  + 0.00016911*Sheet3!CB56 + 1.8585</f>
        <v>1.9280457533877526</v>
      </c>
      <c r="CI56" s="185">
        <f xml:space="preserve"> -0.0000000019505*Sheet3!CC56^3 + 0.0000015497*Sheet3!CC56^2  + 0.00016911*Sheet3!CC56 + 1.8585</f>
        <v>1.9216887556175792</v>
      </c>
      <c r="CJ56" s="185">
        <f xml:space="preserve"> -0.0000000019505*Sheet3!CD56^3 + 0.0000015497*Sheet3!CD56^2  + 0.00016911*Sheet3!CD56 + 1.8585</f>
        <v>1.9187848703105295</v>
      </c>
      <c r="CK56" s="185">
        <f xml:space="preserve"> -0.0000000019505*Sheet3!CE56^3 + 0.0000015497*Sheet3!CE56^2  + 0.00016911*Sheet3!CE56 + 1.8585</f>
        <v>1.9141836060462754</v>
      </c>
      <c r="CL56" s="185">
        <f xml:space="preserve"> -0.0000000019505*Sheet3!CF56^3 + 0.0000015497*Sheet3!CF56^2  + 0.00016911*Sheet3!CF56 + 1.8585</f>
        <v>1.9103452651796056</v>
      </c>
      <c r="CM56" s="185">
        <f xml:space="preserve"> -0.0000000019505*Sheet3!CG56^3 + 0.0000015497*Sheet3!CG56^2  + 0.00016911*Sheet3!CG56 + 1.8585</f>
        <v>1.9058248642760311</v>
      </c>
      <c r="CN56" s="186">
        <f>_xlfn.FORECAST.LINEAR(Sheet3!DF56,New!$LU$2:$LU$14,New!$LT$2:$LT$14)</f>
        <v>1.0350674194089138</v>
      </c>
      <c r="CO56" s="183">
        <f>_xlfn.FORECAST.LINEAR(Sheet3!BZ56,New!$LU$2:$LU$14,New!$LT$2:$LT$14)</f>
        <v>1.035005364101929</v>
      </c>
      <c r="CP56" s="183">
        <f>_xlfn.FORECAST.LINEAR(Sheet3!CA56,New!$LU$2:$LU$14,New!$LT$2:$LT$14)</f>
        <v>1.0324407789093812</v>
      </c>
      <c r="CQ56" s="183">
        <f>_xlfn.FORECAST.LINEAR(Sheet3!CB56,New!$LU$2:$LU$14,New!$LT$2:$LT$14)</f>
        <v>1.0304853466049297</v>
      </c>
      <c r="CR56" s="183">
        <f>_xlfn.FORECAST.LINEAR(Sheet3!CC56,New!$LU$2:$LU$14,New!$LT$2:$LT$14)</f>
        <v>1.0282490738171215</v>
      </c>
      <c r="CS56" s="183">
        <f>_xlfn.FORECAST.LINEAR(Sheet3!CD56,New!$LU$2:$LU$14,New!$LT$2:$LT$14)</f>
        <v>1.0272086567719683</v>
      </c>
      <c r="CT56" s="183">
        <f>_xlfn.FORECAST.LINEAR(Sheet3!CE56,New!$LU$2:$LU$14,New!$LT$2:$LT$14)</f>
        <v>1.0255319833884544</v>
      </c>
      <c r="CU56" s="183">
        <f>_xlfn.FORECAST.LINEAR(Sheet3!CF56,New!$LU$2:$LU$14,New!$LT$2:$LT$14)</f>
        <v>1.0241034792013859</v>
      </c>
      <c r="CV56" s="183">
        <f>_xlfn.FORECAST.LINEAR(Sheet3!CG56,New!$LU$2:$LU$14,New!$LT$2:$LT$14)</f>
        <v>1.022380941499863</v>
      </c>
      <c r="CW56" s="186">
        <f>EXP((17.625*Sheet3!BA56)/(243.04+Sheet3!BA56)) / EXP((17.625*Sheet3!DF56)/(243.04+Sheet3!DF56))</f>
        <v>1.2783141284820871E-2</v>
      </c>
      <c r="CX56" s="183">
        <f>EXP((17.625*(Sheet3!BC56+273))/(243.04+(Sheet3!BC56+273)))/EXP((17.625*(Sheet3!BZ56+273))/(243.04+(Sheet3!BZ56+273)))</f>
        <v>0.23865336394831999</v>
      </c>
      <c r="CY56" s="183">
        <f>EXP((17.625*(Sheet3!BE56+273))/(243.04+(Sheet3!BE56+273))) / EXP((17.625*(Sheet3!CA56+273))/(243.04+(Sheet3!CA56+273)))</f>
        <v>0.26773371529935497</v>
      </c>
      <c r="CZ56" s="183">
        <f>EXP((17.625*(Sheet3!BG56+273))/(243.04+(Sheet3!BG56+273))) / EXP((17.625*(Sheet3!CB56+273))/(243.04+(Sheet3!CB56+273)))</f>
        <v>0.29295608090440101</v>
      </c>
      <c r="DA56" s="183">
        <f>EXP((17.625*(Sheet3!BI56+273))/(243.04+(Sheet3!BI56+273))) / EXP((17.625*(Sheet3!CC56+273))/(243.04+(Sheet3!CC56+273)))</f>
        <v>0.32578458971026525</v>
      </c>
      <c r="DB56" s="183">
        <f>EXP((17.625*(Sheet3!BK56+273))/(243.04+(Sheet3!BK56+273)))/EXP((17.625*(Sheet3!CD56+273))/(243.04+(Sheet3!CD56+273)))</f>
        <v>0.34291343145989089</v>
      </c>
      <c r="DC56" s="183">
        <f>EXP((17.625*(Sheet3!BM56+273))/(243.04+(Sheet3!BM56+273))) / EXP((17.625*(Sheet3!CE56+273))/(243.04+(Sheet3!CE56+273)))</f>
        <v>0.3718288516391855</v>
      </c>
      <c r="DD56" s="183">
        <f>EXP((17.625*(Sheet3!BO56+273))/(243.04+(Sheet3!BO56+273))) / EXP((17.625*(Sheet3!CF56+273))/(243.04+(Sheet3!CF56+273)))</f>
        <v>0.40009467541804394</v>
      </c>
      <c r="DE56" s="183">
        <f>EXP((17.625*(Sheet3!BQ56+273))/(243.04+(Sheet3!BQ56+273))) / EXP((17.625*(Sheet3!CG56+273))/(243.04+(Sheet3!CG56+273)))</f>
        <v>0.4363391949704804</v>
      </c>
      <c r="DF56" s="186">
        <f>((Sheet3!DA56-Sheet3!DB56)/New!$LQ$3)/(((Sheet3!DA56-Sheet3!DB56)/New!$LQ$3)+(Sheet3!DB56/New!$LP$3))</f>
        <v>0.71160979690199611</v>
      </c>
      <c r="DG56" s="183">
        <f>((Sheet3!DA56-Sheet3!DB56)/New!$LQ$3)/(((Sheet3!DA56-Sheet3!DB56)/New!$LQ$3)+((Sheet3!DB56-(Sheet3!B56*0.004))/New!$LP$3))</f>
        <v>0.71166452678930769</v>
      </c>
      <c r="DH56" s="183" cm="1">
        <f t="array" ref="DH56">((Sheet3!DA56-Sheet3!DB56)/New!$LQ$3)/(((Sheet3!DA56-Sheet3!DB56)/New!$LQ$3)+((Sheet3!DB56-(SUM(Sheet3!B56:C56*0.004)))/New!$LP$3))</f>
        <v>0.71595955208337947</v>
      </c>
      <c r="DI56" s="183" cm="1">
        <f t="array" ref="DI56">((Sheet3!DA56-Sheet3!DB56)/New!$LQ$3)/(((Sheet3!DA56-Sheet3!DB56)/New!$LQ$3)+((Sheet3!DB56-(SUM(Sheet3!B56:D56*0.004)))/New!$LP$3))</f>
        <v>0.71618120768786986</v>
      </c>
      <c r="DJ56" s="183" cm="1">
        <f t="array" ref="DJ56">((Sheet3!DA56-Sheet3!DB56)/New!$LQ$3)/(((Sheet3!DA56-Sheet3!DB56)/New!$LQ$3)+((Sheet3!DB56-(SUM(Sheet3!B56:E56*0.004)))/New!$LP$3))</f>
        <v>0.72072751668426283</v>
      </c>
      <c r="DK56" s="183" cm="1">
        <f t="array" ref="DK56">((Sheet3!DA56-Sheet3!DB56)/New!$LQ$3)/(((Sheet3!DA56-Sheet3!DB56)/New!$LQ$3)+((Sheet3!DB56-(SUM(Sheet3!B56:F56*0.004)))/New!$LP$3))</f>
        <v>0.72078365809888578</v>
      </c>
      <c r="DL56" s="183" cm="1">
        <f t="array" ref="DL56">((Sheet3!DA56-Sheet3!DB56)/New!$LQ$3)/(((Sheet3!DA56-Sheet3!DB56)/New!$LQ$3)+((Sheet3!DB56-(SUM(Sheet3!B56:G56*0.004)))/New!$LP$3))</f>
        <v>0.7342239486252532</v>
      </c>
      <c r="DM56" s="183" cm="1">
        <f t="array" ref="DM56">((Sheet3!DA56-Sheet3!DB56)/New!$LQ$3)/(((Sheet3!DA56-Sheet3!DB56)/New!$LQ$3)+((Sheet3!DB56-(SUM(Sheet3!B56:H56*0.004)))/New!$LP$3))</f>
        <v>0.73594662698381363</v>
      </c>
      <c r="DN56" s="183" cm="1">
        <f t="array" ref="DN56">((Sheet3!DA56-Sheet3!DB56)/New!$LQ$3)/(((Sheet3!DA56-Sheet3!DB56)/New!$LQ$3)+((Sheet3!DB56-(SUM(Sheet3!B56:I56*0.004)))/New!$LP$3))</f>
        <v>0.75375147455114277</v>
      </c>
      <c r="DO56" s="186">
        <f>(Sheet3!DB56/$LP$3) / ((Sheet3!DB56/$LP$3) + ((Sheet3!DA56-Sheet3!DB56)/$LQ$3))</f>
        <v>0.28839020309800384</v>
      </c>
      <c r="DP56" s="183">
        <f>((Sheet3!$DB56-(Sheet3!B56/4000)) / $LP$3) / (((Sheet3!$DA56-Sheet3!DB56) / $LQ$3) + (Sheet3!$DB56-((Sheet3!B56/4000)))/$LP$3)</f>
        <v>0.28838678272666624</v>
      </c>
      <c r="DQ56" s="183">
        <f>((Sheet3!$DB56-(SUM(Sheet3!B56:C56)/4000))/$LP$3)/(((Sheet3!$DA56-Sheet3!$DB56)/$LQ$3)+(Sheet3!$DB56-(SUM(Sheet3!B56:C56)/4000))/$LP$3)</f>
        <v>0.28811989242040886</v>
      </c>
      <c r="DR56" s="183">
        <f>((Sheet3!$DB56-(SUM(Sheet3!B56:D56)/4000))/$LP$3)/(((Sheet3!$DA56-Sheet3!$DB56)/$LQ$3)+(Sheet3!$DB56-(SUM(Sheet3!B56:D56)/4000))/$LP$3)</f>
        <v>0.28810620034150686</v>
      </c>
      <c r="DS56" s="183">
        <f>((Sheet3!$DB56-(SUM(Sheet3!B56:E56)/4000))/$LP$3)/(((Sheet3!$DA56-Sheet3!$DB56)/$LQ$3)+(Sheet3!$DB56-(SUM(Sheet3!B56:E56)/4000))/$LP$3)</f>
        <v>0.2878271094962418</v>
      </c>
      <c r="DT56" s="183">
        <f>((Sheet3!$DB56-(SUM(Sheet3!B56:F56)/4000))/$LP$3)/(((Sheet3!$DA56-Sheet3!$DB56)/$LQ$3)+(Sheet3!$DB56-(SUM(Sheet3!B56:F56)/4000))/$LP$3)</f>
        <v>0.28782368370970085</v>
      </c>
      <c r="DU56" s="183">
        <f>((Sheet3!$DB56-(SUM(Sheet3!B56:G56)/4000))/$LP$3)/(((Sheet3!$DA56-Sheet3!$DB56)/$LQ$3)+(Sheet3!$DB56-(SUM(Sheet3!B56:G56)/4000))/$LP$3)</f>
        <v>0.28701770890387612</v>
      </c>
      <c r="DV56" s="183">
        <f>((Sheet3!$DB56-(SUM(Sheet3!B56:H56)/4000))/$LP$3)/(((Sheet3!$DA56-Sheet3!$DB56)/$LQ$3)+(Sheet3!$DB56-(SUM(Sheet3!B56:H56)/4000))/$LP$3)</f>
        <v>0.28691640445022093</v>
      </c>
      <c r="DW56" s="183">
        <f>((Sheet3!$DB56-(SUM(Sheet3!B56:I56)/4000))/$LP$3)/(((Sheet3!$DA56-Sheet3!$DB56)/$LQ$3)+(Sheet3!$DB56-(SUM(Sheet3!B56:I56)/4000))/$LP$3)</f>
        <v>0.28589488562985943</v>
      </c>
      <c r="DX56" s="186">
        <f>($LR$2*($LP$3/1000))/($LP$2*(Sheet3!DF56+273))*DO56</f>
        <v>0.13246265788014666</v>
      </c>
      <c r="DY56" s="183">
        <f>(($LR$2*($LP$3/1000))/($LP$2*(Sheet3!BZ56+273)))*(DP56)</f>
        <v>0.13255308387643286</v>
      </c>
      <c r="DZ56" s="183">
        <f>(($LR$2*($LP$3/1000))/($LP$2*(Sheet3!CA56+273)))*(DQ56)</f>
        <v>0.1363438567834569</v>
      </c>
      <c r="EA56" s="183">
        <f>(($LR$2*($LP$3/1000))/($LP$2*(Sheet3!CB56+273)))*(DR56)</f>
        <v>0.13948012527812148</v>
      </c>
      <c r="EB56" s="183">
        <f>(($LR$2*($LP$3/1000))/($LP$2*(Sheet3!CC56+273)))*(DS56)</f>
        <v>0.14311786767072807</v>
      </c>
      <c r="EC56" s="183">
        <f>(($LR$2*($LP$3/1000))/($LP$2*(Sheet3!CD56+273)))*(DT56)</f>
        <v>0.14494197553809682</v>
      </c>
      <c r="ED56" s="183">
        <f>(($LR$2*($LP$3/1000))/($LP$2*(Sheet3!CE56+273)))*(DU56)</f>
        <v>0.14757003944611255</v>
      </c>
      <c r="EE56" s="183">
        <f>(($LR$2*($LP$3/1000))/($LP$2*(Sheet3!CF56+273)))*(DV56)</f>
        <v>0.15020419605086172</v>
      </c>
      <c r="EF56" s="183">
        <f>(($LR$2*($LP$3/1000))/($LP$2*(Sheet3!CG56+273)))*(DW56)</f>
        <v>0.15302960188505446</v>
      </c>
      <c r="EG56" s="186">
        <f>(($LR$2*($LQ$3/1000))/($LQ$2*(Sheet3!DF56+273)))*(1-DO56)</f>
        <v>0.52543520959124856</v>
      </c>
      <c r="EH56" s="183">
        <f>(($LR$2*($LQ$3/1000))/($LQ$2*(Sheet3!BZ56+273)))*(1-DP56)</f>
        <v>0.52580266275422971</v>
      </c>
      <c r="EI56" s="183">
        <f>(($LR$2*($LQ$3/1000))/($LQ$2*(Sheet3!CA56+273)))*(1-DQ56)</f>
        <v>0.54154366439917134</v>
      </c>
      <c r="EJ56" s="183">
        <f>(($LR$2*($LQ$3/1000))/($LQ$2*(Sheet3!CB56+273)))*(1-DR56)</f>
        <v>0.55403758225867306</v>
      </c>
      <c r="EK56" s="183">
        <f>(($LR$2*($LQ$3/1000))/($LQ$2*(Sheet3!CC56+273)))*(1-DS56)</f>
        <v>0.56926160064900078</v>
      </c>
      <c r="EL56" s="183">
        <f>(($LR$2*($LQ$3/1000))/($LQ$2*(Sheet3!CD56+273)))*(1-DT56)</f>
        <v>0.5765267559362417</v>
      </c>
      <c r="EM56" s="183">
        <f>(($LR$2*($LQ$3/1000))/($LQ$2*(Sheet3!CE56+273)))*(1-DU56)</f>
        <v>0.58929469858261885</v>
      </c>
      <c r="EN56" s="183">
        <f>(($LR$2*($LQ$3/1000))/($LQ$2*(Sheet3!CF56+273)))*(1-DV56)</f>
        <v>0.60011077153105741</v>
      </c>
      <c r="EO56" s="183">
        <f>(($LR$2*($LQ$3/1000))/($LQ$2*(Sheet3!CG56+273)))*(1-DW56)</f>
        <v>0.61446266004155281</v>
      </c>
      <c r="EP56" s="186">
        <f t="shared" si="132"/>
        <v>2934.8050319973695</v>
      </c>
      <c r="EQ56" s="183">
        <f xml:space="preserve"> (($FV56-(Sheet3!B56/4000))*0.018)/(0.011*JO56*3600)</f>
        <v>2936.4921003013123</v>
      </c>
      <c r="ER56" s="183">
        <f>((($FV56-(SUM(Sheet3!B56:C56)/4000))*0.018)/(0.011*JP56*3600))</f>
        <v>3007.4588220014598</v>
      </c>
      <c r="ES56" s="183">
        <f>((($FV56-(SUM(Sheet3!B56:D56)/4000))*0.018)/(0.011*JQ56*3600))</f>
        <v>3064.809832218054</v>
      </c>
      <c r="ET56" s="183">
        <f>((($FV56-(SUM(Sheet3!B56:E56)/4000))*0.018)/(0.011*JR56))/3600</f>
        <v>3132.0134462805622</v>
      </c>
      <c r="EU56" s="183">
        <f>((($FV56-(SUM(Sheet3!B56:F56)/4000))*0.018)/(0.011*JS56))/3600</f>
        <v>3164.898381935564</v>
      </c>
      <c r="EV56" s="183">
        <f>((($FV56-(SUM(Sheet3!B56:G56)/4000))*0.018)/(0.011*JT56))/3600</f>
        <v>3215.7126299293277</v>
      </c>
      <c r="EW56" s="183">
        <f>((($FV56-(SUM(Sheet3!B56:H56)/4000))*0.018)/(0.011*JU56))/3600</f>
        <v>3263.1576478756961</v>
      </c>
      <c r="EX56" s="183">
        <f>((($FV56-(SUM(Sheet3!B56:I56)/4000))*0.018)/(0.011*JV56))/3600</f>
        <v>3318.0133105020041</v>
      </c>
      <c r="EY56" s="186">
        <f t="shared" si="133"/>
        <v>35.444025038124558</v>
      </c>
      <c r="EZ56" s="183">
        <f t="shared" si="134"/>
        <v>35.459665779542767</v>
      </c>
      <c r="FA56" s="183">
        <f t="shared" si="135"/>
        <v>36.11701158418439</v>
      </c>
      <c r="FB56" s="183">
        <f t="shared" si="136"/>
        <v>36.655838310730992</v>
      </c>
      <c r="FC56" s="183">
        <f t="shared" si="137"/>
        <v>37.285288648794172</v>
      </c>
      <c r="FD56" s="183">
        <f t="shared" si="138"/>
        <v>37.597915966757405</v>
      </c>
      <c r="FE56" s="183">
        <f t="shared" si="139"/>
        <v>38.064783607136896</v>
      </c>
      <c r="FF56" s="183">
        <f t="shared" si="140"/>
        <v>38.518077302682606</v>
      </c>
      <c r="FG56" s="183">
        <f t="shared" si="141"/>
        <v>39.023797988874662</v>
      </c>
      <c r="FH56" s="186">
        <f t="shared" si="185"/>
        <v>84.60201107088713</v>
      </c>
      <c r="FI56" s="183">
        <f t="shared" si="186"/>
        <v>84.564909556694076</v>
      </c>
      <c r="FJ56" s="183">
        <f t="shared" si="187"/>
        <v>82.992038122765933</v>
      </c>
      <c r="FK56" s="183">
        <f t="shared" si="188"/>
        <v>81.801949878182086</v>
      </c>
      <c r="FL56" s="183">
        <f t="shared" si="189"/>
        <v>80.369185235786034</v>
      </c>
      <c r="FM56" s="183">
        <f t="shared" si="190"/>
        <v>79.7132374873256</v>
      </c>
      <c r="FN56" s="183">
        <f t="shared" si="191"/>
        <v>78.514432766333243</v>
      </c>
      <c r="FO56" s="183">
        <f t="shared" si="192"/>
        <v>77.57330612551587</v>
      </c>
      <c r="FP56" s="183">
        <f t="shared" si="193"/>
        <v>76.284710617447374</v>
      </c>
      <c r="FQ56" s="314">
        <f>Sheet3!CV56</f>
        <v>1</v>
      </c>
      <c r="FR56" s="183">
        <v>3000</v>
      </c>
      <c r="FS56" s="183">
        <v>20</v>
      </c>
      <c r="FT56" s="183">
        <v>9.6666666666666651E-2</v>
      </c>
      <c r="FU56" s="183">
        <v>19.3</v>
      </c>
      <c r="FV56" s="183">
        <v>149</v>
      </c>
      <c r="FW56" s="183">
        <v>30</v>
      </c>
      <c r="FX56" s="183">
        <v>150</v>
      </c>
      <c r="FY56" s="183">
        <v>8.8000000000000007</v>
      </c>
      <c r="FZ56" s="183">
        <v>43</v>
      </c>
      <c r="GA56" s="183">
        <v>205</v>
      </c>
      <c r="GB56" s="186">
        <f>EXP($LP$6-($LQ$6/('Trial and Error method'!T56+$LP$8))) / ($LR$2/1000)</f>
        <v>0.13342701171156815</v>
      </c>
      <c r="GC56" s="183">
        <f>EXP($LP$6-($LQ$6/('Trial and Error method'!U56+$LP$8))) / ($LR$2/1000)</f>
        <v>0.34603928612282148</v>
      </c>
      <c r="GD56" s="183">
        <f>EXP($LP$6-($LQ$6/('Trial and Error method'!V56+$LP$8))) / ($LR$2/1000)</f>
        <v>0.31805029908710253</v>
      </c>
      <c r="GE56" s="183">
        <f>EXP($LP$6-($LQ$6/('Trial and Error method'!W56+$LP$8))) / ($LR$2/1000)</f>
        <v>0.29922522668045404</v>
      </c>
      <c r="GF56" s="183">
        <f>EXP($LP$6-($LQ$6/('Trial and Error method'!X56+$LP$8))) / ($LR$2/1000)</f>
        <v>0.27516657000831346</v>
      </c>
      <c r="GG56" s="183">
        <f>EXP($LP$6-($LQ$6/('Trial and Error method'!Y56+$LP$8))) / ($LR$2/1000)</f>
        <v>0.26119235950000258</v>
      </c>
      <c r="GH56" s="183">
        <f>EXP($LP$6-($LQ$6/('Trial and Error method'!Z56+$LP$8))) / ($LR$2/1000)</f>
        <v>0.24110602124837774</v>
      </c>
      <c r="GI56" s="183">
        <f>EXP($LP$6-($LQ$6/('Trial and Error method'!AA56+$LP$8))) / ($LR$2/1000)</f>
        <v>0.22458126194089853</v>
      </c>
      <c r="GJ56" s="183">
        <f>EXP($LP$6-($LQ$6/('Trial and Error method'!AB56+$LP$8))) / ($LR$2/1000)</f>
        <v>0.20178274925585005</v>
      </c>
      <c r="GK56" s="188">
        <f t="shared" si="142"/>
        <v>0.78654884334987829</v>
      </c>
      <c r="GL56" s="165">
        <f t="shared" si="143"/>
        <v>0.68238110539918584</v>
      </c>
      <c r="GM56" s="165">
        <f t="shared" si="144"/>
        <v>0.69680777263205895</v>
      </c>
      <c r="GN56" s="165">
        <f t="shared" si="145"/>
        <v>0.70631970005409617</v>
      </c>
      <c r="GO56" s="165">
        <f t="shared" si="146"/>
        <v>0.71848456921627879</v>
      </c>
      <c r="GP56" s="165">
        <f t="shared" si="147"/>
        <v>0.72541050596304579</v>
      </c>
      <c r="GQ56" s="165">
        <f t="shared" si="148"/>
        <v>0.73569938860399664</v>
      </c>
      <c r="GR56" s="165">
        <f t="shared" si="149"/>
        <v>0.74381588713103386</v>
      </c>
      <c r="GS56" s="165">
        <f t="shared" si="150"/>
        <v>0.75538084882283074</v>
      </c>
      <c r="GT56" s="188">
        <f t="shared" si="194"/>
        <v>5.4732273465935261E-2</v>
      </c>
      <c r="GU56" s="165">
        <f t="shared" si="195"/>
        <v>6.3080893938018398E-2</v>
      </c>
      <c r="GV56" s="165">
        <f t="shared" si="196"/>
        <v>6.1713313416332377E-2</v>
      </c>
      <c r="GW56" s="165">
        <f t="shared" si="197"/>
        <v>6.0851215145610371E-2</v>
      </c>
      <c r="GX56" s="165">
        <f t="shared" si="198"/>
        <v>5.978833996781828E-2</v>
      </c>
      <c r="GY56" s="165">
        <f t="shared" si="199"/>
        <v>5.9210577544065446E-2</v>
      </c>
      <c r="GZ56" s="165">
        <f t="shared" si="200"/>
        <v>5.8352429619327774E-2</v>
      </c>
      <c r="HA56" s="165">
        <f t="shared" si="201"/>
        <v>5.7714220669280857E-2</v>
      </c>
      <c r="HB56" s="165">
        <f t="shared" si="202"/>
        <v>5.6804047065098728E-2</v>
      </c>
      <c r="HC56" s="188">
        <f>BV56*Sheet3!DF56</f>
        <v>249.60156058579577</v>
      </c>
      <c r="HD56" s="165">
        <f>BW56*Sheet3!BZ56</f>
        <v>249.17720545663107</v>
      </c>
      <c r="HE56" s="165">
        <f>BX56*Sheet3!CA56</f>
        <v>231.6107868633286</v>
      </c>
      <c r="HF56" s="165">
        <f>BY56*Sheet3!CB56</f>
        <v>218.43478962755316</v>
      </c>
      <c r="HG56" s="165">
        <f>BZ56*Sheet3!CC56</f>
        <v>203.27584254655207</v>
      </c>
      <c r="HH56" s="165">
        <f>CA56*Sheet3!CD56</f>
        <v>196.33563529266581</v>
      </c>
      <c r="HI56" s="165">
        <f>CB56*Sheet3!CE56</f>
        <v>184.72888353432566</v>
      </c>
      <c r="HJ56" s="165">
        <f>CC56*Sheet3!CF56</f>
        <v>175.23644330333536</v>
      </c>
      <c r="HK56" s="165">
        <f>CD56*Sheet3!CG56</f>
        <v>163.3829683935181</v>
      </c>
      <c r="HL56" s="188">
        <f>(CE56*Sheet3!DF56)+2501</f>
        <v>2899.0054276934375</v>
      </c>
      <c r="HM56" s="165">
        <f>(CF56*Sheet3!BZ56)+2501</f>
        <v>2898.3234181389344</v>
      </c>
      <c r="HN56" s="165">
        <f>(CG56*Sheet3!CA56)+2501</f>
        <v>2870.2591490241784</v>
      </c>
      <c r="HO56" s="165">
        <f>(CH56*Sheet3!CB56)+2501</f>
        <v>2849.0199964145449</v>
      </c>
      <c r="HP56" s="165">
        <f>(CI56*Sheet3!CC56)+2501</f>
        <v>2824.8983126041871</v>
      </c>
      <c r="HQ56" s="165">
        <f>(CJ56*Sheet3!CD56)+2501</f>
        <v>2813.7363531838623</v>
      </c>
      <c r="HR56" s="165">
        <f>(CK56*Sheet3!CE56)+2501</f>
        <v>2795.8284736262649</v>
      </c>
      <c r="HS56" s="165">
        <f>(CL56*Sheet3!CF56)+2501</f>
        <v>2780.6482532638947</v>
      </c>
      <c r="HT56" s="165">
        <f>(CM56*Sheet3!CG56)+2501</f>
        <v>2762.4362234748492</v>
      </c>
      <c r="HU56" s="188">
        <f>-0.0021*(Sheet3!DF56^2) - 2.2115*(Sheet3!DF56) + 2499</f>
        <v>1957.3899999999999</v>
      </c>
      <c r="HV56" s="165">
        <f>-0.0021*(Sheet3!BZ56^2) - 2.2115*(Sheet3!BZ56) + 2499</f>
        <v>1958.409072977312</v>
      </c>
      <c r="HW56" s="165">
        <f>-0.0021*(Sheet3!CA56^2) - 2.2115*(Sheet3!CA56) + 2499</f>
        <v>2000.1204217370937</v>
      </c>
      <c r="HX56" s="165">
        <f>-0.0021*(Sheet3!CB56^2) - 2.2115*(Sheet3!CB56) + 2499</f>
        <v>2031.3938069133419</v>
      </c>
      <c r="HY56" s="165">
        <f>-0.0021*(Sheet3!CC56^2) - 2.2115*(Sheet3!CC56) + 2499</f>
        <v>2066.596095137349</v>
      </c>
      <c r="HZ56" s="165">
        <f>-0.0021*(Sheet3!CD56^2) - 2.2115*(Sheet3!CD56) + 2499</f>
        <v>2082.7692095819921</v>
      </c>
      <c r="IA56" s="165">
        <f>-0.0021*(Sheet3!CE56^2) - 2.2115*(Sheet3!CE56) + 2499</f>
        <v>2108.5594010385021</v>
      </c>
      <c r="IB56" s="165">
        <f>-0.0021*(Sheet3!CF56^2) - 2.2115*(Sheet3!CF56) + 2499</f>
        <v>2130.2660852546355</v>
      </c>
      <c r="IC56" s="165">
        <f>-0.0021*(Sheet3!CG56^2) - 2.2115*(Sheet3!CG56) + 2499</f>
        <v>2156.1149568599826</v>
      </c>
      <c r="ID56" s="188">
        <f t="shared" si="203"/>
        <v>0.65398473397843615</v>
      </c>
      <c r="IE56" s="165">
        <f t="shared" si="204"/>
        <v>0.6541285032757268</v>
      </c>
      <c r="IF56" s="165">
        <f t="shared" si="205"/>
        <v>0.66019599941531115</v>
      </c>
      <c r="IG56" s="165">
        <f t="shared" si="206"/>
        <v>0.66555050702114693</v>
      </c>
      <c r="IH56" s="165">
        <f t="shared" si="207"/>
        <v>0.67179341004807658</v>
      </c>
      <c r="II56" s="165">
        <f t="shared" si="208"/>
        <v>0.67510360353719356</v>
      </c>
      <c r="IJ56" s="165">
        <f t="shared" si="209"/>
        <v>0.67944236985622031</v>
      </c>
      <c r="IK56" s="165">
        <f t="shared" si="210"/>
        <v>0.68438800963045487</v>
      </c>
      <c r="IL56" s="165">
        <f t="shared" si="211"/>
        <v>0.68923639404646908</v>
      </c>
      <c r="IM56" s="188">
        <f t="shared" si="212"/>
        <v>16.601579342433482</v>
      </c>
      <c r="IN56" s="165">
        <f t="shared" si="151"/>
        <v>-7.1222862079301468</v>
      </c>
      <c r="IO56" s="165">
        <f t="shared" si="152"/>
        <v>-3.6944315661404885</v>
      </c>
      <c r="IP56" s="165">
        <f t="shared" si="153"/>
        <v>-1.3744537743291154</v>
      </c>
      <c r="IQ56" s="165">
        <f t="shared" si="154"/>
        <v>1.5643153681271502</v>
      </c>
      <c r="IR56" s="165">
        <f t="shared" si="155"/>
        <v>3.2842273064026832</v>
      </c>
      <c r="IS56" s="165">
        <f t="shared" si="156"/>
        <v>5.6489540338069997</v>
      </c>
      <c r="IT56" s="165">
        <f t="shared" si="157"/>
        <v>7.6638967573420578</v>
      </c>
      <c r="IU56" s="165">
        <f t="shared" si="158"/>
        <v>10.301722681693283</v>
      </c>
      <c r="IV56" s="188">
        <f>_xlfn.FORECAST.LINEAR(Sheet3!DF56,Sheet2!$AK$2:$AK$69,Sheet2!$AJ$2:$AJ$69)</f>
        <v>1.5962912137298422E-5</v>
      </c>
      <c r="IW56" s="165">
        <f>_xlfn.FORECAST.LINEAR(Sheet3!BZ56,Sheet2!$AK$2:$AK$69,Sheet2!$AJ$2:$AJ$69)</f>
        <v>1.5951296777542076E-5</v>
      </c>
      <c r="IX56" s="165">
        <f>_xlfn.FORECAST.LINEAR(Sheet3!CA56,Sheet2!$AK$2:$AK$69,Sheet2!$AJ$2:$AJ$69)</f>
        <v>1.5471264027973355E-5</v>
      </c>
      <c r="IY56" s="165">
        <f>_xlfn.FORECAST.LINEAR(Sheet3!CB56,Sheet2!$AK$2:$AK$69,Sheet2!$AJ$2:$AJ$69)</f>
        <v>1.5105251017982879E-5</v>
      </c>
      <c r="IZ56" s="165">
        <f>_xlfn.FORECAST.LINEAR(Sheet3!CC56,Sheet2!$AK$2:$AK$69,Sheet2!$AJ$2:$AJ$69)</f>
        <v>1.4686670976954551E-5</v>
      </c>
      <c r="JA56" s="165">
        <f>_xlfn.FORECAST.LINEAR(Sheet3!CD56,Sheet2!$AK$2:$AK$69,Sheet2!$AJ$2:$AJ$69)</f>
        <v>1.4491928273013863E-5</v>
      </c>
      <c r="JB56" s="165">
        <f>_xlfn.FORECAST.LINEAR(Sheet3!CE56,Sheet2!$AK$2:$AK$69,Sheet2!$AJ$2:$AJ$69)</f>
        <v>1.4178092672326612E-5</v>
      </c>
      <c r="JC56" s="165">
        <f>_xlfn.FORECAST.LINEAR(Sheet3!CF56,Sheet2!$AK$2:$AK$69,Sheet2!$AJ$2:$AJ$69)</f>
        <v>1.3910708771537682E-5</v>
      </c>
      <c r="JD56" s="165">
        <f>_xlfn.FORECAST.LINEAR(Sheet3!CG56,Sheet2!$AK$2:$AK$69,Sheet2!$AJ$2:$AJ$69)</f>
        <v>1.3588288400594041E-5</v>
      </c>
      <c r="JE56" s="188">
        <f>_xlfn.FORECAST.LINEAR(Sheet3!DF56,New!$MC$2:$MC$18,New!$MB$2:$MB$18)</f>
        <v>2.5847452754227255E-5</v>
      </c>
      <c r="JF56" s="165">
        <f>_xlfn.FORECAST.LINEAR(Sheet3!BZ56,New!$MC$2:$MC$18,New!$MB$2:$MB$18)</f>
        <v>2.5833798618476947E-5</v>
      </c>
      <c r="JG56" s="165">
        <f>_xlfn.FORECAST.LINEAR(Sheet3!CA56,New!$MC$2:$MC$18,New!$MB$2:$MB$18)</f>
        <v>2.5269508534941104E-5</v>
      </c>
      <c r="JH56" s="165">
        <f>_xlfn.FORECAST.LINEAR(Sheet3!CB56,New!$MC$2:$MC$18,New!$MB$2:$MB$18)</f>
        <v>2.4839251407342431E-5</v>
      </c>
      <c r="JI56" s="165">
        <f>_xlfn.FORECAST.LINEAR(Sheet3!CC56,New!$MC$2:$MC$18,New!$MB$2:$MB$18)</f>
        <v>2.4347200465962866E-5</v>
      </c>
      <c r="JJ56" s="165">
        <f>_xlfn.FORECAST.LINEAR(Sheet3!CD56,New!$MC$2:$MC$18,New!$MB$2:$MB$18)</f>
        <v>2.4118275717029762E-5</v>
      </c>
      <c r="JK56" s="165">
        <f>_xlfn.FORECAST.LINEAR(Sheet3!CE56,New!$MC$2:$MC$18,New!$MB$2:$MB$18)</f>
        <v>2.3749354393458738E-5</v>
      </c>
      <c r="JL56" s="165">
        <f>_xlfn.FORECAST.LINEAR(Sheet3!CF56,New!$MC$2:$MC$18,New!$MB$2:$MB$18)</f>
        <v>2.3435038164310039E-5</v>
      </c>
      <c r="JM56" s="165">
        <f>_xlfn.FORECAST.LINEAR(Sheet3!CG56,New!$MC$2:$MC$18,New!$MB$2:$MB$18)</f>
        <v>2.3056025236094401E-5</v>
      </c>
      <c r="JN56" s="188">
        <f t="shared" si="159"/>
        <v>2.307726475485116E-5</v>
      </c>
      <c r="JO56" s="165">
        <f t="shared" si="160"/>
        <v>2.3063929049084113E-5</v>
      </c>
      <c r="JP56" s="165">
        <f t="shared" si="161"/>
        <v>2.2513797258496695E-5</v>
      </c>
      <c r="JQ56" s="165">
        <f t="shared" si="162"/>
        <v>2.2092205649806132E-5</v>
      </c>
      <c r="JR56" s="165">
        <f t="shared" si="163"/>
        <v>2.1612259182354987E-5</v>
      </c>
      <c r="JS56" s="165">
        <f t="shared" si="164"/>
        <v>2.1387624789871441E-5</v>
      </c>
      <c r="JT56" s="165">
        <f t="shared" si="165"/>
        <v>2.1033051700731868E-5</v>
      </c>
      <c r="JU56" s="165">
        <f t="shared" si="166"/>
        <v>2.0725184852338364E-5</v>
      </c>
      <c r="JV56" s="165">
        <f t="shared" si="167"/>
        <v>2.0362198439862062E-5</v>
      </c>
      <c r="JW56" s="188">
        <f t="shared" si="231"/>
        <v>0.99342087640971777</v>
      </c>
      <c r="JX56" s="165">
        <f t="shared" si="232"/>
        <v>0.9935260370349307</v>
      </c>
      <c r="JY56" s="165">
        <f t="shared" si="233"/>
        <v>0.99800559921586274</v>
      </c>
      <c r="JZ56" s="165">
        <f t="shared" si="234"/>
        <v>1.0016060292455353</v>
      </c>
      <c r="KA56" s="165">
        <f t="shared" si="235"/>
        <v>1.0059359932459513</v>
      </c>
      <c r="KB56" s="165">
        <f t="shared" si="236"/>
        <v>1.0080328138663919</v>
      </c>
      <c r="KC56" s="165">
        <f t="shared" si="237"/>
        <v>1.0115289029492613</v>
      </c>
      <c r="KD56" s="165">
        <f t="shared" si="238"/>
        <v>1.0146275810477456</v>
      </c>
      <c r="KE56" s="165">
        <f t="shared" si="239"/>
        <v>1.0185204340036604</v>
      </c>
      <c r="KF56" s="188">
        <f t="shared" si="75"/>
        <v>0.98626119619886909</v>
      </c>
      <c r="KG56" s="165">
        <f t="shared" si="240"/>
        <v>0.98616882531545569</v>
      </c>
      <c r="KH56" s="165">
        <f t="shared" si="241"/>
        <v>0.9822595755523803</v>
      </c>
      <c r="KI56" s="165">
        <f t="shared" si="242"/>
        <v>0.97915323880938188</v>
      </c>
      <c r="KJ56" s="165">
        <f t="shared" si="243"/>
        <v>0.97545889403058295</v>
      </c>
      <c r="KK56" s="165">
        <f t="shared" si="244"/>
        <v>0.97368589981215758</v>
      </c>
      <c r="KL56" s="165">
        <f t="shared" si="245"/>
        <v>0.97075266212056599</v>
      </c>
      <c r="KM56" s="165">
        <f t="shared" si="246"/>
        <v>0.96817652490149153</v>
      </c>
      <c r="KN56" s="165">
        <f t="shared" si="247"/>
        <v>0.96497120598651831</v>
      </c>
      <c r="KO56" s="188">
        <f t="shared" si="213"/>
        <v>0.65795815452636708</v>
      </c>
      <c r="KP56" s="165">
        <f t="shared" si="214"/>
        <v>0.6578515729072989</v>
      </c>
      <c r="KQ56" s="165">
        <f t="shared" si="215"/>
        <v>0.65014679232505956</v>
      </c>
      <c r="KR56" s="165">
        <f t="shared" si="216"/>
        <v>0.64405326298502263</v>
      </c>
      <c r="KS56" s="165">
        <f t="shared" si="217"/>
        <v>0.63684323560705591</v>
      </c>
      <c r="KT56" s="165">
        <f t="shared" si="218"/>
        <v>0.63339463325668799</v>
      </c>
      <c r="KU56" s="165">
        <f t="shared" si="219"/>
        <v>0.62772289181531327</v>
      </c>
      <c r="KV56" s="165">
        <f t="shared" si="220"/>
        <v>0.62275281702881957</v>
      </c>
      <c r="KW56" s="165">
        <f t="shared" si="221"/>
        <v>0.6167002615812438</v>
      </c>
      <c r="KX56" s="188">
        <f>AVERAGE(Sheet3!J56:P56)*KO56^(1/3)/ID56^(1/3)</f>
        <v>67.255670701068283</v>
      </c>
      <c r="KY56" s="165">
        <f>Sheet3!J56*KP56^(1/3)/IE56^(1/3)</f>
        <v>45.66017913564616</v>
      </c>
      <c r="KZ56" s="165">
        <f>Sheet3!K56*KQ56^(1/3)/IF56^(1/3)</f>
        <v>50.629720509592659</v>
      </c>
      <c r="LA56" s="165">
        <f>Sheet3!L56*KR56^(1/3)/IG56^(1/3)</f>
        <v>57.250080539773784</v>
      </c>
      <c r="LB56" s="165">
        <f>Sheet3!M56*KS56^(1/3)/IH56^(1/3)</f>
        <v>63.422836348711492</v>
      </c>
      <c r="LC56" s="165">
        <f>Sheet3!N56*KT56^(1/3)/II56^(1/3)</f>
        <v>71.057703408290706</v>
      </c>
      <c r="LD56" s="165">
        <f>Sheet3!O56*KU56^(1/3)/IJ56^(1/3)</f>
        <v>80.656612197177807</v>
      </c>
      <c r="LE56" s="165">
        <f>Sheet3!P56*KV56^(1/3)/IK56^(1/3)</f>
        <v>92.577803469855056</v>
      </c>
      <c r="LF56" s="165">
        <f>Sheet3!Q56*KW56^(1/3)/IL56^(1/3)</f>
        <v>114.41612121198173</v>
      </c>
      <c r="LG56" s="186">
        <f t="shared" si="248"/>
        <v>25.80356922709235</v>
      </c>
      <c r="LH56" s="183">
        <f t="shared" si="249"/>
        <v>25.805092586639244</v>
      </c>
      <c r="LI56" s="183">
        <f t="shared" si="250"/>
        <v>25.924668490288337</v>
      </c>
      <c r="LJ56" s="183">
        <f t="shared" si="251"/>
        <v>25.930840973792957</v>
      </c>
      <c r="LK56" s="183">
        <f t="shared" si="252"/>
        <v>26.057474260751047</v>
      </c>
      <c r="LL56" s="183">
        <f t="shared" si="253"/>
        <v>26.059038400573993</v>
      </c>
      <c r="LM56" s="183">
        <f t="shared" si="254"/>
        <v>26.433749578090662</v>
      </c>
      <c r="LN56" s="183">
        <f t="shared" si="255"/>
        <v>26.481813343621976</v>
      </c>
      <c r="LO56" s="183">
        <f t="shared" si="256"/>
        <v>26.979039067623013</v>
      </c>
      <c r="LP56" s="220"/>
      <c r="LQ56" s="220"/>
      <c r="LR56" s="220"/>
      <c r="LS56" s="220"/>
      <c r="LT56" s="220"/>
      <c r="LU56" s="220"/>
      <c r="LV56" s="220"/>
      <c r="LW56" s="220"/>
      <c r="LX56" s="220"/>
      <c r="LY56" s="220"/>
      <c r="LZ56" s="222">
        <v>207.11</v>
      </c>
      <c r="MA56" s="220">
        <v>1.5999999999999999E-5</v>
      </c>
      <c r="MB56" s="220"/>
      <c r="MC56" s="220"/>
      <c r="MD56" s="188">
        <f>Sheet3!DP56</f>
        <v>135.52689469501425</v>
      </c>
      <c r="MF56" s="165"/>
      <c r="MP56"/>
      <c r="MQ56"/>
      <c r="MR56"/>
      <c r="MS56"/>
    </row>
    <row r="57" spans="1:357" x14ac:dyDescent="0.3">
      <c r="A57" s="184">
        <f>Sheet3!A57</f>
        <v>44944</v>
      </c>
      <c r="B57" s="186">
        <f t="shared" si="102"/>
        <v>0.77818781270953141</v>
      </c>
      <c r="C57" s="183">
        <f t="shared" si="168"/>
        <v>0.77539881020701851</v>
      </c>
      <c r="D57" s="183">
        <f t="shared" si="169"/>
        <v>0.77223609746114252</v>
      </c>
      <c r="E57" s="183">
        <f t="shared" si="170"/>
        <v>0.76881214680025811</v>
      </c>
      <c r="F57" s="183">
        <f t="shared" si="171"/>
        <v>0.76482748831836533</v>
      </c>
      <c r="G57" s="183">
        <f t="shared" si="172"/>
        <v>0.75828065301310832</v>
      </c>
      <c r="H57" s="183">
        <f t="shared" si="173"/>
        <v>0.75865863982032322</v>
      </c>
      <c r="I57" s="183">
        <f t="shared" si="174"/>
        <v>0.75487274899403556</v>
      </c>
      <c r="J57" s="183">
        <f t="shared" si="175"/>
        <v>0.75140618189748554</v>
      </c>
      <c r="K57" s="186">
        <f xml:space="preserve"> (6.057 * (10^(-6)))
+ (4.055 * (10^(-8)) * (Sheet3!DF57 + 273))
+ (1.25 * (10^(-10)) * (Sheet3!DF57 + 273)^2)
- (3.367 * (10^(-14)) * (DD57 + 273)^3)</f>
        <v>3.5902670527768248E-5</v>
      </c>
      <c r="L57" s="183">
        <f xml:space="preserve"> (6.057 * (10^(-6)))
+ (4.055 * (10^(-8)) * (Sheet3!BZ57 + 273))
+ (1.25 * (10^(-10)) * (Sheet3!BZ57 + 273)^2)
- (3.367 * (10^(-14)) * (BX57 + 273)^3)</f>
        <v>3.5741205342342531E-5</v>
      </c>
      <c r="M57" s="183">
        <f xml:space="preserve"> (6.057 * (10^(-6)))
+ (4.055 * (10^(-8)) * (Sheet3!CA57 + 273))
+ (1.25 * (10^(-10)) * (Sheet3!CA57 + 273)^2)
- (3.367 * (10^(-14)) * (BY57 + 273)^3)</f>
        <v>3.5530450278903058E-5</v>
      </c>
      <c r="N57" s="183">
        <f xml:space="preserve"> (6.057 * (10^(-6)))
+ (4.055 * (10^(-8)) * (Sheet3!CB57 + 273))
+ (1.25 * (10^(-10)) * (Sheet3!CB57 + 273)^2)
- (3.367 * (10^(-14)) * (BZ57 + 273)^3)</f>
        <v>3.5341494471281845E-5</v>
      </c>
      <c r="O57" s="183">
        <f xml:space="preserve"> (6.057 * (10^(-6)))
+ (4.055 * (10^(-8)) * (Sheet3!CC57 + 273))
+ (1.25 * (10^(-10)) * (Sheet3!CC57 + 273)^2)
- (3.367 * (10^(-14)) * (CA57 + 273)^3)</f>
        <v>3.5090134856625125E-5</v>
      </c>
      <c r="P57" s="183">
        <f xml:space="preserve"> (6.057 * (10^(-6)))
+ (4.055 * (10^(-8)) * (Sheet3!CD57 + 273))
+ (1.25 * (10^(-10)) * (Sheet3!CD57 + 273)^2)
- (3.367 * (10^(-14)) * (CB57 + 273)^3)</f>
        <v>3.4738309836391141E-5</v>
      </c>
      <c r="Q57" s="183">
        <f xml:space="preserve"> (6.057 * (10^(-6)))
+ (4.055 * (10^(-8)) * (Sheet3!CE57 + 273))
+ (1.25 * (10^(-10)) * (Sheet3!CE57 + 273)^2)
- (3.367 * (10^(-14)) * (CC57 + 273)^3)</f>
        <v>3.4714067799862682E-5</v>
      </c>
      <c r="R57" s="183">
        <f xml:space="preserve"> (6.057 * (10^(-6)))
+ (4.055 * (10^(-8)) * (Sheet3!CF57 + 273))
+ (1.25 * (10^(-10)) * (Sheet3!CF57 + 273)^2)
- (3.367 * (10^(-14)) * (CD57 + 273)^3)</f>
        <v>3.4512966092269793E-5</v>
      </c>
      <c r="S57" s="183">
        <f xml:space="preserve"> (6.057 * (10^(-6)))
+ (4.055 * (10^(-8)) * (Sheet3!CG57 + 273))
+ (1.25 * (10^(-10)) * (Sheet3!CG57 + 273)^2)
- (3.367 * (10^(-14)) * (CE57 + 273)^3)</f>
        <v>3.4262636002843752E-5</v>
      </c>
      <c r="T57" s="188">
        <f t="shared" si="104"/>
        <v>3.5902670527768248E-5</v>
      </c>
      <c r="U57" s="165">
        <f t="shared" si="105"/>
        <v>3.5741205342342531E-5</v>
      </c>
      <c r="V57" s="165">
        <f t="shared" si="106"/>
        <v>3.5530450278903058E-5</v>
      </c>
      <c r="W57" s="165">
        <f t="shared" si="107"/>
        <v>3.5341494471281845E-5</v>
      </c>
      <c r="X57" s="165">
        <f t="shared" si="108"/>
        <v>3.5090134856625125E-5</v>
      </c>
      <c r="Y57" s="165">
        <f t="shared" si="109"/>
        <v>3.4738309836391141E-5</v>
      </c>
      <c r="Z57" s="165">
        <f t="shared" si="110"/>
        <v>3.4714067799862682E-5</v>
      </c>
      <c r="AA57" s="165">
        <f t="shared" si="111"/>
        <v>3.4512966092269793E-5</v>
      </c>
      <c r="AB57" s="165">
        <f t="shared" si="112"/>
        <v>3.4262636002843752E-5</v>
      </c>
      <c r="AC57" s="186">
        <f t="shared" si="176"/>
        <v>2.7939020648434932E-5</v>
      </c>
      <c r="AD57" s="183">
        <f t="shared" si="177"/>
        <v>2.7713688097817132E-5</v>
      </c>
      <c r="AE57" s="183">
        <f t="shared" si="178"/>
        <v>2.7437896264417261E-5</v>
      </c>
      <c r="AF57" s="183">
        <f t="shared" si="179"/>
        <v>2.7170970235595647E-5</v>
      </c>
      <c r="AG57" s="183">
        <f t="shared" si="180"/>
        <v>2.6837899707145317E-5</v>
      </c>
      <c r="AH57" s="183">
        <f t="shared" si="181"/>
        <v>2.6341388267310359E-5</v>
      </c>
      <c r="AI57" s="183">
        <f t="shared" si="182"/>
        <v>2.6336127459674302E-5</v>
      </c>
      <c r="AJ57" s="183">
        <f t="shared" si="183"/>
        <v>2.6052897590009637E-5</v>
      </c>
      <c r="AK57" s="183">
        <f t="shared" si="184"/>
        <v>2.574515650064015E-5</v>
      </c>
      <c r="AL57" s="186">
        <f t="shared" si="113"/>
        <v>2.9144772620951425E-2</v>
      </c>
      <c r="AM57" s="183">
        <f t="shared" si="114"/>
        <v>2.9001564620019182E-2</v>
      </c>
      <c r="AN57" s="183">
        <f t="shared" si="115"/>
        <v>2.8812882013640677E-2</v>
      </c>
      <c r="AO57" s="183">
        <f t="shared" si="116"/>
        <v>2.8641803525424364E-2</v>
      </c>
      <c r="AP57" s="183">
        <f t="shared" si="117"/>
        <v>2.841505899672158E-2</v>
      </c>
      <c r="AQ57" s="183">
        <f t="shared" si="118"/>
        <v>2.8093618898840232E-2</v>
      </c>
      <c r="AR57" s="183">
        <f t="shared" si="119"/>
        <v>2.8073952518911524E-2</v>
      </c>
      <c r="AS57" s="183">
        <f t="shared" si="120"/>
        <v>2.7889339382712298E-2</v>
      </c>
      <c r="AT57" s="183">
        <f t="shared" si="121"/>
        <v>2.7667189818818008E-2</v>
      </c>
      <c r="AU57" s="186">
        <f>_xlfn.FORECAST.LINEAR(Sheet3!DF57,Sheet2!$AH$2:$AH$40,Sheet2!$AG$2:$AG$40)</f>
        <v>2.5653712965492358E-2</v>
      </c>
      <c r="AV57" s="183">
        <f>_xlfn.FORECAST.LINEAR(Sheet3!BZ57,Sheet2!$AH$2:$AH$40,Sheet2!$AG$2:$AG$40)</f>
        <v>2.5342291119232797E-2</v>
      </c>
      <c r="AW57" s="183">
        <f>_xlfn.FORECAST.LINEAR(Sheet3!CA57,Sheet2!$AH$2:$AH$40,Sheet2!$AG$2:$AG$40)</f>
        <v>2.4928805467012562E-2</v>
      </c>
      <c r="AX57" s="183">
        <f>_xlfn.FORECAST.LINEAR(Sheet3!CB57,Sheet2!$AH$2:$AH$40,Sheet2!$AG$2:$AG$40)</f>
        <v>2.4556962001332391E-2</v>
      </c>
      <c r="AY57" s="183">
        <f>_xlfn.FORECAST.LINEAR(Sheet3!CC57,Sheet2!$AH$2:$AH$40,Sheet2!$AG$2:$AG$40)</f>
        <v>2.4060694758412909E-2</v>
      </c>
      <c r="AZ57" s="183">
        <f>_xlfn.FORECAST.LINEAR(Sheet3!CD57,Sheet2!$AH$2:$AH$40,Sheet2!$AG$2:$AG$40)</f>
        <v>2.3362883909053538E-2</v>
      </c>
      <c r="BA57" s="183">
        <f>_xlfn.FORECAST.LINEAR(Sheet3!CE57,Sheet2!$AH$2:$AH$40,Sheet2!$AG$2:$AG$40)</f>
        <v>2.3314659896853267E-2</v>
      </c>
      <c r="BB57" s="183">
        <f>_xlfn.FORECAST.LINEAR(Sheet3!CF57,Sheet2!$AH$2:$AH$40,Sheet2!$AG$2:$AG$40)</f>
        <v>2.2913934769006057E-2</v>
      </c>
      <c r="BC57" s="183">
        <f>_xlfn.FORECAST.LINEAR(Sheet3!CG57,Sheet2!$AH$2:$AH$40,Sheet2!$AG$2:$AG$40)</f>
        <v>2.242416144573179E-2</v>
      </c>
      <c r="BD57" s="186">
        <f>_xlfn.FORECAST.LINEAR(Sheet3!DF57,Sheet2!$AB$12:$AB$37,Sheet2!$AA$12:$AA$37)/1000</f>
        <v>3.0506351161118033E-2</v>
      </c>
      <c r="BE57" s="183">
        <f>_xlfn.FORECAST.LINEAR(Sheet3!BZ57,Sheet2!$AB$12:$AB$37,Sheet2!$AA$12:$AA$37)/1000</f>
        <v>3.0436724444629363E-2</v>
      </c>
      <c r="BF57" s="183">
        <f>_xlfn.FORECAST.LINEAR(Sheet3!CA57,Sheet2!$AB$12:$AB$37,Sheet2!$AA$12:$AA$37)/1000</f>
        <v>3.034427862355079E-2</v>
      </c>
      <c r="BG57" s="183">
        <f>_xlfn.FORECAST.LINEAR(Sheet3!CB57,Sheet2!$AB$12:$AB$37,Sheet2!$AA$12:$AA$37)/1000</f>
        <v>3.0261143031510472E-2</v>
      </c>
      <c r="BH57" s="183">
        <f>_xlfn.FORECAST.LINEAR(Sheet3!CC57,Sheet2!$AB$12:$AB$37,Sheet2!$AA$12:$AA$37)/1000</f>
        <v>3.0150189162858082E-2</v>
      </c>
      <c r="BI57" s="183">
        <f>_xlfn.FORECAST.LINEAR(Sheet3!CD57,Sheet2!$AB$12:$AB$37,Sheet2!$AA$12:$AA$37)/1000</f>
        <v>2.9994174808840774E-2</v>
      </c>
      <c r="BJ57" s="183">
        <f>_xlfn.FORECAST.LINEAR(Sheet3!CE57,Sheet2!$AB$12:$AB$37,Sheet2!$AA$12:$AA$37)/1000</f>
        <v>2.9983393035931317E-2</v>
      </c>
      <c r="BK57" s="183">
        <f>_xlfn.FORECAST.LINEAR(Sheet3!CF57,Sheet2!$AB$12:$AB$37,Sheet2!$AA$12:$AA$37)/1000</f>
        <v>2.9893800172740698E-2</v>
      </c>
      <c r="BL57" s="183">
        <f>_xlfn.FORECAST.LINEAR(Sheet3!CG57,Sheet2!$AB$12:$AB$37,Sheet2!$AA$12:$AA$37)/1000</f>
        <v>2.9784298194209278E-2</v>
      </c>
      <c r="BM57" s="186">
        <f t="shared" si="122"/>
        <v>0.87906103433412119</v>
      </c>
      <c r="BN57" s="183">
        <f t="shared" si="123"/>
        <v>0.88208334568145863</v>
      </c>
      <c r="BO57" s="183">
        <f t="shared" si="124"/>
        <v>0.88623687752870839</v>
      </c>
      <c r="BP57" s="183">
        <f t="shared" si="125"/>
        <v>0.88990714657186953</v>
      </c>
      <c r="BQ57" s="183">
        <f t="shared" si="126"/>
        <v>0.89496020017084121</v>
      </c>
      <c r="BR57" s="183">
        <f t="shared" si="127"/>
        <v>0.9020044189531784</v>
      </c>
      <c r="BS57" s="183">
        <f t="shared" si="128"/>
        <v>0.90264184457350904</v>
      </c>
      <c r="BT57" s="183">
        <f t="shared" si="129"/>
        <v>0.90674353726738544</v>
      </c>
      <c r="BU57" s="183">
        <f t="shared" si="130"/>
        <v>0.91199748139109271</v>
      </c>
      <c r="BV57" s="186">
        <f t="shared" si="222"/>
        <v>1.1866713658357544</v>
      </c>
      <c r="BW57" s="183">
        <f t="shared" si="223"/>
        <v>1.1863626930659683</v>
      </c>
      <c r="BX57" s="183">
        <f t="shared" si="224"/>
        <v>1.1849119334835823</v>
      </c>
      <c r="BY57" s="183">
        <f t="shared" si="225"/>
        <v>1.184542152994704</v>
      </c>
      <c r="BZ57" s="183">
        <f t="shared" si="226"/>
        <v>1.1830315156374565</v>
      </c>
      <c r="CA57" s="183">
        <f t="shared" si="227"/>
        <v>1.1823889483540526</v>
      </c>
      <c r="CB57" s="183">
        <f t="shared" si="228"/>
        <v>1.180962705790769</v>
      </c>
      <c r="CC57" s="183">
        <f t="shared" si="229"/>
        <v>1.1805862641923284</v>
      </c>
      <c r="CD57" s="183">
        <f t="shared" si="230"/>
        <v>1.1783542555021551</v>
      </c>
      <c r="CE57" s="187">
        <f xml:space="preserve"> -0.0000000019505*Sheet3!DF57^3 + 0.0000015497*Sheet3!DF57^2  + 0.00016911*Sheet3!DF57 + 1.8585</f>
        <v>1.8828730816875001</v>
      </c>
      <c r="CF57" s="185">
        <f xml:space="preserve"> -0.0000000019505*Sheet3!BZ57^3 + 0.0000015497*Sheet3!BZ57^2  + 0.00016911*Sheet3!BZ57 + 1.8585</f>
        <v>1.8823964252545209</v>
      </c>
      <c r="CG57" s="185">
        <f xml:space="preserve"> -0.0000000019505*Sheet3!CA57^3 + 0.0000015497*Sheet3!CA57^2  + 0.00016911*Sheet3!CA57 + 1.8585</f>
        <v>1.8817684722598698</v>
      </c>
      <c r="CH57" s="185">
        <f xml:space="preserve"> -0.0000000019505*Sheet3!CB57^3 + 0.0000015497*Sheet3!CB57^2  + 0.00016911*Sheet3!CB57 + 1.8585</f>
        <v>1.8812085922044168</v>
      </c>
      <c r="CI57" s="185">
        <f xml:space="preserve"> -0.0000000019505*Sheet3!CC57^3 + 0.0000015497*Sheet3!CC57^2  + 0.00016911*Sheet3!CC57 + 1.8585</f>
        <v>1.8804685626457771</v>
      </c>
      <c r="CJ57" s="185">
        <f xml:space="preserve"> -0.0000000019505*Sheet3!CD57^3 + 0.0000015497*Sheet3!CD57^2  + 0.00016911*Sheet3!CD57 + 1.8585</f>
        <v>1.8794420615842833</v>
      </c>
      <c r="CK57" s="185">
        <f xml:space="preserve"> -0.0000000019505*Sheet3!CE57^3 + 0.0000015497*Sheet3!CE57^2  + 0.00016911*Sheet3!CE57 + 1.8585</f>
        <v>1.8793717353417647</v>
      </c>
      <c r="CL57" s="185">
        <f xml:space="preserve"> -0.0000000019505*Sheet3!CF57^3 + 0.0000015497*Sheet3!CF57^2  + 0.00016911*Sheet3!CF57 + 1.8585</f>
        <v>1.8787904368363004</v>
      </c>
      <c r="CM57" s="185">
        <f xml:space="preserve"> -0.0000000019505*Sheet3!CG57^3 + 0.0000015497*Sheet3!CG57^2  + 0.00016911*Sheet3!CG57 + 1.8585</f>
        <v>1.8780874999360053</v>
      </c>
      <c r="CN57" s="186">
        <f>_xlfn.FORECAST.LINEAR(Sheet3!DF57,New!$LU$2:$LU$14,New!$LT$2:$LT$14)</f>
        <v>1.0126209368728181</v>
      </c>
      <c r="CO57" s="183">
        <f>_xlfn.FORECAST.LINEAR(Sheet3!BZ57,New!$LU$2:$LU$14,New!$LT$2:$LT$14)</f>
        <v>1.0123917263083411</v>
      </c>
      <c r="CP57" s="183">
        <f>_xlfn.FORECAST.LINEAR(Sheet3!CA57,New!$LU$2:$LU$14,New!$LT$2:$LT$14)</f>
        <v>1.0120873954436733</v>
      </c>
      <c r="CQ57" s="183">
        <f>_xlfn.FORECAST.LINEAR(Sheet3!CB57,New!$LU$2:$LU$14,New!$LT$2:$LT$14)</f>
        <v>1.0118137137746146</v>
      </c>
      <c r="CR57" s="183">
        <f>_xlfn.FORECAST.LINEAR(Sheet3!CC57,New!$LU$2:$LU$14,New!$LT$2:$LT$14)</f>
        <v>1.0114484545731575</v>
      </c>
      <c r="CS57" s="183">
        <f>_xlfn.FORECAST.LINEAR(Sheet3!CD57,New!$LU$2:$LU$14,New!$LT$2:$LT$14)</f>
        <v>1.0109348566332539</v>
      </c>
      <c r="CT57" s="183">
        <f>_xlfn.FORECAST.LINEAR(Sheet3!CE57,New!$LU$2:$LU$14,New!$LT$2:$LT$14)</f>
        <v>1.0108993631276102</v>
      </c>
      <c r="CU57" s="183">
        <f>_xlfn.FORECAST.LINEAR(Sheet3!CF57,New!$LU$2:$LU$14,New!$LT$2:$LT$14)</f>
        <v>1.0106044241762899</v>
      </c>
      <c r="CV57" s="183">
        <f>_xlfn.FORECAST.LINEAR(Sheet3!CG57,New!$LU$2:$LU$14,New!$LT$2:$LT$14)</f>
        <v>1.0102439445848874</v>
      </c>
      <c r="CW57" s="186">
        <f>EXP((17.625*Sheet3!BA57)/(243.04+Sheet3!BA57)) / EXP((17.625*Sheet3!DF57)/(243.04+Sheet3!DF57))</f>
        <v>0.42008314077038528</v>
      </c>
      <c r="CX57" s="183">
        <f>EXP((17.625*(Sheet3!BC57+273))/(243.04+(Sheet3!BC57+273)))/EXP((17.625*(Sheet3!BZ57+273))/(243.04+(Sheet3!BZ57+273)))</f>
        <v>0.78958920468696847</v>
      </c>
      <c r="CY57" s="183">
        <f>EXP((17.625*(Sheet3!BE57+273))/(243.04+(Sheet3!BE57+273))) / EXP((17.625*(Sheet3!CA57+273))/(243.04+(Sheet3!CA57+273)))</f>
        <v>0.80482012139526704</v>
      </c>
      <c r="CZ57" s="183">
        <f>EXP((17.625*(Sheet3!BG57+273))/(243.04+(Sheet3!BG57+273))) / EXP((17.625*(Sheet3!CB57+273))/(243.04+(Sheet3!CB57+273)))</f>
        <v>0.81824351153415165</v>
      </c>
      <c r="DA57" s="183">
        <f>EXP((17.625*(Sheet3!BI57+273))/(243.04+(Sheet3!BI57+273))) / EXP((17.625*(Sheet3!CC57+273))/(243.04+(Sheet3!CC57+273)))</f>
        <v>0.83670285826672208</v>
      </c>
      <c r="DB57" s="183">
        <f>EXP((17.625*(Sheet3!BK57+273))/(243.04+(Sheet3!BK57+273)))/EXP((17.625*(Sheet3!CD57+273))/(243.04+(Sheet3!CD57+273)))</f>
        <v>0.86510035510216365</v>
      </c>
      <c r="DC57" s="183">
        <f>EXP((17.625*(Sheet3!BM57+273))/(243.04+(Sheet3!BM57+273))) / EXP((17.625*(Sheet3!CE57+273))/(243.04+(Sheet3!CE57+273)))</f>
        <v>0.86568800404751245</v>
      </c>
      <c r="DD57" s="183">
        <f>EXP((17.625*(Sheet3!BO57+273))/(243.04+(Sheet3!BO57+273))) / EXP((17.625*(Sheet3!CF57+273))/(243.04+(Sheet3!CF57+273)))</f>
        <v>0.88256582335352063</v>
      </c>
      <c r="DE57" s="183">
        <f>EXP((17.625*(Sheet3!BQ57+273))/(243.04+(Sheet3!BQ57+273))) / EXP((17.625*(Sheet3!CG57+273))/(243.04+(Sheet3!CG57+273)))</f>
        <v>0.90184389756569749</v>
      </c>
      <c r="DF57" s="186">
        <f>((Sheet3!DA57-Sheet3!DB57)/New!$LQ$3)/(((Sheet3!DA57-Sheet3!DB57)/New!$LQ$3)+(Sheet3!DB57/New!$LP$3))</f>
        <v>0.71332409423876464</v>
      </c>
      <c r="DG57" s="183">
        <f>((Sheet3!DA57-Sheet3!DB57)/New!$LQ$3)/(((Sheet3!DA57-Sheet3!DB57)/New!$LQ$3)+((Sheet3!DB57-(Sheet3!B57*0.004))/New!$LP$3))</f>
        <v>0.71345703935170024</v>
      </c>
      <c r="DH57" s="183" cm="1">
        <f t="array" ref="DH57">((Sheet3!DA57-Sheet3!DB57)/New!$LQ$3)/(((Sheet3!DA57-Sheet3!DB57)/New!$LQ$3)+((Sheet3!DB57-(SUM(Sheet3!B57:C57*0.004)))/New!$LP$3))</f>
        <v>0.71828665726016161</v>
      </c>
      <c r="DI57" s="183" cm="1">
        <f t="array" ref="DI57">((Sheet3!DA57-Sheet3!DB57)/New!$LQ$3)/(((Sheet3!DA57-Sheet3!DB57)/New!$LQ$3)+((Sheet3!DB57-(SUM(Sheet3!B57:D57*0.004)))/New!$LP$3))</f>
        <v>0.71846294633538432</v>
      </c>
      <c r="DJ57" s="183" cm="1">
        <f t="array" ref="DJ57">((Sheet3!DA57-Sheet3!DB57)/New!$LQ$3)/(((Sheet3!DA57-Sheet3!DB57)/New!$LQ$3)+((Sheet3!DB57-(SUM(Sheet3!B57:E57*0.004)))/New!$LP$3))</f>
        <v>0.72330823964320168</v>
      </c>
      <c r="DK57" s="183" cm="1">
        <f t="array" ref="DK57">((Sheet3!DA57-Sheet3!DB57)/New!$LQ$3)/(((Sheet3!DA57-Sheet3!DB57)/New!$LQ$3)+((Sheet3!DB57-(SUM(Sheet3!B57:F57*0.004)))/New!$LP$3))</f>
        <v>0.72343441604205272</v>
      </c>
      <c r="DL57" s="183" cm="1">
        <f t="array" ref="DL57">((Sheet3!DA57-Sheet3!DB57)/New!$LQ$3)/(((Sheet3!DA57-Sheet3!DB57)/New!$LQ$3)+((Sheet3!DB57-(SUM(Sheet3!B57:G57*0.004)))/New!$LP$3))</f>
        <v>0.72978915473766237</v>
      </c>
      <c r="DM57" s="183" cm="1">
        <f t="array" ref="DM57">((Sheet3!DA57-Sheet3!DB57)/New!$LQ$3)/(((Sheet3!DA57-Sheet3!DB57)/New!$LQ$3)+((Sheet3!DB57-(SUM(Sheet3!B57:H57*0.004)))/New!$LP$3))</f>
        <v>0.72990689686048871</v>
      </c>
      <c r="DN57" s="183" cm="1">
        <f t="array" ref="DN57">((Sheet3!DA57-Sheet3!DB57)/New!$LQ$3)/(((Sheet3!DA57-Sheet3!DB57)/New!$LQ$3)+((Sheet3!DB57-(SUM(Sheet3!B57:I57*0.004)))/New!$LP$3))</f>
        <v>0.73835386638807465</v>
      </c>
      <c r="DO57" s="186">
        <f>(Sheet3!DB57/$LP$3) / ((Sheet3!DB57/$LP$3) + ((Sheet3!DA57-Sheet3!DB57)/$LQ$3))</f>
        <v>0.28667590576123542</v>
      </c>
      <c r="DP57" s="183">
        <f>((Sheet3!$DB57-(Sheet3!B57/4000)) / $LP$3) / (((Sheet3!$DA57-Sheet3!DB57) / $LQ$3) + (Sheet3!$DB57-((Sheet3!B57/4000)))/$LP$3)</f>
        <v>0.28666759814323123</v>
      </c>
      <c r="DQ57" s="183">
        <f>((Sheet3!$DB57-(SUM(Sheet3!B57:C57)/4000))/$LP$3)/(((Sheet3!$DA57-Sheet3!$DB57)/$LQ$3)+(Sheet3!$DB57-(SUM(Sheet3!B57:C57)/4000))/$LP$3)</f>
        <v>0.28636775537375919</v>
      </c>
      <c r="DR57" s="183">
        <f>((Sheet3!$DB57-(SUM(Sheet3!B57:D57)/4000))/$LP$3)/(((Sheet3!$DA57-Sheet3!$DB57)/$LQ$3)+(Sheet3!$DB57-(SUM(Sheet3!B57:D57)/4000))/$LP$3)</f>
        <v>0.28635688213837779</v>
      </c>
      <c r="DS57" s="183">
        <f>((Sheet3!$DB57-(SUM(Sheet3!B57:E57)/4000))/$LP$3)/(((Sheet3!$DA57-Sheet3!$DB57)/$LQ$3)+(Sheet3!$DB57-(SUM(Sheet3!B57:E57)/4000))/$LP$3)</f>
        <v>0.28605997877886102</v>
      </c>
      <c r="DT57" s="183">
        <f>((Sheet3!$DB57-(SUM(Sheet3!B57:F57)/4000))/$LP$3)/(((Sheet3!$DA57-Sheet3!$DB57)/$LQ$3)+(Sheet3!$DB57-(SUM(Sheet3!B57:F57)/4000))/$LP$3)</f>
        <v>0.28605229696647771</v>
      </c>
      <c r="DU57" s="183">
        <f>((Sheet3!$DB57-(SUM(Sheet3!B57:G57)/4000))/$LP$3)/(((Sheet3!$DA57-Sheet3!$DB57)/$LQ$3)+(Sheet3!$DB57-(SUM(Sheet3!B57:G57)/4000))/$LP$3)</f>
        <v>0.28566863631198508</v>
      </c>
      <c r="DV57" s="183">
        <f>((Sheet3!$DB57-(SUM(Sheet3!B57:H57)/4000))/$LP$3)/(((Sheet3!$DA57-Sheet3!$DB57)/$LQ$3)+(Sheet3!$DB57-(SUM(Sheet3!B57:H57)/4000))/$LP$3)</f>
        <v>0.28566158693510135</v>
      </c>
      <c r="DW57" s="183">
        <f>((Sheet3!$DB57-(SUM(Sheet3!B57:I57)/4000))/$LP$3)/(((Sheet3!$DA57-Sheet3!$DB57)/$LQ$3)+(Sheet3!$DB57-(SUM(Sheet3!B57:I57)/4000))/$LP$3)</f>
        <v>0.28516136705894912</v>
      </c>
      <c r="DX57" s="186">
        <f>($LR$2*($LP$3/1000))/($LP$2*(Sheet3!DF57+273))*DO57</f>
        <v>0.17581220686682425</v>
      </c>
      <c r="DY57" s="183">
        <f>(($LR$2*($LP$3/1000))/($LP$2*(Sheet3!BZ57+273)))*(DP57)</f>
        <v>0.17641093554795939</v>
      </c>
      <c r="DZ57" s="183">
        <f>(($LR$2*($LP$3/1000))/($LP$2*(Sheet3!CA57+273)))*(DQ57)</f>
        <v>0.17703372805696327</v>
      </c>
      <c r="EA57" s="183">
        <f>(($LR$2*($LP$3/1000))/($LP$2*(Sheet3!CB57+273)))*(DR57)</f>
        <v>0.17775932821352336</v>
      </c>
      <c r="EB57" s="183">
        <f>(($LR$2*($LP$3/1000))/($LP$2*(Sheet3!CC57+273)))*(DS57)</f>
        <v>0.17856085717960535</v>
      </c>
      <c r="EC57" s="183">
        <f>(($LR$2*($LP$3/1000))/($LP$2*(Sheet3!CD57+273)))*(DT57)</f>
        <v>0.17996088851427447</v>
      </c>
      <c r="ED57" s="183">
        <f>(($LR$2*($LP$3/1000))/($LP$2*(Sheet3!CE57+273)))*(DU57)</f>
        <v>0.17981729025939527</v>
      </c>
      <c r="EE57" s="183">
        <f>(($LR$2*($LP$3/1000))/($LP$2*(Sheet3!CF57+273)))*(DV57)</f>
        <v>0.18062940063687749</v>
      </c>
      <c r="EF57" s="183">
        <f>(($LR$2*($LP$3/1000))/($LP$2*(Sheet3!CG57+273)))*(DW57)</f>
        <v>0.1813194628320359</v>
      </c>
      <c r="EG57" s="186">
        <f>(($LR$2*($LQ$3/1000))/($LQ$2*(Sheet3!DF57+273)))*(1-DO57)</f>
        <v>0.703248827467297</v>
      </c>
      <c r="EH57" s="183">
        <f>(($LR$2*($LQ$3/1000))/($LQ$2*(Sheet3!BZ57+273)))*(1-DP57)</f>
        <v>0.70567241013349924</v>
      </c>
      <c r="EI57" s="183">
        <f>(($LR$2*($LQ$3/1000))/($LQ$2*(Sheet3!CA57+273)))*(1-DQ57)</f>
        <v>0.70920314947174512</v>
      </c>
      <c r="EJ57" s="183">
        <f>(($LR$2*($LQ$3/1000))/($LQ$2*(Sheet3!CB57+273)))*(1-DR57)</f>
        <v>0.71214781835834617</v>
      </c>
      <c r="EK57" s="183">
        <f>(($LR$2*($LQ$3/1000))/($LQ$2*(Sheet3!CC57+273)))*(1-DS57)</f>
        <v>0.71639934299123587</v>
      </c>
      <c r="EL57" s="183">
        <f>(($LR$2*($LQ$3/1000))/($LQ$2*(Sheet3!CD57+273)))*(1-DT57)</f>
        <v>0.7220435304389039</v>
      </c>
      <c r="EM57" s="183">
        <f>(($LR$2*($LQ$3/1000))/($LQ$2*(Sheet3!CE57+273)))*(1-DU57)</f>
        <v>0.72282455431411374</v>
      </c>
      <c r="EN57" s="183">
        <f>(($LR$2*($LQ$3/1000))/($LQ$2*(Sheet3!CF57+273)))*(1-DV57)</f>
        <v>0.72611413663050794</v>
      </c>
      <c r="EO57" s="183">
        <f>(($LR$2*($LQ$3/1000))/($LQ$2*(Sheet3!CG57+273)))*(1-DW57)</f>
        <v>0.73067801855905679</v>
      </c>
      <c r="EP57" s="186">
        <f t="shared" si="132"/>
        <v>9969.3627347426354</v>
      </c>
      <c r="EQ57" s="183">
        <f xml:space="preserve"> (($FV57-(Sheet3!B57/4000))*0.018)/(0.011*JO57*3600)</f>
        <v>9996.5673067404332</v>
      </c>
      <c r="ER57" s="183">
        <f>((($FV57-(SUM(Sheet3!B57:C57)/4000))*0.018)/(0.011*JP57*3600))</f>
        <v>10028.615668621922</v>
      </c>
      <c r="ES57" s="183">
        <f>((($FV57-(SUM(Sheet3!B57:D57)/4000))*0.018)/(0.011*JQ57*3600))</f>
        <v>10061.512711290497</v>
      </c>
      <c r="ET57" s="183">
        <f>((($FV57-(SUM(Sheet3!B57:E57)/4000))*0.018)/(0.011*JR57))/3600</f>
        <v>10101.514012037842</v>
      </c>
      <c r="EU57" s="183">
        <f>((($FV57-(SUM(Sheet3!B57:F57)/4000))*0.018)/(0.011*JS57))/3600</f>
        <v>10164.581125630491</v>
      </c>
      <c r="EV57" s="183">
        <f>((($FV57-(SUM(Sheet3!B57:G57)/4000))*0.018)/(0.011*JT57))/3600</f>
        <v>10163.157061048172</v>
      </c>
      <c r="EW57" s="183">
        <f>((($FV57-(SUM(Sheet3!B57:H57)/4000))*0.018)/(0.011*JU57))/3600</f>
        <v>10199.70701802566</v>
      </c>
      <c r="EX57" s="183">
        <f>((($FV57-(SUM(Sheet3!B57:I57)/4000))*0.018)/(0.011*JV57))/3600</f>
        <v>10237.222487700201</v>
      </c>
      <c r="EY57" s="186">
        <f t="shared" si="133"/>
        <v>80.166056119196895</v>
      </c>
      <c r="EZ57" s="183">
        <f t="shared" si="134"/>
        <v>80.359688773557977</v>
      </c>
      <c r="FA57" s="183">
        <f t="shared" si="135"/>
        <v>80.574372218825232</v>
      </c>
      <c r="FB57" s="183">
        <f t="shared" si="136"/>
        <v>80.809342049529988</v>
      </c>
      <c r="FC57" s="183">
        <f t="shared" si="137"/>
        <v>81.082028391589745</v>
      </c>
      <c r="FD57" s="183">
        <f t="shared" si="138"/>
        <v>81.535552402687813</v>
      </c>
      <c r="FE57" s="183">
        <f t="shared" si="139"/>
        <v>81.506602557011192</v>
      </c>
      <c r="FF57" s="183">
        <f t="shared" si="140"/>
        <v>81.770063812595552</v>
      </c>
      <c r="FG57" s="183">
        <f t="shared" si="141"/>
        <v>82.016834113615161</v>
      </c>
      <c r="FH57" s="186">
        <f t="shared" si="185"/>
        <v>129.80119319513474</v>
      </c>
      <c r="FI57" s="183">
        <f t="shared" si="186"/>
        <v>129.47537260060955</v>
      </c>
      <c r="FJ57" s="183">
        <f t="shared" si="187"/>
        <v>128.97666000356548</v>
      </c>
      <c r="FK57" s="183">
        <f t="shared" si="188"/>
        <v>128.58473877785841</v>
      </c>
      <c r="FL57" s="183">
        <f t="shared" si="189"/>
        <v>127.99725668449317</v>
      </c>
      <c r="FM57" s="183">
        <f t="shared" si="190"/>
        <v>127.25715199486271</v>
      </c>
      <c r="FN57" s="183">
        <f t="shared" si="191"/>
        <v>127.12291612018471</v>
      </c>
      <c r="FO57" s="183">
        <f t="shared" si="192"/>
        <v>126.69517005641772</v>
      </c>
      <c r="FP57" s="183">
        <f t="shared" si="193"/>
        <v>126.06529543110551</v>
      </c>
      <c r="FQ57" s="314">
        <f>Sheet3!CV57</f>
        <v>1</v>
      </c>
      <c r="FR57" s="183">
        <v>10000</v>
      </c>
      <c r="FS57" s="183">
        <v>20</v>
      </c>
      <c r="FT57" s="183">
        <v>0.2603669724770642</v>
      </c>
      <c r="FU57" s="183">
        <v>19.8</v>
      </c>
      <c r="FV57" s="183">
        <v>400</v>
      </c>
      <c r="FW57" s="183">
        <v>80</v>
      </c>
      <c r="FX57" s="183">
        <v>405</v>
      </c>
      <c r="FY57" s="183">
        <v>7.9</v>
      </c>
      <c r="FZ57" s="183">
        <v>25.6</v>
      </c>
      <c r="GA57" s="183">
        <v>85</v>
      </c>
      <c r="GB57" s="186">
        <f>EXP($LP$6-($LQ$6/('Trial and Error method'!T57+$LP$8))) / ($LR$2/1000)</f>
        <v>0.41517334493851987</v>
      </c>
      <c r="GC57" s="183">
        <f>EXP($LP$6-($LQ$6/('Trial and Error method'!U57+$LP$8))) / ($LR$2/1000)</f>
        <v>0.15336887583068856</v>
      </c>
      <c r="GD57" s="183">
        <f>EXP($LP$6-($LQ$6/('Trial and Error method'!V57+$LP$8))) / ($LR$2/1000)</f>
        <v>0.14737000538899667</v>
      </c>
      <c r="GE57" s="183">
        <f>EXP($LP$6-($LQ$6/('Trial and Error method'!W57+$LP$8))) / ($LR$2/1000)</f>
        <v>0.14276477606660656</v>
      </c>
      <c r="GF57" s="183">
        <f>EXP($LP$6-($LQ$6/('Trial and Error method'!X57+$LP$8))) / ($LR$2/1000)</f>
        <v>0.13854354278895342</v>
      </c>
      <c r="GG57" s="183">
        <f>EXP($LP$6-($LQ$6/('Trial and Error method'!Y57+$LP$8))) / ($LR$2/1000)</f>
        <v>0.13501268634249106</v>
      </c>
      <c r="GH57" s="183">
        <f>EXP($LP$6-($LQ$6/('Trial and Error method'!Z57+$LP$8))) / ($LR$2/1000)</f>
        <v>0.13278834298756206</v>
      </c>
      <c r="GI57" s="183">
        <f>EXP($LP$6-($LQ$6/('Trial and Error method'!AA57+$LP$8))) / ($LR$2/1000)</f>
        <v>0.10886894942406582</v>
      </c>
      <c r="GJ57" s="183">
        <f>EXP($LP$6-($LQ$6/('Trial and Error method'!AB57+$LP$8))) / ($LR$2/1000)</f>
        <v>0.44862907249482969</v>
      </c>
      <c r="GK57" s="188">
        <f t="shared" si="142"/>
        <v>0.64694992089363901</v>
      </c>
      <c r="GL57" s="165">
        <f t="shared" si="143"/>
        <v>0.77807965873798901</v>
      </c>
      <c r="GM57" s="165">
        <f t="shared" si="144"/>
        <v>0.78107089428108467</v>
      </c>
      <c r="GN57" s="165">
        <f t="shared" si="145"/>
        <v>0.7832466781030627</v>
      </c>
      <c r="GO57" s="165">
        <f t="shared" si="146"/>
        <v>0.78539064928356006</v>
      </c>
      <c r="GP57" s="165">
        <f t="shared" si="147"/>
        <v>0.78705355000181898</v>
      </c>
      <c r="GQ57" s="165">
        <f t="shared" si="148"/>
        <v>0.78830230681326696</v>
      </c>
      <c r="GR57" s="165">
        <f t="shared" si="149"/>
        <v>0.79947946866735042</v>
      </c>
      <c r="GS57" s="165">
        <f t="shared" si="150"/>
        <v>0.629571728519419</v>
      </c>
      <c r="GT57" s="188">
        <f t="shared" si="194"/>
        <v>0.12431503307707842</v>
      </c>
      <c r="GU57" s="165">
        <f t="shared" si="195"/>
        <v>0.10337874333933354</v>
      </c>
      <c r="GV57" s="165">
        <f t="shared" si="196"/>
        <v>0.10299201969835714</v>
      </c>
      <c r="GW57" s="165">
        <f t="shared" si="197"/>
        <v>0.10272967084172256</v>
      </c>
      <c r="GX57" s="165">
        <f t="shared" si="198"/>
        <v>0.10246573770699259</v>
      </c>
      <c r="GY57" s="165">
        <f t="shared" si="199"/>
        <v>0.10229787545340517</v>
      </c>
      <c r="GZ57" s="165">
        <f t="shared" si="200"/>
        <v>0.10211737361022123</v>
      </c>
      <c r="HA57" s="165">
        <f t="shared" si="201"/>
        <v>0.10071826320796465</v>
      </c>
      <c r="HB57" s="165">
        <f t="shared" si="202"/>
        <v>0.12789698903591712</v>
      </c>
      <c r="HC57" s="188">
        <f>BV57*Sheet3!DF57</f>
        <v>100.86706609603912</v>
      </c>
      <c r="HD57" s="165">
        <f>BW57*Sheet3!BZ57</f>
        <v>99.387094524661109</v>
      </c>
      <c r="HE57" s="165">
        <f>BX57*Sheet3!CA57</f>
        <v>97.337744146199782</v>
      </c>
      <c r="HF57" s="165">
        <f>BY57*Sheet3!CB57</f>
        <v>95.574245360560795</v>
      </c>
      <c r="HG57" s="165">
        <f>BZ57*Sheet3!CC57</f>
        <v>93.142262129690081</v>
      </c>
      <c r="HH57" s="165">
        <f>CA57*Sheet3!CD57</f>
        <v>89.845162804897143</v>
      </c>
      <c r="HI57" s="165">
        <f>CB57*Sheet3!CE57</f>
        <v>89.512700443265103</v>
      </c>
      <c r="HJ57" s="165">
        <f>CC57*Sheet3!CF57</f>
        <v>87.622668524473255</v>
      </c>
      <c r="HK57" s="165">
        <f>CD57*Sheet3!CG57</f>
        <v>85.186154136891801</v>
      </c>
      <c r="HL57" s="188">
        <f>(CE57*Sheet3!DF57)+2501</f>
        <v>2661.0442119434374</v>
      </c>
      <c r="HM57" s="165">
        <f>(CF57*Sheet3!BZ57)+2501</f>
        <v>2658.6970622417002</v>
      </c>
      <c r="HN57" s="165">
        <f>(CG57*Sheet3!CA57)+2501</f>
        <v>2655.5828790471492</v>
      </c>
      <c r="HO57" s="165">
        <f>(CH57*Sheet3!CB57)+2501</f>
        <v>2652.7844604442234</v>
      </c>
      <c r="HP57" s="165">
        <f>(CI57*Sheet3!CC57)+2501</f>
        <v>2649.052772452319</v>
      </c>
      <c r="HQ57" s="165">
        <f>(CJ57*Sheet3!CD57)+2501</f>
        <v>2643.8115327367291</v>
      </c>
      <c r="HR57" s="165">
        <f>(CK57*Sheet3!CE57)+2501</f>
        <v>2643.4495780792181</v>
      </c>
      <c r="HS57" s="165">
        <f>(CL57*Sheet3!CF57)+2501</f>
        <v>2640.4431196321616</v>
      </c>
      <c r="HT57" s="165">
        <f>(CM57*Sheet3!CG57)+2501</f>
        <v>2636.7716073117076</v>
      </c>
      <c r="HU57" s="188">
        <f>-0.0021*(Sheet3!DF57^2) - 2.2115*(Sheet3!DF57) + 2499</f>
        <v>2295.85</v>
      </c>
      <c r="HV57" s="165">
        <f>-0.0021*(Sheet3!BZ57^2) - 2.2115*(Sheet3!BZ57) + 2499</f>
        <v>2298.9942120760629</v>
      </c>
      <c r="HW57" s="165">
        <f>-0.0021*(Sheet3!CA57^2) - 2.2115*(Sheet3!CA57) + 2499</f>
        <v>2303.1591467727626</v>
      </c>
      <c r="HX57" s="165">
        <f>-0.0021*(Sheet3!CB57^2) - 2.2115*(Sheet3!CB57) + 2499</f>
        <v>2306.895136013773</v>
      </c>
      <c r="HY57" s="165">
        <f>-0.0021*(Sheet3!CC57^2) - 2.2115*(Sheet3!CC57) + 2499</f>
        <v>2311.8672299635346</v>
      </c>
      <c r="HZ57" s="165">
        <f>-0.0021*(Sheet3!CD57^2) - 2.2115*(Sheet3!CD57) + 2499</f>
        <v>2318.831495129858</v>
      </c>
      <c r="IA57" s="165">
        <f>-0.0021*(Sheet3!CE57^2) - 2.2115*(Sheet3!CE57) + 2499</f>
        <v>2319.3116088616198</v>
      </c>
      <c r="IB57" s="165">
        <f>-0.0021*(Sheet3!CF57^2) - 2.2115*(Sheet3!CF57) + 2499</f>
        <v>2323.2953413130185</v>
      </c>
      <c r="IC57" s="165">
        <f>-0.0021*(Sheet3!CG57^2) - 2.2115*(Sheet3!CG57) + 2499</f>
        <v>2328.1501491468784</v>
      </c>
      <c r="ID57" s="188">
        <f t="shared" si="203"/>
        <v>0.74257394015488154</v>
      </c>
      <c r="IE57" s="165">
        <f t="shared" si="204"/>
        <v>0.74401028663722291</v>
      </c>
      <c r="IF57" s="165">
        <f t="shared" si="205"/>
        <v>0.74535787471642911</v>
      </c>
      <c r="IG57" s="165">
        <f t="shared" si="206"/>
        <v>0.74711717871492866</v>
      </c>
      <c r="IH57" s="165">
        <f t="shared" si="207"/>
        <v>0.74892292085106427</v>
      </c>
      <c r="II57" s="165">
        <f t="shared" si="208"/>
        <v>0.75237744948927343</v>
      </c>
      <c r="IJ57" s="165">
        <f t="shared" si="209"/>
        <v>0.75181995344820185</v>
      </c>
      <c r="IK57" s="165">
        <f t="shared" si="210"/>
        <v>0.75383912856674351</v>
      </c>
      <c r="IL57" s="165">
        <f t="shared" si="211"/>
        <v>0.75530711700504372</v>
      </c>
      <c r="IM57" s="188">
        <f t="shared" si="212"/>
        <v>-36.674283045664353</v>
      </c>
      <c r="IN57" s="165">
        <f t="shared" si="151"/>
        <v>31.680725109775995</v>
      </c>
      <c r="IO57" s="165">
        <f t="shared" si="152"/>
        <v>32.971240978197265</v>
      </c>
      <c r="IP57" s="165">
        <f t="shared" si="153"/>
        <v>34.029401844192002</v>
      </c>
      <c r="IQ57" s="165">
        <f t="shared" si="154"/>
        <v>34.944752702147596</v>
      </c>
      <c r="IR57" s="165">
        <f t="shared" si="155"/>
        <v>35.828337955357796</v>
      </c>
      <c r="IS57" s="165">
        <f t="shared" si="156"/>
        <v>36.208475972675011</v>
      </c>
      <c r="IT57" s="165">
        <f t="shared" si="157"/>
        <v>41.369171626195559</v>
      </c>
      <c r="IU57" s="165">
        <f t="shared" si="158"/>
        <v>-48.674698796229897</v>
      </c>
      <c r="IV57" s="188">
        <f>_xlfn.FORECAST.LINEAR(Sheet3!DF57,Sheet2!$AK$2:$AK$69,Sheet2!$AJ$2:$AJ$69)</f>
        <v>1.1761434736095797E-5</v>
      </c>
      <c r="IW57" s="165">
        <f>_xlfn.FORECAST.LINEAR(Sheet3!BZ57,Sheet2!$AK$2:$AK$69,Sheet2!$AJ$2:$AJ$69)</f>
        <v>1.1718531666306634E-5</v>
      </c>
      <c r="IX57" s="165">
        <f>_xlfn.FORECAST.LINEAR(Sheet3!CA57,Sheet2!$AK$2:$AK$69,Sheet2!$AJ$2:$AJ$69)</f>
        <v>1.1661567763462015E-5</v>
      </c>
      <c r="IY57" s="165">
        <f>_xlfn.FORECAST.LINEAR(Sheet3!CB57,Sheet2!$AK$2:$AK$69,Sheet2!$AJ$2:$AJ$69)</f>
        <v>1.1610340701679638E-5</v>
      </c>
      <c r="IZ57" s="165">
        <f>_xlfn.FORECAST.LINEAR(Sheet3!CC57,Sheet2!$AK$2:$AK$69,Sheet2!$AJ$2:$AJ$69)</f>
        <v>1.1541972382588422E-5</v>
      </c>
      <c r="JA57" s="165">
        <f>_xlfn.FORECAST.LINEAR(Sheet3!CD57,Sheet2!$AK$2:$AK$69,Sheet2!$AJ$2:$AJ$69)</f>
        <v>1.1445838383226195E-5</v>
      </c>
      <c r="JB57" s="165">
        <f>_xlfn.FORECAST.LINEAR(Sheet3!CE57,Sheet2!$AK$2:$AK$69,Sheet2!$AJ$2:$AJ$69)</f>
        <v>1.1439194796124675E-5</v>
      </c>
      <c r="JC57" s="165">
        <f>_xlfn.FORECAST.LINEAR(Sheet3!CF57,Sheet2!$AK$2:$AK$69,Sheet2!$AJ$2:$AJ$69)</f>
        <v>1.1383988848524036E-5</v>
      </c>
      <c r="JD57" s="165">
        <f>_xlfn.FORECAST.LINEAR(Sheet3!CG57,Sheet2!$AK$2:$AK$69,Sheet2!$AJ$2:$AJ$69)</f>
        <v>1.1316515165088892E-5</v>
      </c>
      <c r="JE57" s="188">
        <f>_xlfn.FORECAST.LINEAR(Sheet3!DF57,New!$MC$2:$MC$18,New!$MB$2:$MB$18)</f>
        <v>2.0908514659214704E-5</v>
      </c>
      <c r="JF57" s="165">
        <f>_xlfn.FORECAST.LINEAR(Sheet3!BZ57,New!$MC$2:$MC$18,New!$MB$2:$MB$18)</f>
        <v>2.0858081065138003E-5</v>
      </c>
      <c r="JG57" s="165">
        <f>_xlfn.FORECAST.LINEAR(Sheet3!CA57,New!$MC$2:$MC$18,New!$MB$2:$MB$18)</f>
        <v>2.0791118622422172E-5</v>
      </c>
      <c r="JH57" s="165">
        <f>_xlfn.FORECAST.LINEAR(Sheet3!CB57,New!$MC$2:$MC$18,New!$MB$2:$MB$18)</f>
        <v>2.0730899974843557E-5</v>
      </c>
      <c r="JI57" s="165">
        <f>_xlfn.FORECAST.LINEAR(Sheet3!CC57,New!$MC$2:$MC$18,New!$MB$2:$MB$18)</f>
        <v>2.065053136556461E-5</v>
      </c>
      <c r="JJ57" s="165">
        <f>_xlfn.FORECAST.LINEAR(Sheet3!CD57,New!$MC$2:$MC$18,New!$MB$2:$MB$18)</f>
        <v>2.0537523528954539E-5</v>
      </c>
      <c r="JK57" s="165">
        <f>_xlfn.FORECAST.LINEAR(Sheet3!CE57,New!$MC$2:$MC$18,New!$MB$2:$MB$18)</f>
        <v>2.0529713831962276E-5</v>
      </c>
      <c r="JL57" s="165">
        <f>_xlfn.FORECAST.LINEAR(Sheet3!CF57,New!$MC$2:$MC$18,New!$MB$2:$MB$18)</f>
        <v>2.0464817908067025E-5</v>
      </c>
      <c r="JM57" s="165">
        <f>_xlfn.FORECAST.LINEAR(Sheet3!CG57,New!$MC$2:$MC$18,New!$MB$2:$MB$18)</f>
        <v>2.0385500964595364E-5</v>
      </c>
      <c r="JN57" s="188">
        <f t="shared" si="159"/>
        <v>1.8237693487122933E-5</v>
      </c>
      <c r="JO57" s="165">
        <f t="shared" si="160"/>
        <v>1.8187913807458702E-5</v>
      </c>
      <c r="JP57" s="165">
        <f t="shared" si="161"/>
        <v>1.8124476507721832E-5</v>
      </c>
      <c r="JQ57" s="165">
        <f t="shared" si="162"/>
        <v>1.8065024861397247E-5</v>
      </c>
      <c r="JR57" s="165">
        <f t="shared" si="163"/>
        <v>1.7988268865781907E-5</v>
      </c>
      <c r="JS57" s="165">
        <f t="shared" si="164"/>
        <v>1.787652477930962E-5</v>
      </c>
      <c r="JT57" s="165">
        <f t="shared" si="165"/>
        <v>1.7872332100226826E-5</v>
      </c>
      <c r="JU57" s="165">
        <f t="shared" si="166"/>
        <v>1.7808165260121122E-5</v>
      </c>
      <c r="JV57" s="165">
        <f t="shared" si="167"/>
        <v>1.7734246963598721E-5</v>
      </c>
      <c r="JW57" s="188">
        <f t="shared" si="231"/>
        <v>1.0444458673781256</v>
      </c>
      <c r="JX57" s="165">
        <f t="shared" si="232"/>
        <v>1.0451480171074445</v>
      </c>
      <c r="JY57" s="165">
        <f t="shared" si="233"/>
        <v>1.0460879579272135</v>
      </c>
      <c r="JZ57" s="165">
        <f t="shared" si="234"/>
        <v>1.0469408057217442</v>
      </c>
      <c r="KA57" s="165">
        <f t="shared" si="235"/>
        <v>1.0480903585595935</v>
      </c>
      <c r="KB57" s="165">
        <f t="shared" si="236"/>
        <v>1.0497290806857658</v>
      </c>
      <c r="KC57" s="165">
        <f t="shared" si="237"/>
        <v>1.0498433061611414</v>
      </c>
      <c r="KD57" s="165">
        <f t="shared" si="238"/>
        <v>1.0507974339289494</v>
      </c>
      <c r="KE57" s="165">
        <f t="shared" si="239"/>
        <v>1.0519757256239335</v>
      </c>
      <c r="KF57" s="188">
        <f t="shared" si="75"/>
        <v>0.94446821821306282</v>
      </c>
      <c r="KG57" s="165">
        <f t="shared" si="240"/>
        <v>0.94393249918644551</v>
      </c>
      <c r="KH57" s="165">
        <f t="shared" si="241"/>
        <v>0.94321690909334266</v>
      </c>
      <c r="KI57" s="165">
        <f t="shared" si="242"/>
        <v>0.94256916075006425</v>
      </c>
      <c r="KJ57" s="165">
        <f t="shared" si="243"/>
        <v>0.94169836559765563</v>
      </c>
      <c r="KK57" s="165">
        <f t="shared" si="244"/>
        <v>0.94046157286967369</v>
      </c>
      <c r="KL57" s="165">
        <f t="shared" si="245"/>
        <v>0.9403755621841009</v>
      </c>
      <c r="KM57" s="165">
        <f t="shared" si="246"/>
        <v>0.93965812109083169</v>
      </c>
      <c r="KN57" s="165">
        <f t="shared" si="247"/>
        <v>0.93877460065529195</v>
      </c>
      <c r="KO57" s="188">
        <f t="shared" si="213"/>
        <v>0.57786199026422569</v>
      </c>
      <c r="KP57" s="165">
        <f t="shared" si="214"/>
        <v>0.57690469104028541</v>
      </c>
      <c r="KQ57" s="165">
        <f t="shared" si="215"/>
        <v>0.57559225638294642</v>
      </c>
      <c r="KR57" s="165">
        <f t="shared" si="216"/>
        <v>0.57439276207917633</v>
      </c>
      <c r="KS57" s="165">
        <f t="shared" si="217"/>
        <v>0.57279683649857338</v>
      </c>
      <c r="KT57" s="165">
        <f t="shared" si="218"/>
        <v>0.57051326371106326</v>
      </c>
      <c r="KU57" s="165">
        <f t="shared" si="219"/>
        <v>0.57037470327279149</v>
      </c>
      <c r="KV57" s="165">
        <f t="shared" si="220"/>
        <v>0.56905261528044582</v>
      </c>
      <c r="KW57" s="165">
        <f t="shared" si="221"/>
        <v>0.56754243694875717</v>
      </c>
      <c r="KX57" s="188">
        <f>AVERAGE(Sheet3!J57:P57)*KO57^(1/3)/ID57^(1/3)</f>
        <v>358.62944812343181</v>
      </c>
      <c r="KY57" s="165">
        <f>Sheet3!J57*KP57^(1/3)/IE57^(1/3)</f>
        <v>354.83561961027402</v>
      </c>
      <c r="KZ57" s="165">
        <f>Sheet3!K57*KQ57^(1/3)/IF57^(1/3)</f>
        <v>315.80034974097367</v>
      </c>
      <c r="LA57" s="165">
        <f>Sheet3!L57*KR57^(1/3)/IG57^(1/3)</f>
        <v>311.74397677788829</v>
      </c>
      <c r="LB57" s="165">
        <f>Sheet3!M57*KS57^(1/3)/IH57^(1/3)</f>
        <v>334.90108138575306</v>
      </c>
      <c r="LC57" s="165">
        <f>Sheet3!N57*KT57^(1/3)/II57^(1/3)</f>
        <v>362.84663839195667</v>
      </c>
      <c r="LD57" s="165">
        <f>Sheet3!O57*KU57^(1/3)/IJ57^(1/3)</f>
        <v>391.7423373694885</v>
      </c>
      <c r="LE57" s="165">
        <f>Sheet3!P57*KV57^(1/3)/IK57^(1/3)</f>
        <v>423.30624393700697</v>
      </c>
      <c r="LF57" s="165">
        <f>Sheet3!Q57*KW57^(1/3)/IL57^(1/3)</f>
        <v>435.70533576328575</v>
      </c>
      <c r="LG57" s="186">
        <f t="shared" si="248"/>
        <v>25.822332211443282</v>
      </c>
      <c r="LH57" s="183">
        <f t="shared" si="249"/>
        <v>25.826032640175551</v>
      </c>
      <c r="LI57" s="183">
        <f t="shared" si="250"/>
        <v>25.960496707312551</v>
      </c>
      <c r="LJ57" s="183">
        <f t="shared" si="251"/>
        <v>25.965406157595609</v>
      </c>
      <c r="LK57" s="183">
        <f t="shared" si="252"/>
        <v>26.100377137768302</v>
      </c>
      <c r="LL57" s="183">
        <f t="shared" si="253"/>
        <v>26.103892818428946</v>
      </c>
      <c r="LM57" s="183">
        <f t="shared" si="254"/>
        <v>26.281014404363116</v>
      </c>
      <c r="LN57" s="183">
        <f t="shared" si="255"/>
        <v>26.284297221715605</v>
      </c>
      <c r="LO57" s="183">
        <f t="shared" si="256"/>
        <v>26.519909998165613</v>
      </c>
      <c r="LP57" s="220"/>
      <c r="LQ57" s="220"/>
      <c r="LR57" s="220"/>
      <c r="LS57" s="220"/>
      <c r="LT57" s="220"/>
      <c r="LU57" s="220"/>
      <c r="LV57" s="220"/>
      <c r="LW57" s="220"/>
      <c r="LX57" s="220"/>
      <c r="LY57" s="220"/>
      <c r="LZ57" s="222">
        <v>209.79</v>
      </c>
      <c r="MA57" s="220">
        <v>1.5999999999999999E-5</v>
      </c>
      <c r="MB57" s="220"/>
      <c r="MC57" s="220"/>
      <c r="MD57" s="188">
        <f>Sheet3!DP57</f>
        <v>601.05236885396312</v>
      </c>
      <c r="MF57" s="165"/>
      <c r="MP57"/>
      <c r="MQ57"/>
      <c r="MR57"/>
      <c r="MS57"/>
    </row>
    <row r="58" spans="1:357" x14ac:dyDescent="0.3">
      <c r="A58" s="184" t="str">
        <f>Sheet3!A58</f>
        <v>2023.01.19-1</v>
      </c>
      <c r="B58" s="186">
        <f t="shared" si="102"/>
        <v>0.90386571846749897</v>
      </c>
      <c r="C58" s="183">
        <f t="shared" si="168"/>
        <v>0.90221969619089037</v>
      </c>
      <c r="D58" s="183">
        <f t="shared" si="169"/>
        <v>0.89423539161852894</v>
      </c>
      <c r="E58" s="183">
        <f t="shared" si="170"/>
        <v>0.88584205866762888</v>
      </c>
      <c r="F58" s="183">
        <f t="shared" si="171"/>
        <v>0.87642768377415869</v>
      </c>
      <c r="G58" s="183">
        <f t="shared" si="172"/>
        <v>0.87025680728239563</v>
      </c>
      <c r="H58" s="183">
        <f t="shared" si="173"/>
        <v>0.86333914859131033</v>
      </c>
      <c r="I58" s="183">
        <f t="shared" si="174"/>
        <v>0.85579231476344997</v>
      </c>
      <c r="J58" s="183">
        <f t="shared" si="175"/>
        <v>0.84908275606591743</v>
      </c>
      <c r="K58" s="186">
        <f xml:space="preserve"> (6.057 * (10^(-6)))
+ (4.055 * (10^(-8)) * (Sheet3!DF58 + 273))
+ (1.25 * (10^(-10)) * (Sheet3!DF58 + 273)^2)
- (3.367 * (10^(-14)) * (DD58 + 273)^3)</f>
        <v>4.4158365860179886E-5</v>
      </c>
      <c r="L58" s="183">
        <f xml:space="preserve"> (6.057 * (10^(-6)))
+ (4.055 * (10^(-8)) * (Sheet3!BZ58 + 273))
+ (1.25 * (10^(-10)) * (Sheet3!BZ58 + 273)^2)
- (3.367 * (10^(-14)) * (BX58 + 273)^3)</f>
        <v>4.4018604409493542E-5</v>
      </c>
      <c r="M58" s="183">
        <f xml:space="preserve"> (6.057 * (10^(-6)))
+ (4.055 * (10^(-8)) * (Sheet3!CA58 + 273))
+ (1.25 * (10^(-10)) * (Sheet3!CA58 + 273)^2)
- (3.367 * (10^(-14)) * (BY58 + 273)^3)</f>
        <v>4.337078199600136E-5</v>
      </c>
      <c r="N58" s="183">
        <f xml:space="preserve"> (6.057 * (10^(-6)))
+ (4.055 * (10^(-8)) * (Sheet3!CB58 + 273))
+ (1.25 * (10^(-10)) * (Sheet3!CB58 + 273)^2)
- (3.367 * (10^(-14)) * (BZ58 + 273)^3)</f>
        <v>4.2748919428545327E-5</v>
      </c>
      <c r="O58" s="183">
        <f xml:space="preserve"> (6.057 * (10^(-6)))
+ (4.055 * (10^(-8)) * (Sheet3!CC58 + 273))
+ (1.25 * (10^(-10)) * (Sheet3!CC58 + 273)^2)
- (3.367 * (10^(-14)) * (CA58 + 273)^3)</f>
        <v>4.2020430902288759E-5</v>
      </c>
      <c r="P58" s="183">
        <f xml:space="preserve"> (6.057 * (10^(-6)))
+ (4.055 * (10^(-8)) * (Sheet3!CD58 + 273))
+ (1.25 * (10^(-10)) * (Sheet3!CD58 + 273)^2)
- (3.367 * (10^(-14)) * (CB58 + 273)^3)</f>
        <v>4.1584233431240951E-5</v>
      </c>
      <c r="Q58" s="183">
        <f xml:space="preserve"> (6.057 * (10^(-6)))
+ (4.055 * (10^(-8)) * (Sheet3!CE58 + 273))
+ (1.25 * (10^(-10)) * (Sheet3!CE58 + 273)^2)
- (3.367 * (10^(-14)) * (CC58 + 273)^3)</f>
        <v>4.1053087388442384E-5</v>
      </c>
      <c r="R58" s="183">
        <f xml:space="preserve"> (6.057 * (10^(-6)))
+ (4.055 * (10^(-8)) * (Sheet3!CF58 + 273))
+ (1.25 * (10^(-10)) * (Sheet3!CF58 + 273)^2)
- (3.367 * (10^(-14)) * (CD58 + 273)^3)</f>
        <v>4.0539708319366349E-5</v>
      </c>
      <c r="S58" s="183">
        <f xml:space="preserve"> (6.057 * (10^(-6)))
+ (4.055 * (10^(-8)) * (Sheet3!CG58 + 273))
+ (1.25 * (10^(-10)) * (Sheet3!CG58 + 273)^2)
- (3.367 * (10^(-14)) * (CE58 + 273)^3)</f>
        <v>4.0030087607559534E-5</v>
      </c>
      <c r="T58" s="188">
        <f t="shared" si="104"/>
        <v>4.4158365860179886E-5</v>
      </c>
      <c r="U58" s="165">
        <f t="shared" si="105"/>
        <v>4.4018604409493542E-5</v>
      </c>
      <c r="V58" s="165">
        <f t="shared" si="106"/>
        <v>4.337078199600136E-5</v>
      </c>
      <c r="W58" s="165">
        <f t="shared" si="107"/>
        <v>4.2748919428545327E-5</v>
      </c>
      <c r="X58" s="165">
        <f t="shared" si="108"/>
        <v>4.2020430902288759E-5</v>
      </c>
      <c r="Y58" s="165">
        <f t="shared" si="109"/>
        <v>4.1584233431240951E-5</v>
      </c>
      <c r="Z58" s="165">
        <f t="shared" si="110"/>
        <v>4.1053087388442384E-5</v>
      </c>
      <c r="AA58" s="165">
        <f t="shared" si="111"/>
        <v>4.0539708319366349E-5</v>
      </c>
      <c r="AB58" s="165">
        <f t="shared" si="112"/>
        <v>4.0030087607559534E-5</v>
      </c>
      <c r="AC58" s="186">
        <f t="shared" si="176"/>
        <v>3.9913233084562172E-5</v>
      </c>
      <c r="AD58" s="183">
        <f t="shared" si="177"/>
        <v>3.9714451897080248E-5</v>
      </c>
      <c r="AE58" s="183">
        <f t="shared" si="178"/>
        <v>3.8783688222996121E-5</v>
      </c>
      <c r="AF58" s="183">
        <f t="shared" si="179"/>
        <v>3.7868790792399192E-5</v>
      </c>
      <c r="AG58" s="183">
        <f t="shared" si="180"/>
        <v>3.6827868926885019E-5</v>
      </c>
      <c r="AH58" s="183">
        <f t="shared" si="181"/>
        <v>3.618896221915761E-5</v>
      </c>
      <c r="AI58" s="183">
        <f t="shared" si="182"/>
        <v>3.5442737512982506E-5</v>
      </c>
      <c r="AJ58" s="183">
        <f t="shared" si="183"/>
        <v>3.4693570822465618E-5</v>
      </c>
      <c r="AK58" s="183">
        <f t="shared" si="184"/>
        <v>3.3988857111386775E-5</v>
      </c>
      <c r="AL58" s="186">
        <f t="shared" si="113"/>
        <v>3.6090103873590219E-2</v>
      </c>
      <c r="AM58" s="183">
        <f t="shared" si="114"/>
        <v>3.5983443299993201E-2</v>
      </c>
      <c r="AN58" s="183">
        <f t="shared" si="115"/>
        <v>3.5465999542753382E-2</v>
      </c>
      <c r="AO58" s="183">
        <f t="shared" si="116"/>
        <v>3.4966640351725142E-2</v>
      </c>
      <c r="AP58" s="183">
        <f t="shared" si="117"/>
        <v>3.4374735209617709E-2</v>
      </c>
      <c r="AQ58" s="183">
        <f t="shared" si="118"/>
        <v>3.4018312761318295E-2</v>
      </c>
      <c r="AR58" s="183">
        <f t="shared" si="119"/>
        <v>3.3580243542886717E-2</v>
      </c>
      <c r="AS58" s="183">
        <f t="shared" si="120"/>
        <v>3.3154734235908076E-2</v>
      </c>
      <c r="AT58" s="183">
        <f t="shared" si="121"/>
        <v>3.2733185345946499E-2</v>
      </c>
      <c r="AU58" s="186">
        <f>_xlfn.FORECAST.LINEAR(Sheet3!DF58,Sheet2!$AH$2:$AH$40,Sheet2!$AG$2:$AG$40)</f>
        <v>4.0902410270024961E-2</v>
      </c>
      <c r="AV58" s="183">
        <f>_xlfn.FORECAST.LINEAR(Sheet3!BZ58,Sheet2!$AH$2:$AH$40,Sheet2!$AG$2:$AG$40)</f>
        <v>4.0666267130756099E-2</v>
      </c>
      <c r="AW58" s="183">
        <f>_xlfn.FORECAST.LINEAR(Sheet3!CA58,Sheet2!$AH$2:$AH$40,Sheet2!$AG$2:$AG$40)</f>
        <v>3.9524945744157602E-2</v>
      </c>
      <c r="AX58" s="183">
        <f>_xlfn.FORECAST.LINEAR(Sheet3!CB58,Sheet2!$AH$2:$AH$40,Sheet2!$AG$2:$AG$40)</f>
        <v>3.8420889714619579E-2</v>
      </c>
      <c r="AY58" s="183">
        <f>_xlfn.FORECAST.LINEAR(Sheet3!CC58,Sheet2!$AH$2:$AH$40,Sheet2!$AG$2:$AG$40)</f>
        <v>3.7116766559633807E-2</v>
      </c>
      <c r="AZ58" s="183">
        <f>_xlfn.FORECAST.LINEAR(Sheet3!CD58,Sheet2!$AH$2:$AH$40,Sheet2!$AG$2:$AG$40)</f>
        <v>3.6330175605338473E-2</v>
      </c>
      <c r="BA58" s="183">
        <f>_xlfn.FORECAST.LINEAR(Sheet3!CE58,Sheet2!$AH$2:$AH$40,Sheet2!$AG$2:$AG$40)</f>
        <v>3.5366502116762392E-2</v>
      </c>
      <c r="BB58" s="183">
        <f>_xlfn.FORECAST.LINEAR(Sheet3!CF58,Sheet2!$AH$2:$AH$40,Sheet2!$AG$2:$AG$40)</f>
        <v>3.442878650161757E-2</v>
      </c>
      <c r="BC58" s="183">
        <f>_xlfn.FORECAST.LINEAR(Sheet3!CG58,Sheet2!$AH$2:$AH$40,Sheet2!$AG$2:$AG$40)</f>
        <v>3.3501870952143561E-2</v>
      </c>
      <c r="BD58" s="186">
        <f>_xlfn.FORECAST.LINEAR(Sheet3!DF58,Sheet2!$AB$12:$AB$37,Sheet2!$AA$12:$AA$37)/1000</f>
        <v>3.3915606923988664E-2</v>
      </c>
      <c r="BE58" s="183">
        <f>_xlfn.FORECAST.LINEAR(Sheet3!BZ58,Sheet2!$AB$12:$AB$37,Sheet2!$AA$12:$AA$37)/1000</f>
        <v>3.38628107839423E-2</v>
      </c>
      <c r="BF58" s="183">
        <f>_xlfn.FORECAST.LINEAR(Sheet3!CA58,Sheet2!$AB$12:$AB$37,Sheet2!$AA$12:$AA$37)/1000</f>
        <v>3.3607637739528087E-2</v>
      </c>
      <c r="BG58" s="183">
        <f>_xlfn.FORECAST.LINEAR(Sheet3!CB58,Sheet2!$AB$12:$AB$37,Sheet2!$AA$12:$AA$37)/1000</f>
        <v>3.3360796366388903E-2</v>
      </c>
      <c r="BH58" s="183">
        <f>_xlfn.FORECAST.LINEAR(Sheet3!CC58,Sheet2!$AB$12:$AB$37,Sheet2!$AA$12:$AA$37)/1000</f>
        <v>3.3069224614859234E-2</v>
      </c>
      <c r="BI58" s="183">
        <f>_xlfn.FORECAST.LINEAR(Sheet3!CD58,Sheet2!$AB$12:$AB$37,Sheet2!$AA$12:$AA$37)/1000</f>
        <v>3.2893361084329567E-2</v>
      </c>
      <c r="BJ58" s="183">
        <f>_xlfn.FORECAST.LINEAR(Sheet3!CE58,Sheet2!$AB$12:$AB$37,Sheet2!$AA$12:$AA$37)/1000</f>
        <v>3.2677905997980844E-2</v>
      </c>
      <c r="BK58" s="183">
        <f>_xlfn.FORECAST.LINEAR(Sheet3!CF58,Sheet2!$AB$12:$AB$37,Sheet2!$AA$12:$AA$37)/1000</f>
        <v>3.2468254491296665E-2</v>
      </c>
      <c r="BL58" s="183">
        <f>_xlfn.FORECAST.LINEAR(Sheet3!CG58,Sheet2!$AB$12:$AB$37,Sheet2!$AA$12:$AA$37)/1000</f>
        <v>3.2261017629312438E-2</v>
      </c>
      <c r="BM58" s="186">
        <f t="shared" si="122"/>
        <v>0.75288002462108938</v>
      </c>
      <c r="BN58" s="183">
        <f t="shared" si="123"/>
        <v>0.75455732094302641</v>
      </c>
      <c r="BO58" s="183">
        <f t="shared" si="124"/>
        <v>0.76285242225823058</v>
      </c>
      <c r="BP58" s="183">
        <f t="shared" si="125"/>
        <v>0.77097023551099053</v>
      </c>
      <c r="BQ58" s="183">
        <f t="shared" si="126"/>
        <v>0.78088497546466373</v>
      </c>
      <c r="BR58" s="183">
        <f t="shared" si="127"/>
        <v>0.78692702645532608</v>
      </c>
      <c r="BS58" s="183">
        <f t="shared" si="128"/>
        <v>0.7945704489695562</v>
      </c>
      <c r="BT58" s="183">
        <f t="shared" si="129"/>
        <v>0.8020392624141337</v>
      </c>
      <c r="BU58" s="183">
        <f t="shared" si="130"/>
        <v>0.80967527266466688</v>
      </c>
      <c r="BV58" s="186">
        <f t="shared" si="222"/>
        <v>1.2010067524001928</v>
      </c>
      <c r="BW58" s="183">
        <f t="shared" si="223"/>
        <v>1.2007757506631402</v>
      </c>
      <c r="BX58" s="183">
        <f t="shared" si="224"/>
        <v>1.198733293744028</v>
      </c>
      <c r="BY58" s="183">
        <f t="shared" si="225"/>
        <v>1.1976636185982332</v>
      </c>
      <c r="BZ58" s="183">
        <f t="shared" si="226"/>
        <v>1.1952966594135432</v>
      </c>
      <c r="CA58" s="183">
        <f t="shared" si="227"/>
        <v>1.1945440775664622</v>
      </c>
      <c r="CB58" s="183">
        <f t="shared" si="228"/>
        <v>1.1924060588180256</v>
      </c>
      <c r="CC58" s="183">
        <f t="shared" si="229"/>
        <v>1.1915188582758538</v>
      </c>
      <c r="CD58" s="183">
        <f t="shared" si="230"/>
        <v>1.1894353235058641</v>
      </c>
      <c r="CE58" s="187">
        <f xml:space="preserve"> -0.0000000019505*Sheet3!DF58^3 + 0.0000015497*Sheet3!DF58^2  + 0.00016911*Sheet3!DF58 + 1.8585</f>
        <v>1.9096570494375</v>
      </c>
      <c r="CF58" s="185">
        <f xml:space="preserve"> -0.0000000019505*Sheet3!BZ58^3 + 0.0000015497*Sheet3!BZ58^2  + 0.00016911*Sheet3!BZ58 + 1.8585</f>
        <v>1.9091972585463566</v>
      </c>
      <c r="CG58" s="185">
        <f xml:space="preserve"> -0.0000000019505*Sheet3!CA58^3 + 0.0000015497*Sheet3!CA58^2  + 0.00016911*Sheet3!CA58 + 1.8585</f>
        <v>1.9069923778007261</v>
      </c>
      <c r="CH58" s="185">
        <f xml:space="preserve"> -0.0000000019505*Sheet3!CB58^3 + 0.0000015497*Sheet3!CB58^2  + 0.00016911*Sheet3!CB58 + 1.8585</f>
        <v>1.9048876091184233</v>
      </c>
      <c r="CI58" s="185">
        <f xml:space="preserve"> -0.0000000019505*Sheet3!CC58^3 + 0.0000015497*Sheet3!CC58^2  + 0.00016911*Sheet3!CC58 + 1.8585</f>
        <v>1.9024383821420421</v>
      </c>
      <c r="CJ58" s="185">
        <f xml:space="preserve"> -0.0000000019505*Sheet3!CD58^3 + 0.0000015497*Sheet3!CD58^2  + 0.00016911*Sheet3!CD58 + 1.8585</f>
        <v>1.9009810862620691</v>
      </c>
      <c r="CK58" s="185">
        <f xml:space="preserve"> -0.0000000019505*Sheet3!CE58^3 + 0.0000015497*Sheet3!CE58^2  + 0.00016911*Sheet3!CE58 + 1.8585</f>
        <v>1.8992168107607192</v>
      </c>
      <c r="CL58" s="185">
        <f xml:space="preserve"> -0.0000000019505*Sheet3!CF58^3 + 0.0000015497*Sheet3!CF58^2  + 0.00016911*Sheet3!CF58 + 1.8585</f>
        <v>1.8975229285614892</v>
      </c>
      <c r="CM58" s="185">
        <f xml:space="preserve"> -0.0000000019505*Sheet3!CG58^3 + 0.0000015497*Sheet3!CG58^2  + 0.00016911*Sheet3!CG58 + 1.8585</f>
        <v>1.8958713060319095</v>
      </c>
      <c r="CN58" s="186">
        <f>_xlfn.FORECAST.LINEAR(Sheet3!DF58,New!$LU$2:$LU$14,New!$LT$2:$LT$14)</f>
        <v>1.023844178140866</v>
      </c>
      <c r="CO58" s="183">
        <f>_xlfn.FORECAST.LINEAR(Sheet3!BZ58,New!$LU$2:$LU$14,New!$LT$2:$LT$14)</f>
        <v>1.0236703736923363</v>
      </c>
      <c r="CP58" s="183">
        <f>_xlfn.FORECAST.LINEAR(Sheet3!CA58,New!$LU$2:$LU$14,New!$LT$2:$LT$14)</f>
        <v>1.0228303461784864</v>
      </c>
      <c r="CQ58" s="183">
        <f>_xlfn.FORECAST.LINEAR(Sheet3!CB58,New!$LU$2:$LU$14,New!$LT$2:$LT$14)</f>
        <v>1.0220177464563274</v>
      </c>
      <c r="CR58" s="183">
        <f>_xlfn.FORECAST.LINEAR(Sheet3!CC58,New!$LU$2:$LU$14,New!$LT$2:$LT$14)</f>
        <v>1.0210578947051026</v>
      </c>
      <c r="CS58" s="183">
        <f>_xlfn.FORECAST.LINEAR(Sheet3!CD58,New!$LU$2:$LU$14,New!$LT$2:$LT$14)</f>
        <v>1.0204789534432352</v>
      </c>
      <c r="CT58" s="183">
        <f>_xlfn.FORECAST.LINEAR(Sheet3!CE58,New!$LU$2:$LU$14,New!$LT$2:$LT$14)</f>
        <v>1.0197696771129421</v>
      </c>
      <c r="CU58" s="183">
        <f>_xlfn.FORECAST.LINEAR(Sheet3!CF58,New!$LU$2:$LU$14,New!$LT$2:$LT$14)</f>
        <v>1.0190795061180427</v>
      </c>
      <c r="CV58" s="183">
        <f>_xlfn.FORECAST.LINEAR(Sheet3!CG58,New!$LU$2:$LU$14,New!$LT$2:$LT$14)</f>
        <v>1.0183972841131663</v>
      </c>
      <c r="CW58" s="186">
        <f>EXP((17.625*Sheet3!BA58)/(243.04+Sheet3!BA58)) / EXP((17.625*Sheet3!DF58)/(243.04+Sheet3!DF58))</f>
        <v>5.5777277418098327E-2</v>
      </c>
      <c r="CX58" s="183">
        <f>EXP((17.625*(Sheet3!BC58+273))/(243.04+(Sheet3!BC58+273)))/EXP((17.625*(Sheet3!BZ58+273))/(243.04+(Sheet3!BZ58+273)))</f>
        <v>0.4112503492203553</v>
      </c>
      <c r="CY58" s="183">
        <f>EXP((17.625*(Sheet3!BE58+273))/(243.04+(Sheet3!BE58+273))) / EXP((17.625*(Sheet3!CA58+273))/(243.04+(Sheet3!CA58+273)))</f>
        <v>0.42982774335162988</v>
      </c>
      <c r="CZ58" s="183">
        <f>EXP((17.625*(Sheet3!BG58+273))/(243.04+(Sheet3!BG58+273))) / EXP((17.625*(Sheet3!CB58+273))/(243.04+(Sheet3!CB58+273)))</f>
        <v>0.44861500512384717</v>
      </c>
      <c r="DA58" s="183">
        <f>EXP((17.625*(Sheet3!BI58+273))/(243.04+(Sheet3!BI58+273))) / EXP((17.625*(Sheet3!CC58+273))/(243.04+(Sheet3!CC58+273)))</f>
        <v>0.47206402407555115</v>
      </c>
      <c r="DB58" s="183">
        <f>EXP((17.625*(Sheet3!BK58+273))/(243.04+(Sheet3!BK58+273)))/EXP((17.625*(Sheet3!CD58+273))/(243.04+(Sheet3!CD58+273)))</f>
        <v>0.48736955976662627</v>
      </c>
      <c r="DC58" s="183">
        <f>EXP((17.625*(Sheet3!BM58+273))/(243.04+(Sheet3!BM58+273))) / EXP((17.625*(Sheet3!CE58+273))/(243.04+(Sheet3!CE58+273)))</f>
        <v>0.50629063901611948</v>
      </c>
      <c r="DD58" s="183">
        <f>EXP((17.625*(Sheet3!BO58+273))/(243.04+(Sheet3!BO58+273))) / EXP((17.625*(Sheet3!CF58+273))/(243.04+(Sheet3!CF58+273)))</f>
        <v>0.52637385573252038</v>
      </c>
      <c r="DE58" s="183">
        <f>EXP((17.625*(Sheet3!BQ58+273))/(243.04+(Sheet3!BQ58+273))) / EXP((17.625*(Sheet3!CG58+273))/(243.04+(Sheet3!CG58+273)))</f>
        <v>0.54647362686088841</v>
      </c>
      <c r="DF58" s="186">
        <f>((Sheet3!DA58-Sheet3!DB58)/New!$LQ$3)/(((Sheet3!DA58-Sheet3!DB58)/New!$LQ$3)+(Sheet3!DB58/New!$LP$3))</f>
        <v>0.71332409423876453</v>
      </c>
      <c r="DG58" s="183">
        <f>((Sheet3!DA58-Sheet3!DB58)/New!$LQ$3)/(((Sheet3!DA58-Sheet3!DB58)/New!$LQ$3)+((Sheet3!DB58-(Sheet3!B58*0.004))/New!$LP$3))</f>
        <v>0.71332409423876453</v>
      </c>
      <c r="DH58" s="183" cm="1">
        <f t="array" ref="DH58">((Sheet3!DA58-Sheet3!DB58)/New!$LQ$3)/(((Sheet3!DA58-Sheet3!DB58)/New!$LQ$3)+((Sheet3!DB58-(SUM(Sheet3!B58:C58*0.004)))/New!$LP$3))</f>
        <v>0.71740076245937989</v>
      </c>
      <c r="DI58" s="183" cm="1">
        <f t="array" ref="DI58">((Sheet3!DA58-Sheet3!DB58)/New!$LQ$3)/(((Sheet3!DA58-Sheet3!DB58)/New!$LQ$3)+((Sheet3!DB58-(SUM(Sheet3!B58:D58*0.004)))/New!$LP$3))</f>
        <v>0.71740076245937989</v>
      </c>
      <c r="DJ58" s="183" cm="1">
        <f t="array" ref="DJ58">((Sheet3!DA58-Sheet3!DB58)/New!$LQ$3)/(((Sheet3!DA58-Sheet3!DB58)/New!$LQ$3)+((Sheet3!DB58-(SUM(Sheet3!B58:E58*0.004)))/New!$LP$3))</f>
        <v>0.72234351251010676</v>
      </c>
      <c r="DK58" s="183" cm="1">
        <f t="array" ref="DK58">((Sheet3!DA58-Sheet3!DB58)/New!$LQ$3)/(((Sheet3!DA58-Sheet3!DB58)/New!$LQ$3)+((Sheet3!DB58-(SUM(Sheet3!B58:F58*0.004)))/New!$LP$3))</f>
        <v>0.72234351251010676</v>
      </c>
      <c r="DL58" s="183" cm="1">
        <f t="array" ref="DL58">((Sheet3!DA58-Sheet3!DB58)/New!$LQ$3)/(((Sheet3!DA58-Sheet3!DB58)/New!$LQ$3)+((Sheet3!DB58-(SUM(Sheet3!B58:G58*0.004)))/New!$LP$3))</f>
        <v>0.72785601930081945</v>
      </c>
      <c r="DM58" s="183" cm="1">
        <f t="array" ref="DM58">((Sheet3!DA58-Sheet3!DB58)/New!$LQ$3)/(((Sheet3!DA58-Sheet3!DB58)/New!$LQ$3)+((Sheet3!DB58-(SUM(Sheet3!B58:H58*0.004)))/New!$LP$3))</f>
        <v>0.72785601930081945</v>
      </c>
      <c r="DN58" s="183" cm="1">
        <f t="array" ref="DN58">((Sheet3!DA58-Sheet3!DB58)/New!$LQ$3)/(((Sheet3!DA58-Sheet3!DB58)/New!$LQ$3)+((Sheet3!DB58-(SUM(Sheet3!B58:I58*0.004)))/New!$LP$3))</f>
        <v>0.73341487664914862</v>
      </c>
      <c r="DO58" s="186">
        <f>(Sheet3!DB58/$LP$3) / ((Sheet3!DB58/$LP$3) + ((Sheet3!DA58-Sheet3!DB58)/$LQ$3))</f>
        <v>0.28667590576123536</v>
      </c>
      <c r="DP58" s="183">
        <f>((Sheet3!$DB58-(Sheet3!B58/4000)) / $LP$3) / (((Sheet3!$DA58-Sheet3!DB58) / $LQ$3) + (Sheet3!$DB58-((Sheet3!B58/4000)))/$LP$3)</f>
        <v>0.28667590576123536</v>
      </c>
      <c r="DQ58" s="183">
        <f>((Sheet3!$DB58-(SUM(Sheet3!B58:C58)/4000))/$LP$3)/(((Sheet3!$DA58-Sheet3!$DB58)/$LQ$3)+(Sheet3!$DB58-(SUM(Sheet3!B58:C58)/4000))/$LP$3)</f>
        <v>0.28642247185579545</v>
      </c>
      <c r="DR58" s="183">
        <f>((Sheet3!$DB58-(SUM(Sheet3!B58:D58)/4000))/$LP$3)/(((Sheet3!$DA58-Sheet3!$DB58)/$LQ$3)+(Sheet3!$DB58-(SUM(Sheet3!B58:D58)/4000))/$LP$3)</f>
        <v>0.28642247185579545</v>
      </c>
      <c r="DS58" s="183">
        <f>((Sheet3!$DB58-(SUM(Sheet3!B58:E58)/4000))/$LP$3)/(((Sheet3!$DA58-Sheet3!$DB58)/$LQ$3)+(Sheet3!$DB58-(SUM(Sheet3!B58:E58)/4000))/$LP$3)</f>
        <v>0.28611879606698937</v>
      </c>
      <c r="DT58" s="183">
        <f>((Sheet3!$DB58-(SUM(Sheet3!B58:F58)/4000))/$LP$3)/(((Sheet3!$DA58-Sheet3!$DB58)/$LQ$3)+(Sheet3!$DB58-(SUM(Sheet3!B58:F58)/4000))/$LP$3)</f>
        <v>0.28611879606698937</v>
      </c>
      <c r="DU58" s="183">
        <f>((Sheet3!$DB58-(SUM(Sheet3!B58:G58)/4000))/$LP$3)/(((Sheet3!$DA58-Sheet3!$DB58)/$LQ$3)+(Sheet3!$DB58-(SUM(Sheet3!B58:G58)/4000))/$LP$3)</f>
        <v>0.28578468180975231</v>
      </c>
      <c r="DV58" s="183">
        <f>((Sheet3!$DB58-(SUM(Sheet3!B58:H58)/4000))/$LP$3)/(((Sheet3!$DA58-Sheet3!$DB58)/$LQ$3)+(Sheet3!$DB58-(SUM(Sheet3!B58:H58)/4000))/$LP$3)</f>
        <v>0.28578468180975231</v>
      </c>
      <c r="DW58" s="183">
        <f>((Sheet3!$DB58-(SUM(Sheet3!B58:I58)/4000))/$LP$3)/(((Sheet3!$DA58-Sheet3!$DB58)/$LQ$3)+(Sheet3!$DB58-(SUM(Sheet3!B58:I58)/4000))/$LP$3)</f>
        <v>0.28545253460851716</v>
      </c>
      <c r="DX58" s="186">
        <f>($LR$2*($LP$3/1000))/($LP$2*(Sheet3!DF58+273))*DO58</f>
        <v>0.15057600492421785</v>
      </c>
      <c r="DY58" s="183">
        <f>(($LR$2*($LP$3/1000))/($LP$2*(Sheet3!BZ58+273)))*(DP58)</f>
        <v>0.15091146418860527</v>
      </c>
      <c r="DZ58" s="183">
        <f>(($LR$2*($LP$3/1000))/($LP$2*(Sheet3!CA58+273)))*(DQ58)</f>
        <v>0.15241923267244875</v>
      </c>
      <c r="EA58" s="183">
        <f>(($LR$2*($LP$3/1000))/($LP$2*(Sheet3!CB58+273)))*(DR58)</f>
        <v>0.15404118579321249</v>
      </c>
      <c r="EB58" s="183">
        <f>(($LR$2*($LP$3/1000))/($LP$2*(Sheet3!CC58+273)))*(DS58)</f>
        <v>0.15583669102696104</v>
      </c>
      <c r="EC58" s="183">
        <f>(($LR$2*($LP$3/1000))/($LP$2*(Sheet3!CD58+273)))*(DT58)</f>
        <v>0.15704246814265049</v>
      </c>
      <c r="ED58" s="183">
        <f>(($LR$2*($LP$3/1000))/($LP$2*(Sheet3!CE58+273)))*(DU58)</f>
        <v>0.15836023345629496</v>
      </c>
      <c r="EE58" s="183">
        <f>(($LR$2*($LP$3/1000))/($LP$2*(Sheet3!CF58+273)))*(DV58)</f>
        <v>0.15984878999934118</v>
      </c>
      <c r="EF58" s="183">
        <f>(($LR$2*($LP$3/1000))/($LP$2*(Sheet3!CG58+273)))*(DW58)</f>
        <v>0.16116043959343163</v>
      </c>
      <c r="EG58" s="186">
        <f>(($LR$2*($LQ$3/1000))/($LQ$2*(Sheet3!DF58+273)))*(1-DO58)</f>
        <v>0.60230401969687153</v>
      </c>
      <c r="EH58" s="183">
        <f>(($LR$2*($LQ$3/1000))/($LQ$2*(Sheet3!BZ58+273)))*(1-DP58)</f>
        <v>0.60364585675442117</v>
      </c>
      <c r="EI58" s="183">
        <f>(($LR$2*($LQ$3/1000))/($LQ$2*(Sheet3!CA58+273)))*(1-DQ58)</f>
        <v>0.61043318958578185</v>
      </c>
      <c r="EJ58" s="183">
        <f>(($LR$2*($LQ$3/1000))/($LQ$2*(Sheet3!CB58+273)))*(1-DR58)</f>
        <v>0.61692904971777807</v>
      </c>
      <c r="EK58" s="183">
        <f>(($LR$2*($LQ$3/1000))/($LQ$2*(Sheet3!CC58+273)))*(1-DS58)</f>
        <v>0.62504828443770266</v>
      </c>
      <c r="EL58" s="183">
        <f>(($LR$2*($LQ$3/1000))/($LQ$2*(Sheet3!CD58+273)))*(1-DT58)</f>
        <v>0.62988455831267565</v>
      </c>
      <c r="EM58" s="183">
        <f>(($LR$2*($LQ$3/1000))/($LQ$2*(Sheet3!CE58+273)))*(1-DU58)</f>
        <v>0.63621021551326129</v>
      </c>
      <c r="EN58" s="183">
        <f>(($LR$2*($LQ$3/1000))/($LQ$2*(Sheet3!CF58+273)))*(1-DV58)</f>
        <v>0.64219047241479255</v>
      </c>
      <c r="EO58" s="183">
        <f>(($LR$2*($LQ$3/1000))/($LQ$2*(Sheet3!CG58+273)))*(1-DW58)</f>
        <v>0.64851483307123525</v>
      </c>
      <c r="EP58" s="186">
        <f t="shared" si="132"/>
        <v>9895.1011305421125</v>
      </c>
      <c r="EQ58" s="183">
        <f xml:space="preserve"> (($FV58-(Sheet3!B58/4000))*0.018)/(0.011*JO58*3600)</f>
        <v>9913.1284861930217</v>
      </c>
      <c r="ER58" s="183">
        <f>((($FV58-(SUM(Sheet3!B58:C58)/4000))*0.018)/(0.011*JP58*3600))</f>
        <v>9997.5613439557746</v>
      </c>
      <c r="ES58" s="183">
        <f>((($FV58-(SUM(Sheet3!B58:D58)/4000))*0.018)/(0.011*JQ58*3600))</f>
        <v>10084.260006924173</v>
      </c>
      <c r="ET58" s="183">
        <f>((($FV58-(SUM(Sheet3!B58:E58)/4000))*0.018)/(0.011*JR58))/3600</f>
        <v>10184.192607648629</v>
      </c>
      <c r="EU58" s="183">
        <f>((($FV58-(SUM(Sheet3!B58:F58)/4000))*0.018)/(0.011*JS58))/3600</f>
        <v>10248.204600694449</v>
      </c>
      <c r="EV58" s="183">
        <f>((($FV58-(SUM(Sheet3!B58:G58)/4000))*0.018)/(0.011*JT58))/3600</f>
        <v>10322.75047303781</v>
      </c>
      <c r="EW58" s="183">
        <f>((($FV58-(SUM(Sheet3!B58:H58)/4000))*0.018)/(0.011*JU58))/3600</f>
        <v>10401.331539068489</v>
      </c>
      <c r="EX58" s="183">
        <f>((($FV58-(SUM(Sheet3!B58:I58)/4000))*0.018)/(0.011*JV58))/3600</f>
        <v>10475.150732110629</v>
      </c>
      <c r="EY58" s="186">
        <f t="shared" si="133"/>
        <v>77.622602984658897</v>
      </c>
      <c r="EZ58" s="183">
        <f t="shared" si="134"/>
        <v>77.738169630400392</v>
      </c>
      <c r="FA58" s="183">
        <f t="shared" si="135"/>
        <v>78.268766948095831</v>
      </c>
      <c r="FB58" s="183">
        <f t="shared" si="136"/>
        <v>78.827615898115596</v>
      </c>
      <c r="FC58" s="183">
        <f t="shared" si="137"/>
        <v>79.459938799589452</v>
      </c>
      <c r="FD58" s="183">
        <f t="shared" si="138"/>
        <v>79.875584504326241</v>
      </c>
      <c r="FE58" s="183">
        <f t="shared" si="139"/>
        <v>80.345067975306662</v>
      </c>
      <c r="FF58" s="183">
        <f t="shared" si="140"/>
        <v>80.85853779478019</v>
      </c>
      <c r="FG58" s="183">
        <f t="shared" si="141"/>
        <v>81.326380495627646</v>
      </c>
      <c r="FH58" s="186">
        <f t="shared" si="185"/>
        <v>155.63376692526631</v>
      </c>
      <c r="FI58" s="183">
        <f t="shared" si="186"/>
        <v>155.40483439670922</v>
      </c>
      <c r="FJ58" s="183">
        <f t="shared" si="187"/>
        <v>154.21555848850213</v>
      </c>
      <c r="FK58" s="183">
        <f t="shared" si="188"/>
        <v>153.12982749407442</v>
      </c>
      <c r="FL58" s="183">
        <f t="shared" si="189"/>
        <v>151.74524200046199</v>
      </c>
      <c r="FM58" s="183">
        <f t="shared" si="190"/>
        <v>150.95736753673776</v>
      </c>
      <c r="FN58" s="183">
        <f t="shared" si="191"/>
        <v>149.88927500447701</v>
      </c>
      <c r="FO58" s="183">
        <f t="shared" si="192"/>
        <v>148.9357406272259</v>
      </c>
      <c r="FP58" s="183">
        <f t="shared" si="193"/>
        <v>147.89286034879711</v>
      </c>
      <c r="FQ58" s="314">
        <f>Sheet3!CV58</f>
        <v>1</v>
      </c>
      <c r="FR58" s="183">
        <v>10000</v>
      </c>
      <c r="FS58" s="183">
        <v>20</v>
      </c>
      <c r="FT58" s="183">
        <v>0.236697247706422</v>
      </c>
      <c r="FU58" s="183">
        <v>15.8</v>
      </c>
      <c r="FV58" s="183">
        <v>450</v>
      </c>
      <c r="FW58" s="183">
        <v>90</v>
      </c>
      <c r="FX58" s="183">
        <v>450</v>
      </c>
      <c r="FY58" s="183">
        <v>7.3</v>
      </c>
      <c r="FZ58" s="183">
        <v>26.7</v>
      </c>
      <c r="GA58" s="183">
        <v>145</v>
      </c>
      <c r="GB58" s="186">
        <f>EXP($LP$6-($LQ$6/('Trial and Error method'!T58+$LP$8))) / ($LR$2/1000)</f>
        <v>0.6600573565330814</v>
      </c>
      <c r="GC58" s="183">
        <f>EXP($LP$6-($LQ$6/('Trial and Error method'!U58+$LP$8))) / ($LR$2/1000)</f>
        <v>0.16933801129416437</v>
      </c>
      <c r="GD58" s="183">
        <f>EXP($LP$6-($LQ$6/('Trial and Error method'!V58+$LP$8))) / ($LR$2/1000)</f>
        <v>0.16128971152236943</v>
      </c>
      <c r="GE58" s="183">
        <f>EXP($LP$6-($LQ$6/('Trial and Error method'!W58+$LP$8))) / ($LR$2/1000)</f>
        <v>0.15458787245210331</v>
      </c>
      <c r="GF58" s="183">
        <f>EXP($LP$6-($LQ$6/('Trial and Error method'!X58+$LP$8))) / ($LR$2/1000)</f>
        <v>0.14809080717125289</v>
      </c>
      <c r="GG58" s="183">
        <f>EXP($LP$6-($LQ$6/('Trial and Error method'!Y58+$LP$8))) / ($LR$2/1000)</f>
        <v>0.14370446886795435</v>
      </c>
      <c r="GH58" s="183">
        <f>EXP($LP$6-($LQ$6/('Trial and Error method'!Z58+$LP$8))) / ($LR$2/1000)</f>
        <v>0.13937205881091913</v>
      </c>
      <c r="GI58" s="183">
        <f>EXP($LP$6-($LQ$6/('Trial and Error method'!AA58+$LP$8))) / ($LR$2/1000)</f>
        <v>0.13652765620485235</v>
      </c>
      <c r="GJ58" s="183">
        <f>EXP($LP$6-($LQ$6/('Trial and Error method'!AB58+$LP$8))) / ($LR$2/1000)</f>
        <v>0.1086302002606139</v>
      </c>
      <c r="GK58" s="188">
        <f t="shared" si="142"/>
        <v>0.50378052636558213</v>
      </c>
      <c r="GL58" s="165">
        <f t="shared" si="143"/>
        <v>0.77050452948933312</v>
      </c>
      <c r="GM58" s="165">
        <f t="shared" si="144"/>
        <v>0.77445978827124007</v>
      </c>
      <c r="GN58" s="165">
        <f t="shared" si="145"/>
        <v>0.77763319159548816</v>
      </c>
      <c r="GO58" s="165">
        <f t="shared" si="146"/>
        <v>0.7808630653197054</v>
      </c>
      <c r="GP58" s="165">
        <f t="shared" si="147"/>
        <v>0.78293080512311808</v>
      </c>
      <c r="GQ58" s="165">
        <f t="shared" si="148"/>
        <v>0.78514772187451976</v>
      </c>
      <c r="GR58" s="165">
        <f t="shared" si="149"/>
        <v>0.78648477931958405</v>
      </c>
      <c r="GS58" s="165">
        <f t="shared" si="150"/>
        <v>0.79970318608664448</v>
      </c>
      <c r="GT58" s="188">
        <f t="shared" si="194"/>
        <v>0.17116571155037877</v>
      </c>
      <c r="GU58" s="165">
        <f t="shared" si="195"/>
        <v>0.1119064003720622</v>
      </c>
      <c r="GV58" s="165">
        <f t="shared" si="196"/>
        <v>0.1113288927574676</v>
      </c>
      <c r="GW58" s="165">
        <f t="shared" si="197"/>
        <v>0.11088726153732556</v>
      </c>
      <c r="GX58" s="165">
        <f t="shared" si="198"/>
        <v>0.11043061217671361</v>
      </c>
      <c r="GY58" s="165">
        <f t="shared" si="199"/>
        <v>0.11015380653185321</v>
      </c>
      <c r="GZ58" s="165">
        <f t="shared" si="200"/>
        <v>0.1098440226754559</v>
      </c>
      <c r="HA58" s="165">
        <f t="shared" si="201"/>
        <v>0.10968093424276436</v>
      </c>
      <c r="HB58" s="165">
        <f t="shared" si="202"/>
        <v>0.10786484209231373</v>
      </c>
      <c r="HC58" s="188">
        <f>BV58*Sheet3!DF58</f>
        <v>174.14597909802796</v>
      </c>
      <c r="HD58" s="165">
        <f>BW58*Sheet3!BZ58</f>
        <v>172.99676248455981</v>
      </c>
      <c r="HE58" s="165">
        <f>BX58*Sheet3!CA58</f>
        <v>167.31919847372561</v>
      </c>
      <c r="HF58" s="165">
        <f>BY58*Sheet3!CB58</f>
        <v>161.96700520248203</v>
      </c>
      <c r="HG58" s="165">
        <f>BZ58*Sheet3!CC58</f>
        <v>155.51334473564057</v>
      </c>
      <c r="HH58" s="165">
        <f>CA58*Sheet3!CD58</f>
        <v>151.71825871295255</v>
      </c>
      <c r="HI58" s="165">
        <f>CB58*Sheet3!CE58</f>
        <v>146.92531387119897</v>
      </c>
      <c r="HJ58" s="165">
        <f>CC58*Sheet3!CF58</f>
        <v>142.41966227693553</v>
      </c>
      <c r="HK58" s="165">
        <f>CD58*Sheet3!CG58</f>
        <v>137.83252241330766</v>
      </c>
      <c r="HL58" s="188">
        <f>(CE58*Sheet3!DF58)+2501</f>
        <v>2777.9002721684374</v>
      </c>
      <c r="HM58" s="165">
        <f>(CF58*Sheet3!BZ58)+2501</f>
        <v>2776.059639146205</v>
      </c>
      <c r="HN58" s="165">
        <f>(CG58*Sheet3!CA58)+2501</f>
        <v>2767.178004577268</v>
      </c>
      <c r="HO58" s="165">
        <f>(CH58*Sheet3!CB58)+2501</f>
        <v>2758.6090118336692</v>
      </c>
      <c r="HP58" s="165">
        <f>(CI58*Sheet3!CC58)+2501</f>
        <v>2748.5155883942039</v>
      </c>
      <c r="HQ58" s="165">
        <f>(CJ58*Sheet3!CD58)+2501</f>
        <v>2742.442359198245</v>
      </c>
      <c r="HR58" s="165">
        <f>(CK58*Sheet3!CE58)+2501</f>
        <v>2735.0167797428653</v>
      </c>
      <c r="HS58" s="165">
        <f>(CL58*Sheet3!CF58)+2501</f>
        <v>2727.8067960246276</v>
      </c>
      <c r="HT58" s="165">
        <f>(CM58*Sheet3!CG58)+2501</f>
        <v>2720.6947737445444</v>
      </c>
      <c r="HU58" s="188">
        <f>-0.0021*(Sheet3!DF58^2) - 2.2115*(Sheet3!DF58) + 2499</f>
        <v>2134.1799999999998</v>
      </c>
      <c r="HV58" s="165">
        <f>-0.0021*(Sheet3!BZ58^2) - 2.2115*(Sheet3!BZ58) + 2499</f>
        <v>2136.7989028602919</v>
      </c>
      <c r="HW58" s="165">
        <f>-0.0021*(Sheet3!CA58^2) - 2.2115*(Sheet3!CA58) + 2499</f>
        <v>2149.4054071134096</v>
      </c>
      <c r="HX58" s="165">
        <f>-0.0021*(Sheet3!CB58^2) - 2.2115*(Sheet3!CB58) + 2499</f>
        <v>2161.5196952745127</v>
      </c>
      <c r="HY58" s="165">
        <f>-0.0021*(Sheet3!CC58^2) - 2.2115*(Sheet3!CC58) + 2499</f>
        <v>2175.7271170908357</v>
      </c>
      <c r="HZ58" s="165">
        <f>-0.0021*(Sheet3!CD58^2) - 2.2115*(Sheet3!CD58) + 2499</f>
        <v>2184.2429536720865</v>
      </c>
      <c r="IA58" s="165">
        <f>-0.0021*(Sheet3!CE58^2) - 2.2115*(Sheet3!CE58) + 2499</f>
        <v>2194.6210924040502</v>
      </c>
      <c r="IB58" s="165">
        <f>-0.0021*(Sheet3!CF58^2) - 2.2115*(Sheet3!CF58) + 2499</f>
        <v>2204.6617123138417</v>
      </c>
      <c r="IC58" s="165">
        <f>-0.0021*(Sheet3!CG58^2) - 2.2115*(Sheet3!CG58) + 2499</f>
        <v>2214.5304962442788</v>
      </c>
      <c r="ID58" s="188">
        <f t="shared" si="203"/>
        <v>0.68790253976190729</v>
      </c>
      <c r="IE58" s="165">
        <f t="shared" si="204"/>
        <v>0.68855444690578105</v>
      </c>
      <c r="IF58" s="165">
        <f t="shared" si="205"/>
        <v>0.69135084342114594</v>
      </c>
      <c r="IG58" s="165">
        <f t="shared" si="206"/>
        <v>0.6945749669184792</v>
      </c>
      <c r="IH58" s="165">
        <f t="shared" si="207"/>
        <v>0.69801227390122556</v>
      </c>
      <c r="II58" s="165">
        <f t="shared" si="208"/>
        <v>0.70047871272646856</v>
      </c>
      <c r="IJ58" s="165">
        <f t="shared" si="209"/>
        <v>0.70300189204134977</v>
      </c>
      <c r="IK58" s="165">
        <f t="shared" si="210"/>
        <v>0.7061192000990214</v>
      </c>
      <c r="IL58" s="165">
        <f t="shared" si="211"/>
        <v>0.70870102942904067</v>
      </c>
      <c r="IM58" s="188">
        <f t="shared" si="212"/>
        <v>-136.39566084840183</v>
      </c>
      <c r="IN58" s="165">
        <f t="shared" si="151"/>
        <v>28.058010226820222</v>
      </c>
      <c r="IO58" s="165">
        <f t="shared" si="152"/>
        <v>29.94313385047036</v>
      </c>
      <c r="IP58" s="165">
        <f t="shared" si="153"/>
        <v>31.598775927486365</v>
      </c>
      <c r="IQ58" s="165">
        <f t="shared" si="154"/>
        <v>33.163553895417209</v>
      </c>
      <c r="IR58" s="165">
        <f t="shared" si="155"/>
        <v>34.265268187423516</v>
      </c>
      <c r="IS58" s="165">
        <f t="shared" si="156"/>
        <v>35.295106699123416</v>
      </c>
      <c r="IT58" s="165">
        <f t="shared" si="157"/>
        <v>36.091745284151777</v>
      </c>
      <c r="IU58" s="165">
        <f t="shared" si="158"/>
        <v>42.237547873453224</v>
      </c>
      <c r="IV58" s="188">
        <f>_xlfn.FORECAST.LINEAR(Sheet3!DF58,Sheet2!$AK$2:$AK$69,Sheet2!$AJ$2:$AJ$69)</f>
        <v>1.386217343669711E-5</v>
      </c>
      <c r="IW58" s="165">
        <f>_xlfn.FORECAST.LINEAR(Sheet3!BZ58,Sheet2!$AK$2:$AK$69,Sheet2!$AJ$2:$AJ$69)</f>
        <v>1.382964114743748E-5</v>
      </c>
      <c r="IX58" s="165">
        <f>_xlfn.FORECAST.LINEAR(Sheet3!CA58,Sheet2!$AK$2:$AK$69,Sheet2!$AJ$2:$AJ$69)</f>
        <v>1.3672406863172507E-5</v>
      </c>
      <c r="IY58" s="165">
        <f>_xlfn.FORECAST.LINEAR(Sheet3!CB58,Sheet2!$AK$2:$AK$69,Sheet2!$AJ$2:$AJ$69)</f>
        <v>1.3520306445506445E-5</v>
      </c>
      <c r="IZ58" s="165">
        <f>_xlfn.FORECAST.LINEAR(Sheet3!CC58,Sheet2!$AK$2:$AK$69,Sheet2!$AJ$2:$AJ$69)</f>
        <v>1.3340643755158821E-5</v>
      </c>
      <c r="JA58" s="165">
        <f>_xlfn.FORECAST.LINEAR(Sheet3!CD58,Sheet2!$AK$2:$AK$69,Sheet2!$AJ$2:$AJ$69)</f>
        <v>1.323227895348229E-5</v>
      </c>
      <c r="JB58" s="165">
        <f>_xlfn.FORECAST.LINEAR(Sheet3!CE58,Sheet2!$AK$2:$AK$69,Sheet2!$AJ$2:$AJ$69)</f>
        <v>1.3099518354215001E-5</v>
      </c>
      <c r="JC58" s="165">
        <f>_xlfn.FORECAST.LINEAR(Sheet3!CF58,Sheet2!$AK$2:$AK$69,Sheet2!$AJ$2:$AJ$69)</f>
        <v>1.2970333844643331E-5</v>
      </c>
      <c r="JD58" s="165">
        <f>_xlfn.FORECAST.LINEAR(Sheet3!CG58,Sheet2!$AK$2:$AK$69,Sheet2!$AJ$2:$AJ$69)</f>
        <v>1.2842637207476142E-5</v>
      </c>
      <c r="JE58" s="188">
        <f>_xlfn.FORECAST.LINEAR(Sheet3!DF58,New!$MC$2:$MC$18,New!$MB$2:$MB$18)</f>
        <v>2.337798370672098E-5</v>
      </c>
      <c r="JF58" s="165">
        <f>_xlfn.FORECAST.LINEAR(Sheet3!BZ58,New!$MC$2:$MC$18,New!$MB$2:$MB$18)</f>
        <v>2.333974121547341E-5</v>
      </c>
      <c r="JG58" s="165">
        <f>_xlfn.FORECAST.LINEAR(Sheet3!CA58,New!$MC$2:$MC$18,New!$MB$2:$MB$18)</f>
        <v>2.315490851919947E-5</v>
      </c>
      <c r="JH58" s="165">
        <f>_xlfn.FORECAST.LINEAR(Sheet3!CB58,New!$MC$2:$MC$18,New!$MB$2:$MB$18)</f>
        <v>2.2976110807027269E-5</v>
      </c>
      <c r="JI58" s="165">
        <f>_xlfn.FORECAST.LINEAR(Sheet3!CC58,New!$MC$2:$MC$18,New!$MB$2:$MB$18)</f>
        <v>2.2764912978054933E-5</v>
      </c>
      <c r="JJ58" s="165">
        <f>_xlfn.FORECAST.LINEAR(Sheet3!CD58,New!$MC$2:$MC$18,New!$MB$2:$MB$18)</f>
        <v>2.2637527538112905E-5</v>
      </c>
      <c r="JK58" s="165">
        <f>_xlfn.FORECAST.LINEAR(Sheet3!CE58,New!$MC$2:$MC$18,New!$MB$2:$MB$18)</f>
        <v>2.2481464249268311E-5</v>
      </c>
      <c r="JL58" s="165">
        <f>_xlfn.FORECAST.LINEAR(Sheet3!CF58,New!$MC$2:$MC$18,New!$MB$2:$MB$18)</f>
        <v>2.2329604740176009E-5</v>
      </c>
      <c r="JM58" s="165">
        <f>_xlfn.FORECAST.LINEAR(Sheet3!CG58,New!$MC$2:$MC$18,New!$MB$2:$MB$18)</f>
        <v>2.2179494261007538E-5</v>
      </c>
      <c r="JN58" s="188">
        <f t="shared" si="159"/>
        <v>2.0671385956239169E-5</v>
      </c>
      <c r="JO58" s="165">
        <f t="shared" si="160"/>
        <v>2.0633794349618781E-5</v>
      </c>
      <c r="JP58" s="165">
        <f t="shared" si="161"/>
        <v>2.045446541329843E-5</v>
      </c>
      <c r="JQ58" s="165">
        <f t="shared" si="162"/>
        <v>2.027860969340935E-5</v>
      </c>
      <c r="JR58" s="165">
        <f t="shared" si="163"/>
        <v>2.0073666984219729E-5</v>
      </c>
      <c r="JS58" s="165">
        <f t="shared" si="164"/>
        <v>1.9948283516435439E-5</v>
      </c>
      <c r="JT58" s="165">
        <f t="shared" si="165"/>
        <v>1.9797764839654647E-5</v>
      </c>
      <c r="JU58" s="165">
        <f t="shared" si="166"/>
        <v>1.9648194617776683E-5</v>
      </c>
      <c r="JV58" s="165">
        <f t="shared" si="167"/>
        <v>1.9503407787476475E-5</v>
      </c>
      <c r="JW58" s="188">
        <f t="shared" si="231"/>
        <v>1.0152024173422087</v>
      </c>
      <c r="JX58" s="165">
        <f t="shared" si="232"/>
        <v>1.0155898978649214</v>
      </c>
      <c r="JY58" s="165">
        <f t="shared" si="233"/>
        <v>1.0174877277578489</v>
      </c>
      <c r="JZ58" s="165">
        <f t="shared" si="234"/>
        <v>1.01936408853466</v>
      </c>
      <c r="KA58" s="165">
        <f t="shared" si="235"/>
        <v>1.0216335911683023</v>
      </c>
      <c r="KB58" s="165">
        <f t="shared" si="236"/>
        <v>1.0230311716198446</v>
      </c>
      <c r="KC58" s="165">
        <f t="shared" si="237"/>
        <v>1.0247737503087939</v>
      </c>
      <c r="KD58" s="165">
        <f t="shared" si="238"/>
        <v>1.0265023762226688</v>
      </c>
      <c r="KE58" s="165">
        <f t="shared" si="239"/>
        <v>1.0282440072793873</v>
      </c>
      <c r="KF58" s="188">
        <f t="shared" si="75"/>
        <v>0.9677010468805306</v>
      </c>
      <c r="KG58" s="165">
        <f t="shared" si="240"/>
        <v>0.96738096609530355</v>
      </c>
      <c r="KH58" s="165">
        <f t="shared" si="241"/>
        <v>0.96581817755075472</v>
      </c>
      <c r="KI58" s="165">
        <f t="shared" si="242"/>
        <v>0.96428106510187495</v>
      </c>
      <c r="KJ58" s="165">
        <f t="shared" si="243"/>
        <v>0.96243242808175256</v>
      </c>
      <c r="KK58" s="165">
        <f t="shared" si="244"/>
        <v>0.96129971605636144</v>
      </c>
      <c r="KL58" s="165">
        <f t="shared" si="245"/>
        <v>0.95989342555142687</v>
      </c>
      <c r="KM58" s="165">
        <f t="shared" si="246"/>
        <v>0.95850496990032807</v>
      </c>
      <c r="KN58" s="165">
        <f t="shared" si="247"/>
        <v>0.95711264357517045</v>
      </c>
      <c r="KO58" s="188">
        <f t="shared" si="213"/>
        <v>0.62177152333751362</v>
      </c>
      <c r="KP58" s="165">
        <f t="shared" si="214"/>
        <v>0.62122738389822041</v>
      </c>
      <c r="KQ58" s="165">
        <f t="shared" si="215"/>
        <v>0.61823039221250875</v>
      </c>
      <c r="KR58" s="165">
        <f t="shared" si="216"/>
        <v>0.61528371859406594</v>
      </c>
      <c r="KS58" s="165">
        <f t="shared" si="217"/>
        <v>0.61175728046118472</v>
      </c>
      <c r="KT58" s="165">
        <f t="shared" si="218"/>
        <v>0.60959636810661888</v>
      </c>
      <c r="KU58" s="165">
        <f t="shared" si="219"/>
        <v>0.60692905493305904</v>
      </c>
      <c r="KV58" s="165">
        <f t="shared" si="220"/>
        <v>0.60429138475165722</v>
      </c>
      <c r="KW58" s="165">
        <f t="shared" si="221"/>
        <v>0.60174582329436255</v>
      </c>
      <c r="KX58" s="188">
        <f>AVERAGE(Sheet3!J58:P58)*KO58^(1/3)/ID58^(1/3)</f>
        <v>165.58137737792421</v>
      </c>
      <c r="KY58" s="165">
        <f>Sheet3!J58*KP58^(1/3)/IE58^(1/3)</f>
        <v>135.75350177012561</v>
      </c>
      <c r="KZ58" s="165">
        <f>Sheet3!K58*KQ58^(1/3)/IF58^(1/3)</f>
        <v>132.81557598272767</v>
      </c>
      <c r="LA58" s="165">
        <f>Sheet3!L58*KR58^(1/3)/IG58^(1/3)</f>
        <v>139.86572012784438</v>
      </c>
      <c r="LB58" s="165">
        <f>Sheet3!M58*KS58^(1/3)/IH58^(1/3)</f>
        <v>153.00497317741332</v>
      </c>
      <c r="LC58" s="165">
        <f>Sheet3!N58*KT58^(1/3)/II58^(1/3)</f>
        <v>172.00218221783342</v>
      </c>
      <c r="LD58" s="165">
        <f>Sheet3!O58*KU58^(1/3)/IJ58^(1/3)</f>
        <v>195.33127024433631</v>
      </c>
      <c r="LE58" s="165">
        <f>Sheet3!P58*KV58^(1/3)/IK58^(1/3)</f>
        <v>218.01213581630907</v>
      </c>
      <c r="LF58" s="165">
        <f>Sheet3!Q58*KW58^(1/3)/IL58^(1/3)</f>
        <v>234.97209290512814</v>
      </c>
      <c r="LG58" s="186">
        <f t="shared" si="248"/>
        <v>25.822332211443278</v>
      </c>
      <c r="LH58" s="183">
        <f t="shared" si="249"/>
        <v>25.822332211443278</v>
      </c>
      <c r="LI58" s="183">
        <f t="shared" si="250"/>
        <v>25.935826911305796</v>
      </c>
      <c r="LJ58" s="183">
        <f t="shared" si="251"/>
        <v>25.935826911305796</v>
      </c>
      <c r="LK58" s="183">
        <f t="shared" si="252"/>
        <v>26.073498233439508</v>
      </c>
      <c r="LL58" s="183">
        <f t="shared" si="253"/>
        <v>26.073498233439508</v>
      </c>
      <c r="LM58" s="183">
        <f t="shared" si="254"/>
        <v>26.227121361754421</v>
      </c>
      <c r="LN58" s="183">
        <f t="shared" si="255"/>
        <v>26.227121361754421</v>
      </c>
      <c r="LO58" s="183">
        <f t="shared" si="256"/>
        <v>26.382122238731782</v>
      </c>
      <c r="LP58" s="220"/>
      <c r="LQ58" s="220"/>
      <c r="LR58" s="220"/>
      <c r="LS58" s="220"/>
      <c r="LT58" s="222">
        <v>212.37</v>
      </c>
      <c r="LU58" s="220">
        <v>1.5999999999999999E-5</v>
      </c>
      <c r="LV58" s="220"/>
      <c r="LW58" s="220"/>
      <c r="LX58" s="188">
        <f>Sheet3!DP58</f>
        <v>308.25626529765958</v>
      </c>
      <c r="MF58" s="165"/>
      <c r="MJ58"/>
      <c r="MK58"/>
      <c r="ML58"/>
      <c r="MM58"/>
      <c r="MN58"/>
      <c r="MO58"/>
      <c r="MP58"/>
      <c r="MQ58"/>
      <c r="MR58"/>
    </row>
    <row r="59" spans="1:357" x14ac:dyDescent="0.3">
      <c r="A59" s="184" t="str">
        <f>Sheet3!A59</f>
        <v>2023.01.19-2</v>
      </c>
      <c r="B59" s="186">
        <f t="shared" si="102"/>
        <v>1.0055668890295442</v>
      </c>
      <c r="C59" s="183">
        <f t="shared" si="168"/>
        <v>1.0056601977650281</v>
      </c>
      <c r="D59" s="183">
        <f t="shared" si="169"/>
        <v>0.99490299525137249</v>
      </c>
      <c r="E59" s="183">
        <f t="shared" si="170"/>
        <v>0.98434808143598218</v>
      </c>
      <c r="F59" s="183">
        <f t="shared" si="171"/>
        <v>0.97136386463806312</v>
      </c>
      <c r="G59" s="183">
        <f t="shared" si="172"/>
        <v>0.96313879161456784</v>
      </c>
      <c r="H59" s="183">
        <f t="shared" si="173"/>
        <v>0.95370589660017469</v>
      </c>
      <c r="I59" s="183">
        <f t="shared" si="174"/>
        <v>0.94537903618241959</v>
      </c>
      <c r="J59" s="183">
        <f t="shared" si="175"/>
        <v>0.93592631992464492</v>
      </c>
      <c r="K59" s="186">
        <f xml:space="preserve"> (6.057 * (10^(-6)))
+ (4.055 * (10^(-8)) * (Sheet3!DF59 + 273))
+ (1.25 * (10^(-10)) * (Sheet3!DF59 + 273)^2)
- (3.367 * (10^(-14)) * (DD59 + 273)^3)</f>
        <v>5.3312851995805389E-5</v>
      </c>
      <c r="L59" s="183">
        <f xml:space="preserve"> (6.057 * (10^(-6)))
+ (4.055 * (10^(-8)) * (Sheet3!BZ59 + 273))
+ (1.25 * (10^(-10)) * (Sheet3!BZ59 + 273)^2)
- (3.367 * (10^(-14)) * (BX59 + 273)^3)</f>
        <v>5.3302693456271808E-5</v>
      </c>
      <c r="M59" s="183">
        <f xml:space="preserve"> (6.057 * (10^(-6)))
+ (4.055 * (10^(-8)) * (Sheet3!CA59 + 273))
+ (1.25 * (10^(-10)) * (Sheet3!CA59 + 273)^2)
- (3.367 * (10^(-14)) * (BY59 + 273)^3)</f>
        <v>5.2155560614100984E-5</v>
      </c>
      <c r="N59" s="183">
        <f xml:space="preserve"> (6.057 * (10^(-6)))
+ (4.055 * (10^(-8)) * (Sheet3!CB59 + 273))
+ (1.25 * (10^(-10)) * (Sheet3!CB59 + 273)^2)
- (3.367 * (10^(-14)) * (BZ59 + 273)^3)</f>
        <v>5.1104670759926888E-5</v>
      </c>
      <c r="O59" s="183">
        <f xml:space="preserve"> (6.057 * (10^(-6)))
+ (4.055 * (10^(-8)) * (Sheet3!CC59 + 273))
+ (1.25 * (10^(-10)) * (Sheet3!CC59 + 273)^2)
- (3.367 * (10^(-14)) * (CA59 + 273)^3)</f>
        <v>4.9813006593378843E-5</v>
      </c>
      <c r="P59" s="183">
        <f xml:space="preserve"> (6.057 * (10^(-6)))
+ (4.055 * (10^(-8)) * (Sheet3!CD59 + 273))
+ (1.25 * (10^(-10)) * (Sheet3!CD59 + 273)^2)
- (3.367 * (10^(-14)) * (CB59 + 273)^3)</f>
        <v>4.9051045759383474E-5</v>
      </c>
      <c r="Q59" s="183">
        <f xml:space="preserve"> (6.057 * (10^(-6)))
+ (4.055 * (10^(-8)) * (Sheet3!CE59 + 273))
+ (1.25 * (10^(-10)) * (Sheet3!CE59 + 273)^2)
- (3.367 * (10^(-14)) * (CC59 + 273)^3)</f>
        <v>4.8147020372985896E-5</v>
      </c>
      <c r="R59" s="183">
        <f xml:space="preserve"> (6.057 * (10^(-6)))
+ (4.055 * (10^(-8)) * (Sheet3!CF59 + 273))
+ (1.25 * (10^(-10)) * (Sheet3!CF59 + 273)^2)
- (3.367 * (10^(-14)) * (CD59 + 273)^3)</f>
        <v>4.7417478405571611E-5</v>
      </c>
      <c r="S59" s="183">
        <f xml:space="preserve"> (6.057 * (10^(-6)))
+ (4.055 * (10^(-8)) * (Sheet3!CG59 + 273))
+ (1.25 * (10^(-10)) * (Sheet3!CG59 + 273)^2)
- (3.367 * (10^(-14)) * (CE59 + 273)^3)</f>
        <v>4.6541511124413058E-5</v>
      </c>
      <c r="T59" s="188">
        <f t="shared" si="104"/>
        <v>5.3312851995805389E-5</v>
      </c>
      <c r="U59" s="165">
        <f t="shared" si="105"/>
        <v>5.3302693456271808E-5</v>
      </c>
      <c r="V59" s="165">
        <f t="shared" si="106"/>
        <v>5.2155560614100984E-5</v>
      </c>
      <c r="W59" s="165">
        <f t="shared" si="107"/>
        <v>5.1104670759926888E-5</v>
      </c>
      <c r="X59" s="165">
        <f t="shared" si="108"/>
        <v>4.9813006593378843E-5</v>
      </c>
      <c r="Y59" s="165">
        <f t="shared" si="109"/>
        <v>4.9051045759383474E-5</v>
      </c>
      <c r="Z59" s="165">
        <f t="shared" si="110"/>
        <v>4.8147020372985896E-5</v>
      </c>
      <c r="AA59" s="165">
        <f t="shared" si="111"/>
        <v>4.7417478405571611E-5</v>
      </c>
      <c r="AB59" s="165">
        <f t="shared" si="112"/>
        <v>4.6541511124413058E-5</v>
      </c>
      <c r="AC59" s="186">
        <f t="shared" si="176"/>
        <v>5.3609638726714553E-5</v>
      </c>
      <c r="AD59" s="183">
        <f t="shared" si="177"/>
        <v>5.3604397242642972E-5</v>
      </c>
      <c r="AE59" s="183">
        <f t="shared" si="178"/>
        <v>5.1889723473983579E-5</v>
      </c>
      <c r="AF59" s="183">
        <f t="shared" si="179"/>
        <v>5.0304784614951567E-5</v>
      </c>
      <c r="AG59" s="183">
        <f t="shared" si="180"/>
        <v>4.8386554593785793E-5</v>
      </c>
      <c r="AH59" s="183">
        <f t="shared" si="181"/>
        <v>4.724296494012347E-5</v>
      </c>
      <c r="AI59" s="183">
        <f t="shared" si="182"/>
        <v>4.5918097233445392E-5</v>
      </c>
      <c r="AJ59" s="183">
        <f t="shared" si="183"/>
        <v>4.4827490033259985E-5</v>
      </c>
      <c r="AK59" s="183">
        <f t="shared" si="184"/>
        <v>4.3559425230403834E-5</v>
      </c>
      <c r="AL59" s="186">
        <f t="shared" si="113"/>
        <v>4.2931521784307272E-2</v>
      </c>
      <c r="AM59" s="183">
        <f t="shared" si="114"/>
        <v>4.2929068439936956E-2</v>
      </c>
      <c r="AN59" s="183">
        <f t="shared" si="115"/>
        <v>4.2108529193974918E-2</v>
      </c>
      <c r="AO59" s="183">
        <f t="shared" si="116"/>
        <v>4.1350510365828722E-2</v>
      </c>
      <c r="AP59" s="183">
        <f t="shared" si="117"/>
        <v>4.0402984049891254E-2</v>
      </c>
      <c r="AQ59" s="183">
        <f t="shared" si="118"/>
        <v>3.9839451817002866E-2</v>
      </c>
      <c r="AR59" s="183">
        <f t="shared" si="119"/>
        <v>3.9160710356640788E-2</v>
      </c>
      <c r="AS59" s="183">
        <f t="shared" si="120"/>
        <v>3.8610533107664935E-2</v>
      </c>
      <c r="AT59" s="183">
        <f t="shared" si="121"/>
        <v>3.7944539346989103E-2</v>
      </c>
      <c r="AU59" s="186">
        <f>_xlfn.FORECAST.LINEAR(Sheet3!DF59,Sheet2!$AH$2:$AH$40,Sheet2!$AG$2:$AG$40)</f>
        <v>5.615110757455756E-2</v>
      </c>
      <c r="AV59" s="183">
        <f>_xlfn.FORECAST.LINEAR(Sheet3!BZ59,Sheet2!$AH$2:$AH$40,Sheet2!$AG$2:$AG$40)</f>
        <v>5.614560710299045E-2</v>
      </c>
      <c r="AW59" s="183">
        <f>_xlfn.FORECAST.LINEAR(Sheet3!CA59,Sheet2!$AH$2:$AH$40,Sheet2!$AG$2:$AG$40)</f>
        <v>5.4313667615584781E-2</v>
      </c>
      <c r="AX59" s="183">
        <f>_xlfn.FORECAST.LINEAR(Sheet3!CB59,Sheet2!$AH$2:$AH$40,Sheet2!$AG$2:$AG$40)</f>
        <v>5.2616904317486564E-2</v>
      </c>
      <c r="AY59" s="183">
        <f>_xlfn.FORECAST.LINEAR(Sheet3!CC59,Sheet2!$AH$2:$AH$40,Sheet2!$AG$2:$AG$40)</f>
        <v>5.0506307701634959E-2</v>
      </c>
      <c r="AZ59" s="183">
        <f>_xlfn.FORECAST.LINEAR(Sheet3!CD59,Sheet2!$AH$2:$AH$40,Sheet2!$AG$2:$AG$40)</f>
        <v>4.9247823648296017E-2</v>
      </c>
      <c r="BA59" s="183">
        <f>_xlfn.FORECAST.LINEAR(Sheet3!CE59,Sheet2!$AH$2:$AH$40,Sheet2!$AG$2:$AG$40)</f>
        <v>4.7741409442466083E-2</v>
      </c>
      <c r="BB59" s="183">
        <f>_xlfn.FORECAST.LINEAR(Sheet3!CF59,Sheet2!$AH$2:$AH$40,Sheet2!$AG$2:$AG$40)</f>
        <v>4.6514915113082506E-2</v>
      </c>
      <c r="BC59" s="183">
        <f>_xlfn.FORECAST.LINEAR(Sheet3!CG59,Sheet2!$AH$2:$AH$40,Sheet2!$AG$2:$AG$40)</f>
        <v>4.5038784469391697E-2</v>
      </c>
      <c r="BD59" s="186">
        <f>_xlfn.FORECAST.LINEAR(Sheet3!DF59,Sheet2!$AB$12:$AB$37,Sheet2!$AA$12:$AA$37)/1000</f>
        <v>3.7324862686859299E-2</v>
      </c>
      <c r="BE59" s="183">
        <f>_xlfn.FORECAST.LINEAR(Sheet3!BZ59,Sheet2!$AB$12:$AB$37,Sheet2!$AA$12:$AA$37)/1000</f>
        <v>3.7323632908733716E-2</v>
      </c>
      <c r="BF59" s="183">
        <f>_xlfn.FORECAST.LINEAR(Sheet3!CA59,Sheet2!$AB$12:$AB$37,Sheet2!$AA$12:$AA$37)/1000</f>
        <v>3.6914053642391302E-2</v>
      </c>
      <c r="BG59" s="183">
        <f>_xlfn.FORECAST.LINEAR(Sheet3!CB59,Sheet2!$AB$12:$AB$37,Sheet2!$AA$12:$AA$37)/1000</f>
        <v>3.6534696643118363E-2</v>
      </c>
      <c r="BH59" s="183">
        <f>_xlfn.FORECAST.LINEAR(Sheet3!CC59,Sheet2!$AB$12:$AB$37,Sheet2!$AA$12:$AA$37)/1000</f>
        <v>3.6062816092800903E-2</v>
      </c>
      <c r="BI59" s="183">
        <f>_xlfn.FORECAST.LINEAR(Sheet3!CD59,Sheet2!$AB$12:$AB$37,Sheet2!$AA$12:$AA$37)/1000</f>
        <v>3.5781448188012648E-2</v>
      </c>
      <c r="BJ59" s="183">
        <f>_xlfn.FORECAST.LINEAR(Sheet3!CE59,Sheet2!$AB$12:$AB$37,Sheet2!$AA$12:$AA$37)/1000</f>
        <v>3.5444648839850018E-2</v>
      </c>
      <c r="BK59" s="183">
        <f>_xlfn.FORECAST.LINEAR(Sheet3!CF59,Sheet2!$AB$12:$AB$37,Sheet2!$AA$12:$AA$37)/1000</f>
        <v>3.5170433096887097E-2</v>
      </c>
      <c r="BL59" s="183">
        <f>_xlfn.FORECAST.LINEAR(Sheet3!CG59,Sheet2!$AB$12:$AB$37,Sheet2!$AA$12:$AA$37)/1000</f>
        <v>3.4840404452259409E-2</v>
      </c>
      <c r="BM59" s="186">
        <f t="shared" si="122"/>
        <v>0.65837625584019954</v>
      </c>
      <c r="BN59" s="183">
        <f t="shared" si="123"/>
        <v>0.65840606737658636</v>
      </c>
      <c r="BO59" s="183">
        <f t="shared" si="124"/>
        <v>0.66853383071571348</v>
      </c>
      <c r="BP59" s="183">
        <f t="shared" si="125"/>
        <v>0.67815122537118966</v>
      </c>
      <c r="BQ59" s="183">
        <f t="shared" si="126"/>
        <v>0.69057230077866227</v>
      </c>
      <c r="BR59" s="183">
        <f t="shared" si="127"/>
        <v>0.69815730133127851</v>
      </c>
      <c r="BS59" s="183">
        <f t="shared" si="128"/>
        <v>0.70753981320710757</v>
      </c>
      <c r="BT59" s="183">
        <f t="shared" si="129"/>
        <v>0.71529870116237526</v>
      </c>
      <c r="BU59" s="183">
        <f t="shared" si="130"/>
        <v>0.72495454682953975</v>
      </c>
      <c r="BV59" s="186">
        <f t="shared" si="222"/>
        <v>1.2163519137646308</v>
      </c>
      <c r="BW59" s="183">
        <f t="shared" si="223"/>
        <v>1.2163462571971542</v>
      </c>
      <c r="BX59" s="183">
        <f t="shared" si="224"/>
        <v>1.2138508495287583</v>
      </c>
      <c r="BY59" s="183">
        <f t="shared" si="225"/>
        <v>1.212118359786063</v>
      </c>
      <c r="BZ59" s="183">
        <f t="shared" si="226"/>
        <v>1.2091483527961633</v>
      </c>
      <c r="CA59" s="183">
        <f t="shared" si="227"/>
        <v>1.207877590301208</v>
      </c>
      <c r="CB59" s="183">
        <f t="shared" si="228"/>
        <v>1.2053572797522627</v>
      </c>
      <c r="CC59" s="183">
        <f t="shared" si="229"/>
        <v>1.2041315591302559</v>
      </c>
      <c r="CD59" s="183">
        <f t="shared" si="230"/>
        <v>1.2015901682766892</v>
      </c>
      <c r="CE59" s="187">
        <f xml:space="preserve"> -0.0000000019505*Sheet3!DF59^3 + 0.0000015497*Sheet3!DF59^2  + 0.00016911*Sheet3!DF59 + 1.8585</f>
        <v>1.9414898911875</v>
      </c>
      <c r="CF59" s="185">
        <f xml:space="preserve"> -0.0000000019505*Sheet3!BZ59^3 + 0.0000015497*Sheet3!BZ59^2  + 0.00016911*Sheet3!BZ59 + 1.8585</f>
        <v>1.9414778020270589</v>
      </c>
      <c r="CG59" s="185">
        <f xml:space="preserve"> -0.0000000019505*Sheet3!CA59^3 + 0.0000015497*Sheet3!CA59^2  + 0.00016911*Sheet3!CA59 + 1.8585</f>
        <v>1.9374704755414787</v>
      </c>
      <c r="CH59" s="185">
        <f xml:space="preserve"> -0.0000000019505*Sheet3!CB59^3 + 0.0000015497*Sheet3!CB59^2  + 0.00016911*Sheet3!CB59 + 1.8585</f>
        <v>1.9337951271781864</v>
      </c>
      <c r="CI59" s="185">
        <f xml:space="preserve"> -0.0000000019505*Sheet3!CC59^3 + 0.0000015497*Sheet3!CC59^2  + 0.00016911*Sheet3!CC59 + 1.8585</f>
        <v>1.9292774583173751</v>
      </c>
      <c r="CJ59" s="185">
        <f xml:space="preserve"> -0.0000000019505*Sheet3!CD59^3 + 0.0000015497*Sheet3!CD59^2  + 0.00016911*Sheet3!CD59 + 1.8585</f>
        <v>1.9266147979970891</v>
      </c>
      <c r="CK59" s="185">
        <f xml:space="preserve"> -0.0000000019505*Sheet3!CE59^3 + 0.0000015497*Sheet3!CE59^2  + 0.00016911*Sheet3!CE59 + 1.8585</f>
        <v>1.9234605262111499</v>
      </c>
      <c r="CL59" s="185">
        <f xml:space="preserve"> -0.0000000019505*Sheet3!CF59^3 + 0.0000015497*Sheet3!CF59^2  + 0.00016911*Sheet3!CF59 + 1.8585</f>
        <v>1.9209204845716186</v>
      </c>
      <c r="CM59" s="185">
        <f xml:space="preserve"> -0.0000000019505*Sheet3!CG59^3 + 0.0000015497*Sheet3!CG59^2  + 0.00016911*Sheet3!CG59 + 1.8585</f>
        <v>1.917898900722143</v>
      </c>
      <c r="CN59" s="186">
        <f>_xlfn.FORECAST.LINEAR(Sheet3!DF59,New!$LU$2:$LU$14,New!$LT$2:$LT$14)</f>
        <v>1.0350674194089138</v>
      </c>
      <c r="CO59" s="183">
        <f>_xlfn.FORECAST.LINEAR(Sheet3!BZ59,New!$LU$2:$LU$14,New!$LT$2:$LT$14)</f>
        <v>1.0350633709896782</v>
      </c>
      <c r="CP59" s="183">
        <f>_xlfn.FORECAST.LINEAR(Sheet3!CA59,New!$LU$2:$LU$14,New!$LT$2:$LT$14)</f>
        <v>1.0337150394932226</v>
      </c>
      <c r="CQ59" s="183">
        <f>_xlfn.FORECAST.LINEAR(Sheet3!CB59,New!$LU$2:$LU$14,New!$LT$2:$LT$14)</f>
        <v>1.0324661994455115</v>
      </c>
      <c r="CR59" s="183">
        <f>_xlfn.FORECAST.LINEAR(Sheet3!CC59,New!$LU$2:$LU$14,New!$LT$2:$LT$14)</f>
        <v>1.0309127726467393</v>
      </c>
      <c r="CS59" s="183">
        <f>_xlfn.FORECAST.LINEAR(Sheet3!CD59,New!$LU$2:$LU$14,New!$LT$2:$LT$14)</f>
        <v>1.0299865118730787</v>
      </c>
      <c r="CT59" s="183">
        <f>_xlfn.FORECAST.LINEAR(Sheet3!CE59,New!$LU$2:$LU$14,New!$LT$2:$LT$14)</f>
        <v>1.0288777712545198</v>
      </c>
      <c r="CU59" s="183">
        <f>_xlfn.FORECAST.LINEAR(Sheet3!CF59,New!$LU$2:$LU$14,New!$LT$2:$LT$14)</f>
        <v>1.0279750553373723</v>
      </c>
      <c r="CV59" s="183">
        <f>_xlfn.FORECAST.LINEAR(Sheet3!CG59,New!$LU$2:$LU$14,New!$LT$2:$LT$14)</f>
        <v>1.0268886038178464</v>
      </c>
      <c r="CW59" s="186">
        <f>EXP((17.625*Sheet3!BA59)/(243.04+Sheet3!BA59)) / EXP((17.625*Sheet3!DF59)/(243.04+Sheet3!DF59))</f>
        <v>1.2718515444669915E-2</v>
      </c>
      <c r="CX59" s="183">
        <f>EXP((17.625*(Sheet3!BC59+273))/(243.04+(Sheet3!BC59+273)))/EXP((17.625*(Sheet3!BZ59+273))/(243.04+(Sheet3!BZ59+273)))</f>
        <v>0.2377055995334198</v>
      </c>
      <c r="CY59" s="183">
        <f>EXP((17.625*(Sheet3!BE59+273))/(243.04+(Sheet3!BE59+273))) / EXP((17.625*(Sheet3!CA59+273))/(243.04+(Sheet3!CA59+273)))</f>
        <v>0.25235806853815312</v>
      </c>
      <c r="CZ59" s="183">
        <f>EXP((17.625*(Sheet3!BG59+273))/(243.04+(Sheet3!BG59+273))) / EXP((17.625*(Sheet3!CB59+273))/(243.04+(Sheet3!CB59+273)))</f>
        <v>0.26692990380463855</v>
      </c>
      <c r="DA59" s="183">
        <f>EXP((17.625*(Sheet3!BI59+273))/(243.04+(Sheet3!BI59+273))) / EXP((17.625*(Sheet3!CC59+273))/(243.04+(Sheet3!CC59+273)))</f>
        <v>0.2865880630411563</v>
      </c>
      <c r="DB59" s="183">
        <f>EXP((17.625*(Sheet3!BK59+273))/(243.04+(Sheet3!BK59+273)))/EXP((17.625*(Sheet3!CD59+273))/(243.04+(Sheet3!CD59+273)))</f>
        <v>0.29940284317881977</v>
      </c>
      <c r="DC59" s="183">
        <f>EXP((17.625*(Sheet3!BM59+273))/(243.04+(Sheet3!BM59+273))) / EXP((17.625*(Sheet3!CE59+273))/(243.04+(Sheet3!CE59+273)))</f>
        <v>0.31539812041051457</v>
      </c>
      <c r="DD59" s="183">
        <f>EXP((17.625*(Sheet3!BO59+273))/(243.04+(Sheet3!BO59+273))) / EXP((17.625*(Sheet3!CF59+273))/(243.04+(Sheet3!CF59+273)))</f>
        <v>0.32958153171282756</v>
      </c>
      <c r="DE59" s="183">
        <f>EXP((17.625*(Sheet3!BQ59+273))/(243.04+(Sheet3!BQ59+273))) / EXP((17.625*(Sheet3!CG59+273))/(243.04+(Sheet3!CG59+273)))</f>
        <v>0.34735585257391638</v>
      </c>
      <c r="DF59" s="186">
        <f>((Sheet3!DA59-Sheet3!DB59)/New!$LQ$3)/(((Sheet3!DA59-Sheet3!DB59)/New!$LQ$3)+(Sheet3!DB59/New!$LP$3))</f>
        <v>0.71332409423876464</v>
      </c>
      <c r="DG59" s="183">
        <f>((Sheet3!DA59-Sheet3!DB59)/New!$LQ$3)/(((Sheet3!DA59-Sheet3!DB59)/New!$LQ$3)+((Sheet3!DB59-(Sheet3!B59*0.004))/New!$LP$3))</f>
        <v>0.71332409423876464</v>
      </c>
      <c r="DH59" s="183" cm="1">
        <f t="array" ref="DH59">((Sheet3!DA59-Sheet3!DB59)/New!$LQ$3)/(((Sheet3!DA59-Sheet3!DB59)/New!$LQ$3)+((Sheet3!DB59-(SUM(Sheet3!B59:C59*0.004)))/New!$LP$3))</f>
        <v>0.71595948283744781</v>
      </c>
      <c r="DI59" s="183" cm="1">
        <f t="array" ref="DI59">((Sheet3!DA59-Sheet3!DB59)/New!$LQ$3)/(((Sheet3!DA59-Sheet3!DB59)/New!$LQ$3)+((Sheet3!DB59-(SUM(Sheet3!B59:D59*0.004)))/New!$LP$3))</f>
        <v>0.71595948283744781</v>
      </c>
      <c r="DJ59" s="183" cm="1">
        <f t="array" ref="DJ59">((Sheet3!DA59-Sheet3!DB59)/New!$LQ$3)/(((Sheet3!DA59-Sheet3!DB59)/New!$LQ$3)+((Sheet3!DB59-(SUM(Sheet3!B59:E59*0.004)))/New!$LP$3))</f>
        <v>0.7195453882281081</v>
      </c>
      <c r="DK59" s="183" cm="1">
        <f t="array" ref="DK59">((Sheet3!DA59-Sheet3!DB59)/New!$LQ$3)/(((Sheet3!DA59-Sheet3!DB59)/New!$LQ$3)+((Sheet3!DB59-(SUM(Sheet3!B59:F59*0.004)))/New!$LP$3))</f>
        <v>0.7195453882281081</v>
      </c>
      <c r="DL59" s="183" cm="1">
        <f t="array" ref="DL59">((Sheet3!DA59-Sheet3!DB59)/New!$LQ$3)/(((Sheet3!DA59-Sheet3!DB59)/New!$LQ$3)+((Sheet3!DB59-(SUM(Sheet3!B59:G59*0.004)))/New!$LP$3))</f>
        <v>0.72397537009669144</v>
      </c>
      <c r="DM59" s="183" cm="1">
        <f t="array" ref="DM59">((Sheet3!DA59-Sheet3!DB59)/New!$LQ$3)/(((Sheet3!DA59-Sheet3!DB59)/New!$LQ$3)+((Sheet3!DB59-(SUM(Sheet3!B59:H59*0.004)))/New!$LP$3))</f>
        <v>0.72397537009669144</v>
      </c>
      <c r="DN59" s="183" cm="1">
        <f t="array" ref="DN59">((Sheet3!DA59-Sheet3!DB59)/New!$LQ$3)/(((Sheet3!DA59-Sheet3!DB59)/New!$LQ$3)+((Sheet3!DB59-(SUM(Sheet3!B59:I59*0.004)))/New!$LP$3))</f>
        <v>0.72877600389288966</v>
      </c>
      <c r="DO59" s="186">
        <f>(Sheet3!DB59/$LP$3) / ((Sheet3!DB59/$LP$3) + ((Sheet3!DA59-Sheet3!DB59)/$LQ$3))</f>
        <v>0.28667590576123536</v>
      </c>
      <c r="DP59" s="183">
        <f>((Sheet3!$DB59-(Sheet3!B59/4000)) / $LP$3) / (((Sheet3!$DA59-Sheet3!DB59) / $LQ$3) + (Sheet3!$DB59-((Sheet3!B59/4000)))/$LP$3)</f>
        <v>0.28667590576123536</v>
      </c>
      <c r="DQ59" s="183">
        <f>((Sheet3!$DB59-(SUM(Sheet3!B59:C59)/4000))/$LP$3)/(((Sheet3!$DA59-Sheet3!$DB59)/$LQ$3)+(Sheet3!$DB59-(SUM(Sheet3!B59:C59)/4000))/$LP$3)</f>
        <v>0.28651176250213078</v>
      </c>
      <c r="DR59" s="183">
        <f>((Sheet3!$DB59-(SUM(Sheet3!B59:D59)/4000))/$LP$3)/(((Sheet3!$DA59-Sheet3!$DB59)/$LQ$3)+(Sheet3!$DB59-(SUM(Sheet3!B59:D59)/4000))/$LP$3)</f>
        <v>0.28651176250213078</v>
      </c>
      <c r="DS59" s="183">
        <f>((Sheet3!$DB59-(SUM(Sheet3!B59:E59)/4000))/$LP$3)/(((Sheet3!$DA59-Sheet3!$DB59)/$LQ$3)+(Sheet3!$DB59-(SUM(Sheet3!B59:E59)/4000))/$LP$3)</f>
        <v>0.28629022836121704</v>
      </c>
      <c r="DT59" s="183">
        <f>((Sheet3!$DB59-(SUM(Sheet3!B59:F59)/4000))/$LP$3)/(((Sheet3!$DA59-Sheet3!$DB59)/$LQ$3)+(Sheet3!$DB59-(SUM(Sheet3!B59:F59)/4000))/$LP$3)</f>
        <v>0.28629022836121704</v>
      </c>
      <c r="DU59" s="183">
        <f>((Sheet3!$DB59-(SUM(Sheet3!B59:G59)/4000))/$LP$3)/(((Sheet3!$DA59-Sheet3!$DB59)/$LQ$3)+(Sheet3!$DB59-(SUM(Sheet3!B59:G59)/4000))/$LP$3)</f>
        <v>0.28601939133285875</v>
      </c>
      <c r="DV59" s="183">
        <f>((Sheet3!$DB59-(SUM(Sheet3!B59:H59)/4000))/$LP$3)/(((Sheet3!$DA59-Sheet3!$DB59)/$LQ$3)+(Sheet3!$DB59-(SUM(Sheet3!B59:H59)/4000))/$LP$3)</f>
        <v>0.28601939133285875</v>
      </c>
      <c r="DW59" s="183">
        <f>((Sheet3!$DB59-(SUM(Sheet3!B59:I59)/4000))/$LP$3)/(((Sheet3!$DA59-Sheet3!$DB59)/$LQ$3)+(Sheet3!$DB59-(SUM(Sheet3!B59:I59)/4000))/$LP$3)</f>
        <v>0.28572938335774684</v>
      </c>
      <c r="DX59" s="186">
        <f>($LR$2*($LP$3/1000))/($LP$2*(Sheet3!DF59+273))*DO59</f>
        <v>0.13167525116803988</v>
      </c>
      <c r="DY59" s="183">
        <f>(($LR$2*($LP$3/1000))/($LP$2*(Sheet3!BZ59+273)))*(DP59)</f>
        <v>0.13168121347531725</v>
      </c>
      <c r="DZ59" s="183">
        <f>(($LR$2*($LP$3/1000))/($LP$2*(Sheet3!CA59+273)))*(DQ59)</f>
        <v>0.13362091261978828</v>
      </c>
      <c r="EA59" s="183">
        <f>(($LR$2*($LP$3/1000))/($LP$2*(Sheet3!CB59+273)))*(DR59)</f>
        <v>0.13554315647918072</v>
      </c>
      <c r="EB59" s="183">
        <f>(($LR$2*($LP$3/1000))/($LP$2*(Sheet3!CC59+273)))*(DS59)</f>
        <v>0.13790610499992384</v>
      </c>
      <c r="EC59" s="183">
        <f>(($LR$2*($LP$3/1000))/($LP$2*(Sheet3!CD59+273)))*(DT59)</f>
        <v>0.13942081661151634</v>
      </c>
      <c r="ED59" s="183">
        <f>(($LR$2*($LP$3/1000))/($LP$2*(Sheet3!CE59+273)))*(DU59)</f>
        <v>0.14114462012505938</v>
      </c>
      <c r="EE59" s="183">
        <f>(($LR$2*($LP$3/1000))/($LP$2*(Sheet3!CF59+273)))*(DV59)</f>
        <v>0.14269241329881055</v>
      </c>
      <c r="EF59" s="183">
        <f>(($LR$2*($LP$3/1000))/($LP$2*(Sheet3!CG59+273)))*(DW59)</f>
        <v>0.14445423682931274</v>
      </c>
      <c r="EG59" s="186">
        <f>(($LR$2*($LQ$3/1000))/($LQ$2*(Sheet3!DF59+273)))*(1-DO59)</f>
        <v>0.52670100467215963</v>
      </c>
      <c r="EH59" s="183">
        <f>(($LR$2*($LQ$3/1000))/($LQ$2*(Sheet3!BZ59+273)))*(1-DP59)</f>
        <v>0.52672485390126911</v>
      </c>
      <c r="EI59" s="183">
        <f>(($LR$2*($LQ$3/1000))/($LQ$2*(Sheet3!CA59+273)))*(1-DQ59)</f>
        <v>0.53491291809592523</v>
      </c>
      <c r="EJ59" s="183">
        <f>(($LR$2*($LQ$3/1000))/($LQ$2*(Sheet3!CB59+273)))*(1-DR59)</f>
        <v>0.54260806889200897</v>
      </c>
      <c r="EK59" s="183">
        <f>(($LR$2*($LQ$3/1000))/($LQ$2*(Sheet3!CC59+273)))*(1-DS59)</f>
        <v>0.55266619577873843</v>
      </c>
      <c r="EL59" s="183">
        <f>(($LR$2*($LQ$3/1000))/($LQ$2*(Sheet3!CD59+273)))*(1-DT59)</f>
        <v>0.55873648471976223</v>
      </c>
      <c r="EM59" s="183">
        <f>(($LR$2*($LQ$3/1000))/($LQ$2*(Sheet3!CE59+273)))*(1-DU59)</f>
        <v>0.56639519308204822</v>
      </c>
      <c r="EN59" s="183">
        <f>(($LR$2*($LQ$3/1000))/($LQ$2*(Sheet3!CF59+273)))*(1-DV59)</f>
        <v>0.57260628786356471</v>
      </c>
      <c r="EO59" s="183">
        <f>(($LR$2*($LQ$3/1000))/($LQ$2*(Sheet3!CG59+273)))*(1-DW59)</f>
        <v>0.58050031000022695</v>
      </c>
      <c r="EP59" s="186">
        <f t="shared" si="132"/>
        <v>9841.2343066179928</v>
      </c>
      <c r="EQ59" s="183">
        <f xml:space="preserve"> (($FV59-(Sheet3!B59/4000))*0.018)/(0.011*JO59*3600)</f>
        <v>9841.6060525018311</v>
      </c>
      <c r="ER59" s="183">
        <f>((($FV59-(SUM(Sheet3!B59:C59)/4000))*0.018)/(0.011*JP59*3600))</f>
        <v>9964.7280855817844</v>
      </c>
      <c r="ES59" s="183">
        <f>((($FV59-(SUM(Sheet3!B59:D59)/4000))*0.018)/(0.011*JQ59*3600))</f>
        <v>10083.786938789064</v>
      </c>
      <c r="ET59" s="183">
        <f>((($FV59-(SUM(Sheet3!B59:E59)/4000))*0.018)/(0.011*JR59))/3600</f>
        <v>10232.779689795849</v>
      </c>
      <c r="EU59" s="183">
        <f>((($FV59-(SUM(Sheet3!B59:F59)/4000))*0.018)/(0.011*JS59))/3600</f>
        <v>10325.733664667037</v>
      </c>
      <c r="EV59" s="183">
        <f>((($FV59-(SUM(Sheet3!B59:G59)/4000))*0.018)/(0.011*JT59))/3600</f>
        <v>10435.276728609506</v>
      </c>
      <c r="EW59" s="183">
        <f>((($FV59-(SUM(Sheet3!B59:H59)/4000))*0.018)/(0.011*JU59))/3600</f>
        <v>10529.574838092067</v>
      </c>
      <c r="EX59" s="183">
        <f>((($FV59-(SUM(Sheet3!B59:I59)/4000))*0.018)/(0.011*JV59))/3600</f>
        <v>10640.997146177637</v>
      </c>
      <c r="EY59" s="186">
        <f t="shared" si="133"/>
        <v>75.974185098944233</v>
      </c>
      <c r="EZ59" s="183">
        <f t="shared" si="134"/>
        <v>75.97639580426538</v>
      </c>
      <c r="FA59" s="183">
        <f t="shared" si="135"/>
        <v>76.702173163463456</v>
      </c>
      <c r="FB59" s="183">
        <f t="shared" si="136"/>
        <v>77.413586683726322</v>
      </c>
      <c r="FC59" s="183">
        <f t="shared" si="137"/>
        <v>78.296786572771225</v>
      </c>
      <c r="FD59" s="183">
        <f t="shared" si="138"/>
        <v>78.856217306269684</v>
      </c>
      <c r="FE59" s="183">
        <f t="shared" si="139"/>
        <v>79.504558229203212</v>
      </c>
      <c r="FF59" s="183">
        <f t="shared" si="140"/>
        <v>80.075549725420984</v>
      </c>
      <c r="FG59" s="183">
        <f t="shared" si="141"/>
        <v>80.738368522368006</v>
      </c>
      <c r="FH59" s="186">
        <f t="shared" si="185"/>
        <v>181.20485459001765</v>
      </c>
      <c r="FI59" s="183">
        <f t="shared" si="186"/>
        <v>181.19977196116932</v>
      </c>
      <c r="FJ59" s="183">
        <f t="shared" si="187"/>
        <v>179.43420543861225</v>
      </c>
      <c r="FK59" s="183">
        <f t="shared" si="188"/>
        <v>177.83840659007811</v>
      </c>
      <c r="FL59" s="183">
        <f t="shared" si="189"/>
        <v>175.74576772541198</v>
      </c>
      <c r="FM59" s="183">
        <f t="shared" si="190"/>
        <v>174.5326927691244</v>
      </c>
      <c r="FN59" s="183">
        <f t="shared" si="191"/>
        <v>172.96972093591717</v>
      </c>
      <c r="FO59" s="183">
        <f t="shared" si="192"/>
        <v>171.76442576599095</v>
      </c>
      <c r="FP59" s="183">
        <f t="shared" si="193"/>
        <v>170.19890006714999</v>
      </c>
      <c r="FQ59" s="314">
        <f>Sheet3!CV59</f>
        <v>1</v>
      </c>
      <c r="FR59" s="183">
        <v>10000</v>
      </c>
      <c r="FS59" s="183">
        <v>20</v>
      </c>
      <c r="FT59" s="183">
        <v>0.20355963302752292</v>
      </c>
      <c r="FU59" s="183">
        <v>12.2</v>
      </c>
      <c r="FV59" s="183">
        <v>500</v>
      </c>
      <c r="FW59" s="183">
        <v>100</v>
      </c>
      <c r="FX59" s="183">
        <v>500</v>
      </c>
      <c r="FY59" s="183">
        <v>7.6</v>
      </c>
      <c r="FZ59" s="183">
        <v>29</v>
      </c>
      <c r="GA59" s="183">
        <v>205</v>
      </c>
      <c r="GB59" s="186">
        <f>EXP($LP$6-($LQ$6/('Trial and Error method'!T59+$LP$8))) / ($LR$2/1000)</f>
        <v>0.16220952205623376</v>
      </c>
      <c r="GC59" s="183">
        <f>EXP($LP$6-($LQ$6/('Trial and Error method'!U59+$LP$8))) / ($LR$2/1000)</f>
        <v>0.19545576278989116</v>
      </c>
      <c r="GD59" s="183">
        <f>EXP($LP$6-($LQ$6/('Trial and Error method'!V59+$LP$8))) / ($LR$2/1000)</f>
        <v>0.1835171929982552</v>
      </c>
      <c r="GE59" s="183">
        <f>EXP($LP$6-($LQ$6/('Trial and Error method'!W59+$LP$8))) / ($LR$2/1000)</f>
        <v>0.1737646522007891</v>
      </c>
      <c r="GF59" s="183">
        <f>EXP($LP$6-($LQ$6/('Trial and Error method'!X59+$LP$8))) / ($LR$2/1000)</f>
        <v>0.16388651196185244</v>
      </c>
      <c r="GG59" s="183">
        <f>EXP($LP$6-($LQ$6/('Trial and Error method'!Y59+$LP$8))) / ($LR$2/1000)</f>
        <v>0.15712101695833727</v>
      </c>
      <c r="GH59" s="183">
        <f>EXP($LP$6-($LQ$6/('Trial and Error method'!Z59+$LP$8))) / ($LR$2/1000)</f>
        <v>0.15026785956723498</v>
      </c>
      <c r="GI59" s="183">
        <f>EXP($LP$6-($LQ$6/('Trial and Error method'!AA59+$LP$8))) / ($LR$2/1000)</f>
        <v>0.1453313686013718</v>
      </c>
      <c r="GJ59" s="183">
        <f>EXP($LP$6-($LQ$6/('Trial and Error method'!AB59+$LP$8))) / ($LR$2/1000)</f>
        <v>0.1410750105728831</v>
      </c>
      <c r="GK59" s="188">
        <f t="shared" si="142"/>
        <v>0.77388982155616459</v>
      </c>
      <c r="GL59" s="165">
        <f t="shared" si="143"/>
        <v>0.7580195997977407</v>
      </c>
      <c r="GM59" s="165">
        <f t="shared" si="144"/>
        <v>0.76382855797629701</v>
      </c>
      <c r="GN59" s="165">
        <f t="shared" si="145"/>
        <v>0.76848382471249133</v>
      </c>
      <c r="GO59" s="165">
        <f t="shared" si="146"/>
        <v>0.77329771747247922</v>
      </c>
      <c r="GP59" s="165">
        <f t="shared" si="147"/>
        <v>0.77650462674100174</v>
      </c>
      <c r="GQ59" s="165">
        <f t="shared" si="148"/>
        <v>0.77988823151544429</v>
      </c>
      <c r="GR59" s="165">
        <f t="shared" si="149"/>
        <v>0.78221710021125201</v>
      </c>
      <c r="GS59" s="165">
        <f t="shared" si="150"/>
        <v>0.78437596928395081</v>
      </c>
      <c r="GT59" s="188">
        <f t="shared" si="194"/>
        <v>0.11930533106479918</v>
      </c>
      <c r="GU59" s="165">
        <f t="shared" si="195"/>
        <v>0.1217927741765113</v>
      </c>
      <c r="GV59" s="165">
        <f t="shared" si="196"/>
        <v>0.12079785824623397</v>
      </c>
      <c r="GW59" s="165">
        <f t="shared" si="197"/>
        <v>0.12001873391866337</v>
      </c>
      <c r="GX59" s="165">
        <f t="shared" si="198"/>
        <v>0.11920824795076293</v>
      </c>
      <c r="GY59" s="165">
        <f t="shared" si="199"/>
        <v>0.11869149765996422</v>
      </c>
      <c r="GZ59" s="165">
        <f t="shared" si="200"/>
        <v>0.11813574372520001</v>
      </c>
      <c r="HA59" s="165">
        <f t="shared" si="201"/>
        <v>0.11776883369952897</v>
      </c>
      <c r="HB59" s="165">
        <f t="shared" si="202"/>
        <v>0.11740430940568188</v>
      </c>
      <c r="HC59" s="188">
        <f>BV59*Sheet3!DF59</f>
        <v>249.35214232174931</v>
      </c>
      <c r="HD59" s="165">
        <f>BW59*Sheet3!BZ59</f>
        <v>249.32465728448278</v>
      </c>
      <c r="HE59" s="165">
        <f>BX59*Sheet3!CA59</f>
        <v>240.06341656160899</v>
      </c>
      <c r="HF59" s="165">
        <f>BY59*Sheet3!CB59</f>
        <v>231.62824293197153</v>
      </c>
      <c r="HG59" s="165">
        <f>BZ59*Sheet3!CC59</f>
        <v>221.01908355532771</v>
      </c>
      <c r="HH59" s="165">
        <f>CA59*Sheet3!CD59</f>
        <v>214.80559074700304</v>
      </c>
      <c r="HI59" s="165">
        <f>CB59*Sheet3!CE59</f>
        <v>207.21277281068853</v>
      </c>
      <c r="HJ59" s="165">
        <f>CC59*Sheet3!CF59</f>
        <v>201.19096417683275</v>
      </c>
      <c r="HK59" s="165">
        <f>CD59*Sheet3!CG59</f>
        <v>193.78723476662245</v>
      </c>
      <c r="HL59" s="188">
        <f>(CE59*Sheet3!DF59)+2501</f>
        <v>2899.0054276934375</v>
      </c>
      <c r="HM59" s="165">
        <f>(CF59*Sheet3!BZ59)+2501</f>
        <v>2898.9609299174813</v>
      </c>
      <c r="HN59" s="165">
        <f>(CG59*Sheet3!CA59)+2501</f>
        <v>2884.173749910296</v>
      </c>
      <c r="HO59" s="165">
        <f>(CH59*Sheet3!CB59)+2501</f>
        <v>2870.5361627702341</v>
      </c>
      <c r="HP59" s="165">
        <f>(CI59*Sheet3!CC59)+2501</f>
        <v>2853.6508015126424</v>
      </c>
      <c r="HQ59" s="165">
        <f>(CJ59*Sheet3!CD59)+2501</f>
        <v>2843.6238164767024</v>
      </c>
      <c r="HR59" s="165">
        <f>(CK59*Sheet3!CE59)+2501</f>
        <v>2831.6617844545108</v>
      </c>
      <c r="HS59" s="165">
        <f>(CL59*Sheet3!CF59)+2501</f>
        <v>2821.9548337701085</v>
      </c>
      <c r="HT59" s="165">
        <f>(CM59*Sheet3!CG59)+2501</f>
        <v>2810.3103908014882</v>
      </c>
      <c r="HU59" s="188">
        <f>-0.0021*(Sheet3!DF59^2) - 2.2115*(Sheet3!DF59) + 2499</f>
        <v>1957.3899999999999</v>
      </c>
      <c r="HV59" s="165">
        <f>-0.0021*(Sheet3!BZ59^2) - 2.2115*(Sheet3!BZ59) + 2499</f>
        <v>1957.4564972825697</v>
      </c>
      <c r="HW59" s="165">
        <f>-0.0021*(Sheet3!CA59^2) - 2.2115*(Sheet3!CA59) + 2499</f>
        <v>1979.4940659551944</v>
      </c>
      <c r="HX59" s="165">
        <f>-0.0021*(Sheet3!CB59^2) - 2.2115*(Sheet3!CB59) + 2499</f>
        <v>1999.7108468780184</v>
      </c>
      <c r="HY59" s="165">
        <f>-0.0021*(Sheet3!CC59^2) - 2.2115*(Sheet3!CC59) + 2499</f>
        <v>2024.5971467232762</v>
      </c>
      <c r="HZ59" s="165">
        <f>-0.0021*(Sheet3!CD59^2) - 2.2115*(Sheet3!CD59) + 2499</f>
        <v>2039.2982315826716</v>
      </c>
      <c r="IA59" s="165">
        <f>-0.0021*(Sheet3!CE59^2) - 2.2115*(Sheet3!CE59) + 2499</f>
        <v>2056.7601138048003</v>
      </c>
      <c r="IB59" s="165">
        <f>-0.0021*(Sheet3!CF59^2) - 2.2115*(Sheet3!CF59) + 2499</f>
        <v>2070.8682723497841</v>
      </c>
      <c r="IC59" s="165">
        <f>-0.0021*(Sheet3!CG59^2) - 2.2115*(Sheet3!CG59) + 2499</f>
        <v>2087.7182475075583</v>
      </c>
      <c r="ID59" s="188">
        <f t="shared" si="203"/>
        <v>0.6543057114733688</v>
      </c>
      <c r="IE59" s="165">
        <f t="shared" si="204"/>
        <v>0.65431534495885535</v>
      </c>
      <c r="IF59" s="165">
        <f t="shared" si="205"/>
        <v>0.65736626908877793</v>
      </c>
      <c r="IG59" s="165">
        <f t="shared" si="206"/>
        <v>0.66056887737739123</v>
      </c>
      <c r="IH59" s="165">
        <f t="shared" si="207"/>
        <v>0.66444048445628068</v>
      </c>
      <c r="II59" s="165">
        <f t="shared" si="208"/>
        <v>0.66707123636658894</v>
      </c>
      <c r="IJ59" s="165">
        <f t="shared" si="209"/>
        <v>0.66993072740417314</v>
      </c>
      <c r="IK59" s="165">
        <f t="shared" si="210"/>
        <v>0.67270698851000998</v>
      </c>
      <c r="IL59" s="165">
        <f t="shared" si="211"/>
        <v>0.67572562278485571</v>
      </c>
      <c r="IM59" s="188">
        <f t="shared" si="212"/>
        <v>29.066268901024049</v>
      </c>
      <c r="IN59" s="165">
        <f t="shared" si="151"/>
        <v>21.747252176701117</v>
      </c>
      <c r="IO59" s="165">
        <f t="shared" si="152"/>
        <v>24.627921755720013</v>
      </c>
      <c r="IP59" s="165">
        <f t="shared" si="153"/>
        <v>27.059618110489435</v>
      </c>
      <c r="IQ59" s="165">
        <f t="shared" si="154"/>
        <v>29.541975216916288</v>
      </c>
      <c r="IR59" s="165">
        <f t="shared" si="155"/>
        <v>31.265066778926283</v>
      </c>
      <c r="IS59" s="165">
        <f t="shared" si="156"/>
        <v>32.984484418591101</v>
      </c>
      <c r="IT59" s="165">
        <f t="shared" si="157"/>
        <v>34.311521322970876</v>
      </c>
      <c r="IU59" s="165">
        <f t="shared" si="158"/>
        <v>35.455816575949996</v>
      </c>
      <c r="IV59" s="188">
        <f>_xlfn.FORECAST.LINEAR(Sheet3!DF59,Sheet2!$AK$2:$AK$69,Sheet2!$AJ$2:$AJ$69)</f>
        <v>1.5962912137298422E-5</v>
      </c>
      <c r="IW59" s="165">
        <f>_xlfn.FORECAST.LINEAR(Sheet3!BZ59,Sheet2!$AK$2:$AK$69,Sheet2!$AJ$2:$AJ$69)</f>
        <v>1.5962154364141685E-5</v>
      </c>
      <c r="IX59" s="165">
        <f>_xlfn.FORECAST.LINEAR(Sheet3!CA59,Sheet2!$AK$2:$AK$69,Sheet2!$AJ$2:$AJ$69)</f>
        <v>1.5709776990422755E-5</v>
      </c>
      <c r="IY59" s="165">
        <f>_xlfn.FORECAST.LINEAR(Sheet3!CB59,Sheet2!$AK$2:$AK$69,Sheet2!$AJ$2:$AJ$69)</f>
        <v>1.5476022181412589E-5</v>
      </c>
      <c r="IZ59" s="165">
        <f>_xlfn.FORECAST.LINEAR(Sheet3!CC59,Sheet2!$AK$2:$AK$69,Sheet2!$AJ$2:$AJ$69)</f>
        <v>1.5185255573371935E-5</v>
      </c>
      <c r="JA59" s="165">
        <f>_xlfn.FORECAST.LINEAR(Sheet3!CD59,Sheet2!$AK$2:$AK$69,Sheet2!$AJ$2:$AJ$69)</f>
        <v>1.5011880359598567E-5</v>
      </c>
      <c r="JB59" s="165">
        <f>_xlfn.FORECAST.LINEAR(Sheet3!CE59,Sheet2!$AK$2:$AK$69,Sheet2!$AJ$2:$AJ$69)</f>
        <v>1.4804349017207643E-5</v>
      </c>
      <c r="JC59" s="165">
        <f>_xlfn.FORECAST.LINEAR(Sheet3!CF59,Sheet2!$AK$2:$AK$69,Sheet2!$AJ$2:$AJ$69)</f>
        <v>1.4635380871775424E-5</v>
      </c>
      <c r="JD59" s="165">
        <f>_xlfn.FORECAST.LINEAR(Sheet3!CG59,Sheet2!$AK$2:$AK$69,Sheet2!$AJ$2:$AJ$69)</f>
        <v>1.4432021548128607E-5</v>
      </c>
      <c r="JE59" s="188">
        <f>_xlfn.FORECAST.LINEAR(Sheet3!DF59,New!$MC$2:$MC$18,New!$MB$2:$MB$18)</f>
        <v>2.5847452754227255E-5</v>
      </c>
      <c r="JF59" s="165">
        <f>_xlfn.FORECAST.LINEAR(Sheet3!BZ59,New!$MC$2:$MC$18,New!$MB$2:$MB$18)</f>
        <v>2.5846561973591349E-5</v>
      </c>
      <c r="JG59" s="165">
        <f>_xlfn.FORECAST.LINEAR(Sheet3!CA59,New!$MC$2:$MC$18,New!$MB$2:$MB$18)</f>
        <v>2.5549886279221832E-5</v>
      </c>
      <c r="JH59" s="165">
        <f>_xlfn.FORECAST.LINEAR(Sheet3!CB59,New!$MC$2:$MC$18,New!$MB$2:$MB$18)</f>
        <v>2.5275101859155162E-5</v>
      </c>
      <c r="JI59" s="165">
        <f>_xlfn.FORECAST.LINEAR(Sheet3!CC59,New!$MC$2:$MC$18,New!$MB$2:$MB$18)</f>
        <v>2.4933298693250113E-5</v>
      </c>
      <c r="JJ59" s="165">
        <f>_xlfn.FORECAST.LINEAR(Sheet3!CD59,New!$MC$2:$MC$18,New!$MB$2:$MB$18)</f>
        <v>2.4729491944749897E-5</v>
      </c>
      <c r="JK59" s="165">
        <f>_xlfn.FORECAST.LINEAR(Sheet3!CE59,New!$MC$2:$MC$18,New!$MB$2:$MB$18)</f>
        <v>2.4485533842642709E-5</v>
      </c>
      <c r="JL59" s="165">
        <f>_xlfn.FORECAST.LINEAR(Sheet3!CF59,New!$MC$2:$MC$18,New!$MB$2:$MB$18)</f>
        <v>2.4286907709349709E-5</v>
      </c>
      <c r="JM59" s="165">
        <f>_xlfn.FORECAST.LINEAR(Sheet3!CG59,New!$MC$2:$MC$18,New!$MB$2:$MB$18)</f>
        <v>2.4047853915975082E-5</v>
      </c>
      <c r="JN59" s="188">
        <f t="shared" si="159"/>
        <v>2.3093925029291481E-5</v>
      </c>
      <c r="JO59" s="165">
        <f t="shared" si="160"/>
        <v>2.3093052705046281E-5</v>
      </c>
      <c r="JP59" s="165">
        <f t="shared" si="161"/>
        <v>2.2804059282740874E-5</v>
      </c>
      <c r="JQ59" s="165">
        <f t="shared" si="162"/>
        <v>2.2534812702745207E-5</v>
      </c>
      <c r="JR59" s="165">
        <f t="shared" si="163"/>
        <v>2.2201889646964343E-5</v>
      </c>
      <c r="JS59" s="165">
        <f t="shared" si="164"/>
        <v>2.2002024537195084E-5</v>
      </c>
      <c r="JT59" s="165">
        <f t="shared" si="165"/>
        <v>2.1765300310195642E-5</v>
      </c>
      <c r="JU59" s="165">
        <f t="shared" si="166"/>
        <v>2.1570380125560388E-5</v>
      </c>
      <c r="JV59" s="165">
        <f t="shared" si="167"/>
        <v>2.1338471434317323E-5</v>
      </c>
      <c r="JW59" s="188">
        <f t="shared" si="231"/>
        <v>0.99342087640971777</v>
      </c>
      <c r="JX59" s="165">
        <f t="shared" si="232"/>
        <v>0.99342773245545546</v>
      </c>
      <c r="JY59" s="165">
        <f t="shared" si="233"/>
        <v>0.99574674123545115</v>
      </c>
      <c r="JZ59" s="165">
        <f t="shared" si="234"/>
        <v>0.99795987843610423</v>
      </c>
      <c r="KA59" s="165">
        <f t="shared" si="235"/>
        <v>1.0008047034647976</v>
      </c>
      <c r="KB59" s="165">
        <f t="shared" si="236"/>
        <v>1.0025516686553604</v>
      </c>
      <c r="KC59" s="165">
        <f t="shared" si="237"/>
        <v>1.0046947774610226</v>
      </c>
      <c r="KD59" s="165">
        <f t="shared" si="238"/>
        <v>1.006483011568815</v>
      </c>
      <c r="KE59" s="165">
        <f t="shared" si="239"/>
        <v>1.0086888274524335</v>
      </c>
      <c r="KF59" s="188">
        <f t="shared" si="75"/>
        <v>0.98626119619886909</v>
      </c>
      <c r="KG59" s="165">
        <f t="shared" si="240"/>
        <v>0.98625517314992306</v>
      </c>
      <c r="KH59" s="165">
        <f t="shared" si="241"/>
        <v>0.9842246400670287</v>
      </c>
      <c r="KI59" s="165">
        <f t="shared" si="242"/>
        <v>0.98229922531265756</v>
      </c>
      <c r="KJ59" s="165">
        <f t="shared" si="243"/>
        <v>0.97984187260789279</v>
      </c>
      <c r="KK59" s="165">
        <f t="shared" si="244"/>
        <v>0.97834258032505739</v>
      </c>
      <c r="KL59" s="165">
        <f t="shared" si="245"/>
        <v>0.97651332512147282</v>
      </c>
      <c r="KM59" s="165">
        <f t="shared" si="246"/>
        <v>0.97499535443032181</v>
      </c>
      <c r="KN59" s="165">
        <f t="shared" si="247"/>
        <v>0.97313332476550951</v>
      </c>
      <c r="KO59" s="188">
        <f t="shared" si="213"/>
        <v>0.65794815876053803</v>
      </c>
      <c r="KP59" s="165">
        <f t="shared" si="214"/>
        <v>0.65801889921201495</v>
      </c>
      <c r="KQ59" s="165">
        <f t="shared" si="215"/>
        <v>0.65401567009364492</v>
      </c>
      <c r="KR59" s="165">
        <f t="shared" si="216"/>
        <v>0.65022970710275552</v>
      </c>
      <c r="KS59" s="165">
        <f t="shared" si="217"/>
        <v>0.64541347680343975</v>
      </c>
      <c r="KT59" s="165">
        <f t="shared" si="218"/>
        <v>0.6424821845149522</v>
      </c>
      <c r="KU59" s="165">
        <f t="shared" si="219"/>
        <v>0.63891688503900412</v>
      </c>
      <c r="KV59" s="165">
        <f t="shared" si="220"/>
        <v>0.63596308443077132</v>
      </c>
      <c r="KW59" s="165">
        <f t="shared" si="221"/>
        <v>0.63242939541181886</v>
      </c>
      <c r="KX59" s="188">
        <f>AVERAGE(Sheet3!J59:P59)*KO59^(1/3)/ID59^(1/3)</f>
        <v>116.62341111983687</v>
      </c>
      <c r="KY59" s="165">
        <f>Sheet3!J59*KP59^(1/3)/IE59^(1/3)</f>
        <v>93.720020441874041</v>
      </c>
      <c r="KZ59" s="165">
        <f>Sheet3!K59*KQ59^(1/3)/IF59^(1/3)</f>
        <v>92.004900849474836</v>
      </c>
      <c r="LA59" s="165">
        <f>Sheet3!L59*KR59^(1/3)/IG59^(1/3)</f>
        <v>96.950437309756339</v>
      </c>
      <c r="LB59" s="165">
        <f>Sheet3!M59*KS59^(1/3)/IH59^(1/3)</f>
        <v>106.17787068221055</v>
      </c>
      <c r="LC59" s="165">
        <f>Sheet3!N59*KT59^(1/3)/II59^(1/3)</f>
        <v>120.23241086776284</v>
      </c>
      <c r="LD59" s="165">
        <f>Sheet3!O59*KU59^(1/3)/IJ59^(1/3)</f>
        <v>138.30903270523498</v>
      </c>
      <c r="LE59" s="165">
        <f>Sheet3!P59*KV59^(1/3)/IK59^(1/3)</f>
        <v>159.20850746820886</v>
      </c>
      <c r="LF59" s="165">
        <f>Sheet3!Q59*KW59^(1/3)/IL59^(1/3)</f>
        <v>182.64574948805566</v>
      </c>
      <c r="LG59" s="186">
        <f t="shared" si="248"/>
        <v>25.822332211443282</v>
      </c>
      <c r="LH59" s="183">
        <f t="shared" si="249"/>
        <v>25.822332211443282</v>
      </c>
      <c r="LI59" s="183">
        <f t="shared" si="250"/>
        <v>25.895696024448377</v>
      </c>
      <c r="LJ59" s="183">
        <f t="shared" si="251"/>
        <v>25.895696024448377</v>
      </c>
      <c r="LK59" s="183">
        <f t="shared" si="252"/>
        <v>25.995552907013337</v>
      </c>
      <c r="LL59" s="183">
        <f t="shared" si="253"/>
        <v>25.995552907013337</v>
      </c>
      <c r="LM59" s="183">
        <f t="shared" si="254"/>
        <v>26.118966052861637</v>
      </c>
      <c r="LN59" s="183">
        <f t="shared" si="255"/>
        <v>26.118966052861637</v>
      </c>
      <c r="LO59" s="183">
        <f t="shared" si="256"/>
        <v>26.252767913927897</v>
      </c>
      <c r="LP59" s="220"/>
      <c r="LQ59" s="220"/>
      <c r="LR59" s="220"/>
      <c r="LS59" s="220"/>
      <c r="LT59" s="222">
        <v>214.85</v>
      </c>
      <c r="LU59" s="220">
        <v>1.5999999999999999E-5</v>
      </c>
      <c r="LV59" s="220"/>
      <c r="LW59" s="220"/>
      <c r="LX59" s="188">
        <f>Sheet3!DP59</f>
        <v>241.90479236297634</v>
      </c>
      <c r="MF59" s="165"/>
      <c r="MJ59"/>
      <c r="MK59"/>
      <c r="ML59"/>
      <c r="MM59"/>
      <c r="MN59"/>
      <c r="MO59"/>
      <c r="MP59"/>
      <c r="MQ59"/>
      <c r="MR59"/>
    </row>
    <row r="60" spans="1:357" x14ac:dyDescent="0.3">
      <c r="A60" s="184">
        <f>Sheet3!A60</f>
        <v>44946</v>
      </c>
      <c r="B60" s="186">
        <f t="shared" si="102"/>
        <v>0.77883965731750637</v>
      </c>
      <c r="C60" s="183">
        <f t="shared" si="168"/>
        <v>0.77744211608055447</v>
      </c>
      <c r="D60" s="183">
        <f t="shared" si="169"/>
        <v>0.7704525881810298</v>
      </c>
      <c r="E60" s="183">
        <f t="shared" si="170"/>
        <v>0.75635767238495577</v>
      </c>
      <c r="F60" s="183">
        <f t="shared" si="171"/>
        <v>0.75490200881504332</v>
      </c>
      <c r="G60" s="183">
        <f t="shared" si="172"/>
        <v>0.75093904965852576</v>
      </c>
      <c r="H60" s="183">
        <f t="shared" si="173"/>
        <v>0.74528059542910319</v>
      </c>
      <c r="I60" s="183">
        <f t="shared" si="174"/>
        <v>0.73759737724706187</v>
      </c>
      <c r="J60" s="183">
        <f t="shared" si="175"/>
        <v>0.73403957926354091</v>
      </c>
      <c r="K60" s="186">
        <f xml:space="preserve"> (6.057 * (10^(-6)))
+ (4.055 * (10^(-8)) * (Sheet3!DF60 + 273))
+ (1.25 * (10^(-10)) * (Sheet3!DF60 + 273)^2)
- (3.367 * (10^(-14)) * (DD60 + 273)^3)</f>
        <v>3.5901943096582051E-5</v>
      </c>
      <c r="L60" s="183">
        <f xml:space="preserve"> (6.057 * (10^(-6)))
+ (4.055 * (10^(-8)) * (Sheet3!BZ60 + 273))
+ (1.25 * (10^(-10)) * (Sheet3!BZ60 + 273)^2)
- (3.367 * (10^(-14)) * (BX60 + 273)^3)</f>
        <v>3.5817274173742567E-5</v>
      </c>
      <c r="M60" s="183">
        <f xml:space="preserve"> (6.057 * (10^(-6)))
+ (4.055 * (10^(-8)) * (Sheet3!CA60 + 273))
+ (1.25 * (10^(-10)) * (Sheet3!CA60 + 273)^2)
- (3.367 * (10^(-14)) * (BY60 + 273)^3)</f>
        <v>3.529870823464301E-5</v>
      </c>
      <c r="N60" s="183">
        <f xml:space="preserve"> (6.057 * (10^(-6)))
+ (4.055 * (10^(-8)) * (Sheet3!CB60 + 273))
+ (1.25 * (10^(-10)) * (Sheet3!CB60 + 273)^2)
- (3.367 * (10^(-14)) * (BZ60 + 273)^3)</f>
        <v>3.4535288017234154E-5</v>
      </c>
      <c r="O60" s="183">
        <f xml:space="preserve"> (6.057 * (10^(-6)))
+ (4.055 * (10^(-8)) * (Sheet3!CC60 + 273))
+ (1.25 * (10^(-10)) * (Sheet3!CC60 + 273)^2)
- (3.367 * (10^(-14)) * (CA60 + 273)^3)</f>
        <v>3.4371346493771927E-5</v>
      </c>
      <c r="P60" s="183">
        <f xml:space="preserve"> (6.057 * (10^(-6)))
+ (4.055 * (10^(-8)) * (Sheet3!CD60 + 273))
+ (1.25 * (10^(-10)) * (Sheet3!CD60 + 273)^2)
- (3.367 * (10^(-14)) * (CB60 + 273)^3)</f>
        <v>3.4160998880666167E-5</v>
      </c>
      <c r="Q60" s="183">
        <f xml:space="preserve"> (6.057 * (10^(-6)))
+ (4.055 * (10^(-8)) * (Sheet3!CE60 + 273))
+ (1.25 * (10^(-10)) * (Sheet3!CE60 + 273)^2)
- (3.367 * (10^(-14)) * (CC60 + 273)^3)</f>
        <v>3.3752185114225718E-5</v>
      </c>
      <c r="R60" s="183">
        <f xml:space="preserve"> (6.057 * (10^(-6)))
+ (4.055 * (10^(-8)) * (Sheet3!CF60 + 273))
+ (1.25 * (10^(-10)) * (Sheet3!CF60 + 273)^2)
- (3.367 * (10^(-14)) * (CD60 + 273)^3)</f>
        <v>3.335944262933747E-5</v>
      </c>
      <c r="S60" s="183">
        <f xml:space="preserve"> (6.057 * (10^(-6)))
+ (4.055 * (10^(-8)) * (Sheet3!CG60 + 273))
+ (1.25 * (10^(-10)) * (Sheet3!CG60 + 273)^2)
- (3.367 * (10^(-14)) * (CE60 + 273)^3)</f>
        <v>3.307664034593364E-5</v>
      </c>
      <c r="T60" s="188">
        <f t="shared" si="104"/>
        <v>3.5901943096582051E-5</v>
      </c>
      <c r="U60" s="165">
        <f t="shared" si="105"/>
        <v>3.5817274173742567E-5</v>
      </c>
      <c r="V60" s="165">
        <f t="shared" si="106"/>
        <v>3.529870823464301E-5</v>
      </c>
      <c r="W60" s="165">
        <f t="shared" si="107"/>
        <v>3.4535288017234154E-5</v>
      </c>
      <c r="X60" s="165">
        <f t="shared" si="108"/>
        <v>3.4371346493771927E-5</v>
      </c>
      <c r="Y60" s="165">
        <f t="shared" si="109"/>
        <v>3.4160998880666167E-5</v>
      </c>
      <c r="Z60" s="165">
        <f t="shared" si="110"/>
        <v>3.3752185114225718E-5</v>
      </c>
      <c r="AA60" s="165">
        <f t="shared" si="111"/>
        <v>3.335944262933747E-5</v>
      </c>
      <c r="AB60" s="165">
        <f t="shared" si="112"/>
        <v>3.307664034593364E-5</v>
      </c>
      <c r="AC60" s="186">
        <f t="shared" si="176"/>
        <v>2.796185705837458E-5</v>
      </c>
      <c r="AD60" s="183">
        <f t="shared" si="177"/>
        <v>2.7845857425871814E-5</v>
      </c>
      <c r="AE60" s="183">
        <f t="shared" si="178"/>
        <v>2.7195981118827738E-5</v>
      </c>
      <c r="AF60" s="183">
        <f t="shared" si="179"/>
        <v>2.6121030059859278E-5</v>
      </c>
      <c r="AG60" s="183">
        <f t="shared" si="180"/>
        <v>2.5946998513826325E-5</v>
      </c>
      <c r="AH60" s="183">
        <f t="shared" si="181"/>
        <v>2.5652828034833413E-5</v>
      </c>
      <c r="AI60" s="183">
        <f t="shared" si="182"/>
        <v>2.5154848618963458E-5</v>
      </c>
      <c r="AJ60" s="183">
        <f t="shared" si="183"/>
        <v>2.4605837389823148E-5</v>
      </c>
      <c r="AK60" s="183">
        <f t="shared" si="184"/>
        <v>2.427956316298059E-5</v>
      </c>
      <c r="AL60" s="186">
        <f t="shared" si="113"/>
        <v>2.9157232604590709E-2</v>
      </c>
      <c r="AM60" s="183">
        <f t="shared" si="114"/>
        <v>2.9082913444462857E-2</v>
      </c>
      <c r="AN60" s="183">
        <f t="shared" si="115"/>
        <v>2.8622485750337011E-2</v>
      </c>
      <c r="AO60" s="183">
        <f t="shared" si="116"/>
        <v>2.7928911992743121E-2</v>
      </c>
      <c r="AP60" s="183">
        <f t="shared" si="117"/>
        <v>2.7784154421682569E-2</v>
      </c>
      <c r="AQ60" s="183">
        <f t="shared" si="118"/>
        <v>2.7591109622550215E-2</v>
      </c>
      <c r="AR60" s="183">
        <f t="shared" si="119"/>
        <v>2.7221945297975114E-2</v>
      </c>
      <c r="AS60" s="183">
        <f t="shared" si="120"/>
        <v>2.6857194856551837E-2</v>
      </c>
      <c r="AT60" s="183">
        <f t="shared" si="121"/>
        <v>2.6605763553815179E-2</v>
      </c>
      <c r="AU60" s="186">
        <f>_xlfn.FORECAST.LINEAR(Sheet3!DF60,Sheet2!$AH$2:$AH$40,Sheet2!$AG$2:$AG$40)</f>
        <v>2.5653712965492358E-2</v>
      </c>
      <c r="AV60" s="183">
        <f>_xlfn.FORECAST.LINEAR(Sheet3!BZ60,Sheet2!$AH$2:$AH$40,Sheet2!$AG$2:$AG$40)</f>
        <v>2.5491137176333625E-2</v>
      </c>
      <c r="AW60" s="183">
        <f>_xlfn.FORECAST.LINEAR(Sheet3!CA60,Sheet2!$AH$2:$AH$40,Sheet2!$AG$2:$AG$40)</f>
        <v>2.4472552914010248E-2</v>
      </c>
      <c r="AX60" s="183">
        <f>_xlfn.FORECAST.LINEAR(Sheet3!CB60,Sheet2!$AH$2:$AH$40,Sheet2!$AG$2:$AG$40)</f>
        <v>2.2958427305167364E-2</v>
      </c>
      <c r="AY60" s="183">
        <f>_xlfn.FORECAST.LINEAR(Sheet3!CC60,Sheet2!$AH$2:$AH$40,Sheet2!$AG$2:$AG$40)</f>
        <v>2.2630962973734736E-2</v>
      </c>
      <c r="AZ60" s="183">
        <f>_xlfn.FORECAST.LINEAR(Sheet3!CD60,Sheet2!$AH$2:$AH$40,Sheet2!$AG$2:$AG$40)</f>
        <v>2.220952705682374E-2</v>
      </c>
      <c r="BA60" s="183">
        <f>_xlfn.FORECAST.LINEAR(Sheet3!CE60,Sheet2!$AH$2:$AH$40,Sheet2!$AG$2:$AG$40)</f>
        <v>2.1386608508929802E-2</v>
      </c>
      <c r="BB60" s="183">
        <f>_xlfn.FORECAST.LINEAR(Sheet3!CF60,Sheet2!$AH$2:$AH$40,Sheet2!$AG$2:$AG$40)</f>
        <v>2.0590981353603568E-2</v>
      </c>
      <c r="BC60" s="183">
        <f>_xlfn.FORECAST.LINEAR(Sheet3!CG60,Sheet2!$AH$2:$AH$40,Sheet2!$AG$2:$AG$40)</f>
        <v>2.0026150371011037E-2</v>
      </c>
      <c r="BD60" s="186">
        <f>_xlfn.FORECAST.LINEAR(Sheet3!DF60,Sheet2!$AB$12:$AB$37,Sheet2!$AA$12:$AA$37)/1000</f>
        <v>3.0506351161118033E-2</v>
      </c>
      <c r="BE60" s="183">
        <f>_xlfn.FORECAST.LINEAR(Sheet3!BZ60,Sheet2!$AB$12:$AB$37,Sheet2!$AA$12:$AA$37)/1000</f>
        <v>3.0470002977727447E-2</v>
      </c>
      <c r="BF60" s="183">
        <f>_xlfn.FORECAST.LINEAR(Sheet3!CA60,Sheet2!$AB$12:$AB$37,Sheet2!$AA$12:$AA$37)/1000</f>
        <v>3.0242271113362675E-2</v>
      </c>
      <c r="BG60" s="183">
        <f>_xlfn.FORECAST.LINEAR(Sheet3!CB60,Sheet2!$AB$12:$AB$37,Sheet2!$AA$12:$AA$37)/1000</f>
        <v>2.9903747673978565E-2</v>
      </c>
      <c r="BH60" s="183">
        <f>_xlfn.FORECAST.LINEAR(Sheet3!CC60,Sheet2!$AB$12:$AB$37,Sheet2!$AA$12:$AA$37)/1000</f>
        <v>2.9830534229133055E-2</v>
      </c>
      <c r="BI60" s="183">
        <f>_xlfn.FORECAST.LINEAR(Sheet3!CD60,Sheet2!$AB$12:$AB$37,Sheet2!$AA$12:$AA$37)/1000</f>
        <v>2.9736310912890661E-2</v>
      </c>
      <c r="BJ60" s="183">
        <f>_xlfn.FORECAST.LINEAR(Sheet3!CE60,Sheet2!$AB$12:$AB$37,Sheet2!$AA$12:$AA$37)/1000</f>
        <v>2.955232537329007E-2</v>
      </c>
      <c r="BK60" s="183">
        <f>_xlfn.FORECAST.LINEAR(Sheet3!CF60,Sheet2!$AB$12:$AB$37,Sheet2!$AA$12:$AA$37)/1000</f>
        <v>2.9374441557366592E-2</v>
      </c>
      <c r="BL60" s="183">
        <f>_xlfn.FORECAST.LINEAR(Sheet3!CG60,Sheet2!$AB$12:$AB$37,Sheet2!$AA$12:$AA$37)/1000</f>
        <v>2.9248158423535932E-2</v>
      </c>
      <c r="BM60" s="186">
        <f t="shared" si="122"/>
        <v>0.88002902053273591</v>
      </c>
      <c r="BN60" s="183">
        <f t="shared" si="123"/>
        <v>0.88161308657292081</v>
      </c>
      <c r="BO60" s="183">
        <f t="shared" si="124"/>
        <v>0.89202730701362287</v>
      </c>
      <c r="BP60" s="183">
        <f t="shared" si="125"/>
        <v>0.90733688265874179</v>
      </c>
      <c r="BQ60" s="183">
        <f t="shared" si="126"/>
        <v>0.91100741125788798</v>
      </c>
      <c r="BR60" s="183">
        <f t="shared" si="127"/>
        <v>0.91540234309838509</v>
      </c>
      <c r="BS60" s="183">
        <f t="shared" si="128"/>
        <v>0.92449208490889978</v>
      </c>
      <c r="BT60" s="183">
        <f t="shared" si="129"/>
        <v>0.93306166868903184</v>
      </c>
      <c r="BU60" s="183">
        <f t="shared" si="130"/>
        <v>0.93957320532092681</v>
      </c>
      <c r="BV60" s="186">
        <f t="shared" si="222"/>
        <v>1.1849043564046586</v>
      </c>
      <c r="BW60" s="183">
        <f t="shared" si="223"/>
        <v>1.1846751737923744</v>
      </c>
      <c r="BX60" s="183">
        <f t="shared" si="224"/>
        <v>1.1798436718204233</v>
      </c>
      <c r="BY60" s="183">
        <f t="shared" si="225"/>
        <v>1.178406565546924</v>
      </c>
      <c r="BZ60" s="183">
        <f t="shared" si="226"/>
        <v>1.1754066597248174</v>
      </c>
      <c r="CA60" s="183">
        <f t="shared" si="227"/>
        <v>1.1749567947810506</v>
      </c>
      <c r="CB60" s="183">
        <f t="shared" si="228"/>
        <v>1.1705615420134279</v>
      </c>
      <c r="CC60" s="183">
        <f t="shared" si="229"/>
        <v>1.1698014411401727</v>
      </c>
      <c r="CD60" s="183">
        <f t="shared" si="230"/>
        <v>1.1662837790781111</v>
      </c>
      <c r="CE60" s="187">
        <f xml:space="preserve"> -0.0000000019505*Sheet3!DF60^3 + 0.0000015497*Sheet3!DF60^2  + 0.00016911*Sheet3!DF60 + 1.8585</f>
        <v>1.8828730816875001</v>
      </c>
      <c r="CF60" s="185">
        <f xml:space="preserve"> -0.0000000019505*Sheet3!BZ60^3 + 0.0000015497*Sheet3!BZ60^2  + 0.00016911*Sheet3!BZ60 + 1.8585</f>
        <v>1.8826238506162942</v>
      </c>
      <c r="CG60" s="185">
        <f xml:space="preserve"> -0.0000000019505*Sheet3!CA60^3 + 0.0000015497*Sheet3!CA60^2  + 0.00016911*Sheet3!CA60 + 1.8585</f>
        <v>1.8810821396904114</v>
      </c>
      <c r="CH60" s="185">
        <f xml:space="preserve"> -0.0000000019505*Sheet3!CB60^3 + 0.0000015497*Sheet3!CB60^2  + 0.00016911*Sheet3!CB60 + 1.8585</f>
        <v>1.8788547055748608</v>
      </c>
      <c r="CI60" s="185">
        <f xml:space="preserve"> -0.0000000019505*Sheet3!CC60^3 + 0.0000015497*Sheet3!CC60^2  + 0.00016911*Sheet3!CC60 + 1.8585</f>
        <v>1.8783832915536676</v>
      </c>
      <c r="CJ60" s="185">
        <f xml:space="preserve"> -0.0000000019505*Sheet3!CD60^3 + 0.0000015497*Sheet3!CD60^2  + 0.00016911*Sheet3!CD60 + 1.8585</f>
        <v>1.8777820827937957</v>
      </c>
      <c r="CK60" s="185">
        <f xml:space="preserve"> -0.0000000019505*Sheet3!CE60^3 + 0.0000015497*Sheet3!CE60^2  + 0.00016911*Sheet3!CE60 + 1.8585</f>
        <v>1.876626119631676</v>
      </c>
      <c r="CL60" s="185">
        <f xml:space="preserve"> -0.0000000019505*Sheet3!CF60^3 + 0.0000015497*Sheet3!CF60^2  + 0.00016911*Sheet3!CF60 + 1.8585</f>
        <v>1.8755314283514068</v>
      </c>
      <c r="CM60" s="185">
        <f xml:space="preserve"> -0.0000000019505*Sheet3!CG60^3 + 0.0000015497*Sheet3!CG60^2  + 0.00016911*Sheet3!CG60 + 1.8585</f>
        <v>1.8747681713016258</v>
      </c>
      <c r="CN60" s="186">
        <f>_xlfn.FORECAST.LINEAR(Sheet3!DF60,New!$LU$2:$LU$14,New!$LT$2:$LT$14)</f>
        <v>1.0126209368728181</v>
      </c>
      <c r="CO60" s="183">
        <f>_xlfn.FORECAST.LINEAR(Sheet3!BZ60,New!$LU$2:$LU$14,New!$LT$2:$LT$14)</f>
        <v>1.0125012789591201</v>
      </c>
      <c r="CP60" s="183">
        <f>_xlfn.FORECAST.LINEAR(Sheet3!CA60,New!$LU$2:$LU$14,New!$LT$2:$LT$14)</f>
        <v>1.0117515875789591</v>
      </c>
      <c r="CQ60" s="183">
        <f>_xlfn.FORECAST.LINEAR(Sheet3!CB60,New!$LU$2:$LU$14,New!$LT$2:$LT$14)</f>
        <v>1.0106371712666147</v>
      </c>
      <c r="CR60" s="183">
        <f>_xlfn.FORECAST.LINEAR(Sheet3!CC60,New!$LU$2:$LU$14,New!$LT$2:$LT$14)</f>
        <v>1.0103961532225845</v>
      </c>
      <c r="CS60" s="183">
        <f>_xlfn.FORECAST.LINEAR(Sheet3!CD60,New!$LU$2:$LU$14,New!$LT$2:$LT$14)</f>
        <v>1.0100859708588026</v>
      </c>
      <c r="CT60" s="183">
        <f>_xlfn.FORECAST.LINEAR(Sheet3!CE60,New!$LU$2:$LU$14,New!$LT$2:$LT$14)</f>
        <v>1.0094802920114547</v>
      </c>
      <c r="CU60" s="183">
        <f>_xlfn.FORECAST.LINEAR(Sheet3!CF60,New!$LU$2:$LU$14,New!$LT$2:$LT$14)</f>
        <v>1.0088946999870803</v>
      </c>
      <c r="CV60" s="183">
        <f>_xlfn.FORECAST.LINEAR(Sheet3!CG60,New!$LU$2:$LU$14,New!$LT$2:$LT$14)</f>
        <v>1.0084789769737168</v>
      </c>
      <c r="CW60" s="186">
        <f>EXP((17.625*Sheet3!BA60)/(243.04+Sheet3!BA60)) / EXP((17.625*Sheet3!DF60)/(243.04+Sheet3!DF60))</f>
        <v>0.41680419672659952</v>
      </c>
      <c r="CX60" s="183">
        <f>EXP((17.625*(Sheet3!BC60+273))/(243.04+(Sheet3!BC60+273)))/EXP((17.625*(Sheet3!BZ60+273))/(243.04+(Sheet3!BZ60+273)))</f>
        <v>0.78232576375741092</v>
      </c>
      <c r="CY60" s="183">
        <f>EXP((17.625*(Sheet3!BE60+273))/(243.04+(Sheet3!BE60+273))) / EXP((17.625*(Sheet3!CA60+273))/(243.04+(Sheet3!CA60+273)))</f>
        <v>0.81690446880899747</v>
      </c>
      <c r="CZ60" s="183">
        <f>EXP((17.625*(Sheet3!BG60+273))/(243.04+(Sheet3!BG60+273))) / EXP((17.625*(Sheet3!CB60+273))/(243.04+(Sheet3!CB60+273)))</f>
        <v>0.87818413831842368</v>
      </c>
      <c r="DA60" s="183">
        <f>EXP((17.625*(Sheet3!BI60+273))/(243.04+(Sheet3!BI60+273))) / EXP((17.625*(Sheet3!CC60+273))/(243.04+(Sheet3!CC60+273)))</f>
        <v>0.88927953521636327</v>
      </c>
      <c r="DB60" s="183">
        <f>EXP((17.625*(Sheet3!BK60+273))/(243.04+(Sheet3!BK60+273)))/EXP((17.625*(Sheet3!CD60+273))/(243.04+(Sheet3!CD60+273)))</f>
        <v>0.9076259990521699</v>
      </c>
      <c r="DC60" s="183">
        <f>EXP((17.625*(Sheet3!BM60+273))/(243.04+(Sheet3!BM60+273))) / EXP((17.625*(Sheet3!CE60+273))/(243.04+(Sheet3!CE60+273)))</f>
        <v>0.94073769950878428</v>
      </c>
      <c r="DD60" s="183">
        <f>EXP((17.625*(Sheet3!BO60+273))/(243.04+(Sheet3!BO60+273))) / EXP((17.625*(Sheet3!CF60+273))/(243.04+(Sheet3!CF60+273)))</f>
        <v>0.97853827630559476</v>
      </c>
      <c r="DE60" s="183">
        <f>EXP((17.625*(Sheet3!BQ60+273))/(243.04+(Sheet3!BQ60+273))) / EXP((17.625*(Sheet3!CG60+273))/(243.04+(Sheet3!CG60+273)))</f>
        <v>1.0027524772780394</v>
      </c>
      <c r="DF60" s="186">
        <f>((Sheet3!DA60-Sheet3!DB60)/New!$LQ$3)/(((Sheet3!DA60-Sheet3!DB60)/New!$LQ$3)+(Sheet3!DB60/New!$LP$3))</f>
        <v>0.71592203852799807</v>
      </c>
      <c r="DG60" s="183">
        <f>((Sheet3!DA60-Sheet3!DB60)/New!$LQ$3)/(((Sheet3!DA60-Sheet3!DB60)/New!$LQ$3)+((Sheet3!DB60-(Sheet3!B60*0.004))/New!$LP$3))</f>
        <v>0.71629770201906884</v>
      </c>
      <c r="DH60" s="183" cm="1">
        <f t="array" ref="DH60">((Sheet3!DA60-Sheet3!DB60)/New!$LQ$3)/(((Sheet3!DA60-Sheet3!DB60)/New!$LQ$3)+((Sheet3!DB60-(SUM(Sheet3!B60:C60*0.004)))/New!$LP$3))</f>
        <v>0.73430009906551585</v>
      </c>
      <c r="DI60" s="183" cm="1">
        <f t="array" ref="DI60">((Sheet3!DA60-Sheet3!DB60)/New!$LQ$3)/(((Sheet3!DA60-Sheet3!DB60)/New!$LQ$3)+((Sheet3!DB60-(SUM(Sheet3!B60:D60*0.004)))/New!$LP$3))</f>
        <v>0.73480515655263212</v>
      </c>
      <c r="DJ60" s="183" cm="1">
        <f t="array" ref="DJ60">((Sheet3!DA60-Sheet3!DB60)/New!$LQ$3)/(((Sheet3!DA60-Sheet3!DB60)/New!$LQ$3)+((Sheet3!DB60-(SUM(Sheet3!B60:E60*0.004)))/New!$LP$3))</f>
        <v>0.74777510916255052</v>
      </c>
      <c r="DK60" s="183" cm="1">
        <f t="array" ref="DK60">((Sheet3!DA60-Sheet3!DB60)/New!$LQ$3)/(((Sheet3!DA60-Sheet3!DB60)/New!$LQ$3)+((Sheet3!DB60-(SUM(Sheet3!B60:F60*0.004)))/New!$LP$3))</f>
        <v>0.74818495419526854</v>
      </c>
      <c r="DL60" s="183" cm="1">
        <f t="array" ref="DL60">((Sheet3!DA60-Sheet3!DB60)/New!$LQ$3)/(((Sheet3!DA60-Sheet3!DB60)/New!$LQ$3)+((Sheet3!DB60-(SUM(Sheet3!B60:G60*0.004)))/New!$LP$3))</f>
        <v>0.76650648063500493</v>
      </c>
      <c r="DM60" s="183" cm="1">
        <f t="array" ref="DM60">((Sheet3!DA60-Sheet3!DB60)/New!$LQ$3)/(((Sheet3!DA60-Sheet3!DB60)/New!$LQ$3)+((Sheet3!DB60-(SUM(Sheet3!B60:H60*0.004)))/New!$LP$3))</f>
        <v>0.76691318436164335</v>
      </c>
      <c r="DN60" s="183" cm="1">
        <f t="array" ref="DN60">((Sheet3!DA60-Sheet3!DB60)/New!$LQ$3)/(((Sheet3!DA60-Sheet3!DB60)/New!$LQ$3)+((Sheet3!DB60-(SUM(Sheet3!B60:I60*0.004)))/New!$LP$3))</f>
        <v>0.7826693834394256</v>
      </c>
      <c r="DO60" s="186">
        <f>(Sheet3!DB60/$LP$3) / ((Sheet3!DB60/$LP$3) + ((Sheet3!DA60-Sheet3!DB60)/$LQ$3))</f>
        <v>0.28407796147200193</v>
      </c>
      <c r="DP60" s="183">
        <f>((Sheet3!$DB60-(Sheet3!B60/4000)) / $LP$3) / (((Sheet3!$DA60-Sheet3!DB60) / $LQ$3) + (Sheet3!$DB60-((Sheet3!B60/4000)))/$LP$3)</f>
        <v>0.2840544940481724</v>
      </c>
      <c r="DQ60" s="183">
        <f>((Sheet3!$DB60-(SUM(Sheet3!B60:C60)/4000))/$LP$3)/(((Sheet3!$DA60-Sheet3!$DB60)/$LQ$3)+(Sheet3!$DB60-(SUM(Sheet3!B60:C60)/4000))/$LP$3)</f>
        <v>0.28295632604795107</v>
      </c>
      <c r="DR60" s="183">
        <f>((Sheet3!$DB60-(SUM(Sheet3!B60:D60)/4000))/$LP$3)/(((Sheet3!$DA60-Sheet3!$DB60)/$LQ$3)+(Sheet3!$DB60-(SUM(Sheet3!B60:D60)/4000))/$LP$3)</f>
        <v>0.28292624558716867</v>
      </c>
      <c r="DS60" s="183">
        <f>((Sheet3!$DB60-(SUM(Sheet3!B60:E60)/4000))/$LP$3)/(((Sheet3!$DA60-Sheet3!$DB60)/$LQ$3)+(Sheet3!$DB60-(SUM(Sheet3!B60:E60)/4000))/$LP$3)</f>
        <v>0.28216685967126121</v>
      </c>
      <c r="DT60" s="183">
        <f>((Sheet3!$DB60-(SUM(Sheet3!B60:F60)/4000))/$LP$3)/(((Sheet3!$DA60-Sheet3!$DB60)/$LQ$3)+(Sheet3!$DB60-(SUM(Sheet3!B60:F60)/4000))/$LP$3)</f>
        <v>0.28214326678898066</v>
      </c>
      <c r="DU60" s="183">
        <f>((Sheet3!$DB60-(SUM(Sheet3!B60:G60)/4000))/$LP$3)/(((Sheet3!$DA60-Sheet3!$DB60)/$LQ$3)+(Sheet3!$DB60-(SUM(Sheet3!B60:G60)/4000))/$LP$3)</f>
        <v>0.28111284419699356</v>
      </c>
      <c r="DV60" s="183">
        <f>((Sheet3!$DB60-(SUM(Sheet3!B60:H60)/4000))/$LP$3)/(((Sheet3!$DA60-Sheet3!$DB60)/$LQ$3)+(Sheet3!$DB60-(SUM(Sheet3!B60:H60)/4000))/$LP$3)</f>
        <v>0.28109049658702295</v>
      </c>
      <c r="DW60" s="183">
        <f>((Sheet3!$DB60-(SUM(Sheet3!B60:I60)/4000))/$LP$3)/(((Sheet3!$DA60-Sheet3!$DB60)/$LQ$3)+(Sheet3!$DB60-(SUM(Sheet3!B60:I60)/4000))/$LP$3)</f>
        <v>0.28024157435038766</v>
      </c>
      <c r="DX60" s="186">
        <f>($LR$2*($LP$3/1000))/($LP$2*(Sheet3!DF60+273))*DO60</f>
        <v>0.17421894315115077</v>
      </c>
      <c r="DY60" s="183">
        <f>(($LR$2*($LP$3/1000))/($LP$2*(Sheet3!BZ60+273)))*(DP60)</f>
        <v>0.17451638802639821</v>
      </c>
      <c r="DZ60" s="183">
        <f>(($LR$2*($LP$3/1000))/($LP$2*(Sheet3!CA60+273)))*(DQ60)</f>
        <v>0.1758134926746294</v>
      </c>
      <c r="EA60" s="183">
        <f>(($LR$2*($LP$3/1000))/($LP$2*(Sheet3!CB60+273)))*(DR60)</f>
        <v>0.1788096353586866</v>
      </c>
      <c r="EB60" s="183">
        <f>(($LR$2*($LP$3/1000))/($LP$2*(Sheet3!CC60+273)))*(DS60)</f>
        <v>0.17899359385175476</v>
      </c>
      <c r="EC60" s="183">
        <f>(($LR$2*($LP$3/1000))/($LP$2*(Sheet3!CD60+273)))*(DT60)</f>
        <v>0.17984027113813059</v>
      </c>
      <c r="ED60" s="183">
        <f>(($LR$2*($LP$3/1000))/($LP$2*(Sheet3!CE60+273)))*(DU60)</f>
        <v>0.18088387391864907</v>
      </c>
      <c r="EE60" s="183">
        <f>(($LR$2*($LP$3/1000))/($LP$2*(Sheet3!CF60+273)))*(DV60)</f>
        <v>0.18254433981089976</v>
      </c>
      <c r="EF60" s="183">
        <f>(($LR$2*($LP$3/1000))/($LP$2*(Sheet3!CG60+273)))*(DW60)</f>
        <v>0.18319734503427096</v>
      </c>
      <c r="EG60" s="186">
        <f>(($LR$2*($LQ$3/1000))/($LQ$2*(Sheet3!DF60+273)))*(1-DO60)</f>
        <v>0.70581007738158519</v>
      </c>
      <c r="EH60" s="183">
        <f>(($LR$2*($LQ$3/1000))/($LQ$2*(Sheet3!BZ60+273)))*(1-DP60)</f>
        <v>0.70709669854652257</v>
      </c>
      <c r="EI60" s="183">
        <f>(($LR$2*($LQ$3/1000))/($LQ$2*(Sheet3!CA60+273)))*(1-DQ60)</f>
        <v>0.71621381433899345</v>
      </c>
      <c r="EJ60" s="183">
        <f>(($LR$2*($LQ$3/1000))/($LQ$2*(Sheet3!CB60+273)))*(1-DR60)</f>
        <v>0.72852724730005525</v>
      </c>
      <c r="EK60" s="183">
        <f>(($LR$2*($LQ$3/1000))/($LQ$2*(Sheet3!CC60+273)))*(1-DS60)</f>
        <v>0.73201381740613325</v>
      </c>
      <c r="EL60" s="183">
        <f>(($LR$2*($LQ$3/1000))/($LQ$2*(Sheet3!CD60+273)))*(1-DT60)</f>
        <v>0.73556207196025447</v>
      </c>
      <c r="EM60" s="183">
        <f>(($LR$2*($LQ$3/1000))/($LQ$2*(Sheet3!CE60+273)))*(1-DU60)</f>
        <v>0.74360821099025065</v>
      </c>
      <c r="EN60" s="183">
        <f>(($LR$2*($LQ$3/1000))/($LQ$2*(Sheet3!CF60+273)))*(1-DV60)</f>
        <v>0.75051732887813205</v>
      </c>
      <c r="EO60" s="183">
        <f>(($LR$2*($LQ$3/1000))/($LQ$2*(Sheet3!CG60+273)))*(1-DW60)</f>
        <v>0.75637586028665582</v>
      </c>
      <c r="EP60" s="186">
        <f t="shared" si="132"/>
        <v>4903.4508961443398</v>
      </c>
      <c r="EQ60" s="183">
        <f xml:space="preserve"> (($FV60-(Sheet3!B60/4000))*0.018)/(0.011*JO60*3600)</f>
        <v>4910.2801796958611</v>
      </c>
      <c r="ER60" s="183">
        <f>((($FV60-(SUM(Sheet3!B60:C60)/4000))*0.018)/(0.011*JP60*3600))</f>
        <v>4946.542348736888</v>
      </c>
      <c r="ES60" s="183">
        <f>((($FV60-(SUM(Sheet3!B60:D60)/4000))*0.018)/(0.011*JQ60*3600))</f>
        <v>5013.6062312172608</v>
      </c>
      <c r="ET60" s="183">
        <f>((($FV60-(SUM(Sheet3!B60:E60)/4000))*0.018)/(0.011*JR60))/3600</f>
        <v>5022.7262040297273</v>
      </c>
      <c r="EU60" s="183">
        <f>((($FV60-(SUM(Sheet3!B60:F60)/4000))*0.018)/(0.011*JS60))/3600</f>
        <v>5041.7007573077008</v>
      </c>
      <c r="EV60" s="183">
        <f>((($FV60-(SUM(Sheet3!B60:G60)/4000))*0.018)/(0.011*JT60))/3600</f>
        <v>5071.7316575107443</v>
      </c>
      <c r="EW60" s="183">
        <f>((($FV60-(SUM(Sheet3!B60:H60)/4000))*0.018)/(0.011*JU60))/3600</f>
        <v>5108.6231014330706</v>
      </c>
      <c r="EX60" s="183">
        <f>((($FV60-(SUM(Sheet3!B60:I60)/4000))*0.018)/(0.011*JV60))/3600</f>
        <v>5128.7595942186836</v>
      </c>
      <c r="EY60" s="186">
        <f t="shared" si="133"/>
        <v>51.25689010662046</v>
      </c>
      <c r="EZ60" s="183">
        <f t="shared" si="134"/>
        <v>51.319292274733229</v>
      </c>
      <c r="FA60" s="183">
        <f t="shared" si="135"/>
        <v>51.621728825862284</v>
      </c>
      <c r="FB60" s="183">
        <f t="shared" si="136"/>
        <v>52.245839845923506</v>
      </c>
      <c r="FC60" s="183">
        <f t="shared" si="137"/>
        <v>52.307445422075752</v>
      </c>
      <c r="FD60" s="183">
        <f t="shared" si="138"/>
        <v>52.484650571890732</v>
      </c>
      <c r="FE60" s="183">
        <f t="shared" si="139"/>
        <v>52.734231817774351</v>
      </c>
      <c r="FF60" s="183">
        <f t="shared" si="140"/>
        <v>53.081917024523371</v>
      </c>
      <c r="FG60" s="183">
        <f t="shared" si="141"/>
        <v>53.245046730698981</v>
      </c>
      <c r="FH60" s="186">
        <f t="shared" si="185"/>
        <v>83.02828152370428</v>
      </c>
      <c r="FI60" s="183">
        <f t="shared" si="186"/>
        <v>82.917474180953221</v>
      </c>
      <c r="FJ60" s="183">
        <f t="shared" si="187"/>
        <v>82.085677651444712</v>
      </c>
      <c r="FK60" s="183">
        <f t="shared" si="188"/>
        <v>81.064970169097194</v>
      </c>
      <c r="FL60" s="183">
        <f t="shared" si="189"/>
        <v>80.739896722815871</v>
      </c>
      <c r="FM60" s="183">
        <f t="shared" si="190"/>
        <v>80.450541523904448</v>
      </c>
      <c r="FN60" s="183">
        <f t="shared" si="191"/>
        <v>79.751576326344022</v>
      </c>
      <c r="FO60" s="183">
        <f t="shared" si="192"/>
        <v>79.201743827052255</v>
      </c>
      <c r="FP60" s="183">
        <f t="shared" si="193"/>
        <v>78.701395762712067</v>
      </c>
      <c r="FQ60" s="314">
        <f>Sheet3!CV60</f>
        <v>4</v>
      </c>
      <c r="FR60" s="183">
        <v>5000</v>
      </c>
      <c r="FS60" s="183">
        <v>20</v>
      </c>
      <c r="FT60" s="183">
        <v>0.19089130434782609</v>
      </c>
      <c r="FU60" s="183">
        <v>29</v>
      </c>
      <c r="FV60" s="183">
        <v>197</v>
      </c>
      <c r="FW60" s="183">
        <v>39</v>
      </c>
      <c r="FX60" s="183">
        <v>786</v>
      </c>
      <c r="FY60" s="183">
        <v>7.2</v>
      </c>
      <c r="FZ60" s="183">
        <v>10</v>
      </c>
      <c r="GA60" s="183">
        <v>85</v>
      </c>
      <c r="GB60" s="186">
        <f>EXP($LP$6-($LQ$6/('Trial and Error method'!T60+$LP$8))) / ($LR$2/1000)</f>
        <v>3.5207831898615476E-2</v>
      </c>
      <c r="GC60" s="183">
        <f>EXP($LP$6-($LQ$6/('Trial and Error method'!U60+$LP$8))) / ($LR$2/1000)</f>
        <v>4.8986928674027597E-2</v>
      </c>
      <c r="GD60" s="183">
        <f>EXP($LP$6-($LQ$6/('Trial and Error method'!V60+$LP$8))) / ($LR$2/1000)</f>
        <v>4.653504066948274E-2</v>
      </c>
      <c r="GE60" s="183">
        <f>EXP($LP$6-($LQ$6/('Trial and Error method'!W60+$LP$8))) / ($LR$2/1000)</f>
        <v>4.4429745041677578E-2</v>
      </c>
      <c r="GF60" s="183">
        <f>EXP($LP$6-($LQ$6/('Trial and Error method'!X60+$LP$8))) / ($LR$2/1000)</f>
        <v>4.2567047528427472E-2</v>
      </c>
      <c r="GG60" s="183">
        <f>EXP($LP$6-($LQ$6/('Trial and Error method'!Y60+$LP$8))) / ($LR$2/1000)</f>
        <v>4.0970388845328706E-2</v>
      </c>
      <c r="GH60" s="183">
        <f>EXP($LP$6-($LQ$6/('Trial and Error method'!Z60+$LP$8))) / ($LR$2/1000)</f>
        <v>3.9211212357376929E-2</v>
      </c>
      <c r="GI60" s="183">
        <f>EXP($LP$6-($LQ$6/('Trial and Error method'!AA60+$LP$8))) / ($LR$2/1000)</f>
        <v>3.7738345635286635E-2</v>
      </c>
      <c r="GJ60" s="183">
        <f>EXP($LP$6-($LQ$6/('Trial and Error method'!AB60+$LP$8))) / ($LR$2/1000)</f>
        <v>3.6202281654029812E-2</v>
      </c>
      <c r="GK60" s="188">
        <f t="shared" si="142"/>
        <v>0.83417890669878414</v>
      </c>
      <c r="GL60" s="165">
        <f t="shared" si="143"/>
        <v>0.82792497471749149</v>
      </c>
      <c r="GM60" s="165">
        <f t="shared" si="144"/>
        <v>0.82964756639623383</v>
      </c>
      <c r="GN60" s="165">
        <f t="shared" si="145"/>
        <v>0.83062321372609571</v>
      </c>
      <c r="GO60" s="165">
        <f t="shared" si="146"/>
        <v>0.83189021577623079</v>
      </c>
      <c r="GP60" s="165">
        <f t="shared" si="147"/>
        <v>0.83262994667622536</v>
      </c>
      <c r="GQ60" s="165">
        <f t="shared" si="148"/>
        <v>0.83399918558491393</v>
      </c>
      <c r="GR60" s="165">
        <f t="shared" si="149"/>
        <v>0.83468147622626154</v>
      </c>
      <c r="GS60" s="165">
        <f t="shared" si="150"/>
        <v>0.83584889668796969</v>
      </c>
      <c r="GT60" s="188">
        <f t="shared" si="194"/>
        <v>6.1728712667354309E-2</v>
      </c>
      <c r="GU60" s="165">
        <f t="shared" si="195"/>
        <v>6.2198435336365217E-2</v>
      </c>
      <c r="GV60" s="165">
        <f t="shared" si="196"/>
        <v>6.2070852003137389E-2</v>
      </c>
      <c r="GW60" s="165">
        <f t="shared" si="197"/>
        <v>6.2060924454273692E-2</v>
      </c>
      <c r="GX60" s="165">
        <f t="shared" si="198"/>
        <v>6.1954950502054663E-2</v>
      </c>
      <c r="GY60" s="165">
        <f t="shared" si="199"/>
        <v>6.1918576618052119E-2</v>
      </c>
      <c r="GZ60" s="165">
        <f t="shared" si="200"/>
        <v>6.182088682844427E-2</v>
      </c>
      <c r="HA60" s="165">
        <f t="shared" si="201"/>
        <v>6.1809886959408825E-2</v>
      </c>
      <c r="HB60" s="165">
        <f t="shared" si="202"/>
        <v>6.1717238111577449E-2</v>
      </c>
      <c r="HC60" s="188">
        <f>BV60*Sheet3!DF60</f>
        <v>100.71687029439599</v>
      </c>
      <c r="HD60" s="165">
        <f>BW60*Sheet3!BZ60</f>
        <v>99.939556506612561</v>
      </c>
      <c r="HE60" s="165">
        <f>BX60*Sheet3!CA60</f>
        <v>94.803289418914744</v>
      </c>
      <c r="HF60" s="165">
        <f>BY60*Sheet3!CB60</f>
        <v>87.667192868203827</v>
      </c>
      <c r="HG60" s="165">
        <f>BZ60*Sheet3!CC60</f>
        <v>85.929510993718125</v>
      </c>
      <c r="HH60" s="165">
        <f>CA60*Sheet3!CD60</f>
        <v>83.948250764735263</v>
      </c>
      <c r="HI60" s="165">
        <f>CB60*Sheet3!CE60</f>
        <v>79.843953678151124</v>
      </c>
      <c r="HJ60" s="165">
        <f>CC60*Sheet3!CF60</f>
        <v>76.129922423818527</v>
      </c>
      <c r="HK60" s="165">
        <f>CD60*Sheet3!CG60</f>
        <v>73.308957909861803</v>
      </c>
      <c r="HL60" s="188">
        <f>(CE60*Sheet3!DF60)+2501</f>
        <v>2661.0442119434374</v>
      </c>
      <c r="HM60" s="165">
        <f>(CF60*Sheet3!BZ60)+2501</f>
        <v>2659.8187182964793</v>
      </c>
      <c r="HN60" s="165">
        <f>(CG60*Sheet3!CA60)+2501</f>
        <v>2652.1494944365513</v>
      </c>
      <c r="HO60" s="165">
        <f>(CH60*Sheet3!CB60)+2501</f>
        <v>2640.7768161351987</v>
      </c>
      <c r="HP60" s="165">
        <f>(CI60*Sheet3!CC60)+2501</f>
        <v>2638.3214592299196</v>
      </c>
      <c r="HQ60" s="165">
        <f>(CJ60*Sheet3!CD60)+2501</f>
        <v>2635.163674671353</v>
      </c>
      <c r="HR60" s="165">
        <f>(CK60*Sheet3!CE60)+2501</f>
        <v>2629.0045888995737</v>
      </c>
      <c r="HS60" s="165">
        <f>(CL60*Sheet3!CF60)+2501</f>
        <v>2623.0583742867152</v>
      </c>
      <c r="HT60" s="165">
        <f>(CM60*Sheet3!CG60)+2501</f>
        <v>2618.8420753389341</v>
      </c>
      <c r="HU60" s="188">
        <f>-0.0021*(Sheet3!DF60^2) - 2.2115*(Sheet3!DF60) + 2499</f>
        <v>2295.85</v>
      </c>
      <c r="HV60" s="165">
        <f>-0.0021*(Sheet3!BZ60^2) - 2.2115*(Sheet3!BZ60) + 2499</f>
        <v>2297.4922026393738</v>
      </c>
      <c r="HW60" s="165">
        <f>-0.0021*(Sheet3!CA60^2) - 2.2115*(Sheet3!CA60) + 2499</f>
        <v>2307.7419596728737</v>
      </c>
      <c r="HX60" s="165">
        <f>-0.0021*(Sheet3!CB60^2) - 2.2115*(Sheet3!CB60) + 2499</f>
        <v>2322.8535425684013</v>
      </c>
      <c r="HY60" s="165">
        <f>-0.0021*(Sheet3!CC60^2) - 2.2115*(Sheet3!CC60) + 2499</f>
        <v>2326.1021612807331</v>
      </c>
      <c r="HZ60" s="165">
        <f>-0.0021*(Sheet3!CD60^2) - 2.2115*(Sheet3!CD60) + 2499</f>
        <v>2330.2727661125246</v>
      </c>
      <c r="IA60" s="165">
        <f>-0.0021*(Sheet3!CE60^2) - 2.2115*(Sheet3!CE60) + 2499</f>
        <v>2338.383221175066</v>
      </c>
      <c r="IB60" s="165">
        <f>-0.0021*(Sheet3!CF60^2) - 2.2115*(Sheet3!CF60) + 2499</f>
        <v>2346.1828310703945</v>
      </c>
      <c r="IC60" s="165">
        <f>-0.0021*(Sheet3!CG60^2) - 2.2115*(Sheet3!CG60) + 2499</f>
        <v>2351.694939892885</v>
      </c>
      <c r="ID60" s="188">
        <f t="shared" si="203"/>
        <v>0.74212781534988048</v>
      </c>
      <c r="IE60" s="165">
        <f t="shared" si="204"/>
        <v>0.74282879068442986</v>
      </c>
      <c r="IF60" s="165">
        <f t="shared" si="205"/>
        <v>0.7453928973574705</v>
      </c>
      <c r="IG60" s="165">
        <f t="shared" si="206"/>
        <v>0.75274535879138749</v>
      </c>
      <c r="IH60" s="165">
        <f t="shared" si="207"/>
        <v>0.75281540153650417</v>
      </c>
      <c r="II60" s="165">
        <f t="shared" si="208"/>
        <v>0.75492318518518597</v>
      </c>
      <c r="IJ60" s="165">
        <f t="shared" si="209"/>
        <v>0.75702854254277308</v>
      </c>
      <c r="IK60" s="165">
        <f t="shared" si="210"/>
        <v>0.76125764894707404</v>
      </c>
      <c r="IL60" s="165">
        <f t="shared" si="211"/>
        <v>0.76250647364226298</v>
      </c>
      <c r="IM60" s="188">
        <f t="shared" si="212"/>
        <v>35.26984116003478</v>
      </c>
      <c r="IN60" s="165">
        <f t="shared" si="151"/>
        <v>33.591253867748442</v>
      </c>
      <c r="IO60" s="165">
        <f t="shared" si="152"/>
        <v>33.865814671279246</v>
      </c>
      <c r="IP60" s="165">
        <f t="shared" si="153"/>
        <v>34.381283040450946</v>
      </c>
      <c r="IQ60" s="165">
        <f t="shared" si="154"/>
        <v>34.529578133100856</v>
      </c>
      <c r="IR60" s="165">
        <f t="shared" si="155"/>
        <v>34.798152716819821</v>
      </c>
      <c r="IS60" s="165">
        <f t="shared" si="156"/>
        <v>34.96952353142261</v>
      </c>
      <c r="IT60" s="165">
        <f t="shared" si="157"/>
        <v>35.290270803274552</v>
      </c>
      <c r="IU60" s="165">
        <f t="shared" si="158"/>
        <v>35.41989138989306</v>
      </c>
      <c r="IV60" s="188">
        <f>_xlfn.FORECAST.LINEAR(Sheet3!DF60,Sheet2!$AK$2:$AK$69,Sheet2!$AJ$2:$AJ$69)</f>
        <v>1.1761434736095797E-5</v>
      </c>
      <c r="IW60" s="165">
        <f>_xlfn.FORECAST.LINEAR(Sheet3!BZ60,Sheet2!$AK$2:$AK$69,Sheet2!$AJ$2:$AJ$69)</f>
        <v>1.1739037462069968E-5</v>
      </c>
      <c r="IX60" s="165">
        <f>_xlfn.FORECAST.LINEAR(Sheet3!CA60,Sheet2!$AK$2:$AK$69,Sheet2!$AJ$2:$AJ$69)</f>
        <v>1.1598712073156246E-5</v>
      </c>
      <c r="IY60" s="165">
        <f>_xlfn.FORECAST.LINEAR(Sheet3!CB60,Sheet2!$AK$2:$AK$69,Sheet2!$AJ$2:$AJ$69)</f>
        <v>1.1390118368360079E-5</v>
      </c>
      <c r="IZ60" s="165">
        <f>_xlfn.FORECAST.LINEAR(Sheet3!CC60,Sheet2!$AK$2:$AK$69,Sheet2!$AJ$2:$AJ$69)</f>
        <v>1.1345005203584844E-5</v>
      </c>
      <c r="JA60" s="165">
        <f>_xlfn.FORECAST.LINEAR(Sheet3!CD60,Sheet2!$AK$2:$AK$69,Sheet2!$AJ$2:$AJ$69)</f>
        <v>1.128694603152592E-5</v>
      </c>
      <c r="JB60" s="165">
        <f>_xlfn.FORECAST.LINEAR(Sheet3!CE60,Sheet2!$AK$2:$AK$69,Sheet2!$AJ$2:$AJ$69)</f>
        <v>1.1173576554351658E-5</v>
      </c>
      <c r="JC60" s="165">
        <f>_xlfn.FORECAST.LINEAR(Sheet3!CF60,Sheet2!$AK$2:$AK$69,Sheet2!$AJ$2:$AJ$69)</f>
        <v>1.1063966879304443E-5</v>
      </c>
      <c r="JD60" s="165">
        <f>_xlfn.FORECAST.LINEAR(Sheet3!CG60,Sheet2!$AK$2:$AK$69,Sheet2!$AJ$2:$AJ$69)</f>
        <v>1.098615286800014E-5</v>
      </c>
      <c r="JE60" s="188">
        <f>_xlfn.FORECAST.LINEAR(Sheet3!DF60,New!$MC$2:$MC$18,New!$MB$2:$MB$18)</f>
        <v>2.0908514659214704E-5</v>
      </c>
      <c r="JF60" s="165">
        <f>_xlfn.FORECAST.LINEAR(Sheet3!BZ60,New!$MC$2:$MC$18,New!$MB$2:$MB$18)</f>
        <v>2.0882186123000527E-5</v>
      </c>
      <c r="JG60" s="165">
        <f>_xlfn.FORECAST.LINEAR(Sheet3!CA60,New!$MC$2:$MC$18,New!$MB$2:$MB$18)</f>
        <v>2.0717230241337316E-5</v>
      </c>
      <c r="JH60" s="165">
        <f>_xlfn.FORECAST.LINEAR(Sheet3!CB60,New!$MC$2:$MC$18,New!$MB$2:$MB$18)</f>
        <v>2.047202330658082E-5</v>
      </c>
      <c r="JI60" s="165">
        <f>_xlfn.FORECAST.LINEAR(Sheet3!CC60,New!$MC$2:$MC$18,New!$MB$2:$MB$18)</f>
        <v>2.041899169250354E-5</v>
      </c>
      <c r="JJ60" s="165">
        <f>_xlfn.FORECAST.LINEAR(Sheet3!CD60,New!$MC$2:$MC$18,New!$MB$2:$MB$18)</f>
        <v>2.0350741734390085E-5</v>
      </c>
      <c r="JK60" s="165">
        <f>_xlfn.FORECAST.LINEAR(Sheet3!CE60,New!$MC$2:$MC$18,New!$MB$2:$MB$18)</f>
        <v>2.0217473177604002E-5</v>
      </c>
      <c r="JL60" s="165">
        <f>_xlfn.FORECAST.LINEAR(Sheet3!CF60,New!$MC$2:$MC$18,New!$MB$2:$MB$18)</f>
        <v>2.0088624358967567E-5</v>
      </c>
      <c r="JM60" s="165">
        <f>_xlfn.FORECAST.LINEAR(Sheet3!CG60,New!$MC$2:$MC$18,New!$MB$2:$MB$18)</f>
        <v>1.9997152110504075E-5</v>
      </c>
      <c r="JN60" s="188">
        <f t="shared" si="159"/>
        <v>1.8261721477799552E-5</v>
      </c>
      <c r="JO60" s="165">
        <f t="shared" si="160"/>
        <v>1.8235906264814269E-5</v>
      </c>
      <c r="JP60" s="165">
        <f t="shared" si="161"/>
        <v>1.8082902076423468E-5</v>
      </c>
      <c r="JQ60" s="165">
        <f t="shared" si="162"/>
        <v>1.7840497068915351E-5</v>
      </c>
      <c r="JR60" s="165">
        <f t="shared" si="163"/>
        <v>1.7794981161845783E-5</v>
      </c>
      <c r="JS60" s="165">
        <f t="shared" si="164"/>
        <v>1.772760364599678E-5</v>
      </c>
      <c r="JT60" s="165">
        <f t="shared" si="165"/>
        <v>1.7605045813019541E-5</v>
      </c>
      <c r="JU60" s="165">
        <f t="shared" si="166"/>
        <v>1.7477534472760346E-5</v>
      </c>
      <c r="JV60" s="165">
        <f t="shared" si="167"/>
        <v>1.7394623255427048E-5</v>
      </c>
      <c r="JW60" s="188">
        <f t="shared" si="231"/>
        <v>1.0444458673781256</v>
      </c>
      <c r="JX60" s="165">
        <f t="shared" si="232"/>
        <v>1.0448118047257058</v>
      </c>
      <c r="JY60" s="165">
        <f t="shared" si="233"/>
        <v>1.047135411702373</v>
      </c>
      <c r="JZ60" s="165">
        <f t="shared" si="234"/>
        <v>1.0506910586451974</v>
      </c>
      <c r="KA60" s="165">
        <f t="shared" si="235"/>
        <v>1.051476562682949</v>
      </c>
      <c r="KB60" s="165">
        <f t="shared" si="236"/>
        <v>1.0524963540162944</v>
      </c>
      <c r="KC60" s="165">
        <f t="shared" si="237"/>
        <v>1.0545169814792386</v>
      </c>
      <c r="KD60" s="165">
        <f t="shared" si="238"/>
        <v>1.0565083827777331</v>
      </c>
      <c r="KE60" s="165">
        <f t="shared" si="239"/>
        <v>1.057945260360543</v>
      </c>
      <c r="KF60" s="188">
        <f t="shared" si="75"/>
        <v>0.94446821821306282</v>
      </c>
      <c r="KG60" s="165">
        <f t="shared" si="240"/>
        <v>0.94418889480328883</v>
      </c>
      <c r="KH60" s="165">
        <f t="shared" si="241"/>
        <v>0.94242155944114636</v>
      </c>
      <c r="KI60" s="165">
        <f t="shared" si="242"/>
        <v>0.93973801922372702</v>
      </c>
      <c r="KJ60" s="165">
        <f t="shared" si="243"/>
        <v>0.93914855535353925</v>
      </c>
      <c r="KK60" s="165">
        <f t="shared" si="244"/>
        <v>0.93838508595141201</v>
      </c>
      <c r="KL60" s="165">
        <f t="shared" si="245"/>
        <v>0.93687834790590918</v>
      </c>
      <c r="KM60" s="165">
        <f t="shared" si="246"/>
        <v>0.93540116716406729</v>
      </c>
      <c r="KN60" s="165">
        <f t="shared" si="247"/>
        <v>0.93434007344679049</v>
      </c>
      <c r="KO60" s="188">
        <f t="shared" si="213"/>
        <v>0.57799857339289051</v>
      </c>
      <c r="KP60" s="165">
        <f t="shared" si="214"/>
        <v>0.57750638691526235</v>
      </c>
      <c r="KQ60" s="165">
        <f t="shared" si="215"/>
        <v>0.57428988698082006</v>
      </c>
      <c r="KR60" s="165">
        <f t="shared" si="216"/>
        <v>0.56934472747403209</v>
      </c>
      <c r="KS60" s="165">
        <f t="shared" si="217"/>
        <v>0.5683018588868104</v>
      </c>
      <c r="KT60" s="165">
        <f t="shared" si="218"/>
        <v>0.56690129924815091</v>
      </c>
      <c r="KU60" s="165">
        <f t="shared" si="219"/>
        <v>0.56419868294310427</v>
      </c>
      <c r="KV60" s="165">
        <f t="shared" si="220"/>
        <v>0.56150164527262647</v>
      </c>
      <c r="KW60" s="165">
        <f t="shared" si="221"/>
        <v>0.55970993109809297</v>
      </c>
      <c r="KX60" s="188">
        <f>AVERAGE(Sheet3!J60:P60)*KO60^(1/3)/ID60^(1/3)</f>
        <v>214.41309291684993</v>
      </c>
      <c r="KY60" s="165">
        <f>Sheet3!J60*KP60^(1/3)/IE60^(1/3)</f>
        <v>204.77561694950759</v>
      </c>
      <c r="KZ60" s="165">
        <f>Sheet3!K60*KQ60^(1/3)/IF60^(1/3)</f>
        <v>204.74813685695366</v>
      </c>
      <c r="LA60" s="165">
        <f>Sheet3!L60*KR60^(1/3)/IG60^(1/3)</f>
        <v>202.75205981547984</v>
      </c>
      <c r="LB60" s="165">
        <f>Sheet3!M60*KS60^(1/3)/IH60^(1/3)</f>
        <v>201.66931688299104</v>
      </c>
      <c r="LC60" s="165">
        <f>Sheet3!N60*KT60^(1/3)/II60^(1/3)</f>
        <v>209.34638103199595</v>
      </c>
      <c r="LD60" s="165">
        <f>Sheet3!O60*KU60^(1/3)/IJ60^(1/3)</f>
        <v>224.51696541733403</v>
      </c>
      <c r="LE60" s="165">
        <f>Sheet3!P60*KV60^(1/3)/IK60^(1/3)</f>
        <v>237.88612070521447</v>
      </c>
      <c r="LF60" s="165">
        <f>Sheet3!Q60*KW60^(1/3)/IL60^(1/3)</f>
        <v>265.79179875543184</v>
      </c>
      <c r="LG60" s="186">
        <f t="shared" si="248"/>
        <v>25.850766711688941</v>
      </c>
      <c r="LH60" s="183">
        <f t="shared" si="249"/>
        <v>25.861223160750058</v>
      </c>
      <c r="LI60" s="183">
        <f t="shared" si="250"/>
        <v>26.362789082691179</v>
      </c>
      <c r="LJ60" s="183">
        <f t="shared" si="251"/>
        <v>26.376873648017071</v>
      </c>
      <c r="LK60" s="183">
        <f t="shared" si="252"/>
        <v>26.738803138325235</v>
      </c>
      <c r="LL60" s="183">
        <f t="shared" si="253"/>
        <v>26.750247224698466</v>
      </c>
      <c r="LM60" s="183">
        <f t="shared" si="254"/>
        <v>27.262275567398582</v>
      </c>
      <c r="LN60" s="183">
        <f t="shared" si="255"/>
        <v>27.273651115128409</v>
      </c>
      <c r="LO60" s="183">
        <f t="shared" si="256"/>
        <v>27.714657306328</v>
      </c>
      <c r="LT60">
        <v>217.24</v>
      </c>
      <c r="LU60" s="165">
        <v>1.5999999999999999E-5</v>
      </c>
      <c r="LX60" s="165">
        <f>Sheet3!DP60</f>
        <v>358.7769867334855</v>
      </c>
      <c r="MF60" s="165"/>
      <c r="MJ60"/>
      <c r="MK60"/>
      <c r="ML60"/>
      <c r="MM60"/>
      <c r="MN60"/>
      <c r="MO60"/>
      <c r="MP60"/>
      <c r="MQ60"/>
      <c r="MR60"/>
    </row>
    <row r="61" spans="1:357" x14ac:dyDescent="0.3">
      <c r="A61" s="184" t="str">
        <f>Sheet3!A61</f>
        <v>2023.01.23-1</v>
      </c>
      <c r="B61" s="186">
        <f t="shared" si="102"/>
        <v>0.90382313548331861</v>
      </c>
      <c r="C61" s="183">
        <f t="shared" si="168"/>
        <v>0.90160770640206378</v>
      </c>
      <c r="D61" s="183">
        <f t="shared" si="169"/>
        <v>0.88911785583182101</v>
      </c>
      <c r="E61" s="183">
        <f t="shared" si="170"/>
        <v>0.87751441953309872</v>
      </c>
      <c r="F61" s="183">
        <f t="shared" si="171"/>
        <v>0.86395438168778738</v>
      </c>
      <c r="G61" s="183">
        <f t="shared" si="172"/>
        <v>0.85711313657857813</v>
      </c>
      <c r="H61" s="183">
        <f t="shared" si="173"/>
        <v>0.84516619230967938</v>
      </c>
      <c r="I61" s="183">
        <f t="shared" si="174"/>
        <v>0.83654023817479439</v>
      </c>
      <c r="J61" s="183">
        <f t="shared" si="175"/>
        <v>0.82512888257490724</v>
      </c>
      <c r="K61" s="186">
        <f xml:space="preserve"> (6.057 * (10^(-6)))
+ (4.055 * (10^(-8)) * (Sheet3!DF61 + 273))
+ (1.25 * (10^(-10)) * (Sheet3!DF61 + 273)^2)
- (3.367 * (10^(-14)) * (DD61 + 273)^3)</f>
        <v>4.4157885486205441E-5</v>
      </c>
      <c r="L61" s="183">
        <f xml:space="preserve"> (6.057 * (10^(-6)))
+ (4.055 * (10^(-8)) * (Sheet3!BZ61 + 273))
+ (1.25 * (10^(-10)) * (Sheet3!BZ61 + 273)^2)
- (3.367 * (10^(-14)) * (BX61 + 273)^3)</f>
        <v>4.3974514347842972E-5</v>
      </c>
      <c r="M61" s="183">
        <f xml:space="preserve"> (6.057 * (10^(-6)))
+ (4.055 * (10^(-8)) * (Sheet3!CA61 + 273))
+ (1.25 * (10^(-10)) * (Sheet3!CA61 + 273)^2)
- (3.367 * (10^(-14)) * (BY61 + 273)^3)</f>
        <v>4.2860600962929397E-5</v>
      </c>
      <c r="N61" s="183">
        <f xml:space="preserve"> (6.057 * (10^(-6)))
+ (4.055 * (10^(-8)) * (Sheet3!CB61 + 273))
+ (1.25 * (10^(-10)) * (Sheet3!CB61 + 273)^2)
- (3.367 * (10^(-14)) * (BZ61 + 273)^3)</f>
        <v>4.2016969823640143E-5</v>
      </c>
      <c r="O61" s="183">
        <f xml:space="preserve"> (6.057 * (10^(-6)))
+ (4.055 * (10^(-8)) * (Sheet3!CC61 + 273))
+ (1.25 * (10^(-10)) * (Sheet3!CC61 + 273)^2)
- (3.367 * (10^(-14)) * (CA61 + 273)^3)</f>
        <v>4.0906060903940546E-5</v>
      </c>
      <c r="P61" s="183">
        <f xml:space="preserve"> (6.057 * (10^(-6)))
+ (4.055 * (10^(-8)) * (Sheet3!CD61 + 273))
+ (1.25 * (10^(-10)) * (Sheet3!CD61 + 273)^2)
- (3.367 * (10^(-14)) * (CB61 + 273)^3)</f>
        <v>4.0440774078208303E-5</v>
      </c>
      <c r="Q61" s="183">
        <f xml:space="preserve"> (6.057 * (10^(-6)))
+ (4.055 * (10^(-8)) * (Sheet3!CE61 + 273))
+ (1.25 * (10^(-10)) * (Sheet3!CE61 + 273)^2)
- (3.367 * (10^(-14)) * (CC61 + 273)^3)</f>
        <v>3.9510912283888074E-5</v>
      </c>
      <c r="R61" s="183">
        <f xml:space="preserve"> (6.057 * (10^(-6)))
+ (4.055 * (10^(-8)) * (Sheet3!CF61 + 273))
+ (1.25 * (10^(-10)) * (Sheet3!CF61 + 273)^2)
- (3.367 * (10^(-14)) * (CD61 + 273)^3)</f>
        <v>3.8956301404997428E-5</v>
      </c>
      <c r="S61" s="183">
        <f xml:space="preserve"> (6.057 * (10^(-6)))
+ (4.055 * (10^(-8)) * (Sheet3!CG61 + 273))
+ (1.25 * (10^(-10)) * (Sheet3!CG61 + 273)^2)
- (3.367 * (10^(-14)) * (CE61 + 273)^3)</f>
        <v>3.811564066872182E-5</v>
      </c>
      <c r="T61" s="188">
        <f t="shared" si="104"/>
        <v>4.4157885486205441E-5</v>
      </c>
      <c r="U61" s="165">
        <f t="shared" si="105"/>
        <v>4.3974514347842972E-5</v>
      </c>
      <c r="V61" s="165">
        <f t="shared" si="106"/>
        <v>4.2860600962929397E-5</v>
      </c>
      <c r="W61" s="165">
        <f t="shared" si="107"/>
        <v>4.2016969823640143E-5</v>
      </c>
      <c r="X61" s="165">
        <f t="shared" si="108"/>
        <v>4.0906060903940546E-5</v>
      </c>
      <c r="Y61" s="165">
        <f t="shared" si="109"/>
        <v>4.0440774078208303E-5</v>
      </c>
      <c r="Z61" s="165">
        <f t="shared" si="110"/>
        <v>3.9510912283888074E-5</v>
      </c>
      <c r="AA61" s="165">
        <f t="shared" si="111"/>
        <v>3.8956301404997428E-5</v>
      </c>
      <c r="AB61" s="165">
        <f t="shared" si="112"/>
        <v>3.811564066872182E-5</v>
      </c>
      <c r="AC61" s="186">
        <f t="shared" si="176"/>
        <v>3.9910918516455531E-5</v>
      </c>
      <c r="AD61" s="183">
        <f t="shared" si="177"/>
        <v>3.964776102130335E-5</v>
      </c>
      <c r="AE61" s="183">
        <f t="shared" si="178"/>
        <v>3.8108125627823067E-5</v>
      </c>
      <c r="AF61" s="183">
        <f t="shared" si="179"/>
        <v>3.6870496885331306E-5</v>
      </c>
      <c r="AG61" s="183">
        <f t="shared" si="180"/>
        <v>3.5340970555546925E-5</v>
      </c>
      <c r="AH61" s="183">
        <f t="shared" si="181"/>
        <v>3.4662318715838776E-5</v>
      </c>
      <c r="AI61" s="183">
        <f t="shared" si="182"/>
        <v>3.3393287289655421E-5</v>
      </c>
      <c r="AJ61" s="183">
        <f t="shared" si="183"/>
        <v>3.2588513655745623E-5</v>
      </c>
      <c r="AK61" s="183">
        <f t="shared" si="184"/>
        <v>3.1450315993609126E-5</v>
      </c>
      <c r="AL61" s="186">
        <f t="shared" si="113"/>
        <v>3.6081612155184711E-2</v>
      </c>
      <c r="AM61" s="183">
        <f t="shared" si="114"/>
        <v>3.5940213921814526E-2</v>
      </c>
      <c r="AN61" s="183">
        <f t="shared" si="115"/>
        <v>3.5045769163228047E-2</v>
      </c>
      <c r="AO61" s="183">
        <f t="shared" si="116"/>
        <v>3.4364632422597879E-2</v>
      </c>
      <c r="AP61" s="183">
        <f t="shared" si="117"/>
        <v>3.3452131263886506E-2</v>
      </c>
      <c r="AQ61" s="183">
        <f t="shared" si="118"/>
        <v>3.3067346977036796E-2</v>
      </c>
      <c r="AR61" s="183">
        <f t="shared" si="119"/>
        <v>3.2289573317777875E-2</v>
      </c>
      <c r="AS61" s="183">
        <f t="shared" si="120"/>
        <v>3.1821479299270233E-2</v>
      </c>
      <c r="AT61" s="183">
        <f t="shared" si="121"/>
        <v>3.1110024676362133E-2</v>
      </c>
      <c r="AU61" s="186">
        <f>_xlfn.FORECAST.LINEAR(Sheet3!DF61,Sheet2!$AH$2:$AH$40,Sheet2!$AG$2:$AG$40)</f>
        <v>4.0902410270024961E-2</v>
      </c>
      <c r="AV61" s="183">
        <f>_xlfn.FORECAST.LINEAR(Sheet3!BZ61,Sheet2!$AH$2:$AH$40,Sheet2!$AG$2:$AG$40)</f>
        <v>4.0588810419386161E-2</v>
      </c>
      <c r="AW61" s="183">
        <f>_xlfn.FORECAST.LINEAR(Sheet3!CA61,Sheet2!$AH$2:$AH$40,Sheet2!$AG$2:$AG$40)</f>
        <v>3.8619746358793311E-2</v>
      </c>
      <c r="AX61" s="183">
        <f>_xlfn.FORECAST.LINEAR(Sheet3!CB61,Sheet2!$AH$2:$AH$40,Sheet2!$AG$2:$AG$40)</f>
        <v>3.711043813606707E-2</v>
      </c>
      <c r="AY61" s="183">
        <f>_xlfn.FORECAST.LINEAR(Sheet3!CC61,Sheet2!$AH$2:$AH$40,Sheet2!$AG$2:$AG$40)</f>
        <v>3.509851732769724E-2</v>
      </c>
      <c r="AZ61" s="183">
        <f>_xlfn.FORECAST.LINEAR(Sheet3!CD61,Sheet2!$AH$2:$AH$40,Sheet2!$AG$2:$AG$40)</f>
        <v>3.4247247839923237E-2</v>
      </c>
      <c r="BA61" s="183">
        <f>_xlfn.FORECAST.LINEAR(Sheet3!CE61,Sheet2!$AH$2:$AH$40,Sheet2!$AG$2:$AG$40)</f>
        <v>3.2530530786520157E-2</v>
      </c>
      <c r="BB61" s="183">
        <f>_xlfn.FORECAST.LINEAR(Sheet3!CF61,Sheet2!$AH$2:$AH$40,Sheet2!$AG$2:$AG$40)</f>
        <v>3.1496386135098343E-2</v>
      </c>
      <c r="BC61" s="183">
        <f>_xlfn.FORECAST.LINEAR(Sheet3!CG61,Sheet2!$AH$2:$AH$40,Sheet2!$AG$2:$AG$40)</f>
        <v>2.992460058136482E-2</v>
      </c>
      <c r="BD61" s="186">
        <f>_xlfn.FORECAST.LINEAR(Sheet3!DF61,Sheet2!$AB$12:$AB$37,Sheet2!$AA$12:$AA$37)/1000</f>
        <v>3.3915606923988664E-2</v>
      </c>
      <c r="BE61" s="183">
        <f>_xlfn.FORECAST.LINEAR(Sheet3!BZ61,Sheet2!$AB$12:$AB$37,Sheet2!$AA$12:$AA$37)/1000</f>
        <v>3.3845493256134042E-2</v>
      </c>
      <c r="BF61" s="183">
        <f>_xlfn.FORECAST.LINEAR(Sheet3!CA61,Sheet2!$AB$12:$AB$37,Sheet2!$AA$12:$AA$37)/1000</f>
        <v>3.3405256109184954E-2</v>
      </c>
      <c r="BG61" s="183">
        <f>_xlfn.FORECAST.LINEAR(Sheet3!CB61,Sheet2!$AB$12:$AB$37,Sheet2!$AA$12:$AA$37)/1000</f>
        <v>3.3067809725830753E-2</v>
      </c>
      <c r="BH61" s="183">
        <f>_xlfn.FORECAST.LINEAR(Sheet3!CC61,Sheet2!$AB$12:$AB$37,Sheet2!$AA$12:$AA$37)/1000</f>
        <v>3.2617990802063714E-2</v>
      </c>
      <c r="BI61" s="183">
        <f>_xlfn.FORECAST.LINEAR(Sheet3!CD61,Sheet2!$AB$12:$AB$37,Sheet2!$AA$12:$AA$37)/1000</f>
        <v>3.2427666648531812E-2</v>
      </c>
      <c r="BJ61" s="183">
        <f>_xlfn.FORECAST.LINEAR(Sheet3!CE61,Sheet2!$AB$12:$AB$37,Sheet2!$AA$12:$AA$37)/1000</f>
        <v>3.2043848451432898E-2</v>
      </c>
      <c r="BK61" s="183">
        <f>_xlfn.FORECAST.LINEAR(Sheet3!CF61,Sheet2!$AB$12:$AB$37,Sheet2!$AA$12:$AA$37)/1000</f>
        <v>3.1812637644234719E-2</v>
      </c>
      <c r="BL61" s="183">
        <f>_xlfn.FORECAST.LINEAR(Sheet3!CG61,Sheet2!$AB$12:$AB$37,Sheet2!$AA$12:$AA$37)/1000</f>
        <v>3.1461222775800685E-2</v>
      </c>
      <c r="BM61" s="186">
        <f t="shared" si="122"/>
        <v>0.75324930383870381</v>
      </c>
      <c r="BN61" s="183">
        <f t="shared" si="123"/>
        <v>0.75548097201882203</v>
      </c>
      <c r="BO61" s="183">
        <f t="shared" si="124"/>
        <v>0.77013459331429479</v>
      </c>
      <c r="BP61" s="183">
        <f t="shared" si="125"/>
        <v>0.78148444422254792</v>
      </c>
      <c r="BQ61" s="183">
        <f t="shared" si="126"/>
        <v>0.79749505416386346</v>
      </c>
      <c r="BR61" s="183">
        <f t="shared" si="127"/>
        <v>0.80431507728274465</v>
      </c>
      <c r="BS61" s="183">
        <f t="shared" si="128"/>
        <v>0.81875719777590494</v>
      </c>
      <c r="BT61" s="183">
        <f t="shared" si="129"/>
        <v>0.82750511139897875</v>
      </c>
      <c r="BU61" s="183">
        <f t="shared" si="130"/>
        <v>0.84145500042155774</v>
      </c>
      <c r="BV61" s="186">
        <f t="shared" si="222"/>
        <v>1.2002051117926844</v>
      </c>
      <c r="BW61" s="183">
        <f t="shared" si="223"/>
        <v>1.1998817846417837</v>
      </c>
      <c r="BX61" s="183">
        <f t="shared" si="224"/>
        <v>1.194129359052984</v>
      </c>
      <c r="BY61" s="183">
        <f t="shared" si="225"/>
        <v>1.1926482488519883</v>
      </c>
      <c r="BZ61" s="183">
        <f t="shared" si="226"/>
        <v>1.1869087231660556</v>
      </c>
      <c r="CA61" s="183">
        <f t="shared" si="227"/>
        <v>1.1860842293809617</v>
      </c>
      <c r="CB61" s="183">
        <f t="shared" si="228"/>
        <v>1.1809948436038942</v>
      </c>
      <c r="CC61" s="183">
        <f t="shared" si="229"/>
        <v>1.180008476387097</v>
      </c>
      <c r="CD61" s="183">
        <f t="shared" si="230"/>
        <v>1.1755590430119152</v>
      </c>
      <c r="CE61" s="187">
        <f xml:space="preserve"> -0.0000000019505*Sheet3!DF61^3 + 0.0000015497*Sheet3!DF61^2  + 0.00016911*Sheet3!DF61 + 1.8585</f>
        <v>1.9096570494375</v>
      </c>
      <c r="CF61" s="185">
        <f xml:space="preserve"> -0.0000000019505*Sheet3!BZ61^3 + 0.0000015497*Sheet3!BZ61^2  + 0.00016911*Sheet3!BZ61 + 1.8585</f>
        <v>1.90904670900507</v>
      </c>
      <c r="CG61" s="185">
        <f xml:space="preserve"> -0.0000000019505*Sheet3!CA61^3 + 0.0000015497*Sheet3!CA61^2  + 0.00016911*Sheet3!CA61 + 1.8585</f>
        <v>1.905264623125505</v>
      </c>
      <c r="CH61" s="185">
        <f xml:space="preserve"> -0.0000000019505*Sheet3!CB61^3 + 0.0000015497*Sheet3!CB61^2  + 0.00016911*Sheet3!CB61 + 1.8585</f>
        <v>1.9024265969047283</v>
      </c>
      <c r="CI61" s="185">
        <f xml:space="preserve"> -0.0000000019505*Sheet3!CC61^3 + 0.0000015497*Sheet3!CC61^2  + 0.00016911*Sheet3!CC61 + 1.8585</f>
        <v>1.8987303966885478</v>
      </c>
      <c r="CJ61" s="185">
        <f xml:space="preserve"> -0.0000000019505*Sheet3!CD61^3 + 0.0000015497*Sheet3!CD61^2  + 0.00016911*Sheet3!CD61 + 1.8585</f>
        <v>1.897197655120574</v>
      </c>
      <c r="CK61" s="185">
        <f xml:space="preserve"> -0.0000000019505*Sheet3!CE61^3 + 0.0000015497*Sheet3!CE61^2  + 0.00016911*Sheet3!CE61 + 1.8585</f>
        <v>1.8941654177386513</v>
      </c>
      <c r="CL61" s="185">
        <f xml:space="preserve"> -0.0000000019505*Sheet3!CF61^3 + 0.0000015497*Sheet3!CF61^2  + 0.00016911*Sheet3!CF61 + 1.8585</f>
        <v>1.8923779521550401</v>
      </c>
      <c r="CM61" s="185">
        <f xml:space="preserve"> -0.0000000019505*Sheet3!CG61^3 + 0.0000015497*Sheet3!CG61^2  + 0.00016911*Sheet3!CG61 + 1.8585</f>
        <v>1.8897196661118068</v>
      </c>
      <c r="CN61" s="186">
        <f>_xlfn.FORECAST.LINEAR(Sheet3!DF61,New!$LU$2:$LU$14,New!$LT$2:$LT$14)</f>
        <v>1.023844178140866</v>
      </c>
      <c r="CO61" s="183">
        <f>_xlfn.FORECAST.LINEAR(Sheet3!BZ61,New!$LU$2:$LU$14,New!$LT$2:$LT$14)</f>
        <v>1.0236133645365919</v>
      </c>
      <c r="CP61" s="183">
        <f>_xlfn.FORECAST.LINEAR(Sheet3!CA61,New!$LU$2:$LU$14,New!$LT$2:$LT$14)</f>
        <v>1.0221641075552952</v>
      </c>
      <c r="CQ61" s="183">
        <f>_xlfn.FORECAST.LINEAR(Sheet3!CB61,New!$LU$2:$LU$14,New!$LT$2:$LT$14)</f>
        <v>1.0210532369023331</v>
      </c>
      <c r="CR61" s="183">
        <f>_xlfn.FORECAST.LINEAR(Sheet3!CC61,New!$LU$2:$LU$14,New!$LT$2:$LT$14)</f>
        <v>1.0195724367924228</v>
      </c>
      <c r="CS61" s="183">
        <f>_xlfn.FORECAST.LINEAR(Sheet3!CD61,New!$LU$2:$LU$14,New!$LT$2:$LT$14)</f>
        <v>1.0189458912813794</v>
      </c>
      <c r="CT61" s="183">
        <f>_xlfn.FORECAST.LINEAR(Sheet3!CE61,New!$LU$2:$LU$14,New!$LT$2:$LT$14)</f>
        <v>1.0176823650079849</v>
      </c>
      <c r="CU61" s="183">
        <f>_xlfn.FORECAST.LINEAR(Sheet3!CF61,New!$LU$2:$LU$14,New!$LT$2:$LT$14)</f>
        <v>1.0169212209773066</v>
      </c>
      <c r="CV61" s="183">
        <f>_xlfn.FORECAST.LINEAR(Sheet3!CG61,New!$LU$2:$LU$14,New!$LT$2:$LT$14)</f>
        <v>1.0157643661890656</v>
      </c>
      <c r="CW61" s="186">
        <f>EXP((17.625*Sheet3!BA61)/(243.04+Sheet3!BA61)) / EXP((17.625*Sheet3!DF61)/(243.04+Sheet3!DF61))</f>
        <v>5.5583140257976074E-2</v>
      </c>
      <c r="CX61" s="183">
        <f>EXP((17.625*(Sheet3!BC61+273))/(243.04+(Sheet3!BC61+273)))/EXP((17.625*(Sheet3!BZ61+273))/(243.04+(Sheet3!BZ61+273)))</f>
        <v>0.41208145502065469</v>
      </c>
      <c r="CY61" s="183">
        <f>EXP((17.625*(Sheet3!BE61+273))/(243.04+(Sheet3!BE61+273))) / EXP((17.625*(Sheet3!CA61+273))/(243.04+(Sheet3!CA61+273)))</f>
        <v>0.44463583222476388</v>
      </c>
      <c r="CZ61" s="183">
        <f>EXP((17.625*(Sheet3!BG61+273))/(243.04+(Sheet3!BG61+273))) / EXP((17.625*(Sheet3!CB61+273))/(243.04+(Sheet3!CB61+273)))</f>
        <v>0.47069741045245139</v>
      </c>
      <c r="DA61" s="183">
        <f>EXP((17.625*(Sheet3!BI61+273))/(243.04+(Sheet3!BI61+273))) / EXP((17.625*(Sheet3!CC61+273))/(243.04+(Sheet3!CC61+273)))</f>
        <v>0.50871122547338798</v>
      </c>
      <c r="DB61" s="183">
        <f>EXP((17.625*(Sheet3!BK61+273))/(243.04+(Sheet3!BK61+273)))/EXP((17.625*(Sheet3!CD61+273))/(243.04+(Sheet3!CD61+273)))</f>
        <v>0.52702873637370251</v>
      </c>
      <c r="DC61" s="183">
        <f>EXP((17.625*(Sheet3!BM61+273))/(243.04+(Sheet3!BM61+273))) / EXP((17.625*(Sheet3!CE61+273))/(243.04+(Sheet3!CE61+273)))</f>
        <v>0.56428594976073976</v>
      </c>
      <c r="DD61" s="183">
        <f>EXP((17.625*(Sheet3!BO61+273))/(243.04+(Sheet3!BO61+273))) / EXP((17.625*(Sheet3!CF61+273))/(243.04+(Sheet3!CF61+273)))</f>
        <v>0.58992388936036688</v>
      </c>
      <c r="DE61" s="183">
        <f>EXP((17.625*(Sheet3!BQ61+273))/(243.04+(Sheet3!BQ61+273))) / EXP((17.625*(Sheet3!CG61+273))/(243.04+(Sheet3!CG61+273)))</f>
        <v>0.62950931414736089</v>
      </c>
      <c r="DF61" s="186">
        <f>((Sheet3!DA61-Sheet3!DB61)/New!$LQ$3)/(((Sheet3!DA61-Sheet3!DB61)/New!$LQ$3)+(Sheet3!DB61/New!$LP$3))</f>
        <v>0.71448129521308479</v>
      </c>
      <c r="DG61" s="183">
        <f>((Sheet3!DA61-Sheet3!DB61)/New!$LQ$3)/(((Sheet3!DA61-Sheet3!DB61)/New!$LQ$3)+((Sheet3!DB61-(Sheet3!B61*0.004))/New!$LP$3))</f>
        <v>0.71455548392445511</v>
      </c>
      <c r="DH61" s="183" cm="1">
        <f t="array" ref="DH61">((Sheet3!DA61-Sheet3!DB61)/New!$LQ$3)/(((Sheet3!DA61-Sheet3!DB61)/New!$LQ$3)+((Sheet3!DB61-(SUM(Sheet3!B61:C61*0.004)))/New!$LP$3))</f>
        <v>0.73176573637528064</v>
      </c>
      <c r="DI61" s="183" cm="1">
        <f t="array" ref="DI61">((Sheet3!DA61-Sheet3!DB61)/New!$LQ$3)/(((Sheet3!DA61-Sheet3!DB61)/New!$LQ$3)+((Sheet3!DB61-(SUM(Sheet3!B61:D61*0.004)))/New!$LP$3))</f>
        <v>0.73192139655116584</v>
      </c>
      <c r="DJ61" s="183" cm="1">
        <f t="array" ref="DJ61">((Sheet3!DA61-Sheet3!DB61)/New!$LQ$3)/(((Sheet3!DA61-Sheet3!DB61)/New!$LQ$3)+((Sheet3!DB61-(SUM(Sheet3!B61:E61*0.004)))/New!$LP$3))</f>
        <v>0.74992761674668273</v>
      </c>
      <c r="DK61" s="183" cm="1">
        <f t="array" ref="DK61">((Sheet3!DA61-Sheet3!DB61)/New!$LQ$3)/(((Sheet3!DA61-Sheet3!DB61)/New!$LQ$3)+((Sheet3!DB61-(SUM(Sheet3!B61:F61*0.004)))/New!$LP$3))</f>
        <v>0.75005022281277611</v>
      </c>
      <c r="DL61" s="183" cm="1">
        <f t="array" ref="DL61">((Sheet3!DA61-Sheet3!DB61)/New!$LQ$3)/(((Sheet3!DA61-Sheet3!DB61)/New!$LQ$3)+((Sheet3!DB61-(SUM(Sheet3!B61:G61*0.004)))/New!$LP$3))</f>
        <v>0.76723490604809275</v>
      </c>
      <c r="DM61" s="183" cm="1">
        <f t="array" ref="DM61">((Sheet3!DA61-Sheet3!DB61)/New!$LQ$3)/(((Sheet3!DA61-Sheet3!DB61)/New!$LQ$3)+((Sheet3!DB61-(SUM(Sheet3!B61:H61*0.004)))/New!$LP$3))</f>
        <v>0.76740602360065668</v>
      </c>
      <c r="DN61" s="183" cm="1">
        <f t="array" ref="DN61">((Sheet3!DA61-Sheet3!DB61)/New!$LQ$3)/(((Sheet3!DA61-Sheet3!DB61)/New!$LQ$3)+((Sheet3!DB61-(SUM(Sheet3!B61:I61*0.004)))/New!$LP$3))</f>
        <v>0.78288057152959123</v>
      </c>
      <c r="DO61" s="186">
        <f>(Sheet3!DB61/$LP$3) / ((Sheet3!DB61/$LP$3) + ((Sheet3!DA61-Sheet3!DB61)/$LQ$3))</f>
        <v>0.28551870478691521</v>
      </c>
      <c r="DP61" s="183">
        <f>((Sheet3!$DB61-(Sheet3!B61/4000)) / $LP$3) / (((Sheet3!$DA61-Sheet3!DB61) / $LQ$3) + (Sheet3!$DB61-((Sheet3!B61/4000)))/$LP$3)</f>
        <v>0.28551406844378419</v>
      </c>
      <c r="DQ61" s="183">
        <f>((Sheet3!$DB61-(SUM(Sheet3!B61:C61)/4000))/$LP$3)/(((Sheet3!$DA61-Sheet3!$DB61)/$LQ$3)+(Sheet3!$DB61-(SUM(Sheet3!B61:C61)/4000))/$LP$3)</f>
        <v>0.28446238416360314</v>
      </c>
      <c r="DR61" s="183">
        <f>((Sheet3!$DB61-(SUM(Sheet3!B61:D61)/4000))/$LP$3)/(((Sheet3!$DA61-Sheet3!$DB61)/$LQ$3)+(Sheet3!$DB61-(SUM(Sheet3!B61:D61)/4000))/$LP$3)</f>
        <v>0.28445308397824876</v>
      </c>
      <c r="DS61" s="183">
        <f>((Sheet3!$DB61-(SUM(Sheet3!B61:E61)/4000))/$LP$3)/(((Sheet3!$DA61-Sheet3!$DB61)/$LQ$3)+(Sheet3!$DB61-(SUM(Sheet3!B61:E61)/4000))/$LP$3)</f>
        <v>0.28340176953875673</v>
      </c>
      <c r="DT61" s="183">
        <f>((Sheet3!$DB61-(SUM(Sheet3!B61:F61)/4000))/$LP$3)/(((Sheet3!$DA61-Sheet3!$DB61)/$LQ$3)+(Sheet3!$DB61-(SUM(Sheet3!B61:F61)/4000))/$LP$3)</f>
        <v>0.28339477372907174</v>
      </c>
      <c r="DU61" s="183">
        <f>((Sheet3!$DB61-(SUM(Sheet3!B61:G61)/4000))/$LP$3)/(((Sheet3!$DA61-Sheet3!$DB61)/$LQ$3)+(Sheet3!$DB61-(SUM(Sheet3!B61:G61)/4000))/$LP$3)</f>
        <v>0.28243505485399756</v>
      </c>
      <c r="DV61" s="183">
        <f>((Sheet3!$DB61-(SUM(Sheet3!B61:H61)/4000))/$LP$3)/(((Sheet3!$DA61-Sheet3!$DB61)/$LQ$3)+(Sheet3!$DB61-(SUM(Sheet3!B61:H61)/4000))/$LP$3)</f>
        <v>0.28242570189329952</v>
      </c>
      <c r="DW61" s="183">
        <f>((Sheet3!$DB61-(SUM(Sheet3!B61:I61)/4000))/$LP$3)/(((Sheet3!$DA61-Sheet3!$DB61)/$LQ$3)+(Sheet3!$DB61-(SUM(Sheet3!B61:I61)/4000))/$LP$3)</f>
        <v>0.2815958263037085</v>
      </c>
      <c r="DX61" s="186">
        <f>($LR$2*($LP$3/1000))/($LP$2*(Sheet3!DF61+273))*DO61</f>
        <v>0.14996818718960619</v>
      </c>
      <c r="DY61" s="183">
        <f>(($LR$2*($LP$3/1000))/($LP$2*(Sheet3!BZ61+273)))*(DP61)</f>
        <v>0.15040976333764475</v>
      </c>
      <c r="DZ61" s="183">
        <f>(($LR$2*($LP$3/1000))/($LP$2*(Sheet3!CA61+273)))*(DQ61)</f>
        <v>0.15269436404375533</v>
      </c>
      <c r="EA61" s="183">
        <f>(($LR$2*($LP$3/1000))/($LP$2*(Sheet3!CB61+273)))*(DR61)</f>
        <v>0.15493901977774674</v>
      </c>
      <c r="EB61" s="183">
        <f>(($LR$2*($LP$3/1000))/($LP$2*(Sheet3!CC61+273)))*(DS61)</f>
        <v>0.15745885023244441</v>
      </c>
      <c r="EC61" s="183">
        <f>(($LR$2*($LP$3/1000))/($LP$2*(Sheet3!CD61+273)))*(DT61)</f>
        <v>0.15880101743713246</v>
      </c>
      <c r="ED61" s="183">
        <f>(($LR$2*($LP$3/1000))/($LP$2*(Sheet3!CE61+273)))*(DU61)</f>
        <v>0.16103956198115266</v>
      </c>
      <c r="EE61" s="183">
        <f>(($LR$2*($LP$3/1000))/($LP$2*(Sheet3!CF61+273)))*(DV61)</f>
        <v>0.16275413604604927</v>
      </c>
      <c r="EF61" s="183">
        <f>(($LR$2*($LP$3/1000))/($LP$2*(Sheet3!CG61+273)))*(DW61)</f>
        <v>0.16495359314173105</v>
      </c>
      <c r="EG61" s="186">
        <f>(($LR$2*($LQ$3/1000))/($LQ$2*(Sheet3!DF61+273)))*(1-DO61)</f>
        <v>0.60328111664909767</v>
      </c>
      <c r="EH61" s="183">
        <f>(($LR$2*($LQ$3/1000))/($LQ$2*(Sheet3!BZ61+273)))*(1-DP61)</f>
        <v>0.60507120868117725</v>
      </c>
      <c r="EI61" s="183">
        <f>(($LR$2*($LQ$3/1000))/($LQ$2*(Sheet3!CA61+273)))*(1-DQ61)</f>
        <v>0.61744022927053943</v>
      </c>
      <c r="EJ61" s="183">
        <f>(($LR$2*($LQ$3/1000))/($LQ$2*(Sheet3!CB61+273)))*(1-DR61)</f>
        <v>0.62654542444480121</v>
      </c>
      <c r="EK61" s="183">
        <f>(($LR$2*($LQ$3/1000))/($LQ$2*(Sheet3!CC61+273)))*(1-DS61)</f>
        <v>0.64003620393141902</v>
      </c>
      <c r="EL61" s="183">
        <f>(($LR$2*($LQ$3/1000))/($LQ$2*(Sheet3!CD61+273)))*(1-DT61)</f>
        <v>0.64551405984561216</v>
      </c>
      <c r="EM61" s="183">
        <f>(($LR$2*($LQ$3/1000))/($LQ$2*(Sheet3!CE61+273)))*(1-DU61)</f>
        <v>0.65771763579475229</v>
      </c>
      <c r="EN61" s="183">
        <f>(($LR$2*($LQ$3/1000))/($LQ$2*(Sheet3!CF61+273)))*(1-DV61)</f>
        <v>0.66475097535292949</v>
      </c>
      <c r="EO61" s="183">
        <f>(($LR$2*($LQ$3/1000))/($LQ$2*(Sheet3!CG61+273)))*(1-DW61)</f>
        <v>0.67650140727982666</v>
      </c>
      <c r="EP61" s="186">
        <f t="shared" si="132"/>
        <v>4857.0183678701687</v>
      </c>
      <c r="EQ61" s="183">
        <f xml:space="preserve"> (($FV61-(Sheet3!B61/4000))*0.018)/(0.011*JO61*3600)</f>
        <v>4868.7394105135518</v>
      </c>
      <c r="ER61" s="183">
        <f>((($FV61-(SUM(Sheet3!B61:C61)/4000))*0.018)/(0.011*JP61*3600))</f>
        <v>4936.4053558206824</v>
      </c>
      <c r="ES61" s="183">
        <f>((($FV61-(SUM(Sheet3!B61:D61)/4000))*0.018)/(0.011*JQ61*3600))</f>
        <v>4995.4461713438704</v>
      </c>
      <c r="ET61" s="183">
        <f>((($FV61-(SUM(Sheet3!B61:E61)/4000))*0.018)/(0.011*JR61))/3600</f>
        <v>5068.7993354191331</v>
      </c>
      <c r="EU61" s="183">
        <f>((($FV61-(SUM(Sheet3!B61:F61)/4000))*0.018)/(0.011*JS61))/3600</f>
        <v>5103.7985713156613</v>
      </c>
      <c r="EV61" s="183">
        <f>((($FV61-(SUM(Sheet3!B61:G61)/4000))*0.018)/(0.011*JT61))/3600</f>
        <v>5168.7951334039708</v>
      </c>
      <c r="EW61" s="183">
        <f>((($FV61-(SUM(Sheet3!B61:H61)/4000))*0.018)/(0.011*JU61))/3600</f>
        <v>5213.1639289753011</v>
      </c>
      <c r="EX61" s="183">
        <f>((($FV61-(SUM(Sheet3!B61:I61)/4000))*0.018)/(0.011*JV61))/3600</f>
        <v>5275.8247823604888</v>
      </c>
      <c r="EY61" s="186">
        <f t="shared" si="133"/>
        <v>49.579447491793452</v>
      </c>
      <c r="EZ61" s="183">
        <f t="shared" si="134"/>
        <v>49.677002451211578</v>
      </c>
      <c r="FA61" s="183">
        <f t="shared" si="135"/>
        <v>50.211406994821445</v>
      </c>
      <c r="FB61" s="183">
        <f t="shared" si="136"/>
        <v>50.707204958284038</v>
      </c>
      <c r="FC61" s="183">
        <f t="shared" si="137"/>
        <v>51.294696783111696</v>
      </c>
      <c r="FD61" s="183">
        <f t="shared" si="138"/>
        <v>51.591532999909283</v>
      </c>
      <c r="FE61" s="183">
        <f t="shared" si="139"/>
        <v>52.115339732455915</v>
      </c>
      <c r="FF61" s="183">
        <f t="shared" si="140"/>
        <v>52.495113005364921</v>
      </c>
      <c r="FG61" s="183">
        <f t="shared" si="141"/>
        <v>53.007660224409676</v>
      </c>
      <c r="FH61" s="186">
        <f t="shared" si="185"/>
        <v>99.383688625957603</v>
      </c>
      <c r="FI61" s="183">
        <f t="shared" si="186"/>
        <v>99.18900528283605</v>
      </c>
      <c r="FJ61" s="183">
        <f t="shared" si="187"/>
        <v>97.760965494522594</v>
      </c>
      <c r="FK61" s="183">
        <f t="shared" si="188"/>
        <v>96.807469976042427</v>
      </c>
      <c r="FL61" s="183">
        <f t="shared" si="189"/>
        <v>95.328718329439411</v>
      </c>
      <c r="FM61" s="183">
        <f t="shared" si="190"/>
        <v>94.777506821402469</v>
      </c>
      <c r="FN61" s="183">
        <f t="shared" si="191"/>
        <v>93.487893515113214</v>
      </c>
      <c r="FO61" s="183">
        <f t="shared" si="192"/>
        <v>92.804008434059526</v>
      </c>
      <c r="FP61" s="183">
        <f t="shared" si="193"/>
        <v>91.614978756533588</v>
      </c>
      <c r="FQ61" s="314">
        <f>Sheet3!CV61</f>
        <v>4</v>
      </c>
      <c r="FR61" s="183">
        <v>5000</v>
      </c>
      <c r="FS61" s="183">
        <v>20</v>
      </c>
      <c r="FT61" s="183">
        <v>0.22193406593406595</v>
      </c>
      <c r="FU61" s="183">
        <v>30.2</v>
      </c>
      <c r="FV61" s="183">
        <v>221</v>
      </c>
      <c r="FW61" s="183">
        <v>44</v>
      </c>
      <c r="FX61" s="183">
        <v>895</v>
      </c>
      <c r="FY61" s="183">
        <v>6.8</v>
      </c>
      <c r="FZ61" s="183">
        <v>11.7</v>
      </c>
      <c r="GA61" s="183">
        <v>145</v>
      </c>
      <c r="GB61" s="186">
        <f>EXP($LP$6-($LQ$6/('Trial and Error method'!T61+$LP$8))) / ($LR$2/1000)</f>
        <v>3.551797487590283E-2</v>
      </c>
      <c r="GC61" s="183">
        <f>EXP($LP$6-($LQ$6/('Trial and Error method'!U61+$LP$8))) / ($LR$2/1000)</f>
        <v>5.2803726822735618E-2</v>
      </c>
      <c r="GD61" s="183">
        <f>EXP($LP$6-($LQ$6/('Trial and Error method'!V61+$LP$8))) / ($LR$2/1000)</f>
        <v>4.9410785857550654E-2</v>
      </c>
      <c r="GE61" s="183">
        <f>EXP($LP$6-($LQ$6/('Trial and Error method'!W61+$LP$8))) / ($LR$2/1000)</f>
        <v>4.6804754154359272E-2</v>
      </c>
      <c r="GF61" s="183">
        <f>EXP($LP$6-($LQ$6/('Trial and Error method'!X61+$LP$8))) / ($LR$2/1000)</f>
        <v>4.4154129614114378E-2</v>
      </c>
      <c r="GG61" s="183">
        <f>EXP($LP$6-($LQ$6/('Trial and Error method'!Y61+$LP$8))) / ($LR$2/1000)</f>
        <v>4.2159316158755872E-2</v>
      </c>
      <c r="GH61" s="183">
        <f>EXP($LP$6-($LQ$6/('Trial and Error method'!Z61+$LP$8))) / ($LR$2/1000)</f>
        <v>3.9886654643760226E-2</v>
      </c>
      <c r="GI61" s="183">
        <f>EXP($LP$6-($LQ$6/('Trial and Error method'!AA61+$LP$8))) / ($LR$2/1000)</f>
        <v>3.7954622184015074E-2</v>
      </c>
      <c r="GJ61" s="183">
        <f>EXP($LP$6-($LQ$6/('Trial and Error method'!AB61+$LP$8))) / ($LR$2/1000)</f>
        <v>3.5768459636130345E-2</v>
      </c>
      <c r="GK61" s="188">
        <f t="shared" si="142"/>
        <v>0.83324028391526428</v>
      </c>
      <c r="GL61" s="165">
        <f t="shared" si="143"/>
        <v>0.8253807444107113</v>
      </c>
      <c r="GM61" s="165">
        <f t="shared" si="144"/>
        <v>0.8275070573879183</v>
      </c>
      <c r="GN61" s="165">
        <f t="shared" si="145"/>
        <v>0.82869959769341117</v>
      </c>
      <c r="GO61" s="165">
        <f t="shared" si="146"/>
        <v>0.83048641406792478</v>
      </c>
      <c r="GP61" s="165">
        <f t="shared" si="147"/>
        <v>0.83139812312816441</v>
      </c>
      <c r="GQ61" s="165">
        <f t="shared" si="148"/>
        <v>0.83296184953281394</v>
      </c>
      <c r="GR61" s="165">
        <f t="shared" si="149"/>
        <v>0.8338454371085543</v>
      </c>
      <c r="GS61" s="165">
        <f t="shared" si="150"/>
        <v>0.83529764376802307</v>
      </c>
      <c r="GT61" s="188">
        <f t="shared" si="194"/>
        <v>6.6130649403617514E-2</v>
      </c>
      <c r="GU61" s="165">
        <f t="shared" si="195"/>
        <v>6.6756676525025663E-2</v>
      </c>
      <c r="GV61" s="165">
        <f t="shared" si="196"/>
        <v>6.6558759704369877E-2</v>
      </c>
      <c r="GW61" s="165">
        <f t="shared" si="197"/>
        <v>6.6476105514035211E-2</v>
      </c>
      <c r="GX61" s="165">
        <f t="shared" si="198"/>
        <v>6.6320694900843802E-2</v>
      </c>
      <c r="GY61" s="165">
        <f t="shared" si="199"/>
        <v>6.6260948801244057E-2</v>
      </c>
      <c r="GZ61" s="165">
        <f t="shared" si="200"/>
        <v>6.6133761795232698E-2</v>
      </c>
      <c r="HA61" s="165">
        <f t="shared" si="201"/>
        <v>6.6085655652568243E-2</v>
      </c>
      <c r="HB61" s="165">
        <f t="shared" si="202"/>
        <v>6.5973364334354162E-2</v>
      </c>
      <c r="HC61" s="188">
        <f>BV61*Sheet3!DF61</f>
        <v>174.02974120993923</v>
      </c>
      <c r="HD61" s="165">
        <f>BW61*Sheet3!BZ61</f>
        <v>172.50227558250884</v>
      </c>
      <c r="HE61" s="165">
        <f>BX61*Sheet3!CA61</f>
        <v>162.42339762187777</v>
      </c>
      <c r="HF61" s="165">
        <f>BY61*Sheet3!CB61</f>
        <v>155.13907694411989</v>
      </c>
      <c r="HG61" s="165">
        <f>BZ61*Sheet3!CC61</f>
        <v>144.99640225401259</v>
      </c>
      <c r="HH61" s="165">
        <f>CA61*Sheet3!CD61</f>
        <v>140.92283929011282</v>
      </c>
      <c r="HI61" s="165">
        <f>CB61*Sheet3!CE61</f>
        <v>132.34068054655398</v>
      </c>
      <c r="HJ61" s="165">
        <f>CC61*Sheet3!CF61</f>
        <v>127.42856122790899</v>
      </c>
      <c r="HK61" s="165">
        <f>CD61*Sheet3!CG61</f>
        <v>119.67770347577085</v>
      </c>
      <c r="HL61" s="188">
        <f>(CE61*Sheet3!DF61)+2501</f>
        <v>2777.9002721684374</v>
      </c>
      <c r="HM61" s="165">
        <f>(CF61*Sheet3!BZ61)+2501</f>
        <v>2775.4561220212113</v>
      </c>
      <c r="HN61" s="165">
        <f>(CG61*Sheet3!CA61)+2501</f>
        <v>2760.1507788588592</v>
      </c>
      <c r="HO61" s="165">
        <f>(CH61*Sheet3!CB61)+2501</f>
        <v>2748.4666830575047</v>
      </c>
      <c r="HP61" s="165">
        <f>(CI61*Sheet3!CC61)+2501</f>
        <v>2732.9547164804653</v>
      </c>
      <c r="HQ61" s="165">
        <f>(CJ61*Sheet3!CD61)+2501</f>
        <v>2726.4127267113859</v>
      </c>
      <c r="HR61" s="165">
        <f>(CK61*Sheet3!CE61)+2501</f>
        <v>2713.2576079048126</v>
      </c>
      <c r="HS61" s="165">
        <f>(CL61*Sheet3!CF61)+2501</f>
        <v>2705.3570063842726</v>
      </c>
      <c r="HT61" s="165">
        <f>(CM61*Sheet3!CG61)+2501</f>
        <v>2693.3827741342716</v>
      </c>
      <c r="HU61" s="188">
        <f>-0.0021*(Sheet3!DF61^2) - 2.2115*(Sheet3!DF61) + 2499</f>
        <v>2134.1799999999998</v>
      </c>
      <c r="HV61" s="165">
        <f>-0.0021*(Sheet3!BZ61^2) - 2.2115*(Sheet3!BZ61) + 2499</f>
        <v>2137.6571327833058</v>
      </c>
      <c r="HW61" s="165">
        <f>-0.0021*(Sheet3!CA61^2) - 2.2115*(Sheet3!CA61) + 2499</f>
        <v>2159.3435872244254</v>
      </c>
      <c r="HX61" s="165">
        <f>-0.0021*(Sheet3!CB61^2) - 2.2115*(Sheet3!CB61) + 2499</f>
        <v>2175.7957907803111</v>
      </c>
      <c r="HY61" s="165">
        <f>-0.0021*(Sheet3!CC61^2) - 2.2115*(Sheet3!CC61) + 2499</f>
        <v>2197.4963834429918</v>
      </c>
      <c r="HZ61" s="165">
        <f>-0.0021*(Sheet3!CD61^2) - 2.2115*(Sheet3!CD61) + 2499</f>
        <v>2206.5989370964448</v>
      </c>
      <c r="IA61" s="165">
        <f>-0.0021*(Sheet3!CE61^2) - 2.2115*(Sheet3!CE61) + 2499</f>
        <v>2224.8123158854946</v>
      </c>
      <c r="IB61" s="165">
        <f>-0.0021*(Sheet3!CF61^2) - 2.2115*(Sheet3!CF61) + 2499</f>
        <v>2235.691502312412</v>
      </c>
      <c r="IC61" s="165">
        <f>-0.0021*(Sheet3!CG61^2) - 2.2115*(Sheet3!CG61) + 2499</f>
        <v>2252.0934912400849</v>
      </c>
      <c r="ID61" s="188">
        <f t="shared" si="203"/>
        <v>0.68796981728082041</v>
      </c>
      <c r="IE61" s="165">
        <f t="shared" si="204"/>
        <v>0.68882499844749634</v>
      </c>
      <c r="IF61" s="165">
        <f t="shared" si="205"/>
        <v>0.69267140593789367</v>
      </c>
      <c r="IG61" s="165">
        <f t="shared" si="206"/>
        <v>0.69717972514568516</v>
      </c>
      <c r="IH61" s="165">
        <f t="shared" si="207"/>
        <v>0.70171776905638683</v>
      </c>
      <c r="II61" s="165">
        <f t="shared" si="208"/>
        <v>0.70452067464150758</v>
      </c>
      <c r="IJ61" s="165">
        <f t="shared" si="209"/>
        <v>0.70870028199494428</v>
      </c>
      <c r="IK61" s="165">
        <f t="shared" si="210"/>
        <v>0.71240288200017177</v>
      </c>
      <c r="IL61" s="165">
        <f t="shared" si="211"/>
        <v>0.71674802391769643</v>
      </c>
      <c r="IM61" s="188">
        <f t="shared" si="212"/>
        <v>35.283780351831687</v>
      </c>
      <c r="IN61" s="165">
        <f t="shared" si="151"/>
        <v>33.20843728961497</v>
      </c>
      <c r="IO61" s="165">
        <f t="shared" si="152"/>
        <v>33.782375146448963</v>
      </c>
      <c r="IP61" s="165">
        <f t="shared" si="153"/>
        <v>34.373081452098432</v>
      </c>
      <c r="IQ61" s="165">
        <f t="shared" si="154"/>
        <v>34.867828354520896</v>
      </c>
      <c r="IR61" s="165">
        <f t="shared" si="155"/>
        <v>35.271359312874004</v>
      </c>
      <c r="IS61" s="165">
        <f t="shared" si="156"/>
        <v>35.687409251421613</v>
      </c>
      <c r="IT61" s="165">
        <f t="shared" si="157"/>
        <v>36.119902538372671</v>
      </c>
      <c r="IU61" s="165">
        <f t="shared" si="158"/>
        <v>36.524583818401666</v>
      </c>
      <c r="IV61" s="188">
        <f>_xlfn.FORECAST.LINEAR(Sheet3!DF61,Sheet2!$AK$2:$AK$69,Sheet2!$AJ$2:$AJ$69)</f>
        <v>1.386217343669711E-5</v>
      </c>
      <c r="IW61" s="165">
        <f>_xlfn.FORECAST.LINEAR(Sheet3!BZ61,Sheet2!$AK$2:$AK$69,Sheet2!$AJ$2:$AJ$69)</f>
        <v>1.3818970313860912E-5</v>
      </c>
      <c r="IX61" s="165">
        <f>_xlfn.FORECAST.LINEAR(Sheet3!CA61,Sheet2!$AK$2:$AK$69,Sheet2!$AJ$2:$AJ$69)</f>
        <v>1.3547701956083162E-5</v>
      </c>
      <c r="IY61" s="165">
        <f>_xlfn.FORECAST.LINEAR(Sheet3!CB61,Sheet2!$AK$2:$AK$69,Sheet2!$AJ$2:$AJ$69)</f>
        <v>1.33397719190908E-5</v>
      </c>
      <c r="IZ61" s="165">
        <f>_xlfn.FORECAST.LINEAR(Sheet3!CC61,Sheet2!$AK$2:$AK$69,Sheet2!$AJ$2:$AJ$69)</f>
        <v>1.3062599396069357E-5</v>
      </c>
      <c r="JA61" s="165">
        <f>_xlfn.FORECAST.LINEAR(Sheet3!CD61,Sheet2!$AK$2:$AK$69,Sheet2!$AJ$2:$AJ$69)</f>
        <v>1.2945324148099396E-5</v>
      </c>
      <c r="JB61" s="165">
        <f>_xlfn.FORECAST.LINEAR(Sheet3!CE61,Sheet2!$AK$2:$AK$69,Sheet2!$AJ$2:$AJ$69)</f>
        <v>1.2708820407481887E-5</v>
      </c>
      <c r="JC61" s="165">
        <f>_xlfn.FORECAST.LINEAR(Sheet3!CF61,Sheet2!$AK$2:$AK$69,Sheet2!$AJ$2:$AJ$69)</f>
        <v>1.2566351339608404E-5</v>
      </c>
      <c r="JD61" s="165">
        <f>_xlfn.FORECAST.LINEAR(Sheet3!CG61,Sheet2!$AK$2:$AK$69,Sheet2!$AJ$2:$AJ$69)</f>
        <v>1.234981410525773E-5</v>
      </c>
      <c r="JE61" s="188">
        <f>_xlfn.FORECAST.LINEAR(Sheet3!DF61,New!$MC$2:$MC$18,New!$MB$2:$MB$18)</f>
        <v>2.337798370672098E-5</v>
      </c>
      <c r="JF61" s="165">
        <f>_xlfn.FORECAST.LINEAR(Sheet3!BZ61,New!$MC$2:$MC$18,New!$MB$2:$MB$18)</f>
        <v>2.3327197393045193E-5</v>
      </c>
      <c r="JG61" s="165">
        <f>_xlfn.FORECAST.LINEAR(Sheet3!CA61,New!$MC$2:$MC$18,New!$MB$2:$MB$18)</f>
        <v>2.3008314890948068E-5</v>
      </c>
      <c r="JH61" s="165">
        <f>_xlfn.FORECAST.LINEAR(Sheet3!CB61,New!$MC$2:$MC$18,New!$MB$2:$MB$18)</f>
        <v>2.2763888113713707E-5</v>
      </c>
      <c r="JI61" s="165">
        <f>_xlfn.FORECAST.LINEAR(Sheet3!CC61,New!$MC$2:$MC$18,New!$MB$2:$MB$18)</f>
        <v>2.2438065122865418E-5</v>
      </c>
      <c r="JJ61" s="165">
        <f>_xlfn.FORECAST.LINEAR(Sheet3!CD61,New!$MC$2:$MC$18,New!$MB$2:$MB$18)</f>
        <v>2.2300205238236481E-5</v>
      </c>
      <c r="JK61" s="165">
        <f>_xlfn.FORECAST.LINEAR(Sheet3!CE61,New!$MC$2:$MC$18,New!$MB$2:$MB$18)</f>
        <v>2.2022189382715172E-5</v>
      </c>
      <c r="JL61" s="165">
        <f>_xlfn.FORECAST.LINEAR(Sheet3!CF61,New!$MC$2:$MC$18,New!$MB$2:$MB$18)</f>
        <v>2.1854713554693378E-5</v>
      </c>
      <c r="JM61" s="165">
        <f>_xlfn.FORECAST.LINEAR(Sheet3!CG61,New!$MC$2:$MC$18,New!$MB$2:$MB$18)</f>
        <v>2.1600168809214779E-5</v>
      </c>
      <c r="JN61" s="188">
        <f t="shared" si="159"/>
        <v>2.0682348273390483E-5</v>
      </c>
      <c r="JO61" s="165">
        <f t="shared" si="160"/>
        <v>2.0632464060855344E-5</v>
      </c>
      <c r="JP61" s="165">
        <f t="shared" si="161"/>
        <v>2.0328787676504106E-5</v>
      </c>
      <c r="JQ61" s="165">
        <f t="shared" si="162"/>
        <v>2.0088341227332483E-5</v>
      </c>
      <c r="JR61" s="165">
        <f t="shared" si="163"/>
        <v>1.9777388490379898E-5</v>
      </c>
      <c r="JS61" s="165">
        <f t="shared" si="164"/>
        <v>1.9641631701844395E-5</v>
      </c>
      <c r="JT61" s="165">
        <f t="shared" si="165"/>
        <v>1.9376570388719477E-5</v>
      </c>
      <c r="JU61" s="165">
        <f t="shared" si="166"/>
        <v>1.9211483659607383E-5</v>
      </c>
      <c r="JV61" s="165">
        <f t="shared" si="167"/>
        <v>1.8968038095035371E-5</v>
      </c>
      <c r="JW61" s="188">
        <f t="shared" si="231"/>
        <v>1.0152024173422087</v>
      </c>
      <c r="JX61" s="165">
        <f t="shared" si="232"/>
        <v>1.0157173777072874</v>
      </c>
      <c r="JY61" s="165">
        <f t="shared" si="233"/>
        <v>1.0190231286911333</v>
      </c>
      <c r="JZ61" s="165">
        <f t="shared" si="234"/>
        <v>1.021644747888754</v>
      </c>
      <c r="KA61" s="165">
        <f t="shared" si="235"/>
        <v>1.025264402959988</v>
      </c>
      <c r="KB61" s="165">
        <f t="shared" si="236"/>
        <v>1.0268408722783595</v>
      </c>
      <c r="KC61" s="165">
        <f t="shared" si="237"/>
        <v>1.0301052684154628</v>
      </c>
      <c r="KD61" s="165">
        <f t="shared" si="238"/>
        <v>1.0321288096268901</v>
      </c>
      <c r="KE61" s="165">
        <f t="shared" si="239"/>
        <v>1.0352903845026415</v>
      </c>
      <c r="KF61" s="188">
        <f t="shared" si="75"/>
        <v>0.9677010468805306</v>
      </c>
      <c r="KG61" s="165">
        <f t="shared" si="240"/>
        <v>0.96727573529404276</v>
      </c>
      <c r="KH61" s="165">
        <f t="shared" si="241"/>
        <v>0.96455979061659414</v>
      </c>
      <c r="KI61" s="165">
        <f t="shared" si="242"/>
        <v>0.96242336863908517</v>
      </c>
      <c r="KJ61" s="165">
        <f t="shared" si="243"/>
        <v>0.95949866321009381</v>
      </c>
      <c r="KK61" s="165">
        <f t="shared" si="244"/>
        <v>0.95823384798916389</v>
      </c>
      <c r="KL61" s="165">
        <f t="shared" si="245"/>
        <v>0.95563192285141074</v>
      </c>
      <c r="KM61" s="165">
        <f t="shared" si="246"/>
        <v>0.95403052579845971</v>
      </c>
      <c r="KN61" s="165">
        <f t="shared" si="247"/>
        <v>0.95154590957477547</v>
      </c>
      <c r="KO61" s="188">
        <f t="shared" si="213"/>
        <v>0.62180303737263709</v>
      </c>
      <c r="KP61" s="165">
        <f t="shared" si="214"/>
        <v>0.62104992696265238</v>
      </c>
      <c r="KQ61" s="165">
        <f t="shared" si="215"/>
        <v>0.61586651524351277</v>
      </c>
      <c r="KR61" s="165">
        <f t="shared" si="216"/>
        <v>0.61178526182146109</v>
      </c>
      <c r="KS61" s="165">
        <f t="shared" si="217"/>
        <v>0.60625214128444416</v>
      </c>
      <c r="KT61" s="165">
        <f t="shared" si="218"/>
        <v>0.60385392522643844</v>
      </c>
      <c r="KU61" s="165">
        <f t="shared" si="219"/>
        <v>0.59896951882246308</v>
      </c>
      <c r="KV61" s="165">
        <f t="shared" si="220"/>
        <v>0.59595367658483356</v>
      </c>
      <c r="KW61" s="165">
        <f t="shared" si="221"/>
        <v>0.59140949606298165</v>
      </c>
      <c r="KX61" s="188">
        <f>AVERAGE(Sheet3!J61:P61)*KO61^(1/3)/ID61^(1/3)</f>
        <v>218.40715641326796</v>
      </c>
      <c r="KY61" s="165">
        <f>Sheet3!J61*KP61^(1/3)/IE61^(1/3)</f>
        <v>223.31058566497822</v>
      </c>
      <c r="KZ61" s="165">
        <f>Sheet3!K61*KQ61^(1/3)/IF61^(1/3)</f>
        <v>203.04296075020167</v>
      </c>
      <c r="LA61" s="165">
        <f>Sheet3!L61*KR61^(1/3)/IG61^(1/3)</f>
        <v>198.8343555443214</v>
      </c>
      <c r="LB61" s="165">
        <f>Sheet3!M61*KS61^(1/3)/IH61^(1/3)</f>
        <v>201.03215112430252</v>
      </c>
      <c r="LC61" s="165">
        <f>Sheet3!N61*KT61^(1/3)/II61^(1/3)</f>
        <v>210.68041216429594</v>
      </c>
      <c r="LD61" s="165">
        <f>Sheet3!O61*KU61^(1/3)/IJ61^(1/3)</f>
        <v>229.32773411448224</v>
      </c>
      <c r="LE61" s="165">
        <f>Sheet3!P61*KV61^(1/3)/IK61^(1/3)</f>
        <v>241.06847923657449</v>
      </c>
      <c r="LF61" s="165">
        <f>Sheet3!Q61*KW61^(1/3)/IL61^(1/3)</f>
        <v>238.85966285754304</v>
      </c>
      <c r="LG61" s="186">
        <f t="shared" si="248"/>
        <v>25.834997776107215</v>
      </c>
      <c r="LH61" s="183">
        <f t="shared" si="249"/>
        <v>25.837062757466992</v>
      </c>
      <c r="LI61" s="183">
        <f t="shared" si="250"/>
        <v>26.31652557613544</v>
      </c>
      <c r="LJ61" s="183">
        <f t="shared" si="251"/>
        <v>26.320865951989916</v>
      </c>
      <c r="LK61" s="183">
        <f t="shared" si="252"/>
        <v>26.823386659224635</v>
      </c>
      <c r="LL61" s="183">
        <f t="shared" si="253"/>
        <v>26.826811301387224</v>
      </c>
      <c r="LM61" s="183">
        <f t="shared" si="254"/>
        <v>27.307190392347533</v>
      </c>
      <c r="LN61" s="183">
        <f t="shared" si="255"/>
        <v>27.311977463082812</v>
      </c>
      <c r="LO61" s="183">
        <f t="shared" si="256"/>
        <v>27.745170162358271</v>
      </c>
      <c r="LP61" s="220"/>
      <c r="LQ61" s="220"/>
      <c r="LR61" s="220"/>
      <c r="LS61" s="220"/>
      <c r="LT61" s="222">
        <v>219.55</v>
      </c>
      <c r="LU61" s="220">
        <v>1.5999999999999999E-5</v>
      </c>
      <c r="LV61" s="220"/>
      <c r="LW61" s="220"/>
      <c r="LX61" s="188">
        <f>Sheet3!DP61</f>
        <v>338.24043482502145</v>
      </c>
      <c r="MF61" s="165"/>
      <c r="MJ61"/>
      <c r="MK61"/>
      <c r="ML61"/>
      <c r="MM61"/>
      <c r="MN61"/>
      <c r="MO61"/>
      <c r="MP61"/>
      <c r="MQ61"/>
      <c r="MR61"/>
    </row>
    <row r="62" spans="1:357" x14ac:dyDescent="0.3">
      <c r="A62" s="184" t="str">
        <f>Sheet3!A62</f>
        <v>2023.01.23-2</v>
      </c>
      <c r="B62" s="186">
        <f t="shared" si="102"/>
        <v>1.0055741515247933</v>
      </c>
      <c r="C62" s="183">
        <f t="shared" si="168"/>
        <v>1.0053259359350226</v>
      </c>
      <c r="D62" s="183">
        <f t="shared" si="169"/>
        <v>0.98912529797028137</v>
      </c>
      <c r="E62" s="183">
        <f t="shared" si="170"/>
        <v>0.97446984937786241</v>
      </c>
      <c r="F62" s="183">
        <f t="shared" si="171"/>
        <v>0.95720548934450056</v>
      </c>
      <c r="G62" s="183">
        <f t="shared" si="172"/>
        <v>0.94703133038754095</v>
      </c>
      <c r="H62" s="183">
        <f t="shared" si="173"/>
        <v>0.93454438623613001</v>
      </c>
      <c r="I62" s="183">
        <f t="shared" si="174"/>
        <v>0.9206902513635643</v>
      </c>
      <c r="J62" s="183">
        <f t="shared" si="175"/>
        <v>0.90760298414291196</v>
      </c>
      <c r="K62" s="186">
        <f xml:space="preserve"> (6.057 * (10^(-6)))
+ (4.055 * (10^(-8)) * (Sheet3!DF62 + 273))
+ (1.25 * (10^(-10)) * (Sheet3!DF62 + 273)^2)
- (3.367 * (10^(-14)) * (DD62 + 273)^3)</f>
        <v>5.3312466957731617E-5</v>
      </c>
      <c r="L62" s="183">
        <f xml:space="preserve"> (6.057 * (10^(-6)))
+ (4.055 * (10^(-8)) * (Sheet3!BZ62 + 273))
+ (1.25 * (10^(-10)) * (Sheet3!BZ62 + 273)^2)
- (3.367 * (10^(-14)) * (BX62 + 273)^3)</f>
        <v>5.3267214078759816E-5</v>
      </c>
      <c r="M62" s="183">
        <f xml:space="preserve"> (6.057 * (10^(-6)))
+ (4.055 * (10^(-8)) * (Sheet3!CA62 + 273))
+ (1.25 * (10^(-10)) * (Sheet3!CA62 + 273)^2)
- (3.367 * (10^(-14)) * (BY62 + 273)^3)</f>
        <v>5.1420241757582411E-5</v>
      </c>
      <c r="N62" s="183">
        <f xml:space="preserve"> (6.057 * (10^(-6)))
+ (4.055 * (10^(-8)) * (Sheet3!CB62 + 273))
+ (1.25 * (10^(-10)) * (Sheet3!CB62 + 273)^2)
- (3.367 * (10^(-14)) * (BZ62 + 273)^3)</f>
        <v>5.0003955881006335E-5</v>
      </c>
      <c r="O62" s="183">
        <f xml:space="preserve"> (6.057 * (10^(-6)))
+ (4.055 * (10^(-8)) * (Sheet3!CC62 + 273))
+ (1.25 * (10^(-10)) * (Sheet3!CC62 + 273)^2)
- (3.367 * (10^(-14)) * (CA62 + 273)^3)</f>
        <v>4.8243930530676532E-5</v>
      </c>
      <c r="P62" s="183">
        <f xml:space="preserve"> (6.057 * (10^(-6)))
+ (4.055 * (10^(-8)) * (Sheet3!CD62 + 273))
+ (1.25 * (10^(-10)) * (Sheet3!CD62 + 273)^2)
- (3.367 * (10^(-14)) * (CB62 + 273)^3)</f>
        <v>4.7352232251001556E-5</v>
      </c>
      <c r="Q62" s="183">
        <f xml:space="preserve"> (6.057 * (10^(-6)))
+ (4.055 * (10^(-8)) * (Sheet3!CE62 + 273))
+ (1.25 * (10^(-10)) * (Sheet3!CE62 + 273)^2)
- (3.367 * (10^(-14)) * (CC62 + 273)^3)</f>
        <v>4.6134768265564145E-5</v>
      </c>
      <c r="R62" s="183">
        <f xml:space="preserve"> (6.057 * (10^(-6)))
+ (4.055 * (10^(-8)) * (Sheet3!CF62 + 273))
+ (1.25 * (10^(-10)) * (Sheet3!CF62 + 273)^2)
- (3.367 * (10^(-14)) * (CD62 + 273)^3)</f>
        <v>4.5011356060856756E-5</v>
      </c>
      <c r="S62" s="183">
        <f xml:space="preserve"> (6.057 * (10^(-6)))
+ (4.055 * (10^(-8)) * (Sheet3!CG62 + 273))
+ (1.25 * (10^(-10)) * (Sheet3!CG62 + 273)^2)
- (3.367 * (10^(-14)) * (CE62 + 273)^3)</f>
        <v>4.3844045221366957E-5</v>
      </c>
      <c r="T62" s="188">
        <f t="shared" si="104"/>
        <v>5.3312466957731617E-5</v>
      </c>
      <c r="U62" s="165">
        <f t="shared" si="105"/>
        <v>5.3267214078759816E-5</v>
      </c>
      <c r="V62" s="165">
        <f t="shared" si="106"/>
        <v>5.1420241757582411E-5</v>
      </c>
      <c r="W62" s="165">
        <f t="shared" si="107"/>
        <v>5.0003955881006335E-5</v>
      </c>
      <c r="X62" s="165">
        <f t="shared" si="108"/>
        <v>4.8243930530676532E-5</v>
      </c>
      <c r="Y62" s="165">
        <f t="shared" si="109"/>
        <v>4.7352232251001556E-5</v>
      </c>
      <c r="Z62" s="165">
        <f t="shared" si="110"/>
        <v>4.6134768265564145E-5</v>
      </c>
      <c r="AA62" s="165">
        <f t="shared" si="111"/>
        <v>4.5011356060856756E-5</v>
      </c>
      <c r="AB62" s="165">
        <f t="shared" si="112"/>
        <v>4.3844045221366957E-5</v>
      </c>
      <c r="AC62" s="186">
        <f t="shared" si="176"/>
        <v>5.3609638726714553E-5</v>
      </c>
      <c r="AD62" s="183">
        <f t="shared" si="177"/>
        <v>5.3550911848380427E-5</v>
      </c>
      <c r="AE62" s="183">
        <f t="shared" si="178"/>
        <v>5.0861061950172605E-5</v>
      </c>
      <c r="AF62" s="183">
        <f t="shared" si="179"/>
        <v>4.8727347355661524E-5</v>
      </c>
      <c r="AG62" s="183">
        <f t="shared" si="180"/>
        <v>4.6179355131518322E-5</v>
      </c>
      <c r="AH62" s="183">
        <f t="shared" si="181"/>
        <v>4.4844047505485825E-5</v>
      </c>
      <c r="AI62" s="183">
        <f t="shared" si="182"/>
        <v>4.3114988692887733E-5</v>
      </c>
      <c r="AJ62" s="183">
        <f t="shared" si="183"/>
        <v>4.1441516725885101E-5</v>
      </c>
      <c r="AK62" s="183">
        <f t="shared" si="184"/>
        <v>3.9792986279809431E-5</v>
      </c>
      <c r="AL62" s="186">
        <f t="shared" si="113"/>
        <v>4.2931521784307272E-2</v>
      </c>
      <c r="AM62" s="183">
        <f t="shared" si="114"/>
        <v>4.2903874588442102E-2</v>
      </c>
      <c r="AN62" s="183">
        <f t="shared" si="115"/>
        <v>4.1567178955492529E-2</v>
      </c>
      <c r="AO62" s="183">
        <f t="shared" si="116"/>
        <v>4.0536068284317051E-2</v>
      </c>
      <c r="AP62" s="183">
        <f t="shared" si="117"/>
        <v>3.921956445038189E-2</v>
      </c>
      <c r="AQ62" s="183">
        <f t="shared" si="118"/>
        <v>3.8548466895885959E-2</v>
      </c>
      <c r="AR62" s="183">
        <f t="shared" si="119"/>
        <v>3.7611478418765935E-2</v>
      </c>
      <c r="AS62" s="183">
        <f t="shared" si="120"/>
        <v>3.6743063264852382E-2</v>
      </c>
      <c r="AT62" s="183">
        <f t="shared" si="121"/>
        <v>3.5826187503695664E-2</v>
      </c>
      <c r="AU62" s="186">
        <f>_xlfn.FORECAST.LINEAR(Sheet3!DF62,Sheet2!$AH$2:$AH$40,Sheet2!$AG$2:$AG$40)</f>
        <v>5.615110757455756E-2</v>
      </c>
      <c r="AV62" s="183">
        <f>_xlfn.FORECAST.LINEAR(Sheet3!BZ62,Sheet2!$AH$2:$AH$40,Sheet2!$AG$2:$AG$40)</f>
        <v>5.6089211022407492E-2</v>
      </c>
      <c r="AW62" s="183">
        <f>_xlfn.FORECAST.LINEAR(Sheet3!CA62,Sheet2!$AH$2:$AH$40,Sheet2!$AG$2:$AG$40)</f>
        <v>5.3128289161592838E-2</v>
      </c>
      <c r="AX62" s="183">
        <f>_xlfn.FORECAST.LINEAR(Sheet3!CB62,Sheet2!$AH$2:$AH$40,Sheet2!$AG$2:$AG$40)</f>
        <v>5.0820022675860395E-2</v>
      </c>
      <c r="AY62" s="183">
        <f>_xlfn.FORECAST.LINEAR(Sheet3!CC62,Sheet2!$AH$2:$AH$40,Sheet2!$AG$2:$AG$40)</f>
        <v>4.7903543927598484E-2</v>
      </c>
      <c r="AZ62" s="183">
        <f>_xlfn.FORECAST.LINEAR(Sheet3!CD62,Sheet2!$AH$2:$AH$40,Sheet2!$AG$2:$AG$40)</f>
        <v>4.6404661109016268E-2</v>
      </c>
      <c r="BA62" s="183">
        <f>_xlfn.FORECAST.LINEAR(Sheet3!CE62,Sheet2!$AH$2:$AH$40,Sheet2!$AG$2:$AG$40)</f>
        <v>4.4334215842459508E-2</v>
      </c>
      <c r="BB62" s="183">
        <f>_xlfn.FORECAST.LINEAR(Sheet3!CF62,Sheet2!$AH$2:$AH$40,Sheet2!$AG$2:$AG$40)</f>
        <v>4.2398148778067427E-2</v>
      </c>
      <c r="BC62" s="183">
        <f>_xlfn.FORECAST.LINEAR(Sheet3!CG62,Sheet2!$AH$2:$AH$40,Sheet2!$AG$2:$AG$40)</f>
        <v>4.0369555026866726E-2</v>
      </c>
      <c r="BD62" s="186">
        <f>_xlfn.FORECAST.LINEAR(Sheet3!DF62,Sheet2!$AB$12:$AB$37,Sheet2!$AA$12:$AA$37)/1000</f>
        <v>3.7324862686859299E-2</v>
      </c>
      <c r="BE62" s="183">
        <f>_xlfn.FORECAST.LINEAR(Sheet3!BZ62,Sheet2!$AB$12:$AB$37,Sheet2!$AA$12:$AA$37)/1000</f>
        <v>3.731102405048891E-2</v>
      </c>
      <c r="BF62" s="183">
        <f>_xlfn.FORECAST.LINEAR(Sheet3!CA62,Sheet2!$AB$12:$AB$37,Sheet2!$AA$12:$AA$37)/1000</f>
        <v>3.6649030457476126E-2</v>
      </c>
      <c r="BG62" s="183">
        <f>_xlfn.FORECAST.LINEAR(Sheet3!CB62,Sheet2!$AB$12:$AB$37,Sheet2!$AA$12:$AA$37)/1000</f>
        <v>3.6132955499624787E-2</v>
      </c>
      <c r="BH62" s="183">
        <f>_xlfn.FORECAST.LINEAR(Sheet3!CC62,Sheet2!$AB$12:$AB$37,Sheet2!$AA$12:$AA$37)/1000</f>
        <v>3.548089835787497E-2</v>
      </c>
      <c r="BI62" s="183">
        <f>_xlfn.FORECAST.LINEAR(Sheet3!CD62,Sheet2!$AB$12:$AB$37,Sheet2!$AA$12:$AA$37)/1000</f>
        <v>3.5145782853575447E-2</v>
      </c>
      <c r="BJ62" s="183">
        <f>_xlfn.FORECAST.LINEAR(Sheet3!CE62,Sheet2!$AB$12:$AB$37,Sheet2!$AA$12:$AA$37)/1000</f>
        <v>3.4682879215595916E-2</v>
      </c>
      <c r="BK62" s="183">
        <f>_xlfn.FORECAST.LINEAR(Sheet3!CF62,Sheet2!$AB$12:$AB$37,Sheet2!$AA$12:$AA$37)/1000</f>
        <v>3.4250019433231374E-2</v>
      </c>
      <c r="BL62" s="183">
        <f>_xlfn.FORECAST.LINEAR(Sheet3!CG62,Sheet2!$AB$12:$AB$37,Sheet2!$AA$12:$AA$37)/1000</f>
        <v>3.3796472825368122E-2</v>
      </c>
      <c r="BM62" s="186">
        <f t="shared" si="122"/>
        <v>0.65837625584019954</v>
      </c>
      <c r="BN62" s="183">
        <f t="shared" si="123"/>
        <v>0.65871245044240956</v>
      </c>
      <c r="BO62" s="183">
        <f t="shared" si="124"/>
        <v>0.67542481433013457</v>
      </c>
      <c r="BP62" s="183">
        <f t="shared" si="125"/>
        <v>0.68884820840457661</v>
      </c>
      <c r="BQ62" s="183">
        <f t="shared" si="126"/>
        <v>0.70684936348127114</v>
      </c>
      <c r="BR62" s="183">
        <f t="shared" si="127"/>
        <v>0.71633180581857547</v>
      </c>
      <c r="BS62" s="183">
        <f t="shared" si="128"/>
        <v>0.73012028012913111</v>
      </c>
      <c r="BT62" s="183">
        <f t="shared" si="129"/>
        <v>0.74324214644821018</v>
      </c>
      <c r="BU62" s="183">
        <f t="shared" si="130"/>
        <v>0.7577508428640829</v>
      </c>
      <c r="BV62" s="186">
        <f t="shared" si="222"/>
        <v>1.2163519137646308</v>
      </c>
      <c r="BW62" s="183">
        <f t="shared" si="223"/>
        <v>1.2162805785292905</v>
      </c>
      <c r="BX62" s="183">
        <f t="shared" si="224"/>
        <v>1.2100076480774868</v>
      </c>
      <c r="BY62" s="183">
        <f t="shared" si="225"/>
        <v>1.2076617743987028</v>
      </c>
      <c r="BZ62" s="183">
        <f t="shared" si="226"/>
        <v>1.2015117745136943</v>
      </c>
      <c r="CA62" s="183">
        <f t="shared" si="227"/>
        <v>1.2000188605049611</v>
      </c>
      <c r="CB62" s="183">
        <f t="shared" si="228"/>
        <v>1.1948068850619191</v>
      </c>
      <c r="CC62" s="183">
        <f t="shared" si="229"/>
        <v>1.1929146986344001</v>
      </c>
      <c r="CD62" s="183">
        <f t="shared" si="230"/>
        <v>1.1881400469087824</v>
      </c>
      <c r="CE62" s="187">
        <f xml:space="preserve"> -0.0000000019505*Sheet3!DF62^3 + 0.0000015497*Sheet3!DF62^2  + 0.00016911*Sheet3!DF62 + 1.8585</f>
        <v>1.9414898911875</v>
      </c>
      <c r="CF62" s="185">
        <f xml:space="preserve"> -0.0000000019505*Sheet3!BZ62^3 + 0.0000015497*Sheet3!BZ62^2  + 0.00016911*Sheet3!BZ62 + 1.8585</f>
        <v>1.9413538713754455</v>
      </c>
      <c r="CG62" s="185">
        <f xml:space="preserve"> -0.0000000019505*Sheet3!CA62^3 + 0.0000015497*Sheet3!CA62^2  + 0.00016911*Sheet3!CA62 + 1.8585</f>
        <v>1.9348989439009954</v>
      </c>
      <c r="CH62" s="185">
        <f xml:space="preserve"> -0.0000000019505*Sheet3!CB62^3 + 0.0000015497*Sheet3!CB62^2  + 0.00016911*Sheet3!CB62 + 1.8585</f>
        <v>1.9299449280341554</v>
      </c>
      <c r="CI62" s="185">
        <f xml:space="preserve"> -0.0000000019505*Sheet3!CC62^3 + 0.0000015497*Sheet3!CC62^2  + 0.00016911*Sheet3!CC62 + 1.8585</f>
        <v>1.9237982269423264</v>
      </c>
      <c r="CJ62" s="185">
        <f xml:space="preserve"> -0.0000000019505*Sheet3!CD62^3 + 0.0000015497*Sheet3!CD62^2  + 0.00016911*Sheet3!CD62 + 1.8585</f>
        <v>1.9206934367285553</v>
      </c>
      <c r="CK62" s="185">
        <f xml:space="preserve"> -0.0000000019505*Sheet3!CE62^3 + 0.0000015497*Sheet3!CE62^2  + 0.00016911*Sheet3!CE62 + 1.8585</f>
        <v>1.9164709497703687</v>
      </c>
      <c r="CL62" s="185">
        <f xml:space="preserve"> -0.0000000019505*Sheet3!CF62^3 + 0.0000015497*Sheet3!CF62^2  + 0.00016911*Sheet3!CF62 + 1.8585</f>
        <v>1.9125971162751989</v>
      </c>
      <c r="CM62" s="185">
        <f xml:space="preserve"> -0.0000000019505*Sheet3!CG62^3 + 0.0000015497*Sheet3!CG62^2  + 0.00016911*Sheet3!CG62 + 1.8585</f>
        <v>1.9086212656460046</v>
      </c>
      <c r="CN62" s="186">
        <f>_xlfn.FORECAST.LINEAR(Sheet3!DF62,New!$LU$2:$LU$14,New!$LT$2:$LT$14)</f>
        <v>1.0350674194089138</v>
      </c>
      <c r="CO62" s="183">
        <f>_xlfn.FORECAST.LINEAR(Sheet3!BZ62,New!$LU$2:$LU$14,New!$LT$2:$LT$14)</f>
        <v>1.0350218627344931</v>
      </c>
      <c r="CP62" s="183">
        <f>_xlfn.FORECAST.LINEAR(Sheet3!CA62,New!$LU$2:$LU$14,New!$LT$2:$LT$14)</f>
        <v>1.0328425853997742</v>
      </c>
      <c r="CQ62" s="183">
        <f>_xlfn.FORECAST.LINEAR(Sheet3!CB62,New!$LU$2:$LU$14,New!$LT$2:$LT$14)</f>
        <v>1.0311436709834834</v>
      </c>
      <c r="CR62" s="183">
        <f>_xlfn.FORECAST.LINEAR(Sheet3!CC62,New!$LU$2:$LU$14,New!$LT$2:$LT$14)</f>
        <v>1.0289971043626647</v>
      </c>
      <c r="CS62" s="183">
        <f>_xlfn.FORECAST.LINEAR(Sheet3!CD62,New!$LU$2:$LU$14,New!$LT$2:$LT$14)</f>
        <v>1.0278939069439266</v>
      </c>
      <c r="CT62" s="183">
        <f>_xlfn.FORECAST.LINEAR(Sheet3!CE62,New!$LU$2:$LU$14,New!$LT$2:$LT$14)</f>
        <v>1.026370032064992</v>
      </c>
      <c r="CU62" s="183">
        <f>_xlfn.FORECAST.LINEAR(Sheet3!CF62,New!$LU$2:$LU$14,New!$LT$2:$LT$14)</f>
        <v>1.0249450613057958</v>
      </c>
      <c r="CV62" s="183">
        <f>_xlfn.FORECAST.LINEAR(Sheet3!CG62,New!$LU$2:$LU$14,New!$LT$2:$LT$14)</f>
        <v>1.0234519896912249</v>
      </c>
      <c r="CW62" s="186">
        <f>EXP((17.625*Sheet3!BA62)/(243.04+Sheet3!BA62)) / EXP((17.625*Sheet3!DF62)/(243.04+Sheet3!DF62))</f>
        <v>1.2718515444669915E-2</v>
      </c>
      <c r="CX62" s="183">
        <f>EXP((17.625*(Sheet3!BC62+273))/(243.04+(Sheet3!BC62+273)))/EXP((17.625*(Sheet3!BZ62+273))/(243.04+(Sheet3!BZ62+273)))</f>
        <v>0.23813773654247841</v>
      </c>
      <c r="CY62" s="183">
        <f>EXP((17.625*(Sheet3!BE62+273))/(243.04+(Sheet3!BE62+273))) / EXP((17.625*(Sheet3!CA62+273))/(243.04+(Sheet3!CA62+273)))</f>
        <v>0.26232432050517407</v>
      </c>
      <c r="CZ62" s="183">
        <f>EXP((17.625*(Sheet3!BG62+273))/(243.04+(Sheet3!BG62+273))) / EXP((17.625*(Sheet3!CB62+273))/(243.04+(Sheet3!CB62+273)))</f>
        <v>0.28292382505333469</v>
      </c>
      <c r="DA62" s="183">
        <f>EXP((17.625*(Sheet3!BI62+273))/(243.04+(Sheet3!BI62+273))) / EXP((17.625*(Sheet3!CC62+273))/(243.04+(Sheet3!CC62+273)))</f>
        <v>0.3121348283696096</v>
      </c>
      <c r="DB62" s="183">
        <f>EXP((17.625*(Sheet3!BK62+273))/(243.04+(Sheet3!BK62+273)))/EXP((17.625*(Sheet3!CD62+273))/(243.04+(Sheet3!CD62+273)))</f>
        <v>0.32936417474276436</v>
      </c>
      <c r="DC62" s="183">
        <f>EXP((17.625*(Sheet3!BM62+273))/(243.04+(Sheet3!BM62+273))) / EXP((17.625*(Sheet3!CE62+273))/(243.04+(Sheet3!CE62+273)))</f>
        <v>0.35396534331373619</v>
      </c>
      <c r="DD62" s="183">
        <f>EXP((17.625*(Sheet3!BO62+273))/(243.04+(Sheet3!BO62+273))) / EXP((17.625*(Sheet3!CF62+273))/(243.04+(Sheet3!CF62+273)))</f>
        <v>0.38059501501185206</v>
      </c>
      <c r="DE62" s="183">
        <f>EXP((17.625*(Sheet3!BQ62+273))/(243.04+(Sheet3!BQ62+273))) / EXP((17.625*(Sheet3!CG62+273))/(243.04+(Sheet3!CG62+273)))</f>
        <v>0.40999053070035091</v>
      </c>
      <c r="DF62" s="186">
        <f>((Sheet3!DA62-Sheet3!DB62)/New!$LQ$3)/(((Sheet3!DA62-Sheet3!DB62)/New!$LQ$3)+(Sheet3!DB62/New!$LP$3))</f>
        <v>0.71332409423876464</v>
      </c>
      <c r="DG62" s="183">
        <f>((Sheet3!DA62-Sheet3!DB62)/New!$LQ$3)/(((Sheet3!DA62-Sheet3!DB62)/New!$LQ$3)+((Sheet3!DB62-(Sheet3!B62*0.004))/New!$LP$3))</f>
        <v>0.71335681459251732</v>
      </c>
      <c r="DH62" s="183" cm="1">
        <f t="array" ref="DH62">((Sheet3!DA62-Sheet3!DB62)/New!$LQ$3)/(((Sheet3!DA62-Sheet3!DB62)/New!$LQ$3)+((Sheet3!DB62-(SUM(Sheet3!B62:C62*0.004)))/New!$LP$3))</f>
        <v>0.72745502401800888</v>
      </c>
      <c r="DI62" s="183" cm="1">
        <f t="array" ref="DI62">((Sheet3!DA62-Sheet3!DB62)/New!$LQ$3)/(((Sheet3!DA62-Sheet3!DB62)/New!$LQ$3)+((Sheet3!DB62-(SUM(Sheet3!B62:D62*0.004)))/New!$LP$3))</f>
        <v>0.72748905362182692</v>
      </c>
      <c r="DJ62" s="183" cm="1">
        <f t="array" ref="DJ62">((Sheet3!DA62-Sheet3!DB62)/New!$LQ$3)/(((Sheet3!DA62-Sheet3!DB62)/New!$LQ$3)+((Sheet3!DB62-(SUM(Sheet3!B62:E62*0.004)))/New!$LP$3))</f>
        <v>0.74212171985907338</v>
      </c>
      <c r="DK62" s="183" cm="1">
        <f t="array" ref="DK62">((Sheet3!DA62-Sheet3!DB62)/New!$LQ$3)/(((Sheet3!DA62-Sheet3!DB62)/New!$LQ$3)+((Sheet3!DB62-(SUM(Sheet3!B62:F62*0.004)))/New!$LP$3))</f>
        <v>0.74213942726461823</v>
      </c>
      <c r="DL62" s="183" cm="1">
        <f t="array" ref="DL62">((Sheet3!DA62-Sheet3!DB62)/New!$LQ$3)/(((Sheet3!DA62-Sheet3!DB62)/New!$LQ$3)+((Sheet3!DB62-(SUM(Sheet3!B62:G62*0.004)))/New!$LP$3))</f>
        <v>0.75715230910313702</v>
      </c>
      <c r="DM62" s="183" cm="1">
        <f t="array" ref="DM62">((Sheet3!DA62-Sheet3!DB62)/New!$LQ$3)/(((Sheet3!DA62-Sheet3!DB62)/New!$LQ$3)+((Sheet3!DB62-(SUM(Sheet3!B62:H62*0.004)))/New!$LP$3))</f>
        <v>0.75717074105643278</v>
      </c>
      <c r="DN62" s="183" cm="1">
        <f t="array" ref="DN62">((Sheet3!DA62-Sheet3!DB62)/New!$LQ$3)/(((Sheet3!DA62-Sheet3!DB62)/New!$LQ$3)+((Sheet3!DB62-(SUM(Sheet3!B62:I62*0.004)))/New!$LP$3))</f>
        <v>0.77104182778009744</v>
      </c>
      <c r="DO62" s="186">
        <f>(Sheet3!DB62/$LP$3) / ((Sheet3!DB62/$LP$3) + ((Sheet3!DA62-Sheet3!DB62)/$LQ$3))</f>
        <v>0.28667590576123536</v>
      </c>
      <c r="DP62" s="183">
        <f>((Sheet3!$DB62-(Sheet3!B62/4000)) / $LP$3) / (((Sheet3!$DA62-Sheet3!DB62) / $LQ$3) + (Sheet3!$DB62-((Sheet3!B62/4000)))/$LP$3)</f>
        <v>0.28667386082706492</v>
      </c>
      <c r="DQ62" s="183">
        <f>((Sheet3!$DB62-(SUM(Sheet3!B62:C62)/4000))/$LP$3)/(((Sheet3!$DA62-Sheet3!$DB62)/$LQ$3)+(Sheet3!$DB62-(SUM(Sheet3!B62:C62)/4000))/$LP$3)</f>
        <v>0.28580882592497392</v>
      </c>
      <c r="DR62" s="183">
        <f>((Sheet3!$DB62-(SUM(Sheet3!B62:D62)/4000))/$LP$3)/(((Sheet3!$DA62-Sheet3!$DB62)/$LQ$3)+(Sheet3!$DB62-(SUM(Sheet3!B62:D62)/4000))/$LP$3)</f>
        <v>0.28580677601634258</v>
      </c>
      <c r="DS62" s="183">
        <f>((Sheet3!$DB62-(SUM(Sheet3!B62:E62)/4000))/$LP$3)/(((Sheet3!$DA62-Sheet3!$DB62)/$LQ$3)+(Sheet3!$DB62-(SUM(Sheet3!B62:E62)/4000))/$LP$3)</f>
        <v>0.28494169045801737</v>
      </c>
      <c r="DT62" s="183">
        <f>((Sheet3!$DB62-(SUM(Sheet3!B62:F62)/4000))/$LP$3)/(((Sheet3!$DA62-Sheet3!$DB62)/$LQ$3)+(Sheet3!$DB62-(SUM(Sheet3!B62:F62)/4000))/$LP$3)</f>
        <v>0.28494066301476623</v>
      </c>
      <c r="DU62" s="183">
        <f>((Sheet3!$DB62-(SUM(Sheet3!B62:G62)/4000))/$LP$3)/(((Sheet3!$DA62-Sheet3!$DB62)/$LQ$3)+(Sheet3!$DB62-(SUM(Sheet3!B62:G62)/4000))/$LP$3)</f>
        <v>0.28408583575171775</v>
      </c>
      <c r="DV62" s="183">
        <f>((Sheet3!$DB62-(SUM(Sheet3!B62:H62)/4000))/$LP$3)/(((Sheet3!$DA62-Sheet3!$DB62)/$LQ$3)+(Sheet3!$DB62-(SUM(Sheet3!B62:H62)/4000))/$LP$3)</f>
        <v>0.28408480584749518</v>
      </c>
      <c r="DW62" s="183">
        <f>((Sheet3!$DB62-(SUM(Sheet3!B62:I62)/4000))/$LP$3)/(((Sheet3!$DA62-Sheet3!$DB62)/$LQ$3)+(Sheet3!$DB62-(SUM(Sheet3!B62:I62)/4000))/$LP$3)</f>
        <v>0.28332289553367623</v>
      </c>
      <c r="DX62" s="186">
        <f>($LR$2*($LP$3/1000))/($LP$2*(Sheet3!DF62+273))*DO62</f>
        <v>0.13167525116803988</v>
      </c>
      <c r="DY62" s="183">
        <f>(($LR$2*($LP$3/1000))/($LP$2*(Sheet3!BZ62+273)))*(DP62)</f>
        <v>0.13174143614645334</v>
      </c>
      <c r="DZ62" s="183">
        <f>(($LR$2*($LP$3/1000))/($LP$2*(Sheet3!CA62+273)))*(DQ62)</f>
        <v>0.13462690703855096</v>
      </c>
      <c r="EA62" s="183">
        <f>(($LR$2*($LP$3/1000))/($LP$2*(Sheet3!CB62+273)))*(DR62)</f>
        <v>0.13730137842226037</v>
      </c>
      <c r="EB62" s="183">
        <f>(($LR$2*($LP$3/1000))/($LP$2*(Sheet3!CC62+273)))*(DS62)</f>
        <v>0.14041145976316316</v>
      </c>
      <c r="EC62" s="183">
        <f>(($LR$2*($LP$3/1000))/($LP$2*(Sheet3!CD62+273)))*(DT62)</f>
        <v>0.1422945160321066</v>
      </c>
      <c r="ED62" s="183">
        <f>(($LR$2*($LP$3/1000))/($LP$2*(Sheet3!CE62+273)))*(DU62)</f>
        <v>0.14454606671115927</v>
      </c>
      <c r="EE62" s="183">
        <f>(($LR$2*($LP$3/1000))/($LP$2*(Sheet3!CF62+273)))*(DV62)</f>
        <v>0.14714327965097904</v>
      </c>
      <c r="EF62" s="183">
        <f>(($LR$2*($LP$3/1000))/($LP$2*(Sheet3!CG62+273)))*(DW62)</f>
        <v>0.14956505014538274</v>
      </c>
      <c r="EG62" s="186">
        <f>(($LR$2*($LQ$3/1000))/($LQ$2*(Sheet3!DF62+273)))*(1-DO62)</f>
        <v>0.52670100467215963</v>
      </c>
      <c r="EH62" s="183">
        <f>(($LR$2*($LQ$3/1000))/($LQ$2*(Sheet3!BZ62+273)))*(1-DP62)</f>
        <v>0.52697101429595627</v>
      </c>
      <c r="EI62" s="183">
        <f>(($LR$2*($LQ$3/1000))/($LQ$2*(Sheet3!CA62+273)))*(1-DQ62)</f>
        <v>0.54079790729158361</v>
      </c>
      <c r="EJ62" s="183">
        <f>(($LR$2*($LQ$3/1000))/($LQ$2*(Sheet3!CB62+273)))*(1-DR62)</f>
        <v>0.5515468299823163</v>
      </c>
      <c r="EK62" s="183">
        <f>(($LR$2*($LQ$3/1000))/($LQ$2*(Sheet3!CC62+273)))*(1-DS62)</f>
        <v>0.56643790371810798</v>
      </c>
      <c r="EL62" s="183">
        <f>(($LR$2*($LQ$3/1000))/($LQ$2*(Sheet3!CD62+273)))*(1-DT62)</f>
        <v>0.57403728978646884</v>
      </c>
      <c r="EM62" s="183">
        <f>(($LR$2*($LQ$3/1000))/($LQ$2*(Sheet3!CE62+273)))*(1-DU62)</f>
        <v>0.58557421341797178</v>
      </c>
      <c r="EN62" s="183">
        <f>(($LR$2*($LQ$3/1000))/($LQ$2*(Sheet3!CF62+273)))*(1-DV62)</f>
        <v>0.59609886679723112</v>
      </c>
      <c r="EO62" s="183">
        <f>(($LR$2*($LQ$3/1000))/($LQ$2*(Sheet3!CG62+273)))*(1-DW62)</f>
        <v>0.60818579271870021</v>
      </c>
      <c r="EP62" s="186">
        <f t="shared" si="132"/>
        <v>4920.6171533089964</v>
      </c>
      <c r="EQ62" s="183">
        <f xml:space="preserve"> (($FV62-(Sheet3!B62/4000))*0.018)/(0.011*JO62*3600)</f>
        <v>4922.6955125468548</v>
      </c>
      <c r="ER62" s="183">
        <f>((($FV62-(SUM(Sheet3!B62:C62)/4000))*0.018)/(0.011*JP62*3600))</f>
        <v>5018.8429761735351</v>
      </c>
      <c r="ES62" s="183">
        <f>((($FV62-(SUM(Sheet3!B62:D62)/4000))*0.018)/(0.011*JQ62*3600))</f>
        <v>5101.4583482176758</v>
      </c>
      <c r="ET62" s="183">
        <f>((($FV62-(SUM(Sheet3!B62:E62)/4000))*0.018)/(0.011*JR62))/3600</f>
        <v>5203.5254718951328</v>
      </c>
      <c r="EU62" s="183">
        <f>((($FV62-(SUM(Sheet3!B62:F62)/4000))*0.018)/(0.011*JS62))/3600</f>
        <v>5261.0072874015877</v>
      </c>
      <c r="EV62" s="183">
        <f>((($FV62-(SUM(Sheet3!B62:G62)/4000))*0.018)/(0.011*JT62))/3600</f>
        <v>5336.0848542092544</v>
      </c>
      <c r="EW62" s="183">
        <f>((($FV62-(SUM(Sheet3!B62:H62)/4000))*0.018)/(0.011*JU62))/3600</f>
        <v>5414.5996123539053</v>
      </c>
      <c r="EX62" s="183">
        <f>((($FV62-(SUM(Sheet3!B62:I62)/4000))*0.018)/(0.011*JV62))/3600</f>
        <v>5493.4450028051133</v>
      </c>
      <c r="EY62" s="186">
        <f t="shared" si="133"/>
        <v>49.092726583998683</v>
      </c>
      <c r="EZ62" s="183">
        <f t="shared" si="134"/>
        <v>49.108639781345083</v>
      </c>
      <c r="FA62" s="183">
        <f t="shared" si="135"/>
        <v>49.823475418239141</v>
      </c>
      <c r="FB62" s="183">
        <f t="shared" si="136"/>
        <v>50.462877605537521</v>
      </c>
      <c r="FC62" s="183">
        <f t="shared" si="137"/>
        <v>51.230277803934939</v>
      </c>
      <c r="FD62" s="183">
        <f t="shared" si="138"/>
        <v>51.67956317099874</v>
      </c>
      <c r="FE62" s="183">
        <f t="shared" si="139"/>
        <v>52.241646306056893</v>
      </c>
      <c r="FF62" s="183">
        <f t="shared" si="140"/>
        <v>52.860819744105676</v>
      </c>
      <c r="FG62" s="183">
        <f t="shared" si="141"/>
        <v>53.461000152295128</v>
      </c>
      <c r="FH62" s="186">
        <f t="shared" si="185"/>
        <v>117.09030337733225</v>
      </c>
      <c r="FI62" s="183">
        <f t="shared" si="186"/>
        <v>117.05282902154491</v>
      </c>
      <c r="FJ62" s="183">
        <f t="shared" si="187"/>
        <v>115.05673993858498</v>
      </c>
      <c r="FK62" s="183">
        <f t="shared" si="188"/>
        <v>113.64259180228906</v>
      </c>
      <c r="FL62" s="183">
        <f t="shared" si="189"/>
        <v>111.6238434523553</v>
      </c>
      <c r="FM62" s="183">
        <f t="shared" si="190"/>
        <v>110.67599611617179</v>
      </c>
      <c r="FN62" s="183">
        <f t="shared" si="191"/>
        <v>109.16030847783679</v>
      </c>
      <c r="FO62" s="183">
        <f t="shared" si="192"/>
        <v>107.90380244942405</v>
      </c>
      <c r="FP62" s="183">
        <f t="shared" si="193"/>
        <v>106.40576753284599</v>
      </c>
      <c r="FQ62" s="314">
        <f>Sheet3!CV62</f>
        <v>4</v>
      </c>
      <c r="FR62" s="183">
        <v>5000</v>
      </c>
      <c r="FS62" s="183">
        <v>20</v>
      </c>
      <c r="FT62" s="183">
        <v>0.21759999999999999</v>
      </c>
      <c r="FU62" s="183">
        <v>26</v>
      </c>
      <c r="FV62" s="183">
        <v>250</v>
      </c>
      <c r="FW62" s="183">
        <v>50</v>
      </c>
      <c r="FX62" s="183">
        <v>1002</v>
      </c>
      <c r="FY62" s="183">
        <v>7.5</v>
      </c>
      <c r="FZ62" s="183">
        <v>12.8</v>
      </c>
      <c r="GA62" s="183">
        <v>205</v>
      </c>
      <c r="GB62" s="186">
        <f>EXP($LP$6-($LQ$6/('Trial and Error method'!T62+$LP$8))) / ($LR$2/1000)</f>
        <v>3.8647562363708227E-2</v>
      </c>
      <c r="GC62" s="183">
        <f>EXP($LP$6-($LQ$6/('Trial and Error method'!U62+$LP$8))) / ($LR$2/1000)</f>
        <v>5.964627812405001E-2</v>
      </c>
      <c r="GD62" s="183">
        <f>EXP($LP$6-($LQ$6/('Trial and Error method'!V62+$LP$8))) / ($LR$2/1000)</f>
        <v>5.5011755848727979E-2</v>
      </c>
      <c r="GE62" s="183">
        <f>EXP($LP$6-($LQ$6/('Trial and Error method'!W62+$LP$8))) / ($LR$2/1000)</f>
        <v>5.1383970012296672E-2</v>
      </c>
      <c r="GF62" s="183">
        <f>EXP($LP$6-($LQ$6/('Trial and Error method'!X62+$LP$8))) / ($LR$2/1000)</f>
        <v>4.7816420040245028E-2</v>
      </c>
      <c r="GG62" s="183">
        <f>EXP($LP$6-($LQ$6/('Trial and Error method'!Y62+$LP$8))) / ($LR$2/1000)</f>
        <v>4.5115737720703444E-2</v>
      </c>
      <c r="GH62" s="183">
        <f>EXP($LP$6-($LQ$6/('Trial and Error method'!Z62+$LP$8))) / ($LR$2/1000)</f>
        <v>4.2319561606667562E-2</v>
      </c>
      <c r="GI62" s="183">
        <f>EXP($LP$6-($LQ$6/('Trial and Error method'!AA62+$LP$8))) / ($LR$2/1000)</f>
        <v>3.9863135274346033E-2</v>
      </c>
      <c r="GJ62" s="183">
        <f>EXP($LP$6-($LQ$6/('Trial and Error method'!AB62+$LP$8))) / ($LR$2/1000)</f>
        <v>3.7340065797809463E-2</v>
      </c>
      <c r="GK62" s="188">
        <f t="shared" si="142"/>
        <v>0.83117965416402362</v>
      </c>
      <c r="GL62" s="165">
        <f t="shared" si="143"/>
        <v>0.8216189320166819</v>
      </c>
      <c r="GM62" s="165">
        <f t="shared" si="144"/>
        <v>0.82421104994592631</v>
      </c>
      <c r="GN62" s="165">
        <f t="shared" si="145"/>
        <v>0.82586697181548063</v>
      </c>
      <c r="GO62" s="165">
        <f t="shared" si="146"/>
        <v>0.82796939951738469</v>
      </c>
      <c r="GP62" s="165">
        <f t="shared" si="147"/>
        <v>0.82919956974738862</v>
      </c>
      <c r="GQ62" s="165">
        <f t="shared" si="148"/>
        <v>0.83094365243598101</v>
      </c>
      <c r="GR62" s="165">
        <f t="shared" si="149"/>
        <v>0.83206104643942813</v>
      </c>
      <c r="GS62" s="165">
        <f t="shared" si="150"/>
        <v>0.83362866701331695</v>
      </c>
      <c r="GT62" s="188">
        <f t="shared" si="194"/>
        <v>7.17782875095168E-2</v>
      </c>
      <c r="GU62" s="165">
        <f t="shared" si="195"/>
        <v>7.2606497813752863E-2</v>
      </c>
      <c r="GV62" s="165">
        <f t="shared" si="196"/>
        <v>7.2291463837439049E-2</v>
      </c>
      <c r="GW62" s="165">
        <f t="shared" si="197"/>
        <v>7.2112267194269969E-2</v>
      </c>
      <c r="GX62" s="165">
        <f t="shared" si="198"/>
        <v>7.1864362391642678E-2</v>
      </c>
      <c r="GY62" s="165">
        <f t="shared" si="199"/>
        <v>7.1746234147529356E-2</v>
      </c>
      <c r="GZ62" s="165">
        <f t="shared" si="200"/>
        <v>7.1553555160200441E-2</v>
      </c>
      <c r="HA62" s="165">
        <f t="shared" si="201"/>
        <v>7.1454927209382485E-2</v>
      </c>
      <c r="HB62" s="165">
        <f t="shared" si="202"/>
        <v>7.129022616426002E-2</v>
      </c>
      <c r="HC62" s="188">
        <f>BV62*Sheet3!DF62</f>
        <v>249.35214232174931</v>
      </c>
      <c r="HD62" s="165">
        <f>BW62*Sheet3!BZ62</f>
        <v>249.04129562514012</v>
      </c>
      <c r="HE62" s="165">
        <f>BX62*Sheet3!CA62</f>
        <v>233.65964967930896</v>
      </c>
      <c r="HF62" s="165">
        <f>BY62*Sheet3!CB62</f>
        <v>222.23808358575346</v>
      </c>
      <c r="HG62" s="165">
        <f>BZ62*Sheet3!CC62</f>
        <v>207.31820988755214</v>
      </c>
      <c r="HH62" s="165">
        <f>CA62*Sheet3!CD62</f>
        <v>199.9832024164042</v>
      </c>
      <c r="HI62" s="165">
        <f>CB62*Sheet3!CE62</f>
        <v>189.38088116049298</v>
      </c>
      <c r="HJ62" s="165">
        <f>CC62*Sheet3!CF62</f>
        <v>179.99338231798586</v>
      </c>
      <c r="HK62" s="165">
        <f>CD62*Sheet3!CG62</f>
        <v>169.78918257932557</v>
      </c>
      <c r="HL62" s="188">
        <f>(CE62*Sheet3!DF62)+2501</f>
        <v>2899.0054276934375</v>
      </c>
      <c r="HM62" s="165">
        <f>(CF62*Sheet3!BZ62)+2501</f>
        <v>2898.5047303467072</v>
      </c>
      <c r="HN62" s="165">
        <f>(CG62*Sheet3!CA62)+2501</f>
        <v>2874.6404560046376</v>
      </c>
      <c r="HO62" s="165">
        <f>(CH62*Sheet3!CB62)+2501</f>
        <v>2856.1551198562274</v>
      </c>
      <c r="HP62" s="165">
        <f>(CI62*Sheet3!CC62)+2501</f>
        <v>2832.9471461325943</v>
      </c>
      <c r="HQ62" s="165">
        <f>(CJ62*Sheet3!CD62)+2501</f>
        <v>2821.0836561648007</v>
      </c>
      <c r="HR62" s="165">
        <f>(CK62*Sheet3!CE62)+2501</f>
        <v>2804.7670453055603</v>
      </c>
      <c r="HS62" s="165">
        <f>(CL62*Sheet3!CF62)+2501</f>
        <v>2789.582934189752</v>
      </c>
      <c r="HT62" s="165">
        <f>(CM62*Sheet3!CG62)+2501</f>
        <v>2773.7483560466439</v>
      </c>
      <c r="HU62" s="188">
        <f>-0.0021*(Sheet3!DF62^2) - 2.2115*(Sheet3!DF62) + 2499</f>
        <v>1957.3899999999999</v>
      </c>
      <c r="HV62" s="165">
        <f>-0.0021*(Sheet3!BZ62^2) - 2.2115*(Sheet3!BZ62) + 2499</f>
        <v>1958.1381773516002</v>
      </c>
      <c r="HW62" s="165">
        <f>-0.0021*(Sheet3!CA62^2) - 2.2115*(Sheet3!CA62) + 2499</f>
        <v>1993.6374516519388</v>
      </c>
      <c r="HX62" s="165">
        <f>-0.0021*(Sheet3!CB62^2) - 2.2115*(Sheet3!CB62) + 2499</f>
        <v>2020.9164233667213</v>
      </c>
      <c r="HY62" s="165">
        <f>-0.0021*(Sheet3!CC62^2) - 2.2115*(Sheet3!CC62) + 2499</f>
        <v>2054.8877879033721</v>
      </c>
      <c r="HZ62" s="165">
        <f>-0.0021*(Sheet3!CD62^2) - 2.2115*(Sheet3!CD62) + 2499</f>
        <v>2072.1317138469376</v>
      </c>
      <c r="IA62" s="165">
        <f>-0.0021*(Sheet3!CE62^2) - 2.2115*(Sheet3!CE62) + 2499</f>
        <v>2095.7109169992268</v>
      </c>
      <c r="IB62" s="165">
        <f>-0.0021*(Sheet3!CF62^2) - 2.2115*(Sheet3!CF62) + 2499</f>
        <v>2117.507559169183</v>
      </c>
      <c r="IC62" s="165">
        <f>-0.0021*(Sheet3!CG62^2) - 2.2115*(Sheet3!CG62) + 2499</f>
        <v>2140.0843944433514</v>
      </c>
      <c r="ID62" s="188">
        <f t="shared" si="203"/>
        <v>0.6543057114733688</v>
      </c>
      <c r="IE62" s="165">
        <f t="shared" si="204"/>
        <v>0.65441122930849804</v>
      </c>
      <c r="IF62" s="165">
        <f t="shared" si="205"/>
        <v>0.6585417001390379</v>
      </c>
      <c r="IG62" s="165">
        <f t="shared" si="206"/>
        <v>0.66306760009191035</v>
      </c>
      <c r="IH62" s="165">
        <f t="shared" si="207"/>
        <v>0.66789694840387004</v>
      </c>
      <c r="II62" s="165">
        <f t="shared" si="208"/>
        <v>0.6712642251250881</v>
      </c>
      <c r="IJ62" s="165">
        <f t="shared" si="209"/>
        <v>0.67479890237996576</v>
      </c>
      <c r="IK62" s="165">
        <f t="shared" si="210"/>
        <v>0.67965267246523164</v>
      </c>
      <c r="IL62" s="165">
        <f t="shared" si="211"/>
        <v>0.68378525408344182</v>
      </c>
      <c r="IM62" s="188">
        <f t="shared" si="212"/>
        <v>34.847511536248895</v>
      </c>
      <c r="IN62" s="165">
        <f t="shared" si="151"/>
        <v>32.277318582441644</v>
      </c>
      <c r="IO62" s="165">
        <f t="shared" si="152"/>
        <v>33.26315914692416</v>
      </c>
      <c r="IP62" s="165">
        <f t="shared" si="153"/>
        <v>34.163107163542321</v>
      </c>
      <c r="IQ62" s="165">
        <f t="shared" si="154"/>
        <v>35.017047640920559</v>
      </c>
      <c r="IR62" s="165">
        <f t="shared" si="155"/>
        <v>35.654207365681089</v>
      </c>
      <c r="IS62" s="165">
        <f t="shared" si="156"/>
        <v>36.254198648208614</v>
      </c>
      <c r="IT62" s="165">
        <f t="shared" si="157"/>
        <v>36.952289200397651</v>
      </c>
      <c r="IU62" s="165">
        <f t="shared" si="158"/>
        <v>37.528887103242155</v>
      </c>
      <c r="IV62" s="188">
        <f>_xlfn.FORECAST.LINEAR(Sheet3!DF62,Sheet2!$AK$2:$AK$69,Sheet2!$AJ$2:$AJ$69)</f>
        <v>1.5962912137298422E-5</v>
      </c>
      <c r="IW62" s="165">
        <f>_xlfn.FORECAST.LINEAR(Sheet3!BZ62,Sheet2!$AK$2:$AK$69,Sheet2!$AJ$2:$AJ$69)</f>
        <v>1.5954384951012364E-5</v>
      </c>
      <c r="IX62" s="165">
        <f>_xlfn.FORECAST.LINEAR(Sheet3!CA62,Sheet2!$AK$2:$AK$69,Sheet2!$AJ$2:$AJ$69)</f>
        <v>1.5546473178731274E-5</v>
      </c>
      <c r="IY62" s="165">
        <f>_xlfn.FORECAST.LINEAR(Sheet3!CB62,Sheet2!$AK$2:$AK$69,Sheet2!$AJ$2:$AJ$69)</f>
        <v>1.5228474556223515E-5</v>
      </c>
      <c r="IZ62" s="165">
        <f>_xlfn.FORECAST.LINEAR(Sheet3!CC62,Sheet2!$AK$2:$AK$69,Sheet2!$AJ$2:$AJ$69)</f>
        <v>1.4826685494928822E-5</v>
      </c>
      <c r="JA62" s="165">
        <f>_xlfn.FORECAST.LINEAR(Sheet3!CD62,Sheet2!$AK$2:$AK$69,Sheet2!$AJ$2:$AJ$69)</f>
        <v>1.4620191715048617E-5</v>
      </c>
      <c r="JB62" s="165">
        <f>_xlfn.FORECAST.LINEAR(Sheet3!CE62,Sheet2!$AK$2:$AK$69,Sheet2!$AJ$2:$AJ$69)</f>
        <v>1.4334956562689751E-5</v>
      </c>
      <c r="JC62" s="165">
        <f>_xlfn.FORECAST.LINEAR(Sheet3!CF62,Sheet2!$AK$2:$AK$69,Sheet2!$AJ$2:$AJ$69)</f>
        <v>1.4068234040240633E-5</v>
      </c>
      <c r="JD62" s="165">
        <f>_xlfn.FORECAST.LINEAR(Sheet3!CG62,Sheet2!$AK$2:$AK$69,Sheet2!$AJ$2:$AJ$69)</f>
        <v>1.3788764567154655E-5</v>
      </c>
      <c r="JE62" s="188">
        <f>_xlfn.FORECAST.LINEAR(Sheet3!DF62,New!$MC$2:$MC$18,New!$MB$2:$MB$18)</f>
        <v>2.5847452754227255E-5</v>
      </c>
      <c r="JF62" s="165">
        <f>_xlfn.FORECAST.LINEAR(Sheet3!BZ62,New!$MC$2:$MC$18,New!$MB$2:$MB$18)</f>
        <v>2.5837428840929659E-5</v>
      </c>
      <c r="JG62" s="165">
        <f>_xlfn.FORECAST.LINEAR(Sheet3!CA62,New!$MC$2:$MC$18,New!$MB$2:$MB$18)</f>
        <v>2.5357918706959521E-5</v>
      </c>
      <c r="JH62" s="165">
        <f>_xlfn.FORECAST.LINEAR(Sheet3!CB62,New!$MC$2:$MC$18,New!$MB$2:$MB$18)</f>
        <v>2.4984103650756787E-5</v>
      </c>
      <c r="JI62" s="165">
        <f>_xlfn.FORECAST.LINEAR(Sheet3!CC62,New!$MC$2:$MC$18,New!$MB$2:$MB$18)</f>
        <v>2.4511790911333347E-5</v>
      </c>
      <c r="JJ62" s="165">
        <f>_xlfn.FORECAST.LINEAR(Sheet3!CD62,New!$MC$2:$MC$18,New!$MB$2:$MB$18)</f>
        <v>2.4269052489000868E-5</v>
      </c>
      <c r="JK62" s="165">
        <f>_xlfn.FORECAST.LINEAR(Sheet3!CE62,New!$MC$2:$MC$18,New!$MB$2:$MB$18)</f>
        <v>2.393375168276098E-5</v>
      </c>
      <c r="JL62" s="165">
        <f>_xlfn.FORECAST.LINEAR(Sheet3!CF62,New!$MC$2:$MC$18,New!$MB$2:$MB$18)</f>
        <v>2.362021291981423E-5</v>
      </c>
      <c r="JM62" s="165">
        <f>_xlfn.FORECAST.LINEAR(Sheet3!CG62,New!$MC$2:$MC$18,New!$MB$2:$MB$18)</f>
        <v>2.3291689808724228E-5</v>
      </c>
      <c r="JN62" s="188">
        <f t="shared" si="159"/>
        <v>2.3093925029291481E-5</v>
      </c>
      <c r="JO62" s="165">
        <f t="shared" si="160"/>
        <v>2.3084128618965594E-5</v>
      </c>
      <c r="JP62" s="165">
        <f t="shared" si="161"/>
        <v>2.2622766676579483E-5</v>
      </c>
      <c r="JQ62" s="165">
        <f t="shared" si="162"/>
        <v>2.225635859661667E-5</v>
      </c>
      <c r="JR62" s="165">
        <f t="shared" si="163"/>
        <v>2.1801390522986016E-5</v>
      </c>
      <c r="JS62" s="165">
        <f t="shared" si="164"/>
        <v>2.1563166723678358E-5</v>
      </c>
      <c r="JT62" s="165">
        <f t="shared" si="165"/>
        <v>2.1242080767349891E-5</v>
      </c>
      <c r="JU62" s="165">
        <f t="shared" si="166"/>
        <v>2.0934037589698173E-5</v>
      </c>
      <c r="JV62" s="165">
        <f t="shared" si="167"/>
        <v>2.0618292253334273E-5</v>
      </c>
      <c r="JW62" s="188">
        <f t="shared" si="231"/>
        <v>0.99342087640971777</v>
      </c>
      <c r="JX62" s="165">
        <f t="shared" si="232"/>
        <v>0.99349806353710046</v>
      </c>
      <c r="JY62" s="165">
        <f t="shared" si="233"/>
        <v>0.99728608737429558</v>
      </c>
      <c r="JZ62" s="165">
        <f t="shared" si="234"/>
        <v>1.0003752087783164</v>
      </c>
      <c r="KA62" s="165">
        <f t="shared" si="235"/>
        <v>1.0044613320797267</v>
      </c>
      <c r="KB62" s="165">
        <f t="shared" si="236"/>
        <v>1.0066457182206652</v>
      </c>
      <c r="KC62" s="165">
        <f t="shared" si="237"/>
        <v>1.0097629831459614</v>
      </c>
      <c r="KD62" s="165">
        <f t="shared" si="238"/>
        <v>1.0127882817528333</v>
      </c>
      <c r="KE62" s="165">
        <f t="shared" si="239"/>
        <v>1.0160792646999315</v>
      </c>
      <c r="KF62" s="188">
        <f t="shared" si="75"/>
        <v>0.98626119619886909</v>
      </c>
      <c r="KG62" s="165">
        <f t="shared" si="240"/>
        <v>0.98619339394953298</v>
      </c>
      <c r="KH62" s="165">
        <f t="shared" si="241"/>
        <v>0.98288414216912179</v>
      </c>
      <c r="KI62" s="165">
        <f t="shared" si="242"/>
        <v>0.98021160662108686</v>
      </c>
      <c r="KJ62" s="165">
        <f t="shared" si="243"/>
        <v>0.97671204999399153</v>
      </c>
      <c r="KK62" s="165">
        <f t="shared" si="244"/>
        <v>0.97485761454662834</v>
      </c>
      <c r="KL62" s="165">
        <f t="shared" si="245"/>
        <v>0.97223071520777893</v>
      </c>
      <c r="KM62" s="165">
        <f t="shared" si="246"/>
        <v>0.96970299142596039</v>
      </c>
      <c r="KN62" s="165">
        <f t="shared" si="247"/>
        <v>0.96697720978637169</v>
      </c>
      <c r="KO62" s="188">
        <f t="shared" si="213"/>
        <v>0.65795291065265915</v>
      </c>
      <c r="KP62" s="165">
        <f t="shared" si="214"/>
        <v>0.65789658159095443</v>
      </c>
      <c r="KQ62" s="165">
        <f t="shared" si="215"/>
        <v>0.65138025537588151</v>
      </c>
      <c r="KR62" s="165">
        <f t="shared" si="216"/>
        <v>0.64613938438890461</v>
      </c>
      <c r="KS62" s="165">
        <f t="shared" si="217"/>
        <v>0.63931462532862493</v>
      </c>
      <c r="KT62" s="165">
        <f t="shared" si="218"/>
        <v>0.63570825216177396</v>
      </c>
      <c r="KU62" s="165">
        <f t="shared" si="219"/>
        <v>0.63062952605749945</v>
      </c>
      <c r="KV62" s="165">
        <f t="shared" si="220"/>
        <v>0.6257495898519323</v>
      </c>
      <c r="KW62" s="165">
        <f t="shared" si="221"/>
        <v>0.62060553711905109</v>
      </c>
      <c r="KX62" s="188">
        <f>AVERAGE(Sheet3!J62:P62)*KO62^(1/3)/ID62^(1/3)</f>
        <v>101.84162239054946</v>
      </c>
      <c r="KY62" s="165">
        <f>Sheet3!J62*KP62^(1/3)/IE62^(1/3)</f>
        <v>93.141979218210238</v>
      </c>
      <c r="KZ62" s="165">
        <f>Sheet3!K62*KQ62^(1/3)/IF62^(1/3)</f>
        <v>90.623310185432729</v>
      </c>
      <c r="LA62" s="165">
        <f>Sheet3!L62*KR62^(1/3)/IG62^(1/3)</f>
        <v>91.998851146021863</v>
      </c>
      <c r="LB62" s="165">
        <f>Sheet3!M62*KS62^(1/3)/IH62^(1/3)</f>
        <v>94.524884659765803</v>
      </c>
      <c r="LC62" s="165">
        <f>Sheet3!N62*KT62^(1/3)/II62^(1/3)</f>
        <v>100.07247122915226</v>
      </c>
      <c r="LD62" s="165">
        <f>Sheet3!O62*KU62^(1/3)/IJ62^(1/3)</f>
        <v>109.35207866316918</v>
      </c>
      <c r="LE62" s="165">
        <f>Sheet3!P62*KV62^(1/3)/IK62^(1/3)</f>
        <v>121.77878504911791</v>
      </c>
      <c r="LF62" s="165">
        <f>Sheet3!Q62*KW62^(1/3)/IL62^(1/3)</f>
        <v>137.73335672207762</v>
      </c>
      <c r="LG62" s="186">
        <f t="shared" si="248"/>
        <v>25.822332211443282</v>
      </c>
      <c r="LH62" s="183">
        <f t="shared" si="249"/>
        <v>25.823242953398879</v>
      </c>
      <c r="LI62" s="183">
        <f t="shared" si="250"/>
        <v>26.215943494599941</v>
      </c>
      <c r="LJ62" s="183">
        <f t="shared" si="251"/>
        <v>26.21689206282252</v>
      </c>
      <c r="LK62" s="183">
        <f t="shared" si="252"/>
        <v>26.62506956071995</v>
      </c>
      <c r="LL62" s="183">
        <f t="shared" si="253"/>
        <v>26.625563857794358</v>
      </c>
      <c r="LM62" s="183">
        <f t="shared" si="254"/>
        <v>27.044937202694044</v>
      </c>
      <c r="LN62" s="183">
        <f t="shared" si="255"/>
        <v>27.045452438336923</v>
      </c>
      <c r="LO62" s="183">
        <f t="shared" si="256"/>
        <v>27.433433295550802</v>
      </c>
      <c r="LP62" s="220"/>
      <c r="LQ62" s="220"/>
      <c r="LR62" s="220"/>
      <c r="LS62" s="220"/>
      <c r="LT62" s="222">
        <v>221.78</v>
      </c>
      <c r="LU62" s="220">
        <v>1.7E-5</v>
      </c>
      <c r="LV62" s="220"/>
      <c r="LW62" s="220"/>
      <c r="LX62" s="188">
        <f>Sheet3!DP62</f>
        <v>200.2798697176182</v>
      </c>
      <c r="MF62" s="165"/>
      <c r="MJ62"/>
      <c r="MK62"/>
      <c r="ML62"/>
      <c r="MM62"/>
      <c r="MN62"/>
      <c r="MO62"/>
      <c r="MP62"/>
      <c r="MQ62"/>
      <c r="MR62"/>
    </row>
    <row r="63" spans="1:357" x14ac:dyDescent="0.3">
      <c r="A63" s="184" t="str">
        <f>Sheet3!A63</f>
        <v>2023.01.24-1</v>
      </c>
      <c r="B63" s="186">
        <f t="shared" si="102"/>
        <v>0.78032313129681574</v>
      </c>
      <c r="C63" s="183">
        <f t="shared" si="168"/>
        <v>0.77886685091722152</v>
      </c>
      <c r="D63" s="183">
        <f t="shared" si="169"/>
        <v>0.77208019410366213</v>
      </c>
      <c r="E63" s="183">
        <f t="shared" si="170"/>
        <v>0.76499842707937682</v>
      </c>
      <c r="F63" s="183">
        <f t="shared" si="171"/>
        <v>0.75708146500358187</v>
      </c>
      <c r="G63" s="183">
        <f t="shared" si="172"/>
        <v>0.75199520468237735</v>
      </c>
      <c r="H63" s="183">
        <f t="shared" si="173"/>
        <v>0.74555689822062521</v>
      </c>
      <c r="I63" s="183">
        <f t="shared" si="174"/>
        <v>0.7330330585703303</v>
      </c>
      <c r="J63" s="183">
        <f t="shared" si="175"/>
        <v>0.73403454564595871</v>
      </c>
      <c r="K63" s="186">
        <f xml:space="preserve"> (6.057 * (10^(-6)))
+ (4.055 * (10^(-8)) * (Sheet3!DF63 + 273))
+ (1.25 * (10^(-10)) * (Sheet3!DF63 + 273)^2)
- (3.367 * (10^(-14)) * (DD63 + 273)^3)</f>
        <v>3.5901644899901507E-5</v>
      </c>
      <c r="L63" s="183">
        <f xml:space="preserve"> (6.057 * (10^(-6)))
+ (4.055 * (10^(-8)) * (Sheet3!BZ63 + 273))
+ (1.25 * (10^(-10)) * (Sheet3!BZ63 + 273)^2)
- (3.367 * (10^(-14)) * (BX63 + 273)^3)</f>
        <v>3.577454715168398E-5</v>
      </c>
      <c r="M63" s="183">
        <f xml:space="preserve"> (6.057 * (10^(-6)))
+ (4.055 * (10^(-8)) * (Sheet3!CA63 + 273))
+ (1.25 * (10^(-10)) * (Sheet3!CA63 + 273)^2)
- (3.367 * (10^(-14)) * (BY63 + 273)^3)</f>
        <v>3.5209572517023299E-5</v>
      </c>
      <c r="N63" s="183">
        <f xml:space="preserve"> (6.057 * (10^(-6)))
+ (4.055 * (10^(-8)) * (Sheet3!CB63 + 273))
+ (1.25 * (10^(-10)) * (Sheet3!CB63 + 273)^2)
- (3.367 * (10^(-14)) * (BZ63 + 273)^3)</f>
        <v>3.4813534959489217E-5</v>
      </c>
      <c r="O63" s="183">
        <f xml:space="preserve"> (6.057 * (10^(-6)))
+ (4.055 * (10^(-8)) * (Sheet3!CC63 + 273))
+ (1.25 * (10^(-10)) * (Sheet3!CC63 + 273)^2)
- (3.367 * (10^(-14)) * (CA63 + 273)^3)</f>
        <v>3.4256679258076664E-5</v>
      </c>
      <c r="P63" s="183">
        <f xml:space="preserve"> (6.057 * (10^(-6)))
+ (4.055 * (10^(-8)) * (Sheet3!CD63 + 273))
+ (1.25 * (10^(-10)) * (Sheet3!CD63 + 273)^2)
- (3.367 * (10^(-14)) * (CB63 + 273)^3)</f>
        <v>3.3972538811425862E-5</v>
      </c>
      <c r="Q63" s="183">
        <f xml:space="preserve"> (6.057 * (10^(-6)))
+ (4.055 * (10^(-8)) * (Sheet3!CE63 + 273))
+ (1.25 * (10^(-10)) * (Sheet3!CE63 + 273)^2)
- (3.367 * (10^(-14)) * (CC63 + 273)^3)</f>
        <v>3.3489081956950494E-5</v>
      </c>
      <c r="R63" s="183">
        <f xml:space="preserve"> (6.057 * (10^(-6)))
+ (4.055 * (10^(-8)) * (Sheet3!CF63 + 273))
+ (1.25 * (10^(-10)) * (Sheet3!CF63 + 273)^2)
- (3.367 * (10^(-14)) * (CD63 + 273)^3)</f>
        <v>3.2847777524746111E-5</v>
      </c>
      <c r="S63" s="183">
        <f xml:space="preserve"> (6.057 * (10^(-6)))
+ (4.055 * (10^(-8)) * (Sheet3!CG63 + 273))
+ (1.25 * (10^(-10)) * (Sheet3!CG63 + 273)^2)
- (3.367 * (10^(-14)) * (CE63 + 273)^3)</f>
        <v>3.2735521770105994E-5</v>
      </c>
      <c r="T63" s="188">
        <f t="shared" si="104"/>
        <v>3.5901644899901507E-5</v>
      </c>
      <c r="U63" s="165">
        <f t="shared" si="105"/>
        <v>3.577454715168398E-5</v>
      </c>
      <c r="V63" s="165">
        <f t="shared" si="106"/>
        <v>3.5209572517023299E-5</v>
      </c>
      <c r="W63" s="165">
        <f t="shared" si="107"/>
        <v>3.4813534959489217E-5</v>
      </c>
      <c r="X63" s="165">
        <f t="shared" si="108"/>
        <v>3.4256679258076664E-5</v>
      </c>
      <c r="Y63" s="165">
        <f t="shared" si="109"/>
        <v>3.3972538811425862E-5</v>
      </c>
      <c r="Z63" s="165">
        <f t="shared" si="110"/>
        <v>3.3489081956950494E-5</v>
      </c>
      <c r="AA63" s="165">
        <f t="shared" si="111"/>
        <v>3.2847777524746111E-5</v>
      </c>
      <c r="AB63" s="165">
        <f t="shared" si="112"/>
        <v>3.2735521770105994E-5</v>
      </c>
      <c r="AC63" s="186">
        <f t="shared" si="176"/>
        <v>2.80148839669975E-5</v>
      </c>
      <c r="AD63" s="183">
        <f t="shared" si="177"/>
        <v>2.7863608883021758E-5</v>
      </c>
      <c r="AE63" s="183">
        <f t="shared" si="178"/>
        <v>2.7184613583250316E-5</v>
      </c>
      <c r="AF63" s="183">
        <f t="shared" si="179"/>
        <v>2.6632299485082148E-5</v>
      </c>
      <c r="AG63" s="183">
        <f t="shared" si="180"/>
        <v>2.5935096918862497E-5</v>
      </c>
      <c r="AH63" s="183">
        <f t="shared" si="181"/>
        <v>2.5547186277078199E-5</v>
      </c>
      <c r="AI63" s="183">
        <f t="shared" si="182"/>
        <v>2.4968016068080316E-5</v>
      </c>
      <c r="AJ63" s="183">
        <f t="shared" si="183"/>
        <v>2.4078506826202394E-5</v>
      </c>
      <c r="AK63" s="183">
        <f t="shared" si="184"/>
        <v>2.4029003849003144E-5</v>
      </c>
      <c r="AL63" s="186">
        <f t="shared" si="113"/>
        <v>2.9186123831148391E-2</v>
      </c>
      <c r="AM63" s="183">
        <f t="shared" si="114"/>
        <v>2.9076275225001592E-2</v>
      </c>
      <c r="AN63" s="183">
        <f t="shared" si="115"/>
        <v>2.8581994123445871E-2</v>
      </c>
      <c r="AO63" s="183">
        <f t="shared" si="116"/>
        <v>2.8227409189586099E-2</v>
      </c>
      <c r="AP63" s="183">
        <f t="shared" si="117"/>
        <v>2.773241655919402E-2</v>
      </c>
      <c r="AQ63" s="183">
        <f t="shared" si="118"/>
        <v>2.747509732234505E-2</v>
      </c>
      <c r="AR63" s="183">
        <f t="shared" si="119"/>
        <v>2.7043911835710754E-2</v>
      </c>
      <c r="AS63" s="183">
        <f t="shared" si="120"/>
        <v>2.6452282725886515E-2</v>
      </c>
      <c r="AT63" s="183">
        <f t="shared" si="121"/>
        <v>2.6366751777418072E-2</v>
      </c>
      <c r="AU63" s="186">
        <f>_xlfn.FORECAST.LINEAR(Sheet3!DF63,Sheet2!$AH$2:$AH$40,Sheet2!$AG$2:$AG$40)</f>
        <v>2.5653712965492358E-2</v>
      </c>
      <c r="AV63" s="183">
        <f>_xlfn.FORECAST.LINEAR(Sheet3!BZ63,Sheet2!$AH$2:$AH$40,Sheet2!$AG$2:$AG$40)</f>
        <v>2.5407408306617498E-2</v>
      </c>
      <c r="AW63" s="183">
        <f>_xlfn.FORECAST.LINEAR(Sheet3!CA63,Sheet2!$AH$2:$AH$40,Sheet2!$AG$2:$AG$40)</f>
        <v>2.4296579759870787E-2</v>
      </c>
      <c r="AX63" s="183">
        <f>_xlfn.FORECAST.LINEAR(Sheet3!CB63,Sheet2!$AH$2:$AH$40,Sheet2!$AG$2:$AG$40)</f>
        <v>2.3512187069929847E-2</v>
      </c>
      <c r="AY63" s="183">
        <f>_xlfn.FORECAST.LINEAR(Sheet3!CC63,Sheet2!$AH$2:$AH$40,Sheet2!$AG$2:$AG$40)</f>
        <v>2.2401298024834444E-2</v>
      </c>
      <c r="AZ63" s="183">
        <f>_xlfn.FORECAST.LINEAR(Sheet3!CD63,Sheet2!$AH$2:$AH$40,Sheet2!$AG$2:$AG$40)</f>
        <v>2.1830677319022464E-2</v>
      </c>
      <c r="BA63" s="183">
        <f>_xlfn.FORECAST.LINEAR(Sheet3!CE63,Sheet2!$AH$2:$AH$40,Sheet2!$AG$2:$AG$40)</f>
        <v>2.0854032162122855E-2</v>
      </c>
      <c r="BB63" s="183">
        <f>_xlfn.FORECAST.LINEAR(Sheet3!CF63,Sheet2!$AH$2:$AH$40,Sheet2!$AG$2:$AG$40)</f>
        <v>1.9546792728654137E-2</v>
      </c>
      <c r="BC63" s="183">
        <f>_xlfn.FORECAST.LINEAR(Sheet3!CG63,Sheet2!$AH$2:$AH$40,Sheet2!$AG$2:$AG$40)</f>
        <v>1.9327970533690758E-2</v>
      </c>
      <c r="BD63" s="186">
        <f>_xlfn.FORECAST.LINEAR(Sheet3!DF63,Sheet2!$AB$12:$AB$37,Sheet2!$AA$12:$AA$37)/1000</f>
        <v>3.0506351161118033E-2</v>
      </c>
      <c r="BE63" s="183">
        <f>_xlfn.FORECAST.LINEAR(Sheet3!BZ63,Sheet2!$AB$12:$AB$37,Sheet2!$AA$12:$AA$37)/1000</f>
        <v>3.045128314049168E-2</v>
      </c>
      <c r="BF63" s="183">
        <f>_xlfn.FORECAST.LINEAR(Sheet3!CA63,Sheet2!$AB$12:$AB$37,Sheet2!$AA$12:$AA$37)/1000</f>
        <v>3.0202927589264902E-2</v>
      </c>
      <c r="BG63" s="183">
        <f>_xlfn.FORECAST.LINEAR(Sheet3!CB63,Sheet2!$AB$12:$AB$37,Sheet2!$AA$12:$AA$37)/1000</f>
        <v>3.0027555539762694E-2</v>
      </c>
      <c r="BH63" s="183">
        <f>_xlfn.FORECAST.LINEAR(Sheet3!CC63,Sheet2!$AB$12:$AB$37,Sheet2!$AA$12:$AA$37)/1000</f>
        <v>2.9779186462505478E-2</v>
      </c>
      <c r="BI63" s="183">
        <f>_xlfn.FORECAST.LINEAR(Sheet3!CD63,Sheet2!$AB$12:$AB$37,Sheet2!$AA$12:$AA$37)/1000</f>
        <v>2.9651608880574953E-2</v>
      </c>
      <c r="BJ63" s="183">
        <f>_xlfn.FORECAST.LINEAR(Sheet3!CE63,Sheet2!$AB$12:$AB$37,Sheet2!$AA$12:$AA$37)/1000</f>
        <v>2.9433253629438189E-2</v>
      </c>
      <c r="BK63" s="183">
        <f>_xlfn.FORECAST.LINEAR(Sheet3!CF63,Sheet2!$AB$12:$AB$37,Sheet2!$AA$12:$AA$37)/1000</f>
        <v>2.9140985150170766E-2</v>
      </c>
      <c r="BL63" s="183">
        <f>_xlfn.FORECAST.LINEAR(Sheet3!CG63,Sheet2!$AB$12:$AB$37,Sheet2!$AA$12:$AA$37)/1000</f>
        <v>2.909206157235136E-2</v>
      </c>
      <c r="BM63" s="186">
        <f t="shared" si="122"/>
        <v>0.88227413980459513</v>
      </c>
      <c r="BN63" s="183">
        <f t="shared" si="123"/>
        <v>0.88479872657794867</v>
      </c>
      <c r="BO63" s="183">
        <f t="shared" si="124"/>
        <v>0.896351824611481</v>
      </c>
      <c r="BP63" s="183">
        <f t="shared" si="125"/>
        <v>0.90429002366167555</v>
      </c>
      <c r="BQ63" s="183">
        <f t="shared" si="126"/>
        <v>0.91618029243223542</v>
      </c>
      <c r="BR63" s="183">
        <f t="shared" si="127"/>
        <v>0.92223223479693228</v>
      </c>
      <c r="BS63" s="183">
        <f t="shared" si="128"/>
        <v>0.93320617627399816</v>
      </c>
      <c r="BT63" s="183">
        <f t="shared" si="129"/>
        <v>0.94760638670437336</v>
      </c>
      <c r="BU63" s="183">
        <f t="shared" si="130"/>
        <v>0.95060991153728902</v>
      </c>
      <c r="BV63" s="186">
        <f t="shared" si="222"/>
        <v>1.180820931248765</v>
      </c>
      <c r="BW63" s="183">
        <f t="shared" si="223"/>
        <v>1.1793885761693843</v>
      </c>
      <c r="BX63" s="183">
        <f t="shared" si="224"/>
        <v>1.1729806683061508</v>
      </c>
      <c r="BY63" s="183">
        <f t="shared" si="225"/>
        <v>1.1720728698549105</v>
      </c>
      <c r="BZ63" s="183">
        <f t="shared" si="226"/>
        <v>1.1671290909200531</v>
      </c>
      <c r="CA63" s="183">
        <f t="shared" si="227"/>
        <v>1.1661538938326701</v>
      </c>
      <c r="CB63" s="183">
        <f t="shared" si="228"/>
        <v>1.1606676282485913</v>
      </c>
      <c r="CC63" s="183">
        <f t="shared" si="229"/>
        <v>1.1593261315302816</v>
      </c>
      <c r="CD63" s="183">
        <f t="shared" si="230"/>
        <v>1.1542995478127234</v>
      </c>
      <c r="CE63" s="187">
        <f xml:space="preserve"> -0.0000000019505*Sheet3!DF63^3 + 0.0000015497*Sheet3!DF63^2  + 0.00016911*Sheet3!DF63 + 1.8585</f>
        <v>1.8828730816875001</v>
      </c>
      <c r="CF63" s="185">
        <f xml:space="preserve"> -0.0000000019505*Sheet3!BZ63^3 + 0.0000015497*Sheet3!BZ63^2  + 0.00016911*Sheet3!BZ63 + 1.8585</f>
        <v>1.8824958300276295</v>
      </c>
      <c r="CG63" s="185">
        <f xml:space="preserve"> -0.0000000019505*Sheet3!CA63^3 + 0.0000015497*Sheet3!CA63^2  + 0.00016911*Sheet3!CA63 + 1.8585</f>
        <v>1.8808192821651617</v>
      </c>
      <c r="CH63" s="185">
        <f xml:space="preserve"> -0.0000000019505*Sheet3!CB63^3 + 0.0000015497*Sheet3!CB63^2  + 0.00016911*Sheet3!CB63 + 1.8585</f>
        <v>1.879660298208216</v>
      </c>
      <c r="CI63" s="185">
        <f xml:space="preserve"> -0.0000000019505*Sheet3!CC63^3 + 0.0000015497*Sheet3!CC63^2  + 0.00016911*Sheet3!CC63 + 1.8585</f>
        <v>1.8780548894907185</v>
      </c>
      <c r="CJ63" s="185">
        <f xml:space="preserve"> -0.0000000019505*Sheet3!CD63^3 + 0.0000015497*Sheet3!CD63^2  + 0.00016911*Sheet3!CD63 + 1.8585</f>
        <v>1.8772469366666649</v>
      </c>
      <c r="CK63" s="185">
        <f xml:space="preserve"> -0.0000000019505*Sheet3!CE63^3 + 0.0000015497*Sheet3!CE63^2  + 0.00016911*Sheet3!CE63 + 1.8585</f>
        <v>1.8758908382616595</v>
      </c>
      <c r="CL63" s="185">
        <f xml:space="preserve"> -0.0000000019505*Sheet3!CF63^3 + 0.0000015497*Sheet3!CF63^2  + 0.00016911*Sheet3!CF63 + 1.8585</f>
        <v>1.874129568556234</v>
      </c>
      <c r="CM63" s="185">
        <f xml:space="preserve"> -0.0000000019505*Sheet3!CG63^3 + 0.0000015497*Sheet3!CG63^2  + 0.00016911*Sheet3!CG63 + 1.8585</f>
        <v>1.8738408694582347</v>
      </c>
      <c r="CN63" s="186">
        <f>_xlfn.FORECAST.LINEAR(Sheet3!DF63,New!$LU$2:$LU$14,New!$LT$2:$LT$14)</f>
        <v>1.0126209368728181</v>
      </c>
      <c r="CO63" s="183">
        <f>_xlfn.FORECAST.LINEAR(Sheet3!BZ63,New!$LU$2:$LU$14,New!$LT$2:$LT$14)</f>
        <v>1.0124396534125466</v>
      </c>
      <c r="CP63" s="183">
        <f>_xlfn.FORECAST.LINEAR(Sheet3!CA63,New!$LU$2:$LU$14,New!$LT$2:$LT$14)</f>
        <v>1.0116220690288715</v>
      </c>
      <c r="CQ63" s="183">
        <f>_xlfn.FORECAST.LINEAR(Sheet3!CB63,New!$LU$2:$LU$14,New!$LT$2:$LT$14)</f>
        <v>1.0110447457184086</v>
      </c>
      <c r="CR63" s="183">
        <f>_xlfn.FORECAST.LINEAR(Sheet3!CC63,New!$LU$2:$LU$14,New!$LT$2:$LT$14)</f>
        <v>1.0102271168071553</v>
      </c>
      <c r="CS63" s="183">
        <f>_xlfn.FORECAST.LINEAR(Sheet3!CD63,New!$LU$2:$LU$14,New!$LT$2:$LT$14)</f>
        <v>1.0098071324815456</v>
      </c>
      <c r="CT63" s="183">
        <f>_xlfn.FORECAST.LINEAR(Sheet3!CE63,New!$LU$2:$LU$14,New!$LT$2:$LT$14)</f>
        <v>1.0090883088331872</v>
      </c>
      <c r="CU63" s="183">
        <f>_xlfn.FORECAST.LINEAR(Sheet3!CF63,New!$LU$2:$LU$14,New!$LT$2:$LT$14)</f>
        <v>1.0081261634601157</v>
      </c>
      <c r="CV63" s="183">
        <f>_xlfn.FORECAST.LINEAR(Sheet3!CG63,New!$LU$2:$LU$14,New!$LT$2:$LT$14)</f>
        <v>1.0079651074538332</v>
      </c>
      <c r="CW63" s="186">
        <f>EXP((17.625*Sheet3!BA63)/(243.04+Sheet3!BA63)) / EXP((17.625*Sheet3!DF63)/(243.04+Sheet3!DF63))</f>
        <v>0.4092136654242175</v>
      </c>
      <c r="CX63" s="183">
        <f>EXP((17.625*(Sheet3!BC63+273))/(243.04+(Sheet3!BC63+273)))/EXP((17.625*(Sheet3!BZ63+273))/(243.04+(Sheet3!BZ63+273)))</f>
        <v>0.78113057445402179</v>
      </c>
      <c r="CY63" s="183">
        <f>EXP((17.625*(Sheet3!BE63+273))/(243.04+(Sheet3!BE63+273))) / EXP((17.625*(Sheet3!CA63+273))/(243.04+(Sheet3!CA63+273)))</f>
        <v>0.82176219639387671</v>
      </c>
      <c r="CZ63" s="183">
        <f>EXP((17.625*(Sheet3!BG63+273))/(243.04+(Sheet3!BG63+273))) / EXP((17.625*(Sheet3!CB63+273))/(243.04+(Sheet3!CB63+273)))</f>
        <v>0.84753756464057561</v>
      </c>
      <c r="DA63" s="183">
        <f>EXP((17.625*(Sheet3!BI63+273))/(243.04+(Sheet3!BI63+273))) / EXP((17.625*(Sheet3!CC63+273))/(243.04+(Sheet3!CC63+273)))</f>
        <v>0.8897026688845</v>
      </c>
      <c r="DB63" s="183">
        <f>EXP((17.625*(Sheet3!BK63+273))/(243.04+(Sheet3!BK63+273)))/EXP((17.625*(Sheet3!CD63+273))/(243.04+(Sheet3!CD63+273)))</f>
        <v>0.9142914160270954</v>
      </c>
      <c r="DC63" s="183">
        <f>EXP((17.625*(Sheet3!BM63+273))/(243.04+(Sheet3!BM63+273))) / EXP((17.625*(Sheet3!CE63+273))/(243.04+(Sheet3!CE63+273)))</f>
        <v>0.95354397946963732</v>
      </c>
      <c r="DD63" s="183">
        <f>EXP((17.625*(Sheet3!BO63+273))/(243.04+(Sheet3!BO63+273))) / EXP((17.625*(Sheet3!CF63+273))/(243.04+(Sheet3!CF63+273)))</f>
        <v>1.0178609477393905</v>
      </c>
      <c r="DE63" s="183">
        <f>EXP((17.625*(Sheet3!BQ63+273))/(243.04+(Sheet3!BQ63+273))) / EXP((17.625*(Sheet3!CG63+273))/(243.04+(Sheet3!CG63+273)))</f>
        <v>1.0223668228532046</v>
      </c>
      <c r="DF63" s="186">
        <f>((Sheet3!DA63-Sheet3!DB63)/New!$LQ$3)/(((Sheet3!DA63-Sheet3!DB63)/New!$LQ$3)+(Sheet3!DB63/New!$LP$3))</f>
        <v>0.72194763558642794</v>
      </c>
      <c r="DG63" s="183">
        <f>((Sheet3!DA63-Sheet3!DB63)/New!$LQ$3)/(((Sheet3!DA63-Sheet3!DB63)/New!$LQ$3)+((Sheet3!DB63-(Sheet3!B63*0.004))/New!$LP$3))</f>
        <v>0.72754152216575163</v>
      </c>
      <c r="DH63" s="183" cm="1">
        <f t="array" ref="DH63">((Sheet3!DA63-Sheet3!DB63)/New!$LQ$3)/(((Sheet3!DA63-Sheet3!DB63)/New!$LQ$3)+((Sheet3!DB63-(SUM(Sheet3!B63:C63*0.004)))/New!$LP$3))</f>
        <v>0.75357818919253561</v>
      </c>
      <c r="DI63" s="183" cm="1">
        <f t="array" ref="DI63">((Sheet3!DA63-Sheet3!DB63)/New!$LQ$3)/(((Sheet3!DA63-Sheet3!DB63)/New!$LQ$3)+((Sheet3!DB63-(SUM(Sheet3!B63:D63*0.004)))/New!$LP$3))</f>
        <v>0.75468288796174321</v>
      </c>
      <c r="DJ63" s="183" cm="1">
        <f t="array" ref="DJ63">((Sheet3!DA63-Sheet3!DB63)/New!$LQ$3)/(((Sheet3!DA63-Sheet3!DB63)/New!$LQ$3)+((Sheet3!DB63-(SUM(Sheet3!B63:E63*0.004)))/New!$LP$3))</f>
        <v>0.77497537200108413</v>
      </c>
      <c r="DK63" s="183" cm="1">
        <f t="array" ref="DK63">((Sheet3!DA63-Sheet3!DB63)/New!$LQ$3)/(((Sheet3!DA63-Sheet3!DB63)/New!$LQ$3)+((Sheet3!DB63-(SUM(Sheet3!B63:F63*0.004)))/New!$LP$3))</f>
        <v>0.77751805361098114</v>
      </c>
      <c r="DL63" s="183" cm="1">
        <f t="array" ref="DL63">((Sheet3!DA63-Sheet3!DB63)/New!$LQ$3)/(((Sheet3!DA63-Sheet3!DB63)/New!$LQ$3)+((Sheet3!DB63-(SUM(Sheet3!B63:G63*0.004)))/New!$LP$3))</f>
        <v>0.8027266416127431</v>
      </c>
      <c r="DM63" s="183" cm="1">
        <f t="array" ref="DM63">((Sheet3!DA63-Sheet3!DB63)/New!$LQ$3)/(((Sheet3!DA63-Sheet3!DB63)/New!$LQ$3)+((Sheet3!DB63-(SUM(Sheet3!B63:H63*0.004)))/New!$LP$3))</f>
        <v>0.80406685694290048</v>
      </c>
      <c r="DN63" s="183" cm="1">
        <f t="array" ref="DN63">((Sheet3!DA63-Sheet3!DB63)/New!$LQ$3)/(((Sheet3!DA63-Sheet3!DB63)/New!$LQ$3)+((Sheet3!DB63-(SUM(Sheet3!B63:I63*0.004)))/New!$LP$3))</f>
        <v>0.83207522594356509</v>
      </c>
      <c r="DO63" s="186">
        <f>(Sheet3!DB63/$LP$3) / ((Sheet3!DB63/$LP$3) + ((Sheet3!DA63-Sheet3!DB63)/$LQ$3))</f>
        <v>0.27805236441357195</v>
      </c>
      <c r="DP63" s="183">
        <f>((Sheet3!$DB63-(Sheet3!B63/4000)) / $LP$3) / (((Sheet3!$DA63-Sheet3!DB63) / $LQ$3) + (Sheet3!$DB63-((Sheet3!B63/4000)))/$LP$3)</f>
        <v>0.27770526783166788</v>
      </c>
      <c r="DQ63" s="183">
        <f>((Sheet3!$DB63-(SUM(Sheet3!B63:C63)/4000))/$LP$3)/(((Sheet3!$DA63-Sheet3!$DB63)/$LQ$3)+(Sheet3!$DB63-(SUM(Sheet3!B63:C63)/4000))/$LP$3)</f>
        <v>0.27615345171808253</v>
      </c>
      <c r="DR63" s="183">
        <f>((Sheet3!$DB63-(SUM(Sheet3!B63:D63)/4000))/$LP$3)/(((Sheet3!$DA63-Sheet3!$DB63)/$LQ$3)+(Sheet3!$DB63-(SUM(Sheet3!B63:D63)/4000))/$LP$3)</f>
        <v>0.27608983632038919</v>
      </c>
      <c r="DS63" s="183">
        <f>((Sheet3!$DB63-(SUM(Sheet3!B63:E63)/4000))/$LP$3)/(((Sheet3!$DA63-Sheet3!$DB63)/$LQ$3)+(Sheet3!$DB63-(SUM(Sheet3!B63:E63)/4000))/$LP$3)</f>
        <v>0.27495164709282627</v>
      </c>
      <c r="DT63" s="183">
        <f>((Sheet3!$DB63-(SUM(Sheet3!B63:F63)/4000))/$LP$3)/(((Sheet3!$DA63-Sheet3!$DB63)/$LQ$3)+(Sheet3!$DB63-(SUM(Sheet3!B63:F63)/4000))/$LP$3)</f>
        <v>0.2748129745076533</v>
      </c>
      <c r="DU63" s="183">
        <f>((Sheet3!$DB63-(SUM(Sheet3!B63:G63)/4000))/$LP$3)/(((Sheet3!$DA63-Sheet3!$DB63)/$LQ$3)+(Sheet3!$DB63-(SUM(Sheet3!B63:G63)/4000))/$LP$3)</f>
        <v>0.27348299119937464</v>
      </c>
      <c r="DV63" s="183">
        <f>((Sheet3!$DB63-(SUM(Sheet3!B63:H63)/4000))/$LP$3)/(((Sheet3!$DA63-Sheet3!$DB63)/$LQ$3)+(Sheet3!$DB63-(SUM(Sheet3!B63:H63)/4000))/$LP$3)</f>
        <v>0.27341448540886687</v>
      </c>
      <c r="DW63" s="183">
        <f>((Sheet3!$DB63-(SUM(Sheet3!B63:I63)/4000))/$LP$3)/(((Sheet3!$DA63-Sheet3!$DB63)/$LQ$3)+(Sheet3!$DB63-(SUM(Sheet3!B63:I63)/4000))/$LP$3)</f>
        <v>0.27203055909167678</v>
      </c>
      <c r="DX63" s="186">
        <f>($LR$2*($LP$3/1000))/($LP$2*(Sheet3!DF63+273))*DO63</f>
        <v>0.17052357323954356</v>
      </c>
      <c r="DY63" s="183">
        <f>(($LR$2*($LP$3/1000))/($LP$2*(Sheet3!BZ63+273)))*(DP63)</f>
        <v>0.17077300999208847</v>
      </c>
      <c r="DZ63" s="183">
        <f>(($LR$2*($LP$3/1000))/($LP$2*(Sheet3!CA63+273)))*(DQ63)</f>
        <v>0.17192345386228142</v>
      </c>
      <c r="EA63" s="183">
        <f>(($LR$2*($LP$3/1000))/($LP$2*(Sheet3!CB63+273)))*(DR63)</f>
        <v>0.17340141827277372</v>
      </c>
      <c r="EB63" s="183">
        <f>(($LR$2*($LP$3/1000))/($LP$2*(Sheet3!CC63+273)))*(DS63)</f>
        <v>0.17487318771131419</v>
      </c>
      <c r="EC63" s="183">
        <f>(($LR$2*($LP$3/1000))/($LP$2*(Sheet3!CD63+273)))*(DT63)</f>
        <v>0.17592926430868941</v>
      </c>
      <c r="ED63" s="183">
        <f>(($LR$2*($LP$3/1000))/($LP$2*(Sheet3!CE63+273)))*(DU63)</f>
        <v>0.17706183158805963</v>
      </c>
      <c r="EE63" s="183">
        <f>(($LR$2*($LP$3/1000))/($LP$2*(Sheet3!CF63+273)))*(DV63)</f>
        <v>0.17974382741931155</v>
      </c>
      <c r="EF63" s="183">
        <f>(($LR$2*($LP$3/1000))/($LP$2*(Sheet3!CG63+273)))*(DW63)</f>
        <v>0.17929627402428039</v>
      </c>
      <c r="EG63" s="186">
        <f>(($LR$2*($LQ$3/1000))/($LQ$2*(Sheet3!DF63+273)))*(1-DO63)</f>
        <v>0.71175056656505153</v>
      </c>
      <c r="EH63" s="183">
        <f>(($LR$2*($LQ$3/1000))/($LQ$2*(Sheet3!BZ63+273)))*(1-DP63)</f>
        <v>0.71402571658586023</v>
      </c>
      <c r="EI63" s="183">
        <f>(($LR$2*($LQ$3/1000))/($LQ$2*(Sheet3!CA63+273)))*(1-DQ63)</f>
        <v>0.72442837074919952</v>
      </c>
      <c r="EJ63" s="183">
        <f>(($LR$2*($LQ$3/1000))/($LQ$2*(Sheet3!CB63+273)))*(1-DR63)</f>
        <v>0.73088860538890177</v>
      </c>
      <c r="EK63" s="183">
        <f>(($LR$2*($LQ$3/1000))/($LQ$2*(Sheet3!CC63+273)))*(1-DS63)</f>
        <v>0.74130710472092121</v>
      </c>
      <c r="EL63" s="183">
        <f>(($LR$2*($LQ$3/1000))/($LQ$2*(Sheet3!CD63+273)))*(1-DT63)</f>
        <v>0.7463029704882429</v>
      </c>
      <c r="EM63" s="183">
        <f>(($LR$2*($LQ$3/1000))/($LQ$2*(Sheet3!CE63+273)))*(1-DU63)</f>
        <v>0.7561443446859385</v>
      </c>
      <c r="EN63" s="183">
        <f>(($LR$2*($LQ$3/1000))/($LQ$2*(Sheet3!CF63+273)))*(1-DV63)</f>
        <v>0.76786255928506175</v>
      </c>
      <c r="EO63" s="183">
        <f>(($LR$2*($LQ$3/1000))/($LQ$2*(Sheet3!CG63+273)))*(1-DW63)</f>
        <v>0.77131363751300863</v>
      </c>
      <c r="EP63" s="186">
        <f t="shared" si="132"/>
        <v>2952.9693656292143</v>
      </c>
      <c r="EQ63" s="183">
        <f xml:space="preserve"> (($FV63-(Sheet3!B63/4000))*0.018)/(0.011*JO63*3600)</f>
        <v>2957.8364684621788</v>
      </c>
      <c r="ER63" s="183">
        <f>((($FV63-(SUM(Sheet3!B63:C63)/4000))*0.018)/(0.011*JP63*3600))</f>
        <v>2980.1139729976185</v>
      </c>
      <c r="ES63" s="183">
        <f>((($FV63-(SUM(Sheet3!B63:D63)/4000))*0.018)/(0.011*JQ63*3600))</f>
        <v>3000.6670637849447</v>
      </c>
      <c r="ET63" s="183">
        <f>((($FV63-(SUM(Sheet3!B63:E63)/4000))*0.018)/(0.011*JR63))/3600</f>
        <v>3025.6019088168332</v>
      </c>
      <c r="EU63" s="183">
        <f>((($FV63-(SUM(Sheet3!B63:F63)/4000))*0.018)/(0.011*JS63))/3600</f>
        <v>3040.6064904018817</v>
      </c>
      <c r="EV63" s="183">
        <f>((($FV63-(SUM(Sheet3!B63:G63)/4000))*0.018)/(0.011*JT63))/3600</f>
        <v>3061.7068052295394</v>
      </c>
      <c r="EW63" s="183">
        <f>((($FV63-(SUM(Sheet3!B63:H63)/4000))*0.018)/(0.011*JU63))/3600</f>
        <v>3098.3970527871911</v>
      </c>
      <c r="EX63" s="183">
        <f>((($FV63-(SUM(Sheet3!B63:I63)/4000))*0.018)/(0.011*JV63))/3600</f>
        <v>3098.3181559008294</v>
      </c>
      <c r="EY63" s="186">
        <f t="shared" si="133"/>
        <v>37.220410905695203</v>
      </c>
      <c r="EZ63" s="183">
        <f t="shared" si="134"/>
        <v>37.26677635206984</v>
      </c>
      <c r="FA63" s="183">
        <f t="shared" si="135"/>
        <v>37.479813202873963</v>
      </c>
      <c r="FB63" s="183">
        <f t="shared" si="136"/>
        <v>37.707219012892459</v>
      </c>
      <c r="FC63" s="183">
        <f t="shared" si="137"/>
        <v>37.960283870422977</v>
      </c>
      <c r="FD63" s="183">
        <f t="shared" si="138"/>
        <v>38.125498746996278</v>
      </c>
      <c r="FE63" s="183">
        <f t="shared" si="139"/>
        <v>38.332175438951893</v>
      </c>
      <c r="FF63" s="183">
        <f t="shared" si="140"/>
        <v>38.746060866212389</v>
      </c>
      <c r="FG63" s="183">
        <f t="shared" si="141"/>
        <v>38.711965888787255</v>
      </c>
      <c r="FH63" s="186">
        <f t="shared" si="185"/>
        <v>60.351084541102573</v>
      </c>
      <c r="FI63" s="183">
        <f t="shared" si="186"/>
        <v>60.198835886742415</v>
      </c>
      <c r="FJ63" s="183">
        <f t="shared" si="187"/>
        <v>59.513766706244041</v>
      </c>
      <c r="FK63" s="183">
        <f t="shared" si="188"/>
        <v>59.132061137680907</v>
      </c>
      <c r="FL63" s="183">
        <f t="shared" si="189"/>
        <v>58.485022499990215</v>
      </c>
      <c r="FM63" s="183">
        <f t="shared" si="190"/>
        <v>58.194543807592623</v>
      </c>
      <c r="FN63" s="183">
        <f t="shared" si="191"/>
        <v>57.591776280111802</v>
      </c>
      <c r="FO63" s="183">
        <f t="shared" si="192"/>
        <v>56.940097585969866</v>
      </c>
      <c r="FP63" s="183">
        <f t="shared" si="193"/>
        <v>56.706044189196071</v>
      </c>
      <c r="FQ63" s="314">
        <f>Sheet3!CV63</f>
        <v>4</v>
      </c>
      <c r="FR63" s="183">
        <v>3000</v>
      </c>
      <c r="FS63" s="183">
        <v>20</v>
      </c>
      <c r="FT63" s="183">
        <v>0.18046153846153848</v>
      </c>
      <c r="FU63" s="183">
        <v>45</v>
      </c>
      <c r="FV63" s="183">
        <v>119</v>
      </c>
      <c r="FW63" s="183">
        <v>23</v>
      </c>
      <c r="FX63" s="183">
        <v>477</v>
      </c>
      <c r="FY63" s="183">
        <v>7.2</v>
      </c>
      <c r="FZ63" s="183">
        <v>13.8</v>
      </c>
      <c r="GA63" s="183">
        <v>85</v>
      </c>
      <c r="GB63" s="186">
        <f>EXP($LP$6-($LQ$6/('Trial and Error method'!T63+$LP$8))) / ($LR$2/1000)</f>
        <v>0.17710729679904383</v>
      </c>
      <c r="GC63" s="183">
        <f>EXP($LP$6-($LQ$6/('Trial and Error method'!U63+$LP$8))) / ($LR$2/1000)</f>
        <v>6.3205283826674369E-2</v>
      </c>
      <c r="GD63" s="183">
        <f>EXP($LP$6-($LQ$6/('Trial and Error method'!V63+$LP$8))) / ($LR$2/1000)</f>
        <v>5.9344432479344532E-2</v>
      </c>
      <c r="GE63" s="183">
        <f>EXP($LP$6-($LQ$6/('Trial and Error method'!W63+$LP$8))) / ($LR$2/1000)</f>
        <v>5.6592955715034365E-2</v>
      </c>
      <c r="GF63" s="183">
        <f>EXP($LP$6-($LQ$6/('Trial and Error method'!X63+$LP$8))) / ($LR$2/1000)</f>
        <v>5.3878346294901618E-2</v>
      </c>
      <c r="GG63" s="183">
        <f>EXP($LP$6-($LQ$6/('Trial and Error method'!Y63+$LP$8))) / ($LR$2/1000)</f>
        <v>5.1945548357195774E-2</v>
      </c>
      <c r="GH63" s="183">
        <f>EXP($LP$6-($LQ$6/('Trial and Error method'!Z63+$LP$8))) / ($LR$2/1000)</f>
        <v>4.9837468230884398E-2</v>
      </c>
      <c r="GI63" s="183">
        <f>EXP($LP$6-($LQ$6/('Trial and Error method'!AA63+$LP$8))) / ($LR$2/1000)</f>
        <v>4.8234322869834811E-2</v>
      </c>
      <c r="GJ63" s="183">
        <f>EXP($LP$6-($LQ$6/('Trial and Error method'!AB63+$LP$8))) / ($LR$2/1000)</f>
        <v>4.4228714881401641E-2</v>
      </c>
      <c r="GK63" s="188">
        <f t="shared" si="142"/>
        <v>0.77131956645077249</v>
      </c>
      <c r="GL63" s="165">
        <f t="shared" si="143"/>
        <v>0.82490190181003709</v>
      </c>
      <c r="GM63" s="165">
        <f t="shared" si="144"/>
        <v>0.82752284387918484</v>
      </c>
      <c r="GN63" s="165">
        <f t="shared" si="145"/>
        <v>0.82882013388492248</v>
      </c>
      <c r="GO63" s="165">
        <f t="shared" si="146"/>
        <v>0.83068787622872453</v>
      </c>
      <c r="GP63" s="165">
        <f t="shared" si="147"/>
        <v>0.8316496407297137</v>
      </c>
      <c r="GQ63" s="165">
        <f t="shared" si="148"/>
        <v>0.83334409653888353</v>
      </c>
      <c r="GR63" s="165">
        <f t="shared" si="149"/>
        <v>0.83411588510422974</v>
      </c>
      <c r="GS63" s="165">
        <f t="shared" si="150"/>
        <v>0.83670830090320425</v>
      </c>
      <c r="GT63" s="188">
        <f t="shared" si="194"/>
        <v>4.8631695294746577E-2</v>
      </c>
      <c r="GU63" s="165">
        <f t="shared" si="195"/>
        <v>4.5469736075986832E-2</v>
      </c>
      <c r="GV63" s="165">
        <f t="shared" si="196"/>
        <v>4.5318343467193253E-2</v>
      </c>
      <c r="GW63" s="165">
        <f t="shared" si="197"/>
        <v>4.5269266622500401E-2</v>
      </c>
      <c r="GX63" s="165">
        <f t="shared" si="198"/>
        <v>4.517469144656084E-2</v>
      </c>
      <c r="GY63" s="165">
        <f t="shared" si="199"/>
        <v>4.5138278510576897E-2</v>
      </c>
      <c r="GZ63" s="165">
        <f t="shared" si="200"/>
        <v>4.5048128395023236E-2</v>
      </c>
      <c r="HA63" s="165">
        <f t="shared" si="201"/>
        <v>4.50546400990895E-2</v>
      </c>
      <c r="HB63" s="165">
        <f t="shared" si="202"/>
        <v>4.4884334623151952E-2</v>
      </c>
      <c r="HC63" s="188">
        <f>BV63*Sheet3!DF63</f>
        <v>100.36977915614503</v>
      </c>
      <c r="HD63" s="165">
        <f>BW63*Sheet3!BZ63</f>
        <v>99.105024184678499</v>
      </c>
      <c r="HE63" s="165">
        <f>BX63*Sheet3!CA63</f>
        <v>93.439643981043545</v>
      </c>
      <c r="HF63" s="165">
        <f>BY63*Sheet3!CB63</f>
        <v>89.749844428646185</v>
      </c>
      <c r="HG63" s="165">
        <f>BZ63*Sheet3!CC63</f>
        <v>84.269661708941783</v>
      </c>
      <c r="HH63" s="165">
        <f>CA63*Sheet3!CD63</f>
        <v>81.580934982492238</v>
      </c>
      <c r="HI63" s="165">
        <f>CB63*Sheet3!CE63</f>
        <v>76.736840005776614</v>
      </c>
      <c r="HJ63" s="165">
        <f>CC63*Sheet3!CF63</f>
        <v>70.684949178921372</v>
      </c>
      <c r="HK63" s="165">
        <f>CD63*Sheet3!CG63</f>
        <v>69.384607448020361</v>
      </c>
      <c r="HL63" s="188">
        <f>(CE63*Sheet3!DF63)+2501</f>
        <v>2661.0442119434374</v>
      </c>
      <c r="HM63" s="165">
        <f>(CF63*Sheet3!BZ63)+2501</f>
        <v>2659.1877241582251</v>
      </c>
      <c r="HN63" s="165">
        <f>(CG63*Sheet3!CA63)+2501</f>
        <v>2650.8260703409351</v>
      </c>
      <c r="HO63" s="165">
        <f>(CH63*Sheet3!CB63)+2501</f>
        <v>2644.9323643450371</v>
      </c>
      <c r="HP63" s="165">
        <f>(CI63*Sheet3!CC63)+2501</f>
        <v>2636.600296007914</v>
      </c>
      <c r="HQ63" s="165">
        <f>(CJ63*Sheet3!CD63)+2501</f>
        <v>2632.3270582006571</v>
      </c>
      <c r="HR63" s="165">
        <f>(CK63*Sheet3!CE63)+2501</f>
        <v>2625.0233910384859</v>
      </c>
      <c r="HS63" s="165">
        <f>(CL63*Sheet3!CF63)+2501</f>
        <v>2615.2670295314147</v>
      </c>
      <c r="HT63" s="165">
        <f>(CM63*Sheet3!CG63)+2501</f>
        <v>2613.6360253660177</v>
      </c>
      <c r="HU63" s="188">
        <f>-0.0021*(Sheet3!DF63^2) - 2.2115*(Sheet3!DF63) + 2499</f>
        <v>2295.85</v>
      </c>
      <c r="HV63" s="165">
        <f>-0.0021*(Sheet3!BZ63^2) - 2.2115*(Sheet3!BZ63) + 2499</f>
        <v>2298.3372901098583</v>
      </c>
      <c r="HW63" s="165">
        <f>-0.0021*(Sheet3!CA63^2) - 2.2115*(Sheet3!CA63) + 2499</f>
        <v>2309.5058986796403</v>
      </c>
      <c r="HX63" s="165">
        <f>-0.0021*(Sheet3!CB63^2) - 2.2115*(Sheet3!CB63) + 2499</f>
        <v>2317.3440880433914</v>
      </c>
      <c r="HY63" s="165">
        <f>-0.0021*(Sheet3!CC63^2) - 2.2115*(Sheet3!CC63) + 2499</f>
        <v>2328.3763984557413</v>
      </c>
      <c r="HZ63" s="165">
        <f>-0.0021*(Sheet3!CD63^2) - 2.2115*(Sheet3!CD63) + 2499</f>
        <v>2334.0120730021913</v>
      </c>
      <c r="IA63" s="165">
        <f>-0.0021*(Sheet3!CE63^2) - 2.2115*(Sheet3!CE63) + 2499</f>
        <v>2343.6086734617747</v>
      </c>
      <c r="IB63" s="165">
        <f>-0.0021*(Sheet3!CF63^2) - 2.2115*(Sheet3!CF63) + 2499</f>
        <v>2356.3566519773553</v>
      </c>
      <c r="IC63" s="165">
        <f>-0.0021*(Sheet3!CG63^2) - 2.2115*(Sheet3!CG63) + 2499</f>
        <v>2358.479711874857</v>
      </c>
      <c r="ID63" s="188">
        <f t="shared" si="203"/>
        <v>0.74109342648604815</v>
      </c>
      <c r="IE63" s="165">
        <f t="shared" si="204"/>
        <v>0.74152052024580872</v>
      </c>
      <c r="IF63" s="165">
        <f t="shared" si="205"/>
        <v>0.74352754832082768</v>
      </c>
      <c r="IG63" s="165">
        <f t="shared" si="206"/>
        <v>0.74708649142769801</v>
      </c>
      <c r="IH63" s="165">
        <f t="shared" si="207"/>
        <v>0.75015451755409301</v>
      </c>
      <c r="II63" s="165">
        <f t="shared" si="208"/>
        <v>0.75271416536439029</v>
      </c>
      <c r="IJ63" s="165">
        <f t="shared" si="209"/>
        <v>0.75491179191586788</v>
      </c>
      <c r="IK63" s="165">
        <f t="shared" si="210"/>
        <v>0.76172540019984303</v>
      </c>
      <c r="IL63" s="165">
        <f t="shared" si="211"/>
        <v>0.7598988077745451</v>
      </c>
      <c r="IM63" s="188">
        <f t="shared" si="212"/>
        <v>11.27062558185143</v>
      </c>
      <c r="IN63" s="165">
        <f t="shared" si="151"/>
        <v>22.416275782349977</v>
      </c>
      <c r="IO63" s="165">
        <f t="shared" si="152"/>
        <v>22.691878381730898</v>
      </c>
      <c r="IP63" s="165">
        <f t="shared" si="153"/>
        <v>23.026203350973844</v>
      </c>
      <c r="IQ63" s="165">
        <f t="shared" si="154"/>
        <v>23.253304515210488</v>
      </c>
      <c r="IR63" s="165">
        <f t="shared" si="155"/>
        <v>23.479815909784165</v>
      </c>
      <c r="IS63" s="165">
        <f t="shared" si="156"/>
        <v>23.611417334296561</v>
      </c>
      <c r="IT63" s="165">
        <f t="shared" si="157"/>
        <v>23.906207122571391</v>
      </c>
      <c r="IU63" s="165">
        <f t="shared" si="158"/>
        <v>24.114828177808054</v>
      </c>
      <c r="IV63" s="188">
        <f>_xlfn.FORECAST.LINEAR(Sheet3!DF63,Sheet2!$AK$2:$AK$69,Sheet2!$AJ$2:$AJ$69)</f>
        <v>1.1761434736095797E-5</v>
      </c>
      <c r="IW63" s="165">
        <f>_xlfn.FORECAST.LINEAR(Sheet3!BZ63,Sheet2!$AK$2:$AK$69,Sheet2!$AJ$2:$AJ$69)</f>
        <v>1.1727502543810558E-5</v>
      </c>
      <c r="IX63" s="165">
        <f>_xlfn.FORECAST.LINEAR(Sheet3!CA63,Sheet2!$AK$2:$AK$69,Sheet2!$AJ$2:$AJ$69)</f>
        <v>1.1574469109460076E-5</v>
      </c>
      <c r="IY63" s="165">
        <f>_xlfn.FORECAST.LINEAR(Sheet3!CB63,Sheet2!$AK$2:$AK$69,Sheet2!$AJ$2:$AJ$69)</f>
        <v>1.1466407151948605E-5</v>
      </c>
      <c r="IZ63" s="165">
        <f>_xlfn.FORECAST.LINEAR(Sheet3!CC63,Sheet2!$AK$2:$AK$69,Sheet2!$AJ$2:$AJ$69)</f>
        <v>1.1313365383035516E-5</v>
      </c>
      <c r="JA63" s="165">
        <f>_xlfn.FORECAST.LINEAR(Sheet3!CD63,Sheet2!$AK$2:$AK$69,Sheet2!$AJ$2:$AJ$69)</f>
        <v>1.1234753749784237E-5</v>
      </c>
      <c r="JB63" s="165">
        <f>_xlfn.FORECAST.LINEAR(Sheet3!CE63,Sheet2!$AK$2:$AK$69,Sheet2!$AJ$2:$AJ$69)</f>
        <v>1.1100206107000089E-5</v>
      </c>
      <c r="JC63" s="165">
        <f>_xlfn.FORECAST.LINEAR(Sheet3!CF63,Sheet2!$AK$2:$AK$69,Sheet2!$AJ$2:$AJ$69)</f>
        <v>1.0920114102155611E-5</v>
      </c>
      <c r="JD63" s="165">
        <f>_xlfn.FORECAST.LINEAR(Sheet3!CG63,Sheet2!$AK$2:$AK$69,Sheet2!$AJ$2:$AJ$69)</f>
        <v>1.0889968034965107E-5</v>
      </c>
      <c r="JE63" s="188">
        <f>_xlfn.FORECAST.LINEAR(Sheet3!DF63,New!$MC$2:$MC$18,New!$MB$2:$MB$18)</f>
        <v>2.0908514659214704E-5</v>
      </c>
      <c r="JF63" s="165">
        <f>_xlfn.FORECAST.LINEAR(Sheet3!BZ63,New!$MC$2:$MC$18,New!$MB$2:$MB$18)</f>
        <v>2.0868626548171456E-5</v>
      </c>
      <c r="JG63" s="165">
        <f>_xlfn.FORECAST.LINEAR(Sheet3!CA63,New!$MC$2:$MC$18,New!$MB$2:$MB$18)</f>
        <v>2.0688732052366756E-5</v>
      </c>
      <c r="JH63" s="165">
        <f>_xlfn.FORECAST.LINEAR(Sheet3!CB63,New!$MC$2:$MC$18,New!$MB$2:$MB$18)</f>
        <v>2.0561702613050418E-5</v>
      </c>
      <c r="JI63" s="165">
        <f>_xlfn.FORECAST.LINEAR(Sheet3!CC63,New!$MC$2:$MC$18,New!$MB$2:$MB$18)</f>
        <v>2.03817983197662E-5</v>
      </c>
      <c r="JJ63" s="165">
        <f>_xlfn.FORECAST.LINEAR(Sheet3!CD63,New!$MC$2:$MC$18,New!$MB$2:$MB$18)</f>
        <v>2.0289388447452056E-5</v>
      </c>
      <c r="JK63" s="165">
        <f>_xlfn.FORECAST.LINEAR(Sheet3!CE63,New!$MC$2:$MC$18,New!$MB$2:$MB$18)</f>
        <v>2.0131224445820024E-5</v>
      </c>
      <c r="JL63" s="165">
        <f>_xlfn.FORECAST.LINEAR(Sheet3!CF63,New!$MC$2:$MC$18,New!$MB$2:$MB$18)</f>
        <v>1.9919521947294389E-5</v>
      </c>
      <c r="JM63" s="165">
        <f>_xlfn.FORECAST.LINEAR(Sheet3!CG63,New!$MC$2:$MC$18,New!$MB$2:$MB$18)</f>
        <v>1.9884084517684661E-5</v>
      </c>
      <c r="JN63" s="188">
        <f t="shared" si="159"/>
        <v>1.8317463675883236E-5</v>
      </c>
      <c r="JO63" s="165">
        <f t="shared" si="160"/>
        <v>1.828121381477325E-5</v>
      </c>
      <c r="JP63" s="165">
        <f t="shared" si="161"/>
        <v>1.8117519402441951E-5</v>
      </c>
      <c r="JQ63" s="165">
        <f t="shared" si="162"/>
        <v>1.7992325081419499E-5</v>
      </c>
      <c r="JR63" s="165">
        <f t="shared" si="163"/>
        <v>1.7824590035856072E-5</v>
      </c>
      <c r="JS63" s="165">
        <f t="shared" si="164"/>
        <v>1.7734275946483118E-5</v>
      </c>
      <c r="JT63" s="165">
        <f t="shared" si="165"/>
        <v>1.7589676361628065E-5</v>
      </c>
      <c r="JU63" s="165">
        <f t="shared" si="166"/>
        <v>1.7380247971275024E-5</v>
      </c>
      <c r="JV63" s="165">
        <f t="shared" si="167"/>
        <v>1.7357767555669238E-5</v>
      </c>
      <c r="JW63" s="188">
        <f t="shared" si="231"/>
        <v>1.0444458673781256</v>
      </c>
      <c r="JX63" s="165">
        <f t="shared" si="232"/>
        <v>1.0450007918303379</v>
      </c>
      <c r="JY63" s="165">
        <f t="shared" si="233"/>
        <v>1.0475423276769522</v>
      </c>
      <c r="JZ63" s="165">
        <f t="shared" si="234"/>
        <v>1.0493762410649972</v>
      </c>
      <c r="KA63" s="165">
        <f t="shared" si="235"/>
        <v>1.0520310599549787</v>
      </c>
      <c r="KB63" s="165">
        <f t="shared" si="236"/>
        <v>1.053421732989507</v>
      </c>
      <c r="KC63" s="165">
        <f t="shared" si="237"/>
        <v>1.0558458067672496</v>
      </c>
      <c r="KD63" s="165">
        <f t="shared" si="238"/>
        <v>1.059180114713959</v>
      </c>
      <c r="KE63" s="165">
        <f t="shared" si="239"/>
        <v>1.0597485909447206</v>
      </c>
      <c r="KF63" s="188">
        <f t="shared" si="75"/>
        <v>0.94446821821306282</v>
      </c>
      <c r="KG63" s="165">
        <f t="shared" si="240"/>
        <v>0.94404474512373182</v>
      </c>
      <c r="KH63" s="165">
        <f t="shared" si="241"/>
        <v>0.94211317386069682</v>
      </c>
      <c r="KI63" s="165">
        <f t="shared" si="242"/>
        <v>0.94072742097859963</v>
      </c>
      <c r="KJ63" s="165">
        <f t="shared" si="243"/>
        <v>0.93873317632422648</v>
      </c>
      <c r="KK63" s="165">
        <f t="shared" si="244"/>
        <v>0.93769406201269578</v>
      </c>
      <c r="KL63" s="165">
        <f t="shared" si="245"/>
        <v>0.93589180067814681</v>
      </c>
      <c r="KM63" s="165">
        <f t="shared" si="246"/>
        <v>0.93343133184634453</v>
      </c>
      <c r="KN63" s="165">
        <f t="shared" si="247"/>
        <v>0.93301396338795872</v>
      </c>
      <c r="KO63" s="188">
        <f t="shared" si="213"/>
        <v>0.57829234313907962</v>
      </c>
      <c r="KP63" s="165">
        <f t="shared" si="214"/>
        <v>0.57754575249435292</v>
      </c>
      <c r="KQ63" s="165">
        <f t="shared" si="215"/>
        <v>0.57406289382896458</v>
      </c>
      <c r="KR63" s="165">
        <f t="shared" si="216"/>
        <v>0.57151999083443938</v>
      </c>
      <c r="KS63" s="165">
        <f t="shared" si="217"/>
        <v>0.56792808112890791</v>
      </c>
      <c r="KT63" s="165">
        <f t="shared" si="218"/>
        <v>0.56603744285051949</v>
      </c>
      <c r="KU63" s="165">
        <f t="shared" si="219"/>
        <v>0.56282969401096861</v>
      </c>
      <c r="KV63" s="165">
        <f t="shared" si="220"/>
        <v>0.55836989989919972</v>
      </c>
      <c r="KW63" s="165">
        <f t="shared" si="221"/>
        <v>0.55779197610169395</v>
      </c>
      <c r="KX63" s="188">
        <f>AVERAGE(Sheet3!J63:P63)*KO63^(1/3)/ID63^(1/3)</f>
        <v>201.85751348667836</v>
      </c>
      <c r="KY63" s="165">
        <f>Sheet3!J63*KP63^(1/3)/IE63^(1/3)</f>
        <v>208.7932727412005</v>
      </c>
      <c r="KZ63" s="165">
        <f>Sheet3!K63*KQ63^(1/3)/IF63^(1/3)</f>
        <v>191.21707451956308</v>
      </c>
      <c r="LA63" s="165">
        <f>Sheet3!L63*KR63^(1/3)/IG63^(1/3)</f>
        <v>186.49321210989524</v>
      </c>
      <c r="LB63" s="165">
        <f>Sheet3!M63*KS63^(1/3)/IH63^(1/3)</f>
        <v>186.70163612443807</v>
      </c>
      <c r="LC63" s="165">
        <f>Sheet3!N63*KT63^(1/3)/II63^(1/3)</f>
        <v>193.69156213070508</v>
      </c>
      <c r="LD63" s="165">
        <f>Sheet3!O63*KU63^(1/3)/IJ63^(1/3)</f>
        <v>211.56187846547078</v>
      </c>
      <c r="LE63" s="165">
        <f>Sheet3!P63*KV63^(1/3)/IK63^(1/3)</f>
        <v>220.3270008473504</v>
      </c>
      <c r="LF63" s="165">
        <f>Sheet3!Q63*KW63^(1/3)/IL63^(1/3)</f>
        <v>240.63147960647737</v>
      </c>
      <c r="LG63" s="186">
        <f t="shared" si="248"/>
        <v>25.916716871493453</v>
      </c>
      <c r="LH63" s="183">
        <f t="shared" si="249"/>
        <v>26.072462881907665</v>
      </c>
      <c r="LI63" s="183">
        <f t="shared" si="250"/>
        <v>26.798528791717089</v>
      </c>
      <c r="LJ63" s="183">
        <f t="shared" si="251"/>
        <v>26.829374836683897</v>
      </c>
      <c r="LK63" s="183">
        <f t="shared" si="252"/>
        <v>27.39654069552866</v>
      </c>
      <c r="LL63" s="183">
        <f t="shared" si="253"/>
        <v>27.46767856832939</v>
      </c>
      <c r="LM63" s="183">
        <f t="shared" si="254"/>
        <v>28.173759627561772</v>
      </c>
      <c r="LN63" s="183">
        <f t="shared" si="255"/>
        <v>28.211338131707137</v>
      </c>
      <c r="LO63" s="183">
        <f t="shared" si="256"/>
        <v>28.997529065362205</v>
      </c>
      <c r="LP63" s="220"/>
      <c r="LQ63" s="220"/>
      <c r="LR63" s="220"/>
      <c r="LS63" s="220"/>
      <c r="LT63" s="222">
        <v>223.94</v>
      </c>
      <c r="LU63" s="220">
        <v>1.7E-5</v>
      </c>
      <c r="LV63" s="220"/>
      <c r="LW63" s="220"/>
      <c r="LX63" s="188">
        <f>Sheet3!DP63</f>
        <v>331.62727400316203</v>
      </c>
      <c r="MF63" s="165"/>
      <c r="MJ63"/>
      <c r="MK63"/>
      <c r="ML63"/>
      <c r="MM63"/>
      <c r="MN63"/>
      <c r="MO63"/>
      <c r="MP63"/>
      <c r="MQ63"/>
      <c r="MR63"/>
    </row>
    <row r="64" spans="1:357" x14ac:dyDescent="0.3">
      <c r="A64" s="184" t="str">
        <f>Sheet3!A64</f>
        <v>2023.01.24-2</v>
      </c>
      <c r="B64" s="186">
        <f t="shared" si="102"/>
        <v>0.9039676862510766</v>
      </c>
      <c r="C64" s="183">
        <f t="shared" si="168"/>
        <v>0.8997771142718507</v>
      </c>
      <c r="D64" s="183">
        <f t="shared" si="169"/>
        <v>0.88770350299277012</v>
      </c>
      <c r="E64" s="183">
        <f t="shared" si="170"/>
        <v>0.87393983019845634</v>
      </c>
      <c r="F64" s="183">
        <f t="shared" si="171"/>
        <v>0.85842301957974232</v>
      </c>
      <c r="G64" s="183">
        <f t="shared" si="172"/>
        <v>0.84877384184585525</v>
      </c>
      <c r="H64" s="183">
        <f t="shared" si="173"/>
        <v>0.83638928243081989</v>
      </c>
      <c r="I64" s="183">
        <f t="shared" si="174"/>
        <v>0.82598010377809239</v>
      </c>
      <c r="J64" s="183">
        <f t="shared" si="175"/>
        <v>0.81281382311011996</v>
      </c>
      <c r="K64" s="186">
        <f xml:space="preserve"> (6.057 * (10^(-6)))
+ (4.055 * (10^(-8)) * (Sheet3!DF64 + 273))
+ (1.25 * (10^(-10)) * (Sheet3!DF64 + 273)^2)
- (3.367 * (10^(-14)) * (DD64 + 273)^3)</f>
        <v>4.4157594064400256E-5</v>
      </c>
      <c r="L64" s="183">
        <f xml:space="preserve"> (6.057 * (10^(-6)))
+ (4.055 * (10^(-8)) * (Sheet3!BZ64 + 273))
+ (1.25 * (10^(-10)) * (Sheet3!BZ64 + 273)^2)
- (3.367 * (10^(-14)) * (BX64 + 273)^3)</f>
        <v>4.382261004207663E-5</v>
      </c>
      <c r="M64" s="183">
        <f xml:space="preserve"> (6.057 * (10^(-6)))
+ (4.055 * (10^(-8)) * (Sheet3!CA64 + 273))
+ (1.25 * (10^(-10)) * (Sheet3!CA64 + 273)^2)
- (3.367 * (10^(-14)) * (BY64 + 273)^3)</f>
        <v>4.265888940112268E-5</v>
      </c>
      <c r="N64" s="183">
        <f xml:space="preserve"> (6.057 * (10^(-6)))
+ (4.055 * (10^(-8)) * (Sheet3!CB64 + 273))
+ (1.25 * (10^(-10)) * (Sheet3!CB64 + 273)^2)
- (3.367 * (10^(-14)) * (BZ64 + 273)^3)</f>
        <v>4.1671045361855983E-5</v>
      </c>
      <c r="O64" s="183">
        <f xml:space="preserve"> (6.057 * (10^(-6)))
+ (4.055 * (10^(-8)) * (Sheet3!CC64 + 273))
+ (1.25 * (10^(-10)) * (Sheet3!CC64 + 273)^2)
- (3.367 * (10^(-14)) * (CA64 + 273)^3)</f>
        <v>4.0452929851357477E-5</v>
      </c>
      <c r="P64" s="183">
        <f xml:space="preserve"> (6.057 * (10^(-6)))
+ (4.055 * (10^(-8)) * (Sheet3!CD64 + 273))
+ (1.25 * (10^(-10)) * (Sheet3!CD64 + 273)^2)
- (3.367 * (10^(-14)) * (CB64 + 273)^3)</f>
        <v>3.9807958176057229E-5</v>
      </c>
      <c r="Q64" s="183">
        <f xml:space="preserve"> (6.057 * (10^(-6)))
+ (4.055 * (10^(-8)) * (Sheet3!CE64 + 273))
+ (1.25 * (10^(-10)) * (Sheet3!CE64 + 273)^2)
- (3.367 * (10^(-14)) * (CC64 + 273)^3)</f>
        <v>3.8802671323896056E-5</v>
      </c>
      <c r="R64" s="183">
        <f xml:space="preserve"> (6.057 * (10^(-6)))
+ (4.055 * (10^(-8)) * (Sheet3!CF64 + 273))
+ (1.25 * (10^(-10)) * (Sheet3!CF64 + 273)^2)
- (3.367 * (10^(-14)) * (CD64 + 273)^3)</f>
        <v>3.8153728989508595E-5</v>
      </c>
      <c r="S64" s="183">
        <f xml:space="preserve"> (6.057 * (10^(-6)))
+ (4.055 * (10^(-8)) * (Sheet3!CG64 + 273))
+ (1.25 * (10^(-10)) * (Sheet3!CG64 + 273)^2)
- (3.367 * (10^(-14)) * (CE64 + 273)^3)</f>
        <v>3.718286627184758E-5</v>
      </c>
      <c r="T64" s="188">
        <f t="shared" si="104"/>
        <v>4.4157594064400256E-5</v>
      </c>
      <c r="U64" s="165">
        <f t="shared" si="105"/>
        <v>4.382261004207663E-5</v>
      </c>
      <c r="V64" s="165">
        <f t="shared" si="106"/>
        <v>4.265888940112268E-5</v>
      </c>
      <c r="W64" s="165">
        <f t="shared" si="107"/>
        <v>4.1671045361855983E-5</v>
      </c>
      <c r="X64" s="165">
        <f t="shared" si="108"/>
        <v>4.0452929851357477E-5</v>
      </c>
      <c r="Y64" s="165">
        <f t="shared" si="109"/>
        <v>3.9807958176057229E-5</v>
      </c>
      <c r="Z64" s="165">
        <f t="shared" si="110"/>
        <v>3.8802671323896056E-5</v>
      </c>
      <c r="AA64" s="165">
        <f t="shared" si="111"/>
        <v>3.8153728989508595E-5</v>
      </c>
      <c r="AB64" s="165">
        <f t="shared" si="112"/>
        <v>3.718286627184758E-5</v>
      </c>
      <c r="AC64" s="186">
        <f t="shared" si="176"/>
        <v>3.9917038136810175E-5</v>
      </c>
      <c r="AD64" s="183">
        <f t="shared" si="177"/>
        <v>3.9430581603520336E-5</v>
      </c>
      <c r="AE64" s="183">
        <f t="shared" si="178"/>
        <v>3.7868445555157755E-5</v>
      </c>
      <c r="AF64" s="183">
        <f t="shared" si="179"/>
        <v>3.641798630773259E-5</v>
      </c>
      <c r="AG64" s="183">
        <f t="shared" si="180"/>
        <v>3.4725726193849781E-5</v>
      </c>
      <c r="AH64" s="183">
        <f t="shared" si="181"/>
        <v>3.3787953597131218E-5</v>
      </c>
      <c r="AI64" s="183">
        <f t="shared" si="182"/>
        <v>3.2454138424992373E-5</v>
      </c>
      <c r="AJ64" s="183">
        <f t="shared" si="183"/>
        <v>3.151422103027552E-5</v>
      </c>
      <c r="AK64" s="183">
        <f t="shared" si="184"/>
        <v>3.0222747688612764E-5</v>
      </c>
      <c r="AL64" s="186">
        <f t="shared" si="113"/>
        <v>3.6104085708697026E-2</v>
      </c>
      <c r="AM64" s="183">
        <f t="shared" si="114"/>
        <v>3.5840768908021868E-2</v>
      </c>
      <c r="AN64" s="183">
        <f t="shared" si="115"/>
        <v>3.4896679665994787E-2</v>
      </c>
      <c r="AO64" s="183">
        <f t="shared" si="116"/>
        <v>3.4092390258750327E-2</v>
      </c>
      <c r="AP64" s="183">
        <f t="shared" si="117"/>
        <v>3.3082647024878016E-2</v>
      </c>
      <c r="AQ64" s="183">
        <f t="shared" si="118"/>
        <v>3.2542470310507832E-2</v>
      </c>
      <c r="AR64" s="183">
        <f t="shared" si="119"/>
        <v>3.1690445712648327E-2</v>
      </c>
      <c r="AS64" s="183">
        <f t="shared" si="120"/>
        <v>3.1134302516824502E-2</v>
      </c>
      <c r="AT64" s="183">
        <f t="shared" si="121"/>
        <v>3.0299647401931647E-2</v>
      </c>
      <c r="AU64" s="186">
        <f>_xlfn.FORECAST.LINEAR(Sheet3!DF64,Sheet2!$AH$2:$AH$40,Sheet2!$AG$2:$AG$40)</f>
        <v>4.0902410270024961E-2</v>
      </c>
      <c r="AV64" s="183">
        <f>_xlfn.FORECAST.LINEAR(Sheet3!BZ64,Sheet2!$AH$2:$AH$40,Sheet2!$AG$2:$AG$40)</f>
        <v>4.0321840597427133E-2</v>
      </c>
      <c r="AW64" s="183">
        <f>_xlfn.FORECAST.LINEAR(Sheet3!CA64,Sheet2!$AH$2:$AH$40,Sheet2!$AG$2:$AG$40)</f>
        <v>3.8260310594352059E-2</v>
      </c>
      <c r="AX64" s="183">
        <f>_xlfn.FORECAST.LINEAR(Sheet3!CB64,Sheet2!$AH$2:$AH$40,Sheet2!$AG$2:$AG$40)</f>
        <v>3.6486973538060921E-2</v>
      </c>
      <c r="AY64" s="183">
        <f>_xlfn.FORECAST.LINEAR(Sheet3!CC64,Sheet2!$AH$2:$AH$40,Sheet2!$AG$2:$AG$40)</f>
        <v>3.4269602168072233E-2</v>
      </c>
      <c r="AZ64" s="183">
        <f>_xlfn.FORECAST.LINEAR(Sheet3!CD64,Sheet2!$AH$2:$AH$40,Sheet2!$AG$2:$AG$40)</f>
        <v>3.3081192903153436E-2</v>
      </c>
      <c r="BA64" s="183">
        <f>_xlfn.FORECAST.LINEAR(Sheet3!CE64,Sheet2!$AH$2:$AH$40,Sheet2!$AG$2:$AG$40)</f>
        <v>3.1208576189288434E-2</v>
      </c>
      <c r="BB64" s="183">
        <f>_xlfn.FORECAST.LINEAR(Sheet3!CF64,Sheet2!$AH$2:$AH$40,Sheet2!$AG$2:$AG$40)</f>
        <v>2.9986028656177686E-2</v>
      </c>
      <c r="BC64" s="183">
        <f>_xlfn.FORECAST.LINEAR(Sheet3!CG64,Sheet2!$AH$2:$AH$40,Sheet2!$AG$2:$AG$40)</f>
        <v>2.8147233931878173E-2</v>
      </c>
      <c r="BD64" s="186">
        <f>_xlfn.FORECAST.LINEAR(Sheet3!DF64,Sheet2!$AB$12:$AB$37,Sheet2!$AA$12:$AA$37)/1000</f>
        <v>3.3915606923988664E-2</v>
      </c>
      <c r="BE64" s="183">
        <f>_xlfn.FORECAST.LINEAR(Sheet3!BZ64,Sheet2!$AB$12:$AB$37,Sheet2!$AA$12:$AA$37)/1000</f>
        <v>3.3785804983368875E-2</v>
      </c>
      <c r="BF64" s="183">
        <f>_xlfn.FORECAST.LINEAR(Sheet3!CA64,Sheet2!$AB$12:$AB$37,Sheet2!$AA$12:$AA$37)/1000</f>
        <v>3.3324894591946437E-2</v>
      </c>
      <c r="BG64" s="183">
        <f>_xlfn.FORECAST.LINEAR(Sheet3!CB64,Sheet2!$AB$12:$AB$37,Sheet2!$AA$12:$AA$37)/1000</f>
        <v>3.2928417472758327E-2</v>
      </c>
      <c r="BH64" s="183">
        <f>_xlfn.FORECAST.LINEAR(Sheet3!CC64,Sheet2!$AB$12:$AB$37,Sheet2!$AA$12:$AA$37)/1000</f>
        <v>3.243266455888081E-2</v>
      </c>
      <c r="BI64" s="183">
        <f>_xlfn.FORECAST.LINEAR(Sheet3!CD64,Sheet2!$AB$12:$AB$37,Sheet2!$AA$12:$AA$37)/1000</f>
        <v>3.2166963754795143E-2</v>
      </c>
      <c r="BJ64" s="183">
        <f>_xlfn.FORECAST.LINEAR(Sheet3!CE64,Sheet2!$AB$12:$AB$37,Sheet2!$AA$12:$AA$37)/1000</f>
        <v>3.174829000215304E-2</v>
      </c>
      <c r="BK64" s="183">
        <f>_xlfn.FORECAST.LINEAR(Sheet3!CF64,Sheet2!$AB$12:$AB$37,Sheet2!$AA$12:$AA$37)/1000</f>
        <v>3.1474956671482091E-2</v>
      </c>
      <c r="BL64" s="183">
        <f>_xlfn.FORECAST.LINEAR(Sheet3!CG64,Sheet2!$AB$12:$AB$37,Sheet2!$AA$12:$AA$37)/1000</f>
        <v>3.1063844732845153E-2</v>
      </c>
      <c r="BM64" s="186">
        <f t="shared" si="122"/>
        <v>0.75227177986457461</v>
      </c>
      <c r="BN64" s="183">
        <f t="shared" si="123"/>
        <v>0.75641352707882736</v>
      </c>
      <c r="BO64" s="183">
        <f t="shared" si="124"/>
        <v>0.77199612809694962</v>
      </c>
      <c r="BP64" s="183">
        <f t="shared" si="125"/>
        <v>0.78545524486679075</v>
      </c>
      <c r="BQ64" s="183">
        <f t="shared" si="126"/>
        <v>0.80328998075282287</v>
      </c>
      <c r="BR64" s="183">
        <f t="shared" si="127"/>
        <v>0.81301025384382997</v>
      </c>
      <c r="BS64" s="183">
        <f t="shared" si="128"/>
        <v>0.82930244716908019</v>
      </c>
      <c r="BT64" s="183">
        <f t="shared" si="129"/>
        <v>0.83995432345541066</v>
      </c>
      <c r="BU64" s="183">
        <f t="shared" si="130"/>
        <v>0.85693139178702094</v>
      </c>
      <c r="BV64" s="186">
        <f t="shared" si="222"/>
        <v>1.202328861163322</v>
      </c>
      <c r="BW64" s="183">
        <f t="shared" si="223"/>
        <v>1.2016689744852325</v>
      </c>
      <c r="BX64" s="183">
        <f t="shared" si="224"/>
        <v>1.1936898646195224</v>
      </c>
      <c r="BY64" s="183">
        <f t="shared" si="225"/>
        <v>1.1918458233033349</v>
      </c>
      <c r="BZ64" s="183">
        <f t="shared" si="226"/>
        <v>1.1859778132625984</v>
      </c>
      <c r="CA64" s="183">
        <f t="shared" si="227"/>
        <v>1.1846569460580392</v>
      </c>
      <c r="CB64" s="183">
        <f t="shared" si="228"/>
        <v>1.1774577058269469</v>
      </c>
      <c r="CC64" s="183">
        <f t="shared" si="229"/>
        <v>1.1761884066760091</v>
      </c>
      <c r="CD64" s="183">
        <f t="shared" si="230"/>
        <v>1.1699238015755933</v>
      </c>
      <c r="CE64" s="187">
        <f xml:space="preserve"> -0.0000000019505*Sheet3!DF64^3 + 0.0000015497*Sheet3!DF64^2  + 0.00016911*Sheet3!DF64 + 1.8585</f>
        <v>1.9096570494375</v>
      </c>
      <c r="CF64" s="185">
        <f xml:space="preserve"> -0.0000000019505*Sheet3!BZ64^3 + 0.0000015497*Sheet3!BZ64^2  + 0.00016911*Sheet3!BZ64 + 1.8585</f>
        <v>1.9085288209809745</v>
      </c>
      <c r="CG64" s="185">
        <f xml:space="preserve"> -0.0000000019505*Sheet3!CA64^3 + 0.0000015497*Sheet3!CA64^2  + 0.00016911*Sheet3!CA64 + 1.8585</f>
        <v>1.9045838432166788</v>
      </c>
      <c r="CH64" s="185">
        <f xml:space="preserve"> -0.0000000019505*Sheet3!CB64^3 + 0.0000015497*Sheet3!CB64^2  + 0.00016911*Sheet3!CB64 + 1.8585</f>
        <v>1.9012703595851979</v>
      </c>
      <c r="CI64" s="185">
        <f xml:space="preserve"> -0.0000000019505*Sheet3!CC64^3 + 0.0000015497*Sheet3!CC64^2  + 0.00016911*Sheet3!CC64 + 1.8585</f>
        <v>1.8972376616891615</v>
      </c>
      <c r="CJ64" s="185">
        <f xml:space="preserve"> -0.0000000019505*Sheet3!CD64^3 + 0.0000015497*Sheet3!CD64^2  + 0.00016911*Sheet3!CD64 + 1.8585</f>
        <v>1.8951293378736609</v>
      </c>
      <c r="CK64" s="185">
        <f xml:space="preserve"> -0.0000000019505*Sheet3!CE64^3 + 0.0000015497*Sheet3!CE64^2  + 0.00016911*Sheet3!CE64 + 1.8585</f>
        <v>1.8918858601833297</v>
      </c>
      <c r="CL64" s="185">
        <f xml:space="preserve"> -0.0000000019505*Sheet3!CF64^3 + 0.0000015497*Sheet3!CF64^2  + 0.00016911*Sheet3!CF64 + 1.8585</f>
        <v>1.8898222041587167</v>
      </c>
      <c r="CM64" s="185">
        <f xml:space="preserve"> -0.0000000019505*Sheet3!CG64^3 + 0.0000015497*Sheet3!CG64^2  + 0.00016911*Sheet3!CG64 + 1.8585</f>
        <v>1.8868017568484226</v>
      </c>
      <c r="CN64" s="186">
        <f>_xlfn.FORECAST.LINEAR(Sheet3!DF64,New!$LU$2:$LU$14,New!$LT$2:$LT$14)</f>
        <v>1.023844178140866</v>
      </c>
      <c r="CO64" s="183">
        <f>_xlfn.FORECAST.LINEAR(Sheet3!BZ64,New!$LU$2:$LU$14,New!$LT$2:$LT$14)</f>
        <v>1.0234168712451785</v>
      </c>
      <c r="CP64" s="183">
        <f>_xlfn.FORECAST.LINEAR(Sheet3!CA64,New!$LU$2:$LU$14,New!$LT$2:$LT$14)</f>
        <v>1.0218995581171284</v>
      </c>
      <c r="CQ64" s="183">
        <f>_xlfn.FORECAST.LINEAR(Sheet3!CB64,New!$LU$2:$LU$14,New!$LT$2:$LT$14)</f>
        <v>1.0205943587787947</v>
      </c>
      <c r="CR64" s="183">
        <f>_xlfn.FORECAST.LINEAR(Sheet3!CC64,New!$LU$2:$LU$14,New!$LT$2:$LT$14)</f>
        <v>1.0189623443601696</v>
      </c>
      <c r="CS64" s="183">
        <f>_xlfn.FORECAST.LINEAR(Sheet3!CD64,New!$LU$2:$LU$14,New!$LT$2:$LT$14)</f>
        <v>1.0180876595501169</v>
      </c>
      <c r="CT64" s="183">
        <f>_xlfn.FORECAST.LINEAR(Sheet3!CE64,New!$LU$2:$LU$14,New!$LT$2:$LT$14)</f>
        <v>1.0167093890813315</v>
      </c>
      <c r="CU64" s="183">
        <f>_xlfn.FORECAST.LINEAR(Sheet3!CF64,New!$LU$2:$LU$14,New!$LT$2:$LT$14)</f>
        <v>1.0158095780580201</v>
      </c>
      <c r="CV64" s="183">
        <f>_xlfn.FORECAST.LINEAR(Sheet3!CG64,New!$LU$2:$LU$14,New!$LT$2:$LT$14)</f>
        <v>1.0144562010172749</v>
      </c>
      <c r="CW64" s="186">
        <f>EXP((17.625*Sheet3!BA64)/(243.04+Sheet3!BA64)) / EXP((17.625*Sheet3!DF64)/(243.04+Sheet3!DF64))</f>
        <v>5.6093671640401591E-2</v>
      </c>
      <c r="CX64" s="183">
        <f>EXP((17.625*(Sheet3!BC64+273))/(243.04+(Sheet3!BC64+273)))/EXP((17.625*(Sheet3!BZ64+273))/(243.04+(Sheet3!BZ64+273)))</f>
        <v>0.41742911858794585</v>
      </c>
      <c r="CY64" s="183">
        <f>EXP((17.625*(Sheet3!BE64+273))/(243.04+(Sheet3!BE64+273))) / EXP((17.625*(Sheet3!CA64+273))/(243.04+(Sheet3!CA64+273)))</f>
        <v>0.45191434869931696</v>
      </c>
      <c r="CZ64" s="183">
        <f>EXP((17.625*(Sheet3!BG64+273))/(243.04+(Sheet3!BG64+273))) / EXP((17.625*(Sheet3!CB64+273))/(243.04+(Sheet3!CB64+273)))</f>
        <v>0.4827177519925252</v>
      </c>
      <c r="DA64" s="183">
        <f>EXP((17.625*(Sheet3!BI64+273))/(243.04+(Sheet3!BI64+273))) / EXP((17.625*(Sheet3!CC64+273))/(243.04+(Sheet3!CC64+273)))</f>
        <v>0.52659001822102436</v>
      </c>
      <c r="DB64" s="183">
        <f>EXP((17.625*(Sheet3!BK64+273))/(243.04+(Sheet3!BK64+273)))/EXP((17.625*(Sheet3!CD64+273))/(243.04+(Sheet3!CD64+273)))</f>
        <v>0.55347740794244182</v>
      </c>
      <c r="DC64" s="183">
        <f>EXP((17.625*(Sheet3!BM64+273))/(243.04+(Sheet3!BM64+273))) / EXP((17.625*(Sheet3!CE64+273))/(243.04+(Sheet3!CE64+273)))</f>
        <v>0.59582483410801335</v>
      </c>
      <c r="DD64" s="183">
        <f>EXP((17.625*(Sheet3!BO64+273))/(243.04+(Sheet3!BO64+273))) / EXP((17.625*(Sheet3!CF64+273))/(243.04+(Sheet3!CF64+273)))</f>
        <v>0.62846252196030417</v>
      </c>
      <c r="DE64" s="183">
        <f>EXP((17.625*(Sheet3!BQ64+273))/(243.04+(Sheet3!BQ64+273))) / EXP((17.625*(Sheet3!CG64+273))/(243.04+(Sheet3!CG64+273)))</f>
        <v>0.67828189150373641</v>
      </c>
      <c r="DF64" s="186">
        <f>((Sheet3!DA64-Sheet3!DB64)/New!$LQ$3)/(((Sheet3!DA64-Sheet3!DB64)/New!$LQ$3)+(Sheet3!DB64/New!$LP$3))</f>
        <v>0.7114180529797659</v>
      </c>
      <c r="DG64" s="183">
        <f>((Sheet3!DA64-Sheet3!DB64)/New!$LQ$3)/(((Sheet3!DA64-Sheet3!DB64)/New!$LQ$3)+((Sheet3!DB64-(Sheet3!B64*0.004))/New!$LP$3))</f>
        <v>0.71181367008684449</v>
      </c>
      <c r="DH64" s="183" cm="1">
        <f t="array" ref="DH64">((Sheet3!DA64-Sheet3!DB64)/New!$LQ$3)/(((Sheet3!DA64-Sheet3!DB64)/New!$LQ$3)+((Sheet3!DB64-(SUM(Sheet3!B64:C64*0.004)))/New!$LP$3))</f>
        <v>0.73863910779984476</v>
      </c>
      <c r="DI64" s="183" cm="1">
        <f t="array" ref="DI64">((Sheet3!DA64-Sheet3!DB64)/New!$LQ$3)/(((Sheet3!DA64-Sheet3!DB64)/New!$LQ$3)+((Sheet3!DB64-(SUM(Sheet3!B64:D64*0.004)))/New!$LP$3))</f>
        <v>0.73932828264549721</v>
      </c>
      <c r="DJ64" s="183" cm="1">
        <f t="array" ref="DJ64">((Sheet3!DA64-Sheet3!DB64)/New!$LQ$3)/(((Sheet3!DA64-Sheet3!DB64)/New!$LQ$3)+((Sheet3!DB64-(SUM(Sheet3!B64:E64*0.004)))/New!$LP$3))</f>
        <v>0.75733012012884104</v>
      </c>
      <c r="DK64" s="183" cm="1">
        <f t="array" ref="DK64">((Sheet3!DA64-Sheet3!DB64)/New!$LQ$3)/(((Sheet3!DA64-Sheet3!DB64)/New!$LQ$3)+((Sheet3!DB64-(SUM(Sheet3!B64:F64*0.004)))/New!$LP$3))</f>
        <v>0.75836556168784264</v>
      </c>
      <c r="DL64" s="183" cm="1">
        <f t="array" ref="DL64">((Sheet3!DA64-Sheet3!DB64)/New!$LQ$3)/(((Sheet3!DA64-Sheet3!DB64)/New!$LQ$3)+((Sheet3!DB64-(SUM(Sheet3!B64:G64*0.004)))/New!$LP$3))</f>
        <v>0.78609460486190175</v>
      </c>
      <c r="DM64" s="183" cm="1">
        <f t="array" ref="DM64">((Sheet3!DA64-Sheet3!DB64)/New!$LQ$3)/(((Sheet3!DA64-Sheet3!DB64)/New!$LQ$3)+((Sheet3!DB64-(SUM(Sheet3!B64:H64*0.004)))/New!$LP$3))</f>
        <v>0.78691243744784911</v>
      </c>
      <c r="DN64" s="183" cm="1">
        <f t="array" ref="DN64">((Sheet3!DA64-Sheet3!DB64)/New!$LQ$3)/(((Sheet3!DA64-Sheet3!DB64)/New!$LQ$3)+((Sheet3!DB64-(SUM(Sheet3!B64:I64*0.004)))/New!$LP$3))</f>
        <v>0.81186790102838746</v>
      </c>
      <c r="DO64" s="186">
        <f>(Sheet3!DB64/$LP$3) / ((Sheet3!DB64/$LP$3) + ((Sheet3!DA64-Sheet3!DB64)/$LQ$3))</f>
        <v>0.28858194702023421</v>
      </c>
      <c r="DP64" s="183">
        <f>((Sheet3!$DB64-(Sheet3!B64/4000)) / $LP$3) / (((Sheet3!$DA64-Sheet3!DB64) / $LQ$3) + (Sheet3!$DB64-((Sheet3!B64/4000)))/$LP$3)</f>
        <v>0.28855723383502591</v>
      </c>
      <c r="DQ64" s="183">
        <f>((Sheet3!$DB64-(SUM(Sheet3!B64:C64)/4000))/$LP$3)/(((Sheet3!$DA64-Sheet3!$DB64)/$LQ$3)+(Sheet3!$DB64-(SUM(Sheet3!B64:C64)/4000))/$LP$3)</f>
        <v>0.28693954670217947</v>
      </c>
      <c r="DR64" s="183">
        <f>((Sheet3!$DB64-(SUM(Sheet3!B64:D64)/4000))/$LP$3)/(((Sheet3!$DA64-Sheet3!$DB64)/$LQ$3)+(Sheet3!$DB64-(SUM(Sheet3!B64:D64)/4000))/$LP$3)</f>
        <v>0.28689944000072687</v>
      </c>
      <c r="DS64" s="183">
        <f>((Sheet3!$DB64-(SUM(Sheet3!B64:E64)/4000))/$LP$3)/(((Sheet3!$DA64-Sheet3!$DB64)/$LQ$3)+(Sheet3!$DB64-(SUM(Sheet3!B64:E64)/4000))/$LP$3)</f>
        <v>0.28587615026211566</v>
      </c>
      <c r="DT64" s="183">
        <f>((Sheet3!$DB64-(SUM(Sheet3!B64:F64)/4000))/$LP$3)/(((Sheet3!$DA64-Sheet3!$DB64)/$LQ$3)+(Sheet3!$DB64-(SUM(Sheet3!B64:F64)/4000))/$LP$3)</f>
        <v>0.28581868256430054</v>
      </c>
      <c r="DU64" s="183">
        <f>((Sheet3!$DB64-(SUM(Sheet3!B64:G64)/4000))/$LP$3)/(((Sheet3!$DA64-Sheet3!$DB64)/$LQ$3)+(Sheet3!$DB64-(SUM(Sheet3!B64:G64)/4000))/$LP$3)</f>
        <v>0.28433281167533359</v>
      </c>
      <c r="DV64" s="183">
        <f>((Sheet3!$DB64-(SUM(Sheet3!B64:H64)/4000))/$LP$3)/(((Sheet3!$DA64-Sheet3!$DB64)/$LQ$3)+(Sheet3!$DB64-(SUM(Sheet3!B64:H64)/4000))/$LP$3)</f>
        <v>0.2842904872472079</v>
      </c>
      <c r="DW64" s="183">
        <f>((Sheet3!$DB64-(SUM(Sheet3!B64:I64)/4000))/$LP$3)/(((Sheet3!$DA64-Sheet3!$DB64)/$LQ$3)+(Sheet3!$DB64-(SUM(Sheet3!B64:I64)/4000))/$LP$3)</f>
        <v>0.28303772986678388</v>
      </c>
      <c r="DX64" s="186">
        <f>($LR$2*($LP$3/1000))/($LP$2*(Sheet3!DF64+273))*DO64</f>
        <v>0.15157714967420535</v>
      </c>
      <c r="DY64" s="183">
        <f>(($LR$2*($LP$3/1000))/($LP$2*(Sheet3!BZ64+273)))*(DP64)</f>
        <v>0.15239703117549741</v>
      </c>
      <c r="DZ64" s="183">
        <f>(($LR$2*($LP$3/1000))/($LP$2*(Sheet3!CA64+273)))*(DQ64)</f>
        <v>0.15455848990737156</v>
      </c>
      <c r="EA64" s="183">
        <f>(($LR$2*($LP$3/1000))/($LP$2*(Sheet3!CB64+273)))*(DR64)</f>
        <v>0.15722843689211149</v>
      </c>
      <c r="EB64" s="183">
        <f>(($LR$2*($LP$3/1000))/($LP$2*(Sheet3!CC64+273)))*(DS64)</f>
        <v>0.16015550977885032</v>
      </c>
      <c r="EC64" s="183">
        <f>(($LR$2*($LP$3/1000))/($LP$2*(Sheet3!CD64+273)))*(DT64)</f>
        <v>0.16205695342561202</v>
      </c>
      <c r="ED64" s="183">
        <f>(($LR$2*($LP$3/1000))/($LP$2*(Sheet3!CE64+273)))*(DU64)</f>
        <v>0.16434164438521434</v>
      </c>
      <c r="EE64" s="183">
        <f>(($LR$2*($LP$3/1000))/($LP$2*(Sheet3!CF64+273)))*(DV64)</f>
        <v>0.16642475106856017</v>
      </c>
      <c r="EF64" s="183">
        <f>(($LR$2*($LP$3/1000))/($LP$2*(Sheet3!CG64+273)))*(DW64)</f>
        <v>0.16895069810725563</v>
      </c>
      <c r="EG64" s="186">
        <f>(($LR$2*($LQ$3/1000))/($LQ$2*(Sheet3!DF64+273)))*(1-DO64)</f>
        <v>0.60069463019036928</v>
      </c>
      <c r="EH64" s="183">
        <f>(($LR$2*($LQ$3/1000))/($LQ$2*(Sheet3!BZ64+273)))*(1-DP64)</f>
        <v>0.60401649590332995</v>
      </c>
      <c r="EI64" s="183">
        <f>(($LR$2*($LQ$3/1000))/($LQ$2*(Sheet3!CA64+273)))*(1-DQ64)</f>
        <v>0.61743763818957809</v>
      </c>
      <c r="EJ64" s="183">
        <f>(($LR$2*($LQ$3/1000))/($LQ$2*(Sheet3!CB64+273)))*(1-DR64)</f>
        <v>0.62822680797467922</v>
      </c>
      <c r="EK64" s="183">
        <f>(($LR$2*($LQ$3/1000))/($LQ$2*(Sheet3!CC64+273)))*(1-DS64)</f>
        <v>0.64313447097397258</v>
      </c>
      <c r="EL64" s="183">
        <f>(($LR$2*($LQ$3/1000))/($LQ$2*(Sheet3!CD64+273)))*(1-DT64)</f>
        <v>0.65095330041821797</v>
      </c>
      <c r="EM64" s="183">
        <f>(($LR$2*($LQ$3/1000))/($LQ$2*(Sheet3!CE64+273)))*(1-DU64)</f>
        <v>0.66496080278386582</v>
      </c>
      <c r="EN64" s="183">
        <f>(($LR$2*($LQ$3/1000))/($LQ$2*(Sheet3!CF64+273)))*(1-DV64)</f>
        <v>0.67352957238685052</v>
      </c>
      <c r="EO64" s="183">
        <f>(($LR$2*($LQ$3/1000))/($LQ$2*(Sheet3!CG64+273)))*(1-DW64)</f>
        <v>0.68798069367976533</v>
      </c>
      <c r="EP64" s="186">
        <f t="shared" si="132"/>
        <v>2949.1173305606148</v>
      </c>
      <c r="EQ64" s="183">
        <f xml:space="preserve"> (($FV64-(Sheet3!B64/4000))*0.018)/(0.011*JO64*3600)</f>
        <v>2962.2662153943297</v>
      </c>
      <c r="ER64" s="183">
        <f>((($FV64-(SUM(Sheet3!B64:C64)/4000))*0.018)/(0.011*JP64*3600))</f>
        <v>3003.2934629517786</v>
      </c>
      <c r="ES64" s="183">
        <f>((($FV64-(SUM(Sheet3!B64:D64)/4000))*0.018)/(0.011*JQ64*3600))</f>
        <v>3045.6246045633143</v>
      </c>
      <c r="ET64" s="183">
        <f>((($FV64-(SUM(Sheet3!B64:E64)/4000))*0.018)/(0.011*JR64))/3600</f>
        <v>3095.9196220546005</v>
      </c>
      <c r="EU64" s="183">
        <f>((($FV64-(SUM(Sheet3!B64:F64)/4000))*0.018)/(0.011*JS64))/3600</f>
        <v>3125.8704167320948</v>
      </c>
      <c r="EV64" s="183">
        <f>((($FV64-(SUM(Sheet3!B64:G64)/4000))*0.018)/(0.011*JT64))/3600</f>
        <v>3167.8242851689861</v>
      </c>
      <c r="EW64" s="183">
        <f>((($FV64-(SUM(Sheet3!B64:H64)/4000))*0.018)/(0.011*JU64))/3600</f>
        <v>3200.2759993473114</v>
      </c>
      <c r="EX64" s="183">
        <f>((($FV64-(SUM(Sheet3!B64:I64)/4000))*0.018)/(0.011*JV64))/3600</f>
        <v>3244.7176935421439</v>
      </c>
      <c r="EY64" s="186">
        <f t="shared" si="133"/>
        <v>36.203809562707455</v>
      </c>
      <c r="EZ64" s="183">
        <f t="shared" si="134"/>
        <v>36.335467174748509</v>
      </c>
      <c r="FA64" s="183">
        <f t="shared" si="135"/>
        <v>36.713665689028154</v>
      </c>
      <c r="FB64" s="183">
        <f t="shared" si="136"/>
        <v>37.142122499736388</v>
      </c>
      <c r="FC64" s="183">
        <f t="shared" si="137"/>
        <v>37.632220696591048</v>
      </c>
      <c r="FD64" s="183">
        <f t="shared" si="138"/>
        <v>37.938460259592382</v>
      </c>
      <c r="FE64" s="183">
        <f t="shared" si="139"/>
        <v>38.336410332577813</v>
      </c>
      <c r="FF64" s="183">
        <f t="shared" si="140"/>
        <v>38.672264010841445</v>
      </c>
      <c r="FG64" s="183">
        <f t="shared" si="141"/>
        <v>39.105681234122223</v>
      </c>
      <c r="FH64" s="186">
        <f t="shared" si="185"/>
        <v>72.616969079629726</v>
      </c>
      <c r="FI64" s="183">
        <f t="shared" si="186"/>
        <v>72.349504565287546</v>
      </c>
      <c r="FJ64" s="183">
        <f t="shared" si="187"/>
        <v>71.176946161913293</v>
      </c>
      <c r="FK64" s="183">
        <f t="shared" si="188"/>
        <v>70.347985294406911</v>
      </c>
      <c r="FL64" s="183">
        <f t="shared" si="189"/>
        <v>69.165193003757267</v>
      </c>
      <c r="FM64" s="183">
        <f t="shared" si="190"/>
        <v>68.589512034675906</v>
      </c>
      <c r="FN64" s="183">
        <f t="shared" si="191"/>
        <v>67.494329470131532</v>
      </c>
      <c r="FO64" s="183">
        <f t="shared" si="192"/>
        <v>66.890775929113474</v>
      </c>
      <c r="FP64" s="183">
        <f t="shared" si="193"/>
        <v>65.827130711457698</v>
      </c>
      <c r="FQ64" s="314">
        <f>Sheet3!CV64</f>
        <v>4</v>
      </c>
      <c r="FR64" s="183">
        <v>3000</v>
      </c>
      <c r="FS64" s="183">
        <v>20</v>
      </c>
      <c r="FT64" s="183">
        <v>0.18977049180327871</v>
      </c>
      <c r="FU64" s="183">
        <v>42.4</v>
      </c>
      <c r="FV64" s="183">
        <v>134</v>
      </c>
      <c r="FW64" s="183">
        <v>27</v>
      </c>
      <c r="FX64" s="183">
        <v>537</v>
      </c>
      <c r="FY64" s="183">
        <v>7.4</v>
      </c>
      <c r="FZ64" s="183">
        <v>15.8</v>
      </c>
      <c r="GA64" s="183">
        <v>145</v>
      </c>
      <c r="GB64" s="186">
        <f>EXP($LP$6-($LQ$6/('Trial and Error method'!T64+$LP$8))) / ($LR$2/1000)</f>
        <v>4.9676892787745293E-2</v>
      </c>
      <c r="GC64" s="183">
        <f>EXP($LP$6-($LQ$6/('Trial and Error method'!U64+$LP$8))) / ($LR$2/1000)</f>
        <v>7.2056517250642466E-2</v>
      </c>
      <c r="GD64" s="183">
        <f>EXP($LP$6-($LQ$6/('Trial and Error method'!V64+$LP$8))) / ($LR$2/1000)</f>
        <v>6.6559586864731679E-2</v>
      </c>
      <c r="GE64" s="183">
        <f>EXP($LP$6-($LQ$6/('Trial and Error method'!W64+$LP$8))) / ($LR$2/1000)</f>
        <v>6.2439043371787045E-2</v>
      </c>
      <c r="GF64" s="183">
        <f>EXP($LP$6-($LQ$6/('Trial and Error method'!X64+$LP$8))) / ($LR$2/1000)</f>
        <v>5.843540569662127E-2</v>
      </c>
      <c r="GG64" s="183">
        <f>EXP($LP$6-($LQ$6/('Trial and Error method'!Y64+$LP$8))) / ($LR$2/1000)</f>
        <v>5.5542081066984987E-2</v>
      </c>
      <c r="GH64" s="183">
        <f>EXP($LP$6-($LQ$6/('Trial and Error method'!Z64+$LP$8))) / ($LR$2/1000)</f>
        <v>5.2343104725837815E-2</v>
      </c>
      <c r="GI64" s="183">
        <f>EXP($LP$6-($LQ$6/('Trial and Error method'!AA64+$LP$8))) / ($LR$2/1000)</f>
        <v>5.0134970811761985E-2</v>
      </c>
      <c r="GJ64" s="183">
        <f>EXP($LP$6-($LQ$6/('Trial and Error method'!AB64+$LP$8))) / ($LR$2/1000)</f>
        <v>4.7667862707919798E-2</v>
      </c>
      <c r="GK64" s="188">
        <f t="shared" si="142"/>
        <v>0.8251142016380687</v>
      </c>
      <c r="GL64" s="165">
        <f t="shared" si="143"/>
        <v>0.81490550265946837</v>
      </c>
      <c r="GM64" s="165">
        <f t="shared" si="144"/>
        <v>0.818310507298458</v>
      </c>
      <c r="GN64" s="165">
        <f t="shared" si="145"/>
        <v>0.82021832924639182</v>
      </c>
      <c r="GO64" s="165">
        <f t="shared" si="146"/>
        <v>0.82261052768068776</v>
      </c>
      <c r="GP64" s="165">
        <f t="shared" si="147"/>
        <v>0.82396355480589833</v>
      </c>
      <c r="GQ64" s="165">
        <f t="shared" si="148"/>
        <v>0.82624104082575445</v>
      </c>
      <c r="GR64" s="165">
        <f t="shared" si="149"/>
        <v>0.82727157567121645</v>
      </c>
      <c r="GS64" s="165">
        <f t="shared" si="150"/>
        <v>0.82908639368118942</v>
      </c>
      <c r="GT64" s="188">
        <f t="shared" si="194"/>
        <v>4.8704365355479368E-2</v>
      </c>
      <c r="GU64" s="165">
        <f t="shared" si="195"/>
        <v>4.9312370095161026E-2</v>
      </c>
      <c r="GV64" s="165">
        <f t="shared" si="196"/>
        <v>4.9074227267992689E-2</v>
      </c>
      <c r="GW64" s="165">
        <f t="shared" si="197"/>
        <v>4.897225874195564E-2</v>
      </c>
      <c r="GX64" s="165">
        <f t="shared" si="198"/>
        <v>4.8826047674769481E-2</v>
      </c>
      <c r="GY64" s="165">
        <f t="shared" si="199"/>
        <v>4.876012644825338E-2</v>
      </c>
      <c r="GZ64" s="165">
        <f t="shared" si="200"/>
        <v>4.861593138895047E-2</v>
      </c>
      <c r="HA64" s="165">
        <f t="shared" si="201"/>
        <v>4.8576984860522227E-2</v>
      </c>
      <c r="HB64" s="165">
        <f t="shared" si="202"/>
        <v>4.8471807632614237E-2</v>
      </c>
      <c r="HC64" s="188">
        <f>BV64*Sheet3!DF64</f>
        <v>174.33768486868169</v>
      </c>
      <c r="HD64" s="165">
        <f>BW64*Sheet3!BZ64</f>
        <v>171.49690426358896</v>
      </c>
      <c r="HE64" s="165">
        <f>BX64*Sheet3!CA64</f>
        <v>160.67538956768379</v>
      </c>
      <c r="HF64" s="165">
        <f>BY64*Sheet3!CB64</f>
        <v>152.11087951132288</v>
      </c>
      <c r="HG64" s="165">
        <f>BZ64*Sheet3!CC64</f>
        <v>141.01451300213301</v>
      </c>
      <c r="HH64" s="165">
        <f>CA64*Sheet3!CD64</f>
        <v>135.31787608446479</v>
      </c>
      <c r="HI64" s="165">
        <f>CB64*Sheet3!CE64</f>
        <v>125.81967655813436</v>
      </c>
      <c r="HJ64" s="165">
        <f>CC64*Sheet3!CF64</f>
        <v>120.02606627094629</v>
      </c>
      <c r="HK64" s="165">
        <f>CD64*Sheet3!CG64</f>
        <v>110.92212804046549</v>
      </c>
      <c r="HL64" s="188">
        <f>(CE64*Sheet3!DF64)+2501</f>
        <v>2777.9002721684374</v>
      </c>
      <c r="HM64" s="165">
        <f>(CF64*Sheet3!BZ64)+2501</f>
        <v>2773.3768287654138</v>
      </c>
      <c r="HN64" s="165">
        <f>(CG64*Sheet3!CA64)+2501</f>
        <v>2757.3645382636278</v>
      </c>
      <c r="HO64" s="165">
        <f>(CH64*Sheet3!CB64)+2501</f>
        <v>2743.6521123208304</v>
      </c>
      <c r="HP64" s="165">
        <f>(CI64*Sheet3!CC64)+2501</f>
        <v>2726.5843591006242</v>
      </c>
      <c r="HQ64" s="165">
        <f>(CJ64*Sheet3!CD64)+2501</f>
        <v>2717.4718467736548</v>
      </c>
      <c r="HR64" s="165">
        <f>(CK64*Sheet3!CE64)+2501</f>
        <v>2703.1613734703087</v>
      </c>
      <c r="HS64" s="165">
        <f>(CL64*Sheet3!CF64)+2501</f>
        <v>2693.849992253955</v>
      </c>
      <c r="HT64" s="165">
        <f>(CM64*Sheet3!CG64)+2501</f>
        <v>2679.8903395060925</v>
      </c>
      <c r="HU64" s="188">
        <f>-0.0021*(Sheet3!DF64^2) - 2.2115*(Sheet3!DF64) + 2499</f>
        <v>2134.1799999999998</v>
      </c>
      <c r="HV64" s="165">
        <f>-0.0021*(Sheet3!BZ64^2) - 2.2115*(Sheet3!BZ64) + 2499</f>
        <v>2140.6122017508628</v>
      </c>
      <c r="HW64" s="165">
        <f>-0.0021*(Sheet3!CA64^2) - 2.2115*(Sheet3!CA64) + 2499</f>
        <v>2163.2750519923829</v>
      </c>
      <c r="HX64" s="165">
        <f>-0.0021*(Sheet3!CB64^2) - 2.2115*(Sheet3!CB64) + 2499</f>
        <v>2182.5486294658695</v>
      </c>
      <c r="HY64" s="165">
        <f>-0.0021*(Sheet3!CC64^2) - 2.2115*(Sheet3!CC64) + 2499</f>
        <v>2206.3605065891793</v>
      </c>
      <c r="HZ64" s="165">
        <f>-0.0021*(Sheet3!CD64^2) - 2.2115*(Sheet3!CD64) + 2499</f>
        <v>2218.990984747627</v>
      </c>
      <c r="IA64" s="165">
        <f>-0.0021*(Sheet3!CE64^2) - 2.2115*(Sheet3!CE64) + 2499</f>
        <v>2238.7068884277378</v>
      </c>
      <c r="IB64" s="165">
        <f>-0.0021*(Sheet3!CF64^2) - 2.2115*(Sheet3!CF64) + 2499</f>
        <v>2251.4554898833335</v>
      </c>
      <c r="IC64" s="165">
        <f>-0.0021*(Sheet3!CG64^2) - 2.2115*(Sheet3!CG64) + 2499</f>
        <v>2270.4472332143628</v>
      </c>
      <c r="ID64" s="188">
        <f t="shared" si="203"/>
        <v>0.68779178921650874</v>
      </c>
      <c r="IE64" s="165">
        <f t="shared" si="204"/>
        <v>0.68937420489001588</v>
      </c>
      <c r="IF64" s="165">
        <f t="shared" si="205"/>
        <v>0.69261636341245758</v>
      </c>
      <c r="IG64" s="165">
        <f t="shared" si="206"/>
        <v>0.69799503174159694</v>
      </c>
      <c r="IH64" s="165">
        <f t="shared" si="207"/>
        <v>0.70342580427928847</v>
      </c>
      <c r="II64" s="165">
        <f t="shared" si="208"/>
        <v>0.70742174335795993</v>
      </c>
      <c r="IJ64" s="165">
        <f t="shared" si="209"/>
        <v>0.71143279811827087</v>
      </c>
      <c r="IK64" s="165">
        <f t="shared" si="210"/>
        <v>0.71599570442975513</v>
      </c>
      <c r="IL64" s="165">
        <f t="shared" si="211"/>
        <v>0.72089826988213668</v>
      </c>
      <c r="IM64" s="188">
        <f t="shared" si="212"/>
        <v>24.832718874893601</v>
      </c>
      <c r="IN64" s="165">
        <f t="shared" si="151"/>
        <v>22.853525774808084</v>
      </c>
      <c r="IO64" s="165">
        <f t="shared" si="152"/>
        <v>23.395768275711834</v>
      </c>
      <c r="IP64" s="165">
        <f t="shared" si="153"/>
        <v>23.991300496671663</v>
      </c>
      <c r="IQ64" s="165">
        <f t="shared" si="154"/>
        <v>24.501705435410624</v>
      </c>
      <c r="IR64" s="165">
        <f t="shared" si="155"/>
        <v>24.915532437413201</v>
      </c>
      <c r="IS64" s="165">
        <f t="shared" si="156"/>
        <v>25.249022090273495</v>
      </c>
      <c r="IT64" s="165">
        <f t="shared" si="157"/>
        <v>25.609335768081088</v>
      </c>
      <c r="IU64" s="165">
        <f t="shared" si="158"/>
        <v>25.903085031808711</v>
      </c>
      <c r="IV64" s="188">
        <f>_xlfn.FORECAST.LINEAR(Sheet3!DF64,Sheet2!$AK$2:$AK$69,Sheet2!$AJ$2:$AJ$69)</f>
        <v>1.386217343669711E-5</v>
      </c>
      <c r="IW64" s="165">
        <f>_xlfn.FORECAST.LINEAR(Sheet3!BZ64,Sheet2!$AK$2:$AK$69,Sheet2!$AJ$2:$AJ$69)</f>
        <v>1.3782191182786204E-5</v>
      </c>
      <c r="IX64" s="165">
        <f>_xlfn.FORECAST.LINEAR(Sheet3!CA64,Sheet2!$AK$2:$AK$69,Sheet2!$AJ$2:$AJ$69)</f>
        <v>1.3498184242821353E-5</v>
      </c>
      <c r="IY64" s="165">
        <f>_xlfn.FORECAST.LINEAR(Sheet3!CB64,Sheet2!$AK$2:$AK$69,Sheet2!$AJ$2:$AJ$69)</f>
        <v>1.3253880240390019E-5</v>
      </c>
      <c r="IZ64" s="165">
        <f>_xlfn.FORECAST.LINEAR(Sheet3!CC64,Sheet2!$AK$2:$AK$69,Sheet2!$AJ$2:$AJ$69)</f>
        <v>1.2948403794926316E-5</v>
      </c>
      <c r="JA64" s="165">
        <f>_xlfn.FORECAST.LINEAR(Sheet3!CD64,Sheet2!$AK$2:$AK$69,Sheet2!$AJ$2:$AJ$69)</f>
        <v>1.2784682443186585E-5</v>
      </c>
      <c r="JB64" s="165">
        <f>_xlfn.FORECAST.LINEAR(Sheet3!CE64,Sheet2!$AK$2:$AK$69,Sheet2!$AJ$2:$AJ$69)</f>
        <v>1.2526701166252211E-5</v>
      </c>
      <c r="JC64" s="165">
        <f>_xlfn.FORECAST.LINEAR(Sheet3!CF64,Sheet2!$AK$2:$AK$69,Sheet2!$AJ$2:$AJ$69)</f>
        <v>1.2358276751704548E-5</v>
      </c>
      <c r="JD64" s="165">
        <f>_xlfn.FORECAST.LINEAR(Sheet3!CG64,Sheet2!$AK$2:$AK$69,Sheet2!$AJ$2:$AJ$69)</f>
        <v>1.2104954965413382E-5</v>
      </c>
      <c r="JE64" s="188">
        <f>_xlfn.FORECAST.LINEAR(Sheet3!DF64,New!$MC$2:$MC$18,New!$MB$2:$MB$18)</f>
        <v>2.337798370672098E-5</v>
      </c>
      <c r="JF64" s="165">
        <f>_xlfn.FORECAST.LINEAR(Sheet3!BZ64,New!$MC$2:$MC$18,New!$MB$2:$MB$18)</f>
        <v>2.3283962636739151E-5</v>
      </c>
      <c r="JG64" s="165">
        <f>_xlfn.FORECAST.LINEAR(Sheet3!CA64,New!$MC$2:$MC$18,New!$MB$2:$MB$18)</f>
        <v>2.2950105623813453E-5</v>
      </c>
      <c r="JH64" s="165">
        <f>_xlfn.FORECAST.LINEAR(Sheet3!CB64,New!$MC$2:$MC$18,New!$MB$2:$MB$18)</f>
        <v>2.2662920372257232E-5</v>
      </c>
      <c r="JI64" s="165">
        <f>_xlfn.FORECAST.LINEAR(Sheet3!CC64,New!$MC$2:$MC$18,New!$MB$2:$MB$18)</f>
        <v>2.2303825437414106E-5</v>
      </c>
      <c r="JJ64" s="165">
        <f>_xlfn.FORECAST.LINEAR(Sheet3!CD64,New!$MC$2:$MC$18,New!$MB$2:$MB$18)</f>
        <v>2.2111367036747037E-5</v>
      </c>
      <c r="JK64" s="165">
        <f>_xlfn.FORECAST.LINEAR(Sheet3!CE64,New!$MC$2:$MC$18,New!$MB$2:$MB$18)</f>
        <v>2.1808103818887893E-5</v>
      </c>
      <c r="JL64" s="165">
        <f>_xlfn.FORECAST.LINEAR(Sheet3!CF64,New!$MC$2:$MC$18,New!$MB$2:$MB$18)</f>
        <v>2.1610116854373571E-5</v>
      </c>
      <c r="JM64" s="165">
        <f>_xlfn.FORECAST.LINEAR(Sheet3!CG64,New!$MC$2:$MC$18,New!$MB$2:$MB$18)</f>
        <v>2.131233098023036E-5</v>
      </c>
      <c r="JN64" s="188">
        <f t="shared" si="159"/>
        <v>2.0653329142897257E-5</v>
      </c>
      <c r="JO64" s="165">
        <f t="shared" si="160"/>
        <v>2.0561154605159538E-5</v>
      </c>
      <c r="JP64" s="165">
        <f t="shared" si="161"/>
        <v>2.0248149943984597E-5</v>
      </c>
      <c r="JQ64" s="165">
        <f t="shared" si="162"/>
        <v>1.9965937334788125E-5</v>
      </c>
      <c r="JR64" s="165">
        <f t="shared" si="163"/>
        <v>1.9621941768998283E-5</v>
      </c>
      <c r="JS64" s="165">
        <f t="shared" si="164"/>
        <v>1.943284185083083E-5</v>
      </c>
      <c r="JT64" s="165">
        <f t="shared" si="165"/>
        <v>1.9147713209053581E-5</v>
      </c>
      <c r="JU64" s="165">
        <f t="shared" si="166"/>
        <v>1.8952768736653077E-5</v>
      </c>
      <c r="JV64" s="165">
        <f t="shared" si="167"/>
        <v>1.8670415424213373E-5</v>
      </c>
      <c r="JW64" s="188">
        <f t="shared" si="231"/>
        <v>1.0152024173422087</v>
      </c>
      <c r="JX64" s="165">
        <f t="shared" si="232"/>
        <v>1.0161582214056584</v>
      </c>
      <c r="JY64" s="165">
        <f t="shared" si="233"/>
        <v>1.0196403915932528</v>
      </c>
      <c r="JZ64" s="165">
        <f t="shared" si="234"/>
        <v>1.0227508221303663</v>
      </c>
      <c r="KA64" s="165">
        <f t="shared" si="235"/>
        <v>1.0267991225070876</v>
      </c>
      <c r="KB64" s="165">
        <f t="shared" si="236"/>
        <v>1.0290454949407817</v>
      </c>
      <c r="KC64" s="165">
        <f t="shared" si="237"/>
        <v>1.0326998566167582</v>
      </c>
      <c r="KD64" s="165">
        <f t="shared" si="238"/>
        <v>1.0351648229276582</v>
      </c>
      <c r="KE64" s="165">
        <f t="shared" si="239"/>
        <v>1.0389965106556027</v>
      </c>
      <c r="KF64" s="188">
        <f t="shared" si="75"/>
        <v>0.9677010468805306</v>
      </c>
      <c r="KG64" s="165">
        <f t="shared" si="240"/>
        <v>0.96691211687666712</v>
      </c>
      <c r="KH64" s="165">
        <f t="shared" si="241"/>
        <v>0.96405538588453643</v>
      </c>
      <c r="KI64" s="165">
        <f t="shared" si="242"/>
        <v>0.96152658745695052</v>
      </c>
      <c r="KJ64" s="165">
        <f t="shared" si="243"/>
        <v>0.95826727443290449</v>
      </c>
      <c r="KK64" s="165">
        <f t="shared" si="244"/>
        <v>0.95647410829532564</v>
      </c>
      <c r="KL64" s="165">
        <f t="shared" si="245"/>
        <v>0.95358018698720548</v>
      </c>
      <c r="KM64" s="165">
        <f t="shared" si="246"/>
        <v>0.95164418392382066</v>
      </c>
      <c r="KN64" s="165">
        <f t="shared" si="247"/>
        <v>0.94866003707434243</v>
      </c>
      <c r="KO64" s="188">
        <f t="shared" si="213"/>
        <v>0.62174155232053552</v>
      </c>
      <c r="KP64" s="165">
        <f t="shared" si="214"/>
        <v>0.62028313272939006</v>
      </c>
      <c r="KQ64" s="165">
        <f t="shared" si="215"/>
        <v>0.61483797203135226</v>
      </c>
      <c r="KR64" s="165">
        <f t="shared" si="216"/>
        <v>0.61000565951961749</v>
      </c>
      <c r="KS64" s="165">
        <f t="shared" si="217"/>
        <v>0.60383690295973558</v>
      </c>
      <c r="KT64" s="165">
        <f t="shared" si="218"/>
        <v>0.60044107091522836</v>
      </c>
      <c r="KU64" s="165">
        <f t="shared" si="219"/>
        <v>0.59503476751589091</v>
      </c>
      <c r="KV64" s="165">
        <f t="shared" si="220"/>
        <v>0.59139820624955763</v>
      </c>
      <c r="KW64" s="165">
        <f t="shared" si="221"/>
        <v>0.58595607881637057</v>
      </c>
      <c r="KX64" s="188">
        <f>AVERAGE(Sheet3!J64:P64)*KO64^(1/3)/ID64^(1/3)</f>
        <v>121.98298261897793</v>
      </c>
      <c r="KY64" s="165">
        <f>Sheet3!J64*KP64^(1/3)/IE64^(1/3)</f>
        <v>113.41301327361373</v>
      </c>
      <c r="KZ64" s="165">
        <f>Sheet3!K64*KQ64^(1/3)/IF64^(1/3)</f>
        <v>110.34719355555484</v>
      </c>
      <c r="LA64" s="165">
        <f>Sheet3!L64*KR64^(1/3)/IG64^(1/3)</f>
        <v>112.34550278430281</v>
      </c>
      <c r="LB64" s="165">
        <f>Sheet3!M64*KS64^(1/3)/IH64^(1/3)</f>
        <v>115.1314106000431</v>
      </c>
      <c r="LC64" s="165">
        <f>Sheet3!N64*KT64^(1/3)/II64^(1/3)</f>
        <v>121.37387867818165</v>
      </c>
      <c r="LD64" s="165">
        <f>Sheet3!O64*KU64^(1/3)/IJ64^(1/3)</f>
        <v>128.67800380196115</v>
      </c>
      <c r="LE64" s="165">
        <f>Sheet3!P64*KV64^(1/3)/IK64^(1/3)</f>
        <v>138.29833237300937</v>
      </c>
      <c r="LF64" s="165">
        <f>Sheet3!Q64*KW64^(1/3)/IL64^(1/3)</f>
        <v>158.35643928385235</v>
      </c>
      <c r="LG64" s="186">
        <f t="shared" si="248"/>
        <v>25.801470589863541</v>
      </c>
      <c r="LH64" s="183">
        <f t="shared" si="249"/>
        <v>25.812482453253008</v>
      </c>
      <c r="LI64" s="183">
        <f t="shared" si="250"/>
        <v>26.560204495723266</v>
      </c>
      <c r="LJ64" s="183">
        <f t="shared" si="251"/>
        <v>26.579440477026694</v>
      </c>
      <c r="LK64" s="183">
        <f t="shared" si="252"/>
        <v>27.082339125903253</v>
      </c>
      <c r="LL64" s="183">
        <f t="shared" si="253"/>
        <v>27.111290232875799</v>
      </c>
      <c r="LM64" s="183">
        <f t="shared" si="254"/>
        <v>27.887555359131809</v>
      </c>
      <c r="LN64" s="183">
        <f t="shared" si="255"/>
        <v>27.910477316248162</v>
      </c>
      <c r="LO64" s="183">
        <f t="shared" si="256"/>
        <v>28.610619117332213</v>
      </c>
      <c r="LP64" s="220"/>
      <c r="LQ64" s="220"/>
      <c r="LR64" s="220"/>
      <c r="LS64" s="220"/>
      <c r="LT64" s="222">
        <v>226.03</v>
      </c>
      <c r="LU64" s="220">
        <v>1.7E-5</v>
      </c>
      <c r="LV64" s="220"/>
      <c r="LW64" s="220"/>
      <c r="LX64" s="188">
        <f>Sheet3!DP64</f>
        <v>217.61727600367945</v>
      </c>
      <c r="MF64" s="165"/>
      <c r="MJ64"/>
      <c r="MK64"/>
      <c r="ML64"/>
      <c r="MM64"/>
      <c r="MN64"/>
      <c r="MO64"/>
      <c r="MP64"/>
      <c r="MQ64"/>
      <c r="MR64"/>
    </row>
    <row r="65" spans="1:356" x14ac:dyDescent="0.3">
      <c r="A65" s="184">
        <f>Sheet3!A65</f>
        <v>44951</v>
      </c>
      <c r="B65" s="186">
        <f t="shared" si="102"/>
        <v>1.0060776947700167</v>
      </c>
      <c r="C65" s="183">
        <f t="shared" ref="C65:C96" si="257">AD65/L65</f>
        <v>1.0052663939459112</v>
      </c>
      <c r="D65" s="183">
        <f t="shared" ref="D65:D96" si="258">AE65/M65</f>
        <v>0.98570116740807157</v>
      </c>
      <c r="E65" s="183">
        <f t="shared" ref="E65:E96" si="259">AF65/N65</f>
        <v>0.96805505301270411</v>
      </c>
      <c r="F65" s="183">
        <f t="shared" ref="F65:F96" si="260">AG65/O65</f>
        <v>0.94816390195807998</v>
      </c>
      <c r="G65" s="183">
        <f t="shared" ref="G65:G96" si="261">AH65/P65</f>
        <v>0.93651473809484476</v>
      </c>
      <c r="H65" s="183">
        <f t="shared" ref="H65:H96" si="262">AI65/Q65</f>
        <v>0.92129237347297999</v>
      </c>
      <c r="I65" s="183">
        <f t="shared" ref="I65:I96" si="263">AJ65/R65</f>
        <v>0.90663618350975972</v>
      </c>
      <c r="J65" s="183">
        <f t="shared" ref="J65:J96" si="264">AK65/S65</f>
        <v>0.89010196622497861</v>
      </c>
      <c r="K65" s="186">
        <f xml:space="preserve"> (6.057 * (10^(-6)))
+ (4.055 * (10^(-8)) * (Sheet3!DF65 + 273))
+ (1.25 * (10^(-10)) * (Sheet3!DF65 + 273)^2)
- (3.367 * (10^(-14)) * (DD65 + 273)^3)</f>
        <v>5.3312214483037566E-5</v>
      </c>
      <c r="L65" s="183">
        <f xml:space="preserve"> (6.057 * (10^(-6)))
+ (4.055 * (10^(-8)) * (Sheet3!BZ65 + 273))
+ (1.25 * (10^(-10)) * (Sheet3!BZ65 + 273)^2)
- (3.367 * (10^(-14)) * (BX65 + 273)^3)</f>
        <v>5.3207997614171543E-5</v>
      </c>
      <c r="M65" s="183">
        <f xml:space="preserve"> (6.057 * (10^(-6)))
+ (4.055 * (10^(-8)) * (Sheet3!CA65 + 273))
+ (1.25 * (10^(-10)) * (Sheet3!CA65 + 273)^2)
- (3.367 * (10^(-14)) * (BY65 + 273)^3)</f>
        <v>5.0945453098901939E-5</v>
      </c>
      <c r="N65" s="183">
        <f xml:space="preserve"> (6.057 * (10^(-6)))
+ (4.055 * (10^(-8)) * (Sheet3!CB65 + 273))
+ (1.25 * (10^(-10)) * (Sheet3!CB65 + 273)^2)
- (3.367 * (10^(-14)) * (BZ65 + 273)^3)</f>
        <v>4.9279455749962922E-5</v>
      </c>
      <c r="O65" s="183">
        <f xml:space="preserve"> (6.057 * (10^(-6)))
+ (4.055 * (10^(-8)) * (Sheet3!CC65 + 273))
+ (1.25 * (10^(-10)) * (Sheet3!CC65 + 273)^2)
- (3.367 * (10^(-14)) * (CA65 + 273)^3)</f>
        <v>4.725812984440123E-5</v>
      </c>
      <c r="P65" s="183">
        <f xml:space="preserve"> (6.057 * (10^(-6)))
+ (4.055 * (10^(-8)) * (Sheet3!CD65 + 273))
+ (1.25 * (10^(-10)) * (Sheet3!CD65 + 273)^2)
- (3.367 * (10^(-14)) * (CB65 + 273)^3)</f>
        <v>4.6275785743088554E-5</v>
      </c>
      <c r="Q65" s="183">
        <f xml:space="preserve"> (6.057 * (10^(-6)))
+ (4.055 * (10^(-8)) * (Sheet3!CE65 + 273))
+ (1.25 * (10^(-10)) * (Sheet3!CE65 + 273)^2)
- (3.367 * (10^(-14)) * (CC65 + 273)^3)</f>
        <v>4.4829690368425425E-5</v>
      </c>
      <c r="R65" s="183">
        <f xml:space="preserve"> (6.057 * (10^(-6)))
+ (4.055 * (10^(-8)) * (Sheet3!CF65 + 273))
+ (1.25 * (10^(-10)) * (Sheet3!CF65 + 273)^2)
- (3.367 * (10^(-14)) * (CD65 + 273)^3)</f>
        <v>4.3698556067952034E-5</v>
      </c>
      <c r="S65" s="183">
        <f xml:space="preserve"> (6.057 * (10^(-6)))
+ (4.055 * (10^(-8)) * (Sheet3!CG65 + 273))
+ (1.25 * (10^(-10)) * (Sheet3!CG65 + 273)^2)
- (3.367 * (10^(-14)) * (CE65 + 273)^3)</f>
        <v>4.2296538857390271E-5</v>
      </c>
      <c r="T65" s="188">
        <f t="shared" si="104"/>
        <v>5.3312214483037566E-5</v>
      </c>
      <c r="U65" s="165">
        <f t="shared" si="105"/>
        <v>5.3207997614171543E-5</v>
      </c>
      <c r="V65" s="165">
        <f t="shared" si="106"/>
        <v>5.0945453098901939E-5</v>
      </c>
      <c r="W65" s="165">
        <f t="shared" si="107"/>
        <v>4.9279455749962922E-5</v>
      </c>
      <c r="X65" s="165">
        <f t="shared" si="108"/>
        <v>4.725812984440123E-5</v>
      </c>
      <c r="Y65" s="165">
        <f t="shared" si="109"/>
        <v>4.6275785743088554E-5</v>
      </c>
      <c r="Z65" s="165">
        <f t="shared" si="110"/>
        <v>4.4829690368425425E-5</v>
      </c>
      <c r="AA65" s="165">
        <f t="shared" si="111"/>
        <v>4.3698556067952034E-5</v>
      </c>
      <c r="AB65" s="165">
        <f t="shared" si="112"/>
        <v>4.2296538857390271E-5</v>
      </c>
      <c r="AC65" s="186">
        <f t="shared" ref="AC65:AC96" si="265">AL65/(BM65*BV65*1000)</f>
        <v>5.3636229850179132E-5</v>
      </c>
      <c r="AD65" s="183">
        <f t="shared" ref="AD65:AD96" si="266">AM65/(BN65*BW65*1000)</f>
        <v>5.3488211890680871E-5</v>
      </c>
      <c r="AE65" s="183">
        <f t="shared" ref="AE65:AE96" si="267">AN65/(BO65*BX65*1000)</f>
        <v>5.0216992593720801E-5</v>
      </c>
      <c r="AF65" s="183">
        <f t="shared" ref="AF65:AF96" si="268">AO65/(BP65*BY65*1000)</f>
        <v>4.7705226148467565E-5</v>
      </c>
      <c r="AG65" s="183">
        <f t="shared" ref="AG65:AG96" si="269">AP65/(BQ65*BZ65*1000)</f>
        <v>4.4808452792509062E-5</v>
      </c>
      <c r="AH65" s="183">
        <f t="shared" ref="AH65:AH96" si="270">AQ65/(BR65*CA65*1000)</f>
        <v>4.3337955365321727E-5</v>
      </c>
      <c r="AI65" s="183">
        <f t="shared" ref="AI65:AI96" si="271">AR65/(BS65*CB65*1000)</f>
        <v>4.1301251841585451E-5</v>
      </c>
      <c r="AJ65" s="183">
        <f t="shared" ref="AJ65:AJ96" si="272">AS65/(BT65*CC65*1000)</f>
        <v>3.9618692098335286E-5</v>
      </c>
      <c r="AK65" s="183">
        <f t="shared" ref="AK65:AK96" si="273">AT65/(BU65*CD65*1000)</f>
        <v>3.7648232401474288E-5</v>
      </c>
      <c r="AL65" s="186">
        <f t="shared" si="113"/>
        <v>4.296453909052271E-2</v>
      </c>
      <c r="AM65" s="183">
        <f t="shared" si="114"/>
        <v>4.2894614781919985E-2</v>
      </c>
      <c r="AN65" s="183">
        <f t="shared" si="115"/>
        <v>4.1244149454271371E-2</v>
      </c>
      <c r="AO65" s="183">
        <f t="shared" si="116"/>
        <v>4.0019963070595549E-2</v>
      </c>
      <c r="AP65" s="183">
        <f t="shared" si="117"/>
        <v>3.8487020802932308E-2</v>
      </c>
      <c r="AQ65" s="183">
        <f t="shared" si="118"/>
        <v>3.7736910667034648E-2</v>
      </c>
      <c r="AR65" s="183">
        <f t="shared" si="119"/>
        <v>3.6605649748178773E-2</v>
      </c>
      <c r="AS65" s="183">
        <f t="shared" si="120"/>
        <v>3.5715012731306353E-2</v>
      </c>
      <c r="AT65" s="183">
        <f t="shared" si="121"/>
        <v>3.4591657264349818E-2</v>
      </c>
      <c r="AU65" s="186">
        <f>_xlfn.FORECAST.LINEAR(Sheet3!DF65,Sheet2!$AH$2:$AH$40,Sheet2!$AG$2:$AG$40)</f>
        <v>5.615110757455756E-2</v>
      </c>
      <c r="AV65" s="183">
        <f>_xlfn.FORECAST.LINEAR(Sheet3!BZ65,Sheet2!$AH$2:$AH$40,Sheet2!$AG$2:$AG$40)</f>
        <v>5.5995102432043774E-2</v>
      </c>
      <c r="AW65" s="183">
        <f>_xlfn.FORECAST.LINEAR(Sheet3!CA65,Sheet2!$AH$2:$AH$40,Sheet2!$AG$2:$AG$40)</f>
        <v>5.235821781835532E-2</v>
      </c>
      <c r="AX65" s="183">
        <f>_xlfn.FORECAST.LINEAR(Sheet3!CB65,Sheet2!$AH$2:$AH$40,Sheet2!$AG$2:$AG$40)</f>
        <v>4.9626034099527254E-2</v>
      </c>
      <c r="AY65" s="183">
        <f>_xlfn.FORECAST.LINEAR(Sheet3!CC65,Sheet2!$AH$2:$AH$40,Sheet2!$AG$2:$AG$40)</f>
        <v>4.6245647537963709E-2</v>
      </c>
      <c r="AZ65" s="183">
        <f>_xlfn.FORECAST.LINEAR(Sheet3!CD65,Sheet2!$AH$2:$AH$40,Sheet2!$AG$2:$AG$40)</f>
        <v>4.4575435293133618E-2</v>
      </c>
      <c r="BA65" s="183">
        <f>_xlfn.FORECAST.LINEAR(Sheet3!CE65,Sheet2!$AH$2:$AH$40,Sheet2!$AG$2:$AG$40)</f>
        <v>4.2082699967838616E-2</v>
      </c>
      <c r="BB65" s="183">
        <f>_xlfn.FORECAST.LINEAR(Sheet3!CF65,Sheet2!$AH$2:$AH$40,Sheet2!$AG$2:$AG$40)</f>
        <v>4.0103294054345387E-2</v>
      </c>
      <c r="BC65" s="183">
        <f>_xlfn.FORECAST.LINEAR(Sheet3!CG65,Sheet2!$AH$2:$AH$40,Sheet2!$AG$2:$AG$40)</f>
        <v>3.7622625996983163E-2</v>
      </c>
      <c r="BD65" s="186">
        <f>_xlfn.FORECAST.LINEAR(Sheet3!DF65,Sheet2!$AB$12:$AB$37,Sheet2!$AA$12:$AA$37)/1000</f>
        <v>3.7324862686859299E-2</v>
      </c>
      <c r="BE65" s="183">
        <f>_xlfn.FORECAST.LINEAR(Sheet3!BZ65,Sheet2!$AB$12:$AB$37,Sheet2!$AA$12:$AA$37)/1000</f>
        <v>3.7289983547970855E-2</v>
      </c>
      <c r="BF65" s="183">
        <f>_xlfn.FORECAST.LINEAR(Sheet3!CA65,Sheet2!$AB$12:$AB$37,Sheet2!$AA$12:$AA$37)/1000</f>
        <v>3.647686032960732E-2</v>
      </c>
      <c r="BG65" s="183">
        <f>_xlfn.FORECAST.LINEAR(Sheet3!CB65,Sheet2!$AB$12:$AB$37,Sheet2!$AA$12:$AA$37)/1000</f>
        <v>3.5866007290648566E-2</v>
      </c>
      <c r="BH65" s="183">
        <f>_xlfn.FORECAST.LINEAR(Sheet3!CC65,Sheet2!$AB$12:$AB$37,Sheet2!$AA$12:$AA$37)/1000</f>
        <v>3.511023109970042E-2</v>
      </c>
      <c r="BI65" s="183">
        <f>_xlfn.FORECAST.LINEAR(Sheet3!CD65,Sheet2!$AB$12:$AB$37,Sheet2!$AA$12:$AA$37)/1000</f>
        <v>3.4736810301373502E-2</v>
      </c>
      <c r="BJ65" s="183">
        <f>_xlfn.FORECAST.LINEAR(Sheet3!CE65,Sheet2!$AB$12:$AB$37,Sheet2!$AA$12:$AA$37)/1000</f>
        <v>3.4179492380809424E-2</v>
      </c>
      <c r="BK65" s="183">
        <f>_xlfn.FORECAST.LINEAR(Sheet3!CF65,Sheet2!$AB$12:$AB$37,Sheet2!$AA$12:$AA$37)/1000</f>
        <v>3.3736943034929814E-2</v>
      </c>
      <c r="BL65" s="183">
        <f>_xlfn.FORECAST.LINEAR(Sheet3!CG65,Sheet2!$AB$12:$AB$37,Sheet2!$AA$12:$AA$37)/1000</f>
        <v>3.3182323076160133E-2</v>
      </c>
      <c r="BM65" s="186">
        <f t="shared" si="122"/>
        <v>0.65789786747139523</v>
      </c>
      <c r="BN65" s="183">
        <f t="shared" si="123"/>
        <v>0.65874573159513394</v>
      </c>
      <c r="BO65" s="183">
        <f t="shared" si="124"/>
        <v>0.67947781009970887</v>
      </c>
      <c r="BP65" s="183">
        <f t="shared" si="125"/>
        <v>0.69562960457211509</v>
      </c>
      <c r="BQ65" s="183">
        <f t="shared" si="126"/>
        <v>0.71709469418808869</v>
      </c>
      <c r="BR65" s="183">
        <f t="shared" si="127"/>
        <v>0.7279948864045801</v>
      </c>
      <c r="BS65" s="183">
        <f t="shared" si="128"/>
        <v>0.74526364371043785</v>
      </c>
      <c r="BT65" s="183">
        <f t="shared" si="129"/>
        <v>0.75925965433655607</v>
      </c>
      <c r="BU65" s="183">
        <f t="shared" si="130"/>
        <v>0.7778893132462914</v>
      </c>
      <c r="BV65" s="186">
        <f t="shared" si="222"/>
        <v>1.217568588223394</v>
      </c>
      <c r="BW65" s="183">
        <f t="shared" si="223"/>
        <v>1.217382005725848</v>
      </c>
      <c r="BX65" s="183">
        <f t="shared" si="224"/>
        <v>1.2087496837475378</v>
      </c>
      <c r="BY65" s="183">
        <f t="shared" si="225"/>
        <v>1.2059593475901971</v>
      </c>
      <c r="BZ65" s="183">
        <f t="shared" si="226"/>
        <v>1.1977821513359459</v>
      </c>
      <c r="CA65" s="183">
        <f t="shared" si="227"/>
        <v>1.1961058020570552</v>
      </c>
      <c r="CB65" s="183">
        <f t="shared" si="228"/>
        <v>1.1892549537791466</v>
      </c>
      <c r="CC65" s="183">
        <f t="shared" si="229"/>
        <v>1.1872996833745584</v>
      </c>
      <c r="CD65" s="183">
        <f t="shared" si="230"/>
        <v>1.1811606589177575</v>
      </c>
      <c r="CE65" s="187">
        <f xml:space="preserve"> -0.0000000019505*Sheet3!DF65^3 + 0.0000015497*Sheet3!DF65^2  + 0.00016911*Sheet3!DF65 + 1.8585</f>
        <v>1.9414898911875</v>
      </c>
      <c r="CF65" s="185">
        <f xml:space="preserve"> -0.0000000019505*Sheet3!BZ65^3 + 0.0000015497*Sheet3!BZ65^2  + 0.00016911*Sheet3!BZ65 + 1.8585</f>
        <v>1.9411471444649719</v>
      </c>
      <c r="CG65" s="185">
        <f xml:space="preserve"> -0.0000000019505*Sheet3!CA65^3 + 0.0000015497*Sheet3!CA65^2  + 0.00016911*Sheet3!CA65 + 1.8585</f>
        <v>1.9332380810395144</v>
      </c>
      <c r="CH65" s="185">
        <f xml:space="preserve"> -0.0000000019505*Sheet3!CB65^3 + 0.0000015497*Sheet3!CB65^2  + 0.00016911*Sheet3!CB65 + 1.8585</f>
        <v>1.92741244423229</v>
      </c>
      <c r="CI65" s="185">
        <f xml:space="preserve"> -0.0000000019505*Sheet3!CC65^3 + 0.0000015497*Sheet3!CC65^2  + 0.00016911*Sheet3!CC65 + 1.8585</f>
        <v>1.9203663586471069</v>
      </c>
      <c r="CJ65" s="185">
        <f xml:space="preserve"> -0.0000000019505*Sheet3!CD65^3 + 0.0000015497*Sheet3!CD65^2  + 0.00016911*Sheet3!CD65 + 1.8585</f>
        <v>1.916958765665806</v>
      </c>
      <c r="CK65" s="185">
        <f xml:space="preserve"> -0.0000000019505*Sheet3!CE65^3 + 0.0000015497*Sheet3!CE65^2  + 0.00016911*Sheet3!CE65 + 1.8585</f>
        <v>1.9119731371775215</v>
      </c>
      <c r="CL65" s="185">
        <f xml:space="preserve"> -0.0000000019505*Sheet3!CF65^3 + 0.0000015497*Sheet3!CF65^2  + 0.00016911*Sheet3!CF65 + 1.8585</f>
        <v>1.9081060413884439</v>
      </c>
      <c r="CM65" s="185">
        <f xml:space="preserve"> -0.0000000019505*Sheet3!CG65^3 + 0.0000015497*Sheet3!CG65^2  + 0.00016911*Sheet3!CG65 + 1.8585</f>
        <v>1.9033835764996194</v>
      </c>
      <c r="CN65" s="186">
        <f>_xlfn.FORECAST.LINEAR(Sheet3!DF65,New!$LU$2:$LU$14,New!$LT$2:$LT$14)</f>
        <v>1.0350674194089138</v>
      </c>
      <c r="CO65" s="183">
        <f>_xlfn.FORECAST.LINEAR(Sheet3!BZ65,New!$LU$2:$LU$14,New!$LT$2:$LT$14)</f>
        <v>1.0349525975773488</v>
      </c>
      <c r="CP65" s="183">
        <f>_xlfn.FORECAST.LINEAR(Sheet3!CA65,New!$LU$2:$LU$14,New!$LT$2:$LT$14)</f>
        <v>1.0322758027883707</v>
      </c>
      <c r="CQ65" s="183">
        <f>_xlfn.FORECAST.LINEAR(Sheet3!CB65,New!$LU$2:$LU$14,New!$LT$2:$LT$14)</f>
        <v>1.0302648797270331</v>
      </c>
      <c r="CR65" s="183">
        <f>_xlfn.FORECAST.LINEAR(Sheet3!CC65,New!$LU$2:$LU$14,New!$LT$2:$LT$14)</f>
        <v>1.0277768708694885</v>
      </c>
      <c r="CS65" s="183">
        <f>_xlfn.FORECAST.LINEAR(Sheet3!CD65,New!$LU$2:$LU$14,New!$LT$2:$LT$14)</f>
        <v>1.0265475727453133</v>
      </c>
      <c r="CT65" s="183">
        <f>_xlfn.FORECAST.LINEAR(Sheet3!CE65,New!$LU$2:$LU$14,New!$LT$2:$LT$14)</f>
        <v>1.0247128868430064</v>
      </c>
      <c r="CU65" s="183">
        <f>_xlfn.FORECAST.LINEAR(Sheet3!CF65,New!$LU$2:$LU$14,New!$LT$2:$LT$14)</f>
        <v>1.0232560181222974</v>
      </c>
      <c r="CV65" s="183">
        <f>_xlfn.FORECAST.LINEAR(Sheet3!CG65,New!$LU$2:$LU$14,New!$LT$2:$LT$14)</f>
        <v>1.0214302138875027</v>
      </c>
      <c r="CW65" s="186">
        <f>EXP((17.625*Sheet3!BA65)/(243.04+Sheet3!BA65)) / EXP((17.625*Sheet3!DF65)/(243.04+Sheet3!DF65))</f>
        <v>1.2783141284820871E-2</v>
      </c>
      <c r="CX65" s="183">
        <f>EXP((17.625*(Sheet3!BC65+273))/(243.04+(Sheet3!BC65+273)))/EXP((17.625*(Sheet3!BZ65+273))/(243.04+(Sheet3!BZ65+273)))</f>
        <v>0.23920942487634816</v>
      </c>
      <c r="CY65" s="183">
        <f>EXP((17.625*(Sheet3!BE65+273))/(243.04+(Sheet3!BE65+273))) / EXP((17.625*(Sheet3!CA65+273))/(243.04+(Sheet3!CA65+273)))</f>
        <v>0.26947637631156157</v>
      </c>
      <c r="CZ65" s="183">
        <f>EXP((17.625*(Sheet3!BG65+273))/(243.04+(Sheet3!BG65+273))) / EXP((17.625*(Sheet3!CB65+273))/(243.04+(Sheet3!CB65+273)))</f>
        <v>0.29473015167410543</v>
      </c>
      <c r="DA65" s="183">
        <f>EXP((17.625*(Sheet3!BI65+273))/(243.04+(Sheet3!BI65+273))) / EXP((17.625*(Sheet3!CC65+273))/(243.04+(Sheet3!CC65+273)))</f>
        <v>0.3305026328684913</v>
      </c>
      <c r="DB65" s="183">
        <f>EXP((17.625*(Sheet3!BK65+273))/(243.04+(Sheet3!BK65+273)))/EXP((17.625*(Sheet3!CD65+273))/(243.04+(Sheet3!CD65+273)))</f>
        <v>0.35131308486172608</v>
      </c>
      <c r="DC65" s="183">
        <f>EXP((17.625*(Sheet3!BM65+273))/(243.04+(Sheet3!BM65+273))) / EXP((17.625*(Sheet3!CE65+273))/(243.04+(Sheet3!CE65+273)))</f>
        <v>0.383685187494402</v>
      </c>
      <c r="DD65" s="183">
        <f>EXP((17.625*(Sheet3!BO65+273))/(243.04+(Sheet3!BO65+273))) / EXP((17.625*(Sheet3!CF65+273))/(243.04+(Sheet3!CF65+273)))</f>
        <v>0.4140349167681478</v>
      </c>
      <c r="DE65" s="183">
        <f>EXP((17.625*(Sheet3!BQ65+273))/(243.04+(Sheet3!BQ65+273))) / EXP((17.625*(Sheet3!CG65+273))/(243.04+(Sheet3!CG65+273)))</f>
        <v>0.45456721246367376</v>
      </c>
      <c r="DF65" s="186">
        <f>((Sheet3!DA65-Sheet3!DB65)/New!$LQ$3)/(((Sheet3!DA65-Sheet3!DB65)/New!$LQ$3)+(Sheet3!DB65/New!$LP$3))</f>
        <v>0.71160979690199611</v>
      </c>
      <c r="DG65" s="183">
        <f>((Sheet3!DA65-Sheet3!DB65)/New!$LQ$3)/(((Sheet3!DA65-Sheet3!DB65)/New!$LQ$3)+((Sheet3!DB65-(Sheet3!B65*0.004))/New!$LP$3))</f>
        <v>0.71171926509581473</v>
      </c>
      <c r="DH65" s="183" cm="1">
        <f t="array" ref="DH65">((Sheet3!DA65-Sheet3!DB65)/New!$LQ$3)/(((Sheet3!DA65-Sheet3!DB65)/New!$LQ$3)+((Sheet3!DB65-(SUM(Sheet3!B65:C65*0.004)))/New!$LP$3))</f>
        <v>0.73314773350980256</v>
      </c>
      <c r="DI65" s="183" cm="1">
        <f t="array" ref="DI65">((Sheet3!DA65-Sheet3!DB65)/New!$LQ$3)/(((Sheet3!DA65-Sheet3!DB65)/New!$LQ$3)+((Sheet3!DB65-(SUM(Sheet3!B65:D65*0.004)))/New!$LP$3))</f>
        <v>0.733292983580074</v>
      </c>
      <c r="DJ65" s="183" cm="1">
        <f t="array" ref="DJ65">((Sheet3!DA65-Sheet3!DB65)/New!$LQ$3)/(((Sheet3!DA65-Sheet3!DB65)/New!$LQ$3)+((Sheet3!DB65-(SUM(Sheet3!B65:E65*0.004)))/New!$LP$3))</f>
        <v>0.75562881848476027</v>
      </c>
      <c r="DK65" s="183" cm="1">
        <f t="array" ref="DK65">((Sheet3!DA65-Sheet3!DB65)/New!$LQ$3)/(((Sheet3!DA65-Sheet3!DB65)/New!$LQ$3)+((Sheet3!DB65-(SUM(Sheet3!B65:F65*0.004)))/New!$LP$3))</f>
        <v>0.75578311390039343</v>
      </c>
      <c r="DL65" s="183" cm="1">
        <f t="array" ref="DL65">((Sheet3!DA65-Sheet3!DB65)/New!$LQ$3)/(((Sheet3!DA65-Sheet3!DB65)/New!$LQ$3)+((Sheet3!DB65-(SUM(Sheet3!B65:G65*0.004)))/New!$LP$3))</f>
        <v>0.77759972762708629</v>
      </c>
      <c r="DM65" s="183" cm="1">
        <f t="array" ref="DM65">((Sheet3!DA65-Sheet3!DB65)/New!$LQ$3)/(((Sheet3!DA65-Sheet3!DB65)/New!$LQ$3)+((Sheet3!DB65-(SUM(Sheet3!B65:H65*0.004)))/New!$LP$3))</f>
        <v>0.77786119982464441</v>
      </c>
      <c r="DN65" s="183" cm="1">
        <f t="array" ref="DN65">((Sheet3!DA65-Sheet3!DB65)/New!$LQ$3)/(((Sheet3!DA65-Sheet3!DB65)/New!$LQ$3)+((Sheet3!DB65-(SUM(Sheet3!B65:I65*0.004)))/New!$LP$3))</f>
        <v>0.79757304243482874</v>
      </c>
      <c r="DO65" s="186">
        <f>(Sheet3!DB65/$LP$3) / ((Sheet3!DB65/$LP$3) + ((Sheet3!DA65-Sheet3!DB65)/$LQ$3))</f>
        <v>0.28839020309800384</v>
      </c>
      <c r="DP65" s="183">
        <f>((Sheet3!$DB65-(Sheet3!B65/4000)) / $LP$3) / (((Sheet3!$DA65-Sheet3!DB65) / $LQ$3) + (Sheet3!$DB65-((Sheet3!B65/4000)))/$LP$3)</f>
        <v>0.28838336232244827</v>
      </c>
      <c r="DQ65" s="183">
        <f>((Sheet3!$DB65-(SUM(Sheet3!B65:C65)/4000))/$LP$3)/(((Sheet3!$DA65-Sheet3!$DB65)/$LQ$3)+(Sheet3!$DB65-(SUM(Sheet3!B65:C65)/4000))/$LP$3)</f>
        <v>0.28708122413140591</v>
      </c>
      <c r="DR65" s="183">
        <f>((Sheet3!$DB65-(SUM(Sheet3!B65:D65)/4000))/$LP$3)/(((Sheet3!$DA65-Sheet3!$DB65)/$LQ$3)+(Sheet3!$DB65-(SUM(Sheet3!B65:D65)/4000))/$LP$3)</f>
        <v>0.28707264165385082</v>
      </c>
      <c r="DS65" s="183">
        <f>((Sheet3!$DB65-(SUM(Sheet3!B65:E65)/4000))/$LP$3)/(((Sheet3!$DA65-Sheet3!$DB65)/$LQ$3)+(Sheet3!$DB65-(SUM(Sheet3!B65:E65)/4000))/$LP$3)</f>
        <v>0.28578981644689838</v>
      </c>
      <c r="DT65" s="183">
        <f>((Sheet3!$DB65-(SUM(Sheet3!B65:F65)/4000))/$LP$3)/(((Sheet3!$DA65-Sheet3!$DB65)/$LQ$3)+(Sheet3!$DB65-(SUM(Sheet3!B65:F65)/4000))/$LP$3)</f>
        <v>0.28578120284775327</v>
      </c>
      <c r="DU65" s="183">
        <f>((Sheet3!$DB65-(SUM(Sheet3!B65:G65)/4000))/$LP$3)/(((Sheet3!$DA65-Sheet3!$DB65)/$LQ$3)+(Sheet3!$DB65-(SUM(Sheet3!B65:G65)/4000))/$LP$3)</f>
        <v>0.28459571559603464</v>
      </c>
      <c r="DV65" s="183">
        <f>((Sheet3!$DB65-(SUM(Sheet3!B65:H65)/4000))/$LP$3)/(((Sheet3!$DA65-Sheet3!$DB65)/$LQ$3)+(Sheet3!$DB65-(SUM(Sheet3!B65:H65)/4000))/$LP$3)</f>
        <v>0.28458188761442998</v>
      </c>
      <c r="DW65" s="183">
        <f>((Sheet3!$DB65-(SUM(Sheet3!B65:I65)/4000))/$LP$3)/(((Sheet3!$DA65-Sheet3!$DB65)/$LQ$3)+(Sheet3!$DB65-(SUM(Sheet3!B65:I65)/4000))/$LP$3)</f>
        <v>0.28356406532722306</v>
      </c>
      <c r="DX65" s="186">
        <f>($LR$2*($LP$3/1000))/($LP$2*(Sheet3!DF65+273))*DO65</f>
        <v>0.13246265788014666</v>
      </c>
      <c r="DY65" s="183">
        <f>(($LR$2*($LP$3/1000))/($LP$2*(Sheet3!BZ65+273)))*(DP65)</f>
        <v>0.13262983779839072</v>
      </c>
      <c r="DZ65" s="183">
        <f>(($LR$2*($LP$3/1000))/($LP$2*(Sheet3!CA65+273)))*(DQ65)</f>
        <v>0.13611108226829172</v>
      </c>
      <c r="EA65" s="183">
        <f>(($LR$2*($LP$3/1000))/($LP$2*(Sheet3!CB65+273)))*(DR65)</f>
        <v>0.13934189143834552</v>
      </c>
      <c r="EB65" s="183">
        <f>(($LR$2*($LP$3/1000))/($LP$2*(Sheet3!CC65+273)))*(DS65)</f>
        <v>0.14292196580380612</v>
      </c>
      <c r="EC65" s="183">
        <f>(($LR$2*($LP$3/1000))/($LP$2*(Sheet3!CD65+273)))*(DT65)</f>
        <v>0.14508954740481536</v>
      </c>
      <c r="ED65" s="183">
        <f>(($LR$2*($LP$3/1000))/($LP$2*(Sheet3!CE65+273)))*(DU65)</f>
        <v>0.14784081385867398</v>
      </c>
      <c r="EE65" s="183">
        <f>(($LR$2*($LP$3/1000))/($LP$2*(Sheet3!CF65+273)))*(DV65)</f>
        <v>0.15060905611632369</v>
      </c>
      <c r="EF65" s="183">
        <f>(($LR$2*($LP$3/1000))/($LP$2*(Sheet3!CG65+273)))*(DW65)</f>
        <v>0.15368637037025745</v>
      </c>
      <c r="EG65" s="186">
        <f>(($LR$2*($LQ$3/1000))/($LQ$2*(Sheet3!DF65+273)))*(1-DO65)</f>
        <v>0.52543520959124856</v>
      </c>
      <c r="EH65" s="183">
        <f>(($LR$2*($LQ$3/1000))/($LQ$2*(Sheet3!BZ65+273)))*(1-DP65)</f>
        <v>0.52611589379674317</v>
      </c>
      <c r="EI65" s="183">
        <f>(($LR$2*($LQ$3/1000))/($LQ$2*(Sheet3!CA65+273)))*(1-DQ65)</f>
        <v>0.54336672783141715</v>
      </c>
      <c r="EJ65" s="183">
        <f>(($LR$2*($LQ$3/1000))/($LQ$2*(Sheet3!CB65+273)))*(1-DR65)</f>
        <v>0.55628771313376957</v>
      </c>
      <c r="EK65" s="183">
        <f>(($LR$2*($LQ$3/1000))/($LQ$2*(Sheet3!CC65+273)))*(1-DS65)</f>
        <v>0.57417272838428257</v>
      </c>
      <c r="EL65" s="183">
        <f>(($LR$2*($LQ$3/1000))/($LQ$2*(Sheet3!CD65+273)))*(1-DT65)</f>
        <v>0.58290533899976471</v>
      </c>
      <c r="EM65" s="183">
        <f>(($LR$2*($LQ$3/1000))/($LQ$2*(Sheet3!CE65+273)))*(1-DU65)</f>
        <v>0.59742282985176387</v>
      </c>
      <c r="EN65" s="183">
        <f>(($LR$2*($LQ$3/1000))/($LQ$2*(Sheet3!CF65+273)))*(1-DV65)</f>
        <v>0.60865059822023238</v>
      </c>
      <c r="EO65" s="183">
        <f>(($LR$2*($LQ$3/1000))/($LQ$2*(Sheet3!CG65+273)))*(1-DW65)</f>
        <v>0.62420294287603395</v>
      </c>
      <c r="EP65" s="186">
        <f t="shared" si="132"/>
        <v>2934.8050319973695</v>
      </c>
      <c r="EQ65" s="183">
        <f xml:space="preserve"> (($FV65-(Sheet3!B65/4000))*0.018)/(0.011*JO65*3600)</f>
        <v>2937.9260885517697</v>
      </c>
      <c r="ER65" s="183">
        <f>((($FV65-(SUM(Sheet3!B65:C65)/4000))*0.018)/(0.011*JP65*3600))</f>
        <v>3007.8123015967967</v>
      </c>
      <c r="ES65" s="183">
        <f>((($FV65-(SUM(Sheet3!B65:D65)/4000))*0.018)/(0.011*JQ65*3600))</f>
        <v>3066.9320629693266</v>
      </c>
      <c r="ET65" s="183">
        <f>((($FV65-(SUM(Sheet3!B65:E65)/4000))*0.018)/(0.011*JR65))/3600</f>
        <v>3137.7532138392685</v>
      </c>
      <c r="EU65" s="183">
        <f>((($FV65-(SUM(Sheet3!B65:F65)/4000))*0.018)/(0.011*JS65))/3600</f>
        <v>3176.9005209868601</v>
      </c>
      <c r="EV65" s="183">
        <f>((($FV65-(SUM(Sheet3!B65:G65)/4000))*0.018)/(0.011*JT65))/3600</f>
        <v>3231.7897930034778</v>
      </c>
      <c r="EW65" s="183">
        <f>((($FV65-(SUM(Sheet3!B65:H65)/4000))*0.018)/(0.011*JU65))/3600</f>
        <v>3281.2512326086435</v>
      </c>
      <c r="EX65" s="183">
        <f>((($FV65-(SUM(Sheet3!B65:I65)/4000))*0.018)/(0.011*JV65))/3600</f>
        <v>3340.6460846097571</v>
      </c>
      <c r="EY65" s="186">
        <f t="shared" si="133"/>
        <v>35.444025038124558</v>
      </c>
      <c r="EZ65" s="183">
        <f t="shared" si="134"/>
        <v>35.47295094682746</v>
      </c>
      <c r="FA65" s="183">
        <f t="shared" si="135"/>
        <v>36.097444356142901</v>
      </c>
      <c r="FB65" s="183">
        <f t="shared" si="136"/>
        <v>36.652792956767478</v>
      </c>
      <c r="FC65" s="183">
        <f t="shared" si="137"/>
        <v>37.29328785005444</v>
      </c>
      <c r="FD65" s="183">
        <f t="shared" si="138"/>
        <v>37.66531111471906</v>
      </c>
      <c r="FE65" s="183">
        <f t="shared" si="139"/>
        <v>38.161895038701445</v>
      </c>
      <c r="FF65" s="183">
        <f t="shared" si="140"/>
        <v>38.636930639097258</v>
      </c>
      <c r="FG65" s="183">
        <f t="shared" si="141"/>
        <v>39.186582201859167</v>
      </c>
      <c r="FH65" s="186">
        <f t="shared" ref="FH65:FH96" si="274">EY65*AL65/0.018</f>
        <v>84.60201107088713</v>
      </c>
      <c r="FI65" s="183">
        <f t="shared" ref="FI65:FI96" si="275">EZ65*AM65/0.018</f>
        <v>84.533253669005987</v>
      </c>
      <c r="FJ65" s="183">
        <f t="shared" ref="FJ65:FJ96" si="276">FA65*AN65/0.018</f>
        <v>82.711577219000134</v>
      </c>
      <c r="FK65" s="183">
        <f t="shared" ref="FK65:FK96" si="277">FB65*AO65/0.018</f>
        <v>81.491301142445508</v>
      </c>
      <c r="FL65" s="183">
        <f t="shared" ref="FL65:FL96" si="278">FC65*AP65/0.018</f>
        <v>79.739308071932669</v>
      </c>
      <c r="FM65" s="183">
        <f t="shared" ref="FM65:FM96" si="279">FD65*AQ65/0.018</f>
        <v>78.965137821234464</v>
      </c>
      <c r="FN65" s="183">
        <f t="shared" ref="FN65:FN96" si="280">FE65*AR65/0.018</f>
        <v>77.607831306303694</v>
      </c>
      <c r="FO65" s="183">
        <f t="shared" ref="FO65:FO96" si="281">FF65*AS65/0.018</f>
        <v>76.662137204108845</v>
      </c>
      <c r="FP65" s="183">
        <f t="shared" ref="FP65:FP96" si="282">FG65*AT65/0.018</f>
        <v>75.307156715999056</v>
      </c>
      <c r="FQ65" s="314">
        <f>Sheet3!CV65</f>
        <v>4</v>
      </c>
      <c r="FR65" s="183">
        <v>3000</v>
      </c>
      <c r="FS65" s="183">
        <v>20</v>
      </c>
      <c r="FT65" s="183">
        <v>0.1858342541436464</v>
      </c>
      <c r="FU65" s="183">
        <v>37.1</v>
      </c>
      <c r="FV65" s="183">
        <v>149</v>
      </c>
      <c r="FW65" s="183">
        <v>30</v>
      </c>
      <c r="FX65" s="183">
        <v>600</v>
      </c>
      <c r="FY65" s="183">
        <v>6.8</v>
      </c>
      <c r="FZ65" s="183">
        <v>16.2</v>
      </c>
      <c r="GA65" s="183">
        <v>205</v>
      </c>
      <c r="GB65" s="186">
        <f>EXP($LP$6-($LQ$6/('Trial and Error method'!T65+$LP$8))) / ($LR$2/1000)</f>
        <v>5.1134872661321364E-2</v>
      </c>
      <c r="GC65" s="183">
        <f>EXP($LP$6-($LQ$6/('Trial and Error method'!U65+$LP$8))) / ($LR$2/1000)</f>
        <v>7.7101437205203474E-2</v>
      </c>
      <c r="GD65" s="183">
        <f>EXP($LP$6-($LQ$6/('Trial and Error method'!V65+$LP$8))) / ($LR$2/1000)</f>
        <v>7.0346091068209382E-2</v>
      </c>
      <c r="GE65" s="183">
        <f>EXP($LP$6-($LQ$6/('Trial and Error method'!W65+$LP$8))) / ($LR$2/1000)</f>
        <v>6.5299509197415118E-2</v>
      </c>
      <c r="GF65" s="183">
        <f>EXP($LP$6-($LQ$6/('Trial and Error method'!X65+$LP$8))) / ($LR$2/1000)</f>
        <v>6.0214304891013738E-2</v>
      </c>
      <c r="GG65" s="183">
        <f>EXP($LP$6-($LQ$6/('Trial and Error method'!Y65+$LP$8))) / ($LR$2/1000)</f>
        <v>5.6714052141650845E-2</v>
      </c>
      <c r="GH65" s="183">
        <f>EXP($LP$6-($LQ$6/('Trial and Error method'!Z65+$LP$8))) / ($LR$2/1000)</f>
        <v>5.2984753280008186E-2</v>
      </c>
      <c r="GI65" s="183">
        <f>EXP($LP$6-($LQ$6/('Trial and Error method'!AA65+$LP$8))) / ($LR$2/1000)</f>
        <v>5.0096456470488646E-2</v>
      </c>
      <c r="GJ65" s="183">
        <f>EXP($LP$6-($LQ$6/('Trial and Error method'!AB65+$LP$8))) / ($LR$2/1000)</f>
        <v>4.7049295374198857E-2</v>
      </c>
      <c r="GK65" s="188">
        <f t="shared" si="142"/>
        <v>0.82455636970235835</v>
      </c>
      <c r="GL65" s="165">
        <f t="shared" si="143"/>
        <v>0.8126853256067641</v>
      </c>
      <c r="GM65" s="165">
        <f t="shared" si="144"/>
        <v>0.81649769382242343</v>
      </c>
      <c r="GN65" s="165">
        <f t="shared" si="145"/>
        <v>0.81881449200869705</v>
      </c>
      <c r="GO65" s="165">
        <f t="shared" si="146"/>
        <v>0.82184484427846882</v>
      </c>
      <c r="GP65" s="165">
        <f t="shared" si="147"/>
        <v>0.82344904809490105</v>
      </c>
      <c r="GQ65" s="165">
        <f t="shared" si="148"/>
        <v>0.82580357267856574</v>
      </c>
      <c r="GR65" s="165">
        <f t="shared" si="149"/>
        <v>0.8271286464936588</v>
      </c>
      <c r="GS65" s="165">
        <f t="shared" si="150"/>
        <v>0.82907829816071288</v>
      </c>
      <c r="GT65" s="188">
        <f t="shared" ref="GT65:GT96" si="283">(FH65*$LP$3) / (BV65*1000*$LQ$3*GK65*B65^(2/3))</f>
        <v>5.220934711888886E-2</v>
      </c>
      <c r="GU65" s="165">
        <f t="shared" ref="GU65:GU96" si="284">(FI65*$LP$3) / (BW65*1000*$LQ$3*GL65*C65^(2/3))</f>
        <v>5.2965517742689532E-2</v>
      </c>
      <c r="GV65" s="165">
        <f t="shared" ref="GV65:GV96" si="285">(FJ65*$LP$3) / (BX65*1000*$LQ$3*GM65*D65^(2/3))</f>
        <v>5.263571113729261E-2</v>
      </c>
      <c r="GW65" s="165">
        <f t="shared" ref="GW65:GW96" si="286">(FK65*$LP$3) / (BY65*1000*$LQ$3*GN65*E65^(2/3))</f>
        <v>5.2460054187410128E-2</v>
      </c>
      <c r="GX65" s="165">
        <f t="shared" ref="GX65:GX96" si="287">(FL65*$LP$3) / (BZ65*1000*$LQ$3*GO65*F65^(2/3))</f>
        <v>5.2209742929570993E-2</v>
      </c>
      <c r="GY65" s="165">
        <f t="shared" ref="GY65:GY96" si="288">(FM65*$LP$3) / (CA65*1000*$LQ$3*GP65*G65^(2/3))</f>
        <v>5.2102076655759284E-2</v>
      </c>
      <c r="GZ65" s="165">
        <f t="shared" ref="GZ65:GZ96" si="289">(FN65*$LP$3) / (CB65*1000*$LQ$3*GQ65*H65^(2/3))</f>
        <v>5.1918788027245116E-2</v>
      </c>
      <c r="HA65" s="165">
        <f t="shared" ref="HA65:HA96" si="290">(FO65*$LP$3) / (CC65*1000*$LQ$3*GR65*I65^(2/3))</f>
        <v>5.1839545516305811E-2</v>
      </c>
      <c r="HB65" s="165">
        <f t="shared" ref="HB65:HB96" si="291">(FP65*$LP$3) / (CD65*1000*$LQ$3*GS65*J65^(2/3))</f>
        <v>5.1698062282093254E-2</v>
      </c>
      <c r="HC65" s="188">
        <f>BV65*Sheet3!DF65</f>
        <v>249.60156058579577</v>
      </c>
      <c r="HD65" s="165">
        <f>BW65*Sheet3!BZ65</f>
        <v>248.8160295555565</v>
      </c>
      <c r="HE65" s="165">
        <f>BX65*Sheet3!CA65</f>
        <v>229.75416007936056</v>
      </c>
      <c r="HF65" s="165">
        <f>BY65*Sheet3!CB65</f>
        <v>216.25912620247396</v>
      </c>
      <c r="HG65" s="165">
        <f>BZ65*Sheet3!CC65</f>
        <v>198.86102565322963</v>
      </c>
      <c r="HH65" s="165">
        <f>CA65*Sheet3!CD65</f>
        <v>190.72203715235801</v>
      </c>
      <c r="HI65" s="165">
        <f>CB65*Sheet3!CE65</f>
        <v>177.96505794420651</v>
      </c>
      <c r="HJ65" s="165">
        <f>CC65*Sheet3!CF65</f>
        <v>168.42518923038898</v>
      </c>
      <c r="HK65" s="165">
        <f>CD65*Sheet3!CG65</f>
        <v>156.02521447580503</v>
      </c>
      <c r="HL65" s="188">
        <f>(CE65*Sheet3!DF65)+2501</f>
        <v>2899.0054276934375</v>
      </c>
      <c r="HM65" s="165">
        <f>(CF65*Sheet3!BZ65)+2501</f>
        <v>2897.7436047166684</v>
      </c>
      <c r="HN65" s="165">
        <f>(CG65*Sheet3!CA65)+2501</f>
        <v>2868.4619298890661</v>
      </c>
      <c r="HO65" s="165">
        <f>(CH65*Sheet3!CB65)+2501</f>
        <v>2846.6339816548207</v>
      </c>
      <c r="HP65" s="165">
        <f>(CI65*Sheet3!CC65)+2501</f>
        <v>2819.8276125876355</v>
      </c>
      <c r="HQ65" s="165">
        <f>(CJ65*Sheet3!CD65)+2501</f>
        <v>2806.663830320098</v>
      </c>
      <c r="HR65" s="165">
        <f>(CK65*Sheet3!CE65)+2501</f>
        <v>2787.1156130267032</v>
      </c>
      <c r="HS65" s="165">
        <f>(CL65*Sheet3!CF65)+2501</f>
        <v>2771.6756563592153</v>
      </c>
      <c r="HT65" s="165">
        <f>(CM65*Sheet3!CG65)+2501</f>
        <v>2752.4271267933891</v>
      </c>
      <c r="HU65" s="188">
        <f>-0.0021*(Sheet3!DF65^2) - 2.2115*(Sheet3!DF65) + 2499</f>
        <v>1957.3899999999999</v>
      </c>
      <c r="HV65" s="165">
        <f>-0.0021*(Sheet3!BZ65^2) - 2.2115*(Sheet3!BZ65) + 2499</f>
        <v>1959.2752418242285</v>
      </c>
      <c r="HW65" s="165">
        <f>-0.0021*(Sheet3!CA65^2) - 2.2115*(Sheet3!CA65) + 2499</f>
        <v>2002.7766264477666</v>
      </c>
      <c r="HX65" s="165">
        <f>-0.0021*(Sheet3!CB65^2) - 2.2115*(Sheet3!CB65) + 2499</f>
        <v>2034.8909596165847</v>
      </c>
      <c r="HY65" s="165">
        <f>-0.0021*(Sheet3!CC65^2) - 2.2115*(Sheet3!CC65) + 2499</f>
        <v>2073.9525171812174</v>
      </c>
      <c r="HZ65" s="165">
        <f>-0.0021*(Sheet3!CD65^2) - 2.2115*(Sheet3!CD65) + 2499</f>
        <v>2092.9781427672278</v>
      </c>
      <c r="IA65" s="165">
        <f>-0.0021*(Sheet3!CE65^2) - 2.2115*(Sheet3!CE65) + 2499</f>
        <v>2121.0358549817247</v>
      </c>
      <c r="IB65" s="165">
        <f>-0.0021*(Sheet3!CF65^2) - 2.2115*(Sheet3!CF65) + 2499</f>
        <v>2143.0278271895818</v>
      </c>
      <c r="IC65" s="165">
        <f>-0.0021*(Sheet3!CG65^2) - 2.2115*(Sheet3!CG65) + 2499</f>
        <v>2170.2292954241366</v>
      </c>
      <c r="ID65" s="188">
        <f t="shared" ref="ID65:ID96" si="292">(JN65*BV65*1000)/AL65</f>
        <v>0.65398473397843615</v>
      </c>
      <c r="IE65" s="165">
        <f t="shared" ref="IE65:IE96" si="293">(JO65*BW65*1000)/AM65</f>
        <v>0.65425027407555636</v>
      </c>
      <c r="IF65" s="165">
        <f t="shared" ref="IF65:IF96" si="294">(JP65*BX65*1000)/AN65</f>
        <v>0.65906736575739255</v>
      </c>
      <c r="IG65" s="165">
        <f t="shared" ref="IG65:IG96" si="295">(JQ65*BY65*1000)/AO65</f>
        <v>0.66459137092155829</v>
      </c>
      <c r="IH65" s="165">
        <f t="shared" ref="IH65:IH96" si="296">(JR65*BZ65*1000)/AP65</f>
        <v>0.67004348435021288</v>
      </c>
      <c r="II65" s="165">
        <f t="shared" ref="II65:II96" si="297">(JS65*CA65*1000)/AQ65</f>
        <v>0.67399118042374595</v>
      </c>
      <c r="IJ65" s="165">
        <f t="shared" ref="IJ65:IJ96" si="298">(JT65*CB65*1000)/AR65</f>
        <v>0.67832237929232408</v>
      </c>
      <c r="IK65" s="165">
        <f t="shared" ref="IK65:IK96" si="299">(JU65*CC65*1000)/AS65</f>
        <v>0.68362291066573277</v>
      </c>
      <c r="IL65" s="165">
        <f t="shared" ref="IL65:IL96" si="300">(JV65*CD65*1000)/AT65</f>
        <v>0.68900664438453652</v>
      </c>
      <c r="IM65" s="188">
        <f t="shared" ref="IM65:IM96" si="301">HU65*GT65*(DO65-GB65)</f>
        <v>24.246084040242124</v>
      </c>
      <c r="IN65" s="165">
        <f t="shared" si="151"/>
        <v>21.925576325044375</v>
      </c>
      <c r="IO65" s="165">
        <f t="shared" si="152"/>
        <v>22.847691490766856</v>
      </c>
      <c r="IP65" s="165">
        <f t="shared" si="153"/>
        <v>23.674390560102296</v>
      </c>
      <c r="IQ65" s="165">
        <f t="shared" si="154"/>
        <v>24.425435443296827</v>
      </c>
      <c r="IR65" s="165">
        <f t="shared" si="155"/>
        <v>24.979430932309668</v>
      </c>
      <c r="IS65" s="165">
        <f t="shared" si="156"/>
        <v>25.505372284611422</v>
      </c>
      <c r="IT65" s="165">
        <f t="shared" si="157"/>
        <v>26.049828017925137</v>
      </c>
      <c r="IU65" s="165">
        <f t="shared" si="158"/>
        <v>26.536164694257437</v>
      </c>
      <c r="IV65" s="188">
        <f>_xlfn.FORECAST.LINEAR(Sheet3!DF65,Sheet2!$AK$2:$AK$69,Sheet2!$AJ$2:$AJ$69)</f>
        <v>1.5962912137298422E-5</v>
      </c>
      <c r="IW65" s="165">
        <f>_xlfn.FORECAST.LINEAR(Sheet3!BZ65,Sheet2!$AK$2:$AK$69,Sheet2!$AJ$2:$AJ$69)</f>
        <v>1.5941420069233425E-5</v>
      </c>
      <c r="IX65" s="165">
        <f>_xlfn.FORECAST.LINEAR(Sheet3!CA65,Sheet2!$AK$2:$AK$69,Sheet2!$AJ$2:$AJ$69)</f>
        <v>1.5440384203348292E-5</v>
      </c>
      <c r="IY65" s="165">
        <f>_xlfn.FORECAST.LINEAR(Sheet3!CB65,Sheet2!$AK$2:$AK$69,Sheet2!$AJ$2:$AJ$69)</f>
        <v>1.5063984569945583E-5</v>
      </c>
      <c r="IZ65" s="165">
        <f>_xlfn.FORECAST.LINEAR(Sheet3!CC65,Sheet2!$AK$2:$AK$69,Sheet2!$AJ$2:$AJ$69)</f>
        <v>1.4598285190447882E-5</v>
      </c>
      <c r="JA65" s="165">
        <f>_xlfn.FORECAST.LINEAR(Sheet3!CD65,Sheet2!$AK$2:$AK$69,Sheet2!$AJ$2:$AJ$69)</f>
        <v>1.436818819062811E-5</v>
      </c>
      <c r="JB65" s="165">
        <f>_xlfn.FORECAST.LINEAR(Sheet3!CE65,Sheet2!$AK$2:$AK$69,Sheet2!$AJ$2:$AJ$69)</f>
        <v>1.4024776195254141E-5</v>
      </c>
      <c r="JC65" s="165">
        <f>_xlfn.FORECAST.LINEAR(Sheet3!CF65,Sheet2!$AK$2:$AK$69,Sheet2!$AJ$2:$AJ$69)</f>
        <v>1.3752083090811815E-5</v>
      </c>
      <c r="JD65" s="165">
        <f>_xlfn.FORECAST.LINEAR(Sheet3!CG65,Sheet2!$AK$2:$AK$69,Sheet2!$AJ$2:$AJ$69)</f>
        <v>1.3410333544121209E-5</v>
      </c>
      <c r="JE65" s="188">
        <f>_xlfn.FORECAST.LINEAR(Sheet3!DF65,New!$MC$2:$MC$18,New!$MB$2:$MB$18)</f>
        <v>2.5847452754227255E-5</v>
      </c>
      <c r="JF65" s="165">
        <f>_xlfn.FORECAST.LINEAR(Sheet3!BZ65,New!$MC$2:$MC$18,New!$MB$2:$MB$18)</f>
        <v>2.5822188309468744E-5</v>
      </c>
      <c r="JG65" s="165">
        <f>_xlfn.FORECAST.LINEAR(Sheet3!CA65,New!$MC$2:$MC$18,New!$MB$2:$MB$18)</f>
        <v>2.5233208555756548E-5</v>
      </c>
      <c r="JH65" s="165">
        <f>_xlfn.FORECAST.LINEAR(Sheet3!CB65,New!$MC$2:$MC$18,New!$MB$2:$MB$18)</f>
        <v>2.4790741701637741E-5</v>
      </c>
      <c r="JI65" s="165">
        <f>_xlfn.FORECAST.LINEAR(Sheet3!CC65,New!$MC$2:$MC$18,New!$MB$2:$MB$18)</f>
        <v>2.4243300840580974E-5</v>
      </c>
      <c r="JJ65" s="165">
        <f>_xlfn.FORECAST.LINEAR(Sheet3!CD65,New!$MC$2:$MC$18,New!$MB$2:$MB$18)</f>
        <v>2.3972816263505139E-5</v>
      </c>
      <c r="JK65" s="165">
        <f>_xlfn.FORECAST.LINEAR(Sheet3!CE65,New!$MC$2:$MC$18,New!$MB$2:$MB$18)</f>
        <v>2.3569127174102616E-5</v>
      </c>
      <c r="JL65" s="165">
        <f>_xlfn.FORECAST.LINEAR(Sheet3!CF65,New!$MC$2:$MC$18,New!$MB$2:$MB$18)</f>
        <v>2.3248569847912562E-5</v>
      </c>
      <c r="JM65" s="165">
        <f>_xlfn.FORECAST.LINEAR(Sheet3!CG65,New!$MC$2:$MC$18,New!$MB$2:$MB$18)</f>
        <v>2.2846835007063396E-5</v>
      </c>
      <c r="JN65" s="188">
        <f t="shared" si="159"/>
        <v>2.307726475485116E-5</v>
      </c>
      <c r="JO65" s="165">
        <f t="shared" si="160"/>
        <v>2.3052594292868557E-5</v>
      </c>
      <c r="JP65" s="165">
        <f t="shared" si="161"/>
        <v>2.2488256501093957E-5</v>
      </c>
      <c r="JQ65" s="165">
        <f t="shared" si="162"/>
        <v>2.2054576030663401E-5</v>
      </c>
      <c r="JR65" s="165">
        <f t="shared" si="163"/>
        <v>2.1529772748987185E-5</v>
      </c>
      <c r="JS65" s="165">
        <f t="shared" si="164"/>
        <v>2.1264293612051967E-5</v>
      </c>
      <c r="JT65" s="165">
        <f t="shared" si="165"/>
        <v>2.0878980872706363E-5</v>
      </c>
      <c r="JU65" s="165">
        <f t="shared" si="166"/>
        <v>2.0563974959081112E-5</v>
      </c>
      <c r="JV65" s="165">
        <f t="shared" si="167"/>
        <v>2.0178357207771821E-5</v>
      </c>
      <c r="JW65" s="188">
        <f t="shared" ref="JW65:JW102" si="302">(SQRT(2)/4)*(1+($LQ$3/$LP$3))^-0.5*(1+((JE65/IV65)^0.5*($LP$3/$LQ$3)^0.25))^2</f>
        <v>0.99342087640971777</v>
      </c>
      <c r="JX65" s="165">
        <f t="shared" ref="JX65:KE65" si="303">(SQRT(2)/4)*(1+($LQ$3/$LP$3))^-0.5*(1+((JF65/IW65)^0.5*($LP$3/$LQ$3)^0.25))^2</f>
        <v>0.99361557330805361</v>
      </c>
      <c r="JY65" s="165">
        <f t="shared" si="303"/>
        <v>0.99830298374385418</v>
      </c>
      <c r="JZ65" s="165">
        <f t="shared" si="303"/>
        <v>1.0020225702725396</v>
      </c>
      <c r="KA65" s="165">
        <f t="shared" si="303"/>
        <v>1.0068809574804636</v>
      </c>
      <c r="KB65" s="165">
        <f t="shared" si="303"/>
        <v>1.0093936525223244</v>
      </c>
      <c r="KC65" s="165">
        <f t="shared" si="303"/>
        <v>1.013291722024299</v>
      </c>
      <c r="KD65" s="165">
        <f t="shared" si="303"/>
        <v>1.0165207975553796</v>
      </c>
      <c r="KE65" s="165">
        <f t="shared" si="303"/>
        <v>1.0207463084173072</v>
      </c>
      <c r="KF65" s="188">
        <f t="shared" si="75"/>
        <v>0.98626119619886909</v>
      </c>
      <c r="KG65" s="165">
        <f t="shared" si="240"/>
        <v>0.98609020031831263</v>
      </c>
      <c r="KH65" s="165">
        <f t="shared" si="241"/>
        <v>0.98200180416788452</v>
      </c>
      <c r="KI65" s="165">
        <f t="shared" si="242"/>
        <v>0.97879588946818674</v>
      </c>
      <c r="KJ65" s="165">
        <f t="shared" si="243"/>
        <v>0.97465858253956072</v>
      </c>
      <c r="KK65" s="165">
        <f t="shared" si="244"/>
        <v>0.97254075832609188</v>
      </c>
      <c r="KL65" s="165">
        <f t="shared" si="245"/>
        <v>0.96928440563866336</v>
      </c>
      <c r="KM65" s="165">
        <f t="shared" si="246"/>
        <v>0.96661338620686921</v>
      </c>
      <c r="KN65" s="165">
        <f t="shared" si="247"/>
        <v>0.96315380234750791</v>
      </c>
      <c r="KO65" s="188">
        <f t="shared" ref="KO65:KO96" si="304">JN65/(BM65*K65)</f>
        <v>0.65795945357580765</v>
      </c>
      <c r="KP65" s="165">
        <f t="shared" ref="KP65:KP96" si="305">JO65/(BN65*L65)</f>
        <v>0.65769581375805852</v>
      </c>
      <c r="KQ65" s="165">
        <f t="shared" ref="KQ65:KQ96" si="306">JP65/(BO65*M65)</f>
        <v>0.64964347182762439</v>
      </c>
      <c r="KR65" s="165">
        <f t="shared" ref="KR65:KR96" si="307">JQ65/(BP65*N65)</f>
        <v>0.64336103480925488</v>
      </c>
      <c r="KS65" s="165">
        <f t="shared" ref="KS65:KS96" si="308">JR65/(BQ65*O65)</f>
        <v>0.63531104460308552</v>
      </c>
      <c r="KT65" s="165">
        <f t="shared" ref="KT65:KT96" si="309">JS65/(BR65*P65)</f>
        <v>0.63120267381277972</v>
      </c>
      <c r="KU65" s="165">
        <f t="shared" ref="KU65:KU96" si="310">JT65/(BS65*Q65)</f>
        <v>0.62493323479806417</v>
      </c>
      <c r="KV65" s="165">
        <f t="shared" ref="KV65:KV96" si="311">JU65/(BT65*R65)</f>
        <v>0.61979726668581336</v>
      </c>
      <c r="KW65" s="165">
        <f t="shared" ref="KW65:KW96" si="312">JV65/(BU65*S65)</f>
        <v>0.61328616890875054</v>
      </c>
      <c r="KX65" s="188">
        <f>AVERAGE(Sheet3!J65:P65)*KO65^(1/3)/ID65^(1/3)</f>
        <v>86.750363227298408</v>
      </c>
      <c r="KY65" s="165">
        <f>Sheet3!J65*KP65^(1/3)/IE65^(1/3)</f>
        <v>74.30238545656249</v>
      </c>
      <c r="KZ65" s="165">
        <f>Sheet3!K65*KQ65^(1/3)/IF65^(1/3)</f>
        <v>74.428774998763728</v>
      </c>
      <c r="LA65" s="165">
        <f>Sheet3!L65*KR65^(1/3)/IG65^(1/3)</f>
        <v>77.809125015731865</v>
      </c>
      <c r="LB65" s="165">
        <f>Sheet3!M65*KS65^(1/3)/IH65^(1/3)</f>
        <v>81.479250909194249</v>
      </c>
      <c r="LC65" s="165">
        <f>Sheet3!N65*KT65^(1/3)/II65^(1/3)</f>
        <v>87.45857816614533</v>
      </c>
      <c r="LD65" s="165">
        <f>Sheet3!O65*KU65^(1/3)/IJ65^(1/3)</f>
        <v>95.246580216123775</v>
      </c>
      <c r="LE65" s="165">
        <f>Sheet3!P65*KV65^(1/3)/IK65^(1/3)</f>
        <v>104.71958398928206</v>
      </c>
      <c r="LF65" s="165">
        <f>Sheet3!Q65*KW65^(1/3)/IL65^(1/3)</f>
        <v>122.66156784616246</v>
      </c>
      <c r="LG65" s="186">
        <f t="shared" si="248"/>
        <v>25.80356922709235</v>
      </c>
      <c r="LH65" s="183">
        <f t="shared" si="249"/>
        <v>25.806616189413699</v>
      </c>
      <c r="LI65" s="183">
        <f t="shared" si="250"/>
        <v>26.403726615171159</v>
      </c>
      <c r="LJ65" s="183">
        <f t="shared" si="251"/>
        <v>26.407778443873063</v>
      </c>
      <c r="LK65" s="183">
        <f t="shared" si="252"/>
        <v>27.031514126609533</v>
      </c>
      <c r="LL65" s="183">
        <f t="shared" si="253"/>
        <v>27.035827347857669</v>
      </c>
      <c r="LM65" s="183">
        <f t="shared" si="254"/>
        <v>27.646279928542985</v>
      </c>
      <c r="LN65" s="183">
        <f t="shared" si="255"/>
        <v>27.653603052295658</v>
      </c>
      <c r="LO65" s="183">
        <f t="shared" si="256"/>
        <v>28.206121945782563</v>
      </c>
      <c r="LP65" s="220"/>
      <c r="LQ65" s="220"/>
      <c r="LR65" s="220"/>
      <c r="LS65" s="220"/>
      <c r="LT65" s="222">
        <v>228.06</v>
      </c>
      <c r="LU65" s="220">
        <v>1.7E-5</v>
      </c>
      <c r="LV65" s="220"/>
      <c r="LW65" s="220"/>
      <c r="LX65" s="188">
        <f>Sheet3!DP65</f>
        <v>168.3541183446564</v>
      </c>
      <c r="MF65" s="165"/>
      <c r="MJ65"/>
      <c r="MK65"/>
      <c r="ML65"/>
      <c r="MM65"/>
      <c r="MN65"/>
      <c r="MO65"/>
      <c r="MP65"/>
      <c r="MQ65"/>
      <c r="MR65"/>
    </row>
    <row r="66" spans="1:356" x14ac:dyDescent="0.3">
      <c r="A66" s="184">
        <f>Sheet3!A66</f>
        <v>44952</v>
      </c>
      <c r="B66" s="186">
        <f t="shared" ref="B66:B102" si="313">AC66/T66</f>
        <v>0.77819715931832267</v>
      </c>
      <c r="C66" s="183">
        <f t="shared" si="257"/>
        <v>0.7760503534303268</v>
      </c>
      <c r="D66" s="183">
        <f t="shared" si="258"/>
        <v>0.77104069978371659</v>
      </c>
      <c r="E66" s="183">
        <f t="shared" si="259"/>
        <v>0.7663635625905838</v>
      </c>
      <c r="F66" s="183">
        <f t="shared" si="260"/>
        <v>0.76094783882243222</v>
      </c>
      <c r="G66" s="183">
        <f t="shared" si="261"/>
        <v>0.75686663122681308</v>
      </c>
      <c r="H66" s="183">
        <f t="shared" si="262"/>
        <v>0.75305593919058711</v>
      </c>
      <c r="I66" s="183">
        <f t="shared" si="263"/>
        <v>0.74343106440887252</v>
      </c>
      <c r="J66" s="183">
        <f t="shared" si="264"/>
        <v>0.74438988560845798</v>
      </c>
      <c r="K66" s="186">
        <f xml:space="preserve"> (6.057 * (10^(-6)))
+ (4.055 * (10^(-8)) * (Sheet3!DF66 + 273))
+ (1.25 * (10^(-10)) * (Sheet3!DF66 + 273)^2)
- (3.367 * (10^(-14)) * (DD66 + 273)^3)</f>
        <v>3.5902239315430905E-5</v>
      </c>
      <c r="L66" s="183">
        <f xml:space="preserve"> (6.057 * (10^(-6)))
+ (4.055 * (10^(-8)) * (Sheet3!BZ66 + 273))
+ (1.25 * (10^(-10)) * (Sheet3!BZ66 + 273)^2)
- (3.367 * (10^(-14)) * (BX66 + 273)^3)</f>
        <v>3.5777123376426805E-5</v>
      </c>
      <c r="M66" s="183">
        <f xml:space="preserve"> (6.057 * (10^(-6)))
+ (4.055 * (10^(-8)) * (Sheet3!CA66 + 273))
+ (1.25 * (10^(-10)) * (Sheet3!CA66 + 273)^2)
- (3.367 * (10^(-14)) * (BY66 + 273)^3)</f>
        <v>3.5437959313928804E-5</v>
      </c>
      <c r="N66" s="183">
        <f xml:space="preserve"> (6.057 * (10^(-6)))
+ (4.055 * (10^(-8)) * (Sheet3!CB66 + 273))
+ (1.25 * (10^(-10)) * (Sheet3!CB66 + 273)^2)
- (3.367 * (10^(-14)) * (BZ66 + 273)^3)</f>
        <v>3.5181716264936882E-5</v>
      </c>
      <c r="O66" s="183">
        <f xml:space="preserve"> (6.057 * (10^(-6)))
+ (4.055 * (10^(-8)) * (Sheet3!CC66 + 273))
+ (1.25 * (10^(-10)) * (Sheet3!CC66 + 273)^2)
- (3.367 * (10^(-14)) * (CA66 + 273)^3)</f>
        <v>3.4823964979911226E-5</v>
      </c>
      <c r="P66" s="183">
        <f xml:space="preserve"> (6.057 * (10^(-6)))
+ (4.055 * (10^(-8)) * (Sheet3!CD66 + 273))
+ (1.25 * (10^(-10)) * (Sheet3!CD66 + 273)^2)
- (3.367 * (10^(-14)) * (CB66 + 273)^3)</f>
        <v>3.4606294419805661E-5</v>
      </c>
      <c r="Q66" s="183">
        <f xml:space="preserve"> (6.057 * (10^(-6)))
+ (4.055 * (10^(-8)) * (Sheet3!CE66 + 273))
+ (1.25 * (10^(-10)) * (Sheet3!CE66 + 273)^2)
- (3.367 * (10^(-14)) * (CC66 + 273)^3)</f>
        <v>3.4345647277341688E-5</v>
      </c>
      <c r="R66" s="183">
        <f xml:space="preserve"> (6.057 * (10^(-6)))
+ (4.055 * (10^(-8)) * (Sheet3!CF66 + 273))
+ (1.25 * (10^(-10)) * (Sheet3!CF66 + 273)^2)
- (3.367 * (10^(-14)) * (CD66 + 273)^3)</f>
        <v>3.3846818534623281E-5</v>
      </c>
      <c r="S66" s="183">
        <f xml:space="preserve"> (6.057 * (10^(-6)))
+ (4.055 * (10^(-8)) * (Sheet3!CG66 + 273))
+ (1.25 * (10^(-10)) * (Sheet3!CG66 + 273)^2)
- (3.367 * (10^(-14)) * (CE66 + 273)^3)</f>
        <v>3.3831641511480061E-5</v>
      </c>
      <c r="T66" s="188">
        <f t="shared" ref="T66:T102" si="314">K66</f>
        <v>3.5902239315430905E-5</v>
      </c>
      <c r="U66" s="165">
        <f t="shared" ref="U66:U102" si="315">L66</f>
        <v>3.5777123376426805E-5</v>
      </c>
      <c r="V66" s="165">
        <f t="shared" ref="V66:V102" si="316">M66</f>
        <v>3.5437959313928804E-5</v>
      </c>
      <c r="W66" s="165">
        <f t="shared" ref="W66:W102" si="317">N66</f>
        <v>3.5181716264936882E-5</v>
      </c>
      <c r="X66" s="165">
        <f t="shared" ref="X66:X102" si="318">O66</f>
        <v>3.4823964979911226E-5</v>
      </c>
      <c r="Y66" s="165">
        <f t="shared" ref="Y66:Y102" si="319">P66</f>
        <v>3.4606294419805661E-5</v>
      </c>
      <c r="Z66" s="165">
        <f t="shared" ref="Z66:Z102" si="320">Q66</f>
        <v>3.4345647277341688E-5</v>
      </c>
      <c r="AA66" s="165">
        <f t="shared" ref="AA66:AA102" si="321">R66</f>
        <v>3.3846818534623281E-5</v>
      </c>
      <c r="AB66" s="165">
        <f t="shared" ref="AB66:AB102" si="322">S66</f>
        <v>3.3831641511480061E-5</v>
      </c>
      <c r="AC66" s="186">
        <f t="shared" si="265"/>
        <v>2.7939020648434932E-5</v>
      </c>
      <c r="AD66" s="183">
        <f t="shared" si="266"/>
        <v>2.7764849240996428E-5</v>
      </c>
      <c r="AE66" s="183">
        <f t="shared" si="267"/>
        <v>2.7324108948318542E-5</v>
      </c>
      <c r="AF66" s="183">
        <f t="shared" si="268"/>
        <v>2.6961985414848117E-5</v>
      </c>
      <c r="AG66" s="183">
        <f t="shared" si="269"/>
        <v>2.6499220890691512E-5</v>
      </c>
      <c r="AH66" s="183">
        <f t="shared" si="270"/>
        <v>2.6192349476761572E-5</v>
      </c>
      <c r="AI66" s="183">
        <f t="shared" si="271"/>
        <v>2.5864193667547177E-5</v>
      </c>
      <c r="AJ66" s="183">
        <f t="shared" si="272"/>
        <v>2.5162776330048943E-5</v>
      </c>
      <c r="AK66" s="183">
        <f t="shared" si="273"/>
        <v>2.5183931754677001E-5</v>
      </c>
      <c r="AL66" s="186">
        <f t="shared" ref="AL66:AL102" si="323">(( (1-DO66)*BD66)/((1-DO66)+DO66*JW66))+((DO66*AU66)/(DO66+(1-DO66)*KF66))</f>
        <v>2.9144772620951425E-2</v>
      </c>
      <c r="AM66" s="183">
        <f t="shared" ref="AM66:AM102" si="324">(( (1-DP66)*BE66)/((1-DP66)+DP66*JX66))+((DP66*AV66)/(DP66+(1-DP66)*KG66))</f>
        <v>2.9033930611343396E-2</v>
      </c>
      <c r="AN66" s="183">
        <f t="shared" ref="AN66:AN102" si="325">(( (1-DQ66)*BF66)/((1-DQ66)+DQ66*JY66))+((DQ66*AW66)/(DQ66+(1-DQ66)*KH66))</f>
        <v>2.8730425986348486E-2</v>
      </c>
      <c r="AO66" s="183">
        <f t="shared" ref="AO66:AO102" si="326">(( (1-DR66)*BG66)/((1-DR66)+DR66*JZ66))+((DR66*AX66)/(DR66+(1-DR66)*KI66))</f>
        <v>2.8497968389293221E-2</v>
      </c>
      <c r="AP66" s="183">
        <f t="shared" ref="AP66:AP102" si="327">(( (1-DS66)*BH66)/((1-DS66)+DS66*KA66))+((DS66*AY66)/(DS66+(1-DS66)*KJ66))</f>
        <v>2.8175243093935931E-2</v>
      </c>
      <c r="AQ66" s="183">
        <f t="shared" ref="AQ66:AQ102" si="328">(( (1-DT66)*BI66)/((1-DT66)+DT66*KB66))+((DT66*AZ66)/(DT66+(1-DT66)*KK66))</f>
        <v>2.7975824988880606E-2</v>
      </c>
      <c r="AR66" s="183">
        <f t="shared" ref="AR66:AR102" si="329">(( (1-DU66)*BJ66)/((1-DU66)+DU66*KC66))+((DU66*BA66)/(DU66+(1-DU66)*KL66))</f>
        <v>2.7739752937671974E-2</v>
      </c>
      <c r="AS66" s="183">
        <f t="shared" ref="AS66:AS102" si="330">(( (1-DV66)*BK66)/((1-DV66)+DV66*KD66))+((DV66*BB66)/(DV66+(1-DV66)*KM66))</f>
        <v>2.7277869129767599E-2</v>
      </c>
      <c r="AT66" s="183">
        <f t="shared" ref="AT66:AT102" si="331">(( (1-DW66)*BL66)/((1-DW66)+DW66*KE66))+((DW66*BC66)/(DW66+(1-DW66)*KN66))</f>
        <v>2.7272579310013676E-2</v>
      </c>
      <c r="AU66" s="186">
        <f>_xlfn.FORECAST.LINEAR(Sheet3!DF66,Sheet2!$AH$2:$AH$40,Sheet2!$AG$2:$AG$40)</f>
        <v>2.5653712965492358E-2</v>
      </c>
      <c r="AV66" s="183">
        <f>_xlfn.FORECAST.LINEAR(Sheet3!BZ66,Sheet2!$AH$2:$AH$40,Sheet2!$AG$2:$AG$40)</f>
        <v>2.5412614973343201E-2</v>
      </c>
      <c r="AW66" s="183">
        <f>_xlfn.FORECAST.LINEAR(Sheet3!CA66,Sheet2!$AH$2:$AH$40,Sheet2!$AG$2:$AG$40)</f>
        <v>2.4746920111512413E-2</v>
      </c>
      <c r="AX66" s="183">
        <f>_xlfn.FORECAST.LINEAR(Sheet3!CB66,Sheet2!$AH$2:$AH$40,Sheet2!$AG$2:$AG$40)</f>
        <v>2.4241697228010072E-2</v>
      </c>
      <c r="AY66" s="183">
        <f>_xlfn.FORECAST.LINEAR(Sheet3!CC66,Sheet2!$AH$2:$AH$40,Sheet2!$AG$2:$AG$40)</f>
        <v>2.3533103209465708E-2</v>
      </c>
      <c r="AZ66" s="183">
        <f>_xlfn.FORECAST.LINEAR(Sheet3!CD66,Sheet2!$AH$2:$AH$40,Sheet2!$AG$2:$AG$40)</f>
        <v>2.3100038753544296E-2</v>
      </c>
      <c r="BA66" s="183">
        <f>_xlfn.FORECAST.LINEAR(Sheet3!CE66,Sheet2!$AH$2:$AH$40,Sheet2!$AG$2:$AG$40)</f>
        <v>2.2579588932427595E-2</v>
      </c>
      <c r="BB66" s="183">
        <f>_xlfn.FORECAST.LINEAR(Sheet3!CF66,Sheet2!$AH$2:$AH$40,Sheet2!$AG$2:$AG$40)</f>
        <v>2.1577653397219655E-2</v>
      </c>
      <c r="BC66" s="183">
        <f>_xlfn.FORECAST.LINEAR(Sheet3!CG66,Sheet2!$AH$2:$AH$40,Sheet2!$AG$2:$AG$40)</f>
        <v>2.155790898360219E-2</v>
      </c>
      <c r="BD66" s="186">
        <f>_xlfn.FORECAST.LINEAR(Sheet3!DF66,Sheet2!$AB$12:$AB$37,Sheet2!$AA$12:$AA$37)/1000</f>
        <v>3.0506351161118033E-2</v>
      </c>
      <c r="BE66" s="183">
        <f>_xlfn.FORECAST.LINEAR(Sheet3!BZ66,Sheet2!$AB$12:$AB$37,Sheet2!$AA$12:$AA$37)/1000</f>
        <v>3.045244723065528E-2</v>
      </c>
      <c r="BF66" s="183">
        <f>_xlfn.FORECAST.LINEAR(Sheet3!CA66,Sheet2!$AB$12:$AB$37,Sheet2!$AA$12:$AA$37)/1000</f>
        <v>3.0303613268075711E-2</v>
      </c>
      <c r="BG66" s="183">
        <f>_xlfn.FORECAST.LINEAR(Sheet3!CB66,Sheet2!$AB$12:$AB$37,Sheet2!$AA$12:$AA$37)/1000</f>
        <v>3.0190657125480996E-2</v>
      </c>
      <c r="BH66" s="183">
        <f>_xlfn.FORECAST.LINEAR(Sheet3!CC66,Sheet2!$AB$12:$AB$37,Sheet2!$AA$12:$AA$37)/1000</f>
        <v>3.003223190442687E-2</v>
      </c>
      <c r="BI66" s="183">
        <f>_xlfn.FORECAST.LINEAR(Sheet3!CD66,Sheet2!$AB$12:$AB$37,Sheet2!$AA$12:$AA$37)/1000</f>
        <v>2.9935408716022072E-2</v>
      </c>
      <c r="BJ66" s="183">
        <f>_xlfn.FORECAST.LINEAR(Sheet3!CE66,Sheet2!$AB$12:$AB$37,Sheet2!$AA$12:$AA$37)/1000</f>
        <v>2.9819048182627542E-2</v>
      </c>
      <c r="BK66" s="183">
        <f>_xlfn.FORECAST.LINEAR(Sheet3!CF66,Sheet2!$AB$12:$AB$37,Sheet2!$AA$12:$AA$37)/1000</f>
        <v>2.9595038588285525E-2</v>
      </c>
      <c r="BL66" s="183">
        <f>_xlfn.FORECAST.LINEAR(Sheet3!CG66,Sheet2!$AB$12:$AB$37,Sheet2!$AA$12:$AA$37)/1000</f>
        <v>2.9590624194415317E-2</v>
      </c>
      <c r="BM66" s="186">
        <f t="shared" ref="BM66:BM102" si="332">DX66+EG66</f>
        <v>0.87906103433412119</v>
      </c>
      <c r="BN66" s="183">
        <f t="shared" ref="BN66:BN102" si="333">DY66+EH66</f>
        <v>0.88140070368339296</v>
      </c>
      <c r="BO66" s="183">
        <f t="shared" ref="BO66:BO102" si="334">DZ66+EI66</f>
        <v>0.88811113987187851</v>
      </c>
      <c r="BP66" s="183">
        <f t="shared" ref="BP66:BP102" si="335">EA66+EJ66</f>
        <v>0.89312457622015018</v>
      </c>
      <c r="BQ66" s="183">
        <f t="shared" ref="BQ66:BQ102" si="336">EB66+EK66</f>
        <v>0.90046258536073309</v>
      </c>
      <c r="BR66" s="183">
        <f t="shared" ref="BR66:BR102" si="337">EC66+EL66</f>
        <v>0.90487507451374238</v>
      </c>
      <c r="BS66" s="183">
        <f t="shared" ref="BS66:BS102" si="338">ED66+EM66</f>
        <v>0.9104345431222387</v>
      </c>
      <c r="BT66" s="183">
        <f t="shared" ref="BT66:BT102" si="339">EE66+EN66</f>
        <v>0.92093393777187471</v>
      </c>
      <c r="BU66" s="183">
        <f t="shared" ref="BU66:BU102" si="340">EF66+EO66</f>
        <v>0.92132718696269511</v>
      </c>
      <c r="BV66" s="186">
        <f t="shared" ref="BV66:BV102" si="341">(($LQ$3/LG66)*DF66*CN66)+(($LP$3/LG66)*DO66*CE66)</f>
        <v>1.1866713658357544</v>
      </c>
      <c r="BW66" s="183">
        <f t="shared" ref="BW66:BW102" si="342">(($LQ$3/LH66)*DG66*CO66)+(($LP$3/LH66)*DP66*CF66)</f>
        <v>1.1864163470815821</v>
      </c>
      <c r="BX66" s="183">
        <f t="shared" ref="BX66:BX102" si="343">(($LQ$3/LI66)*DH66*CP66)+(($LP$3/LI66)*DQ66*CG66)</f>
        <v>1.1839373986275614</v>
      </c>
      <c r="BY66" s="183">
        <f t="shared" ref="BY66:BY102" si="344">(($LQ$3/LJ66)*DI66*CQ66)+(($LP$3/LJ66)*DR66*CH66)</f>
        <v>1.1834502096025981</v>
      </c>
      <c r="BZ66" s="183">
        <f t="shared" ref="BZ66:BZ102" si="345">(($LQ$3/LK66)*DJ66*CR66)+(($LP$3/LK66)*DS66*CI66)</f>
        <v>1.1807797432960989</v>
      </c>
      <c r="CA66" s="183">
        <f t="shared" ref="CA66:CA102" si="346">(($LQ$3/LL66)*DK66*CS66)+(($LP$3/LL66)*DT66*CJ66)</f>
        <v>1.1803745042206788</v>
      </c>
      <c r="CB66" s="183">
        <f t="shared" ref="CB66:CB102" si="347">(($LQ$3/LM66)*DL66*CT66)+(($LP$3/LM66)*DU66*CK66)</f>
        <v>1.1780261147585827</v>
      </c>
      <c r="CC66" s="183">
        <f t="shared" ref="CC66:CC102" si="348">(($LQ$3/LN66)*DM66*CU66)+(($LP$3/LN66)*DV66*CL66)</f>
        <v>1.1771272310951513</v>
      </c>
      <c r="CD66" s="183">
        <f t="shared" ref="CD66:CD102" si="349">(($LQ$3/LO66)*DN66*CV66)+(($LP$3/LO66)*DW66*CM66)</f>
        <v>1.1754084075938622</v>
      </c>
      <c r="CE66" s="187">
        <f xml:space="preserve"> -0.0000000019505*Sheet3!DF66^3 + 0.0000015497*Sheet3!DF66^2  + 0.00016911*Sheet3!DF66 + 1.8585</f>
        <v>1.8828730816875001</v>
      </c>
      <c r="CF66" s="185">
        <f xml:space="preserve"> -0.0000000019505*Sheet3!BZ66^3 + 0.0000015497*Sheet3!BZ66^2  + 0.00016911*Sheet3!BZ66 + 1.8585</f>
        <v>1.8825037842754457</v>
      </c>
      <c r="CG66" s="185">
        <f xml:space="preserve"> -0.0000000019505*Sheet3!CA66^3 + 0.0000015497*Sheet3!CA66^2  + 0.00016911*Sheet3!CA66 + 1.8585</f>
        <v>1.8814940356403806</v>
      </c>
      <c r="CH66" s="185">
        <f xml:space="preserve"> -0.0000000019505*Sheet3!CB66^3 + 0.0000015497*Sheet3!CB66^2  + 0.00016911*Sheet3!CB66 + 1.8585</f>
        <v>1.8807375144948342</v>
      </c>
      <c r="CI66" s="185">
        <f xml:space="preserve"> -0.0000000019505*Sheet3!CC66^3 + 0.0000015497*Sheet3!CC66^2  + 0.00016911*Sheet3!CC66 + 1.8585</f>
        <v>1.8796909321351793</v>
      </c>
      <c r="CJ66" s="185">
        <f xml:space="preserve"> -0.0000000019505*Sheet3!CD66^3 + 0.0000015497*Sheet3!CD66^2  + 0.00016911*Sheet3!CD66 + 1.8585</f>
        <v>1.8790597153838553</v>
      </c>
      <c r="CK66" s="185">
        <f xml:space="preserve"> -0.0000000019505*Sheet3!CE66^3 + 0.0000015497*Sheet3!CE66^2  + 0.00016911*Sheet3!CE66 + 1.8585</f>
        <v>1.8783096714767726</v>
      </c>
      <c r="CL66" s="185">
        <f xml:space="preserve"> -0.0000000019505*Sheet3!CF66^3 + 0.0000015497*Sheet3!CF66^2  + 0.00016911*Sheet3!CF66 + 1.8585</f>
        <v>1.8768923467492702</v>
      </c>
      <c r="CM66" s="185">
        <f xml:space="preserve"> -0.0000000019505*Sheet3!CG66^3 + 0.0000015497*Sheet3!CG66^2  + 0.00016911*Sheet3!CG66 + 1.8585</f>
        <v>1.8768647721782323</v>
      </c>
      <c r="CN66" s="186">
        <f>_xlfn.FORECAST.LINEAR(Sheet3!DF66,New!$LU$2:$LU$14,New!$LT$2:$LT$14)</f>
        <v>1.0126209368728181</v>
      </c>
      <c r="CO66" s="183">
        <f>_xlfn.FORECAST.LINEAR(Sheet3!BZ66,New!$LU$2:$LU$14,New!$LT$2:$LT$14)</f>
        <v>1.0124434855875644</v>
      </c>
      <c r="CP66" s="183">
        <f>_xlfn.FORECAST.LINEAR(Sheet3!CA66,New!$LU$2:$LU$14,New!$LT$2:$LT$14)</f>
        <v>1.0119535254358205</v>
      </c>
      <c r="CQ66" s="183">
        <f>_xlfn.FORECAST.LINEAR(Sheet3!CB66,New!$LU$2:$LU$14,New!$LT$2:$LT$14)</f>
        <v>1.0115816747654029</v>
      </c>
      <c r="CR66" s="183">
        <f>_xlfn.FORECAST.LINEAR(Sheet3!CC66,New!$LU$2:$LU$14,New!$LT$2:$LT$14)</f>
        <v>1.0110601402715118</v>
      </c>
      <c r="CS66" s="183">
        <f>_xlfn.FORECAST.LINEAR(Sheet3!CD66,New!$LU$2:$LU$14,New!$LT$2:$LT$14)</f>
        <v>1.0107413991504601</v>
      </c>
      <c r="CT66" s="183">
        <f>_xlfn.FORECAST.LINEAR(Sheet3!CE66,New!$LU$2:$LU$14,New!$LT$2:$LT$14)</f>
        <v>1.0103583412541919</v>
      </c>
      <c r="CU66" s="183">
        <f>_xlfn.FORECAST.LINEAR(Sheet3!CF66,New!$LU$2:$LU$14,New!$LT$2:$LT$14)</f>
        <v>1.0096209035556072</v>
      </c>
      <c r="CV66" s="183">
        <f>_xlfn.FORECAST.LINEAR(Sheet3!CG66,New!$LU$2:$LU$14,New!$LT$2:$LT$14)</f>
        <v>1.0096063714081525</v>
      </c>
      <c r="CW66" s="186">
        <f>EXP((17.625*Sheet3!BA66)/(243.04+Sheet3!BA66)) / EXP((17.625*Sheet3!DF66)/(243.04+Sheet3!DF66))</f>
        <v>0.42008314077038528</v>
      </c>
      <c r="CX66" s="183">
        <f>EXP((17.625*(Sheet3!BC66+273))/(243.04+(Sheet3!BC66+273)))/EXP((17.625*(Sheet3!BZ66+273))/(243.04+(Sheet3!BZ66+273)))</f>
        <v>0.7869933524247128</v>
      </c>
      <c r="CY66" s="183">
        <f>EXP((17.625*(Sheet3!BE66+273))/(243.04+(Sheet3!BE66+273))) / EXP((17.625*(Sheet3!CA66+273))/(243.04+(Sheet3!CA66+273)))</f>
        <v>0.81156760749018586</v>
      </c>
      <c r="CZ66" s="183">
        <f>EXP((17.625*(Sheet3!BG66+273))/(243.04+(Sheet3!BG66+273))) / EXP((17.625*(Sheet3!CB66+273))/(243.04+(Sheet3!CB66+273)))</f>
        <v>0.82977989222251547</v>
      </c>
      <c r="DA66" s="183">
        <f>EXP((17.625*(Sheet3!BI66+273))/(243.04+(Sheet3!BI66+273))) / EXP((17.625*(Sheet3!CC66+273))/(243.04+(Sheet3!CC66+273)))</f>
        <v>0.85626775499035401</v>
      </c>
      <c r="DB66" s="183">
        <f>EXP((17.625*(Sheet3!BK66+273))/(243.04+(Sheet3!BK66+273)))/EXP((17.625*(Sheet3!CD66+273))/(243.04+(Sheet3!CD66+273)))</f>
        <v>0.87427597245202238</v>
      </c>
      <c r="DC66" s="183">
        <f>EXP((17.625*(Sheet3!BM66+273))/(243.04+(Sheet3!BM66+273))) / EXP((17.625*(Sheet3!CE66+273))/(243.04+(Sheet3!CE66+273)))</f>
        <v>0.89456131449670095</v>
      </c>
      <c r="DD66" s="183">
        <f>EXP((17.625*(Sheet3!BO66+273))/(243.04+(Sheet3!BO66+273))) / EXP((17.625*(Sheet3!CF66+273))/(243.04+(Sheet3!CF66+273)))</f>
        <v>0.93946523937056725</v>
      </c>
      <c r="DE66" s="183">
        <f>EXP((17.625*(Sheet3!BQ66+273))/(243.04+(Sheet3!BQ66+273))) / EXP((17.625*(Sheet3!CG66+273))/(243.04+(Sheet3!CG66+273)))</f>
        <v>0.93844133518150596</v>
      </c>
      <c r="DF66" s="186">
        <f>((Sheet3!DA66-Sheet3!DB66)/New!$LQ$3)/(((Sheet3!DA66-Sheet3!DB66)/New!$LQ$3)+(Sheet3!DB66/New!$LP$3))</f>
        <v>0.71332409423876464</v>
      </c>
      <c r="DG66" s="183">
        <f>((Sheet3!DA66-Sheet3!DB66)/New!$LQ$3)/(((Sheet3!DA66-Sheet3!DB66)/New!$LQ$3)+((Sheet3!DB66-(Sheet3!B66*0.004))/New!$LP$3))</f>
        <v>0.7134979555105212</v>
      </c>
      <c r="DH66" s="183" cm="1">
        <f t="array" ref="DH66">((Sheet3!DA66-Sheet3!DB66)/New!$LQ$3)/(((Sheet3!DA66-Sheet3!DB66)/New!$LQ$3)+((Sheet3!DB66-(SUM(Sheet3!B66:C66*0.004)))/New!$LP$3))</f>
        <v>0.7219546178886368</v>
      </c>
      <c r="DI66" s="183" cm="1">
        <f t="array" ref="DI66">((Sheet3!DA66-Sheet3!DB66)/New!$LQ$3)/(((Sheet3!DA66-Sheet3!DB66)/New!$LQ$3)+((Sheet3!DB66-(SUM(Sheet3!B66:D66*0.004)))/New!$LP$3))</f>
        <v>0.72213271223907327</v>
      </c>
      <c r="DJ66" s="183" cm="1">
        <f t="array" ref="DJ66">((Sheet3!DA66-Sheet3!DB66)/New!$LQ$3)/(((Sheet3!DA66-Sheet3!DB66)/New!$LQ$3)+((Sheet3!DB66-(SUM(Sheet3!B66:E66*0.004)))/New!$LP$3))</f>
        <v>0.73152702398482816</v>
      </c>
      <c r="DK66" s="183" cm="1">
        <f t="array" ref="DK66">((Sheet3!DA66-Sheet3!DB66)/New!$LQ$3)/(((Sheet3!DA66-Sheet3!DB66)/New!$LQ$3)+((Sheet3!DB66-(SUM(Sheet3!B66:F66*0.004)))/New!$LP$3))</f>
        <v>0.73164532758663126</v>
      </c>
      <c r="DL66" s="183" cm="1">
        <f t="array" ref="DL66">((Sheet3!DA66-Sheet3!DB66)/New!$LQ$3)/(((Sheet3!DA66-Sheet3!DB66)/New!$LQ$3)+((Sheet3!DB66-(SUM(Sheet3!B66:G66*0.004)))/New!$LP$3))</f>
        <v>0.74055134180997084</v>
      </c>
      <c r="DM66" s="183" cm="1">
        <f t="array" ref="DM66">((Sheet3!DA66-Sheet3!DB66)/New!$LQ$3)/(((Sheet3!DA66-Sheet3!DB66)/New!$LQ$3)+((Sheet3!DB66-(SUM(Sheet3!B66:H66*0.004)))/New!$LP$3))</f>
        <v>0.74069463053748896</v>
      </c>
      <c r="DN66" s="183" cm="1">
        <f t="array" ref="DN66">((Sheet3!DA66-Sheet3!DB66)/New!$LQ$3)/(((Sheet3!DA66-Sheet3!DB66)/New!$LQ$3)+((Sheet3!DB66-(SUM(Sheet3!B66:I66*0.004)))/New!$LP$3))</f>
        <v>0.74887587557993718</v>
      </c>
      <c r="DO66" s="186">
        <f>(Sheet3!DB66/$LP$3) / ((Sheet3!DB66/$LP$3) + ((Sheet3!DA66-Sheet3!DB66)/$LQ$3))</f>
        <v>0.28667590576123542</v>
      </c>
      <c r="DP66" s="183">
        <f>((Sheet3!$DB66-(Sheet3!B66/4000)) / $LP$3) / (((Sheet3!$DA66-Sheet3!DB66) / $LQ$3) + (Sheet3!$DB66-((Sheet3!B66/4000)))/$LP$3)</f>
        <v>0.28666504191414555</v>
      </c>
      <c r="DQ66" s="183">
        <f>((Sheet3!$DB66-(SUM(Sheet3!B66:C66)/4000))/$LP$3)/(((Sheet3!$DA66-Sheet3!$DB66)/$LQ$3)+(Sheet3!$DB66-(SUM(Sheet3!B66:C66)/4000))/$LP$3)</f>
        <v>0.28614254782302551</v>
      </c>
      <c r="DR66" s="183">
        <f>((Sheet3!$DB66-(SUM(Sheet3!B66:D66)/4000))/$LP$3)/(((Sheet3!$DA66-Sheet3!$DB66)/$LQ$3)+(Sheet3!$DB66-(SUM(Sheet3!B66:D66)/4000))/$LP$3)</f>
        <v>0.2861316677237733</v>
      </c>
      <c r="DS66" s="183">
        <f>((Sheet3!$DB66-(SUM(Sheet3!B66:E66)/4000))/$LP$3)/(((Sheet3!$DA66-Sheet3!$DB66)/$LQ$3)+(Sheet3!$DB66-(SUM(Sheet3!B66:E66)/4000))/$LP$3)</f>
        <v>0.28556480415017249</v>
      </c>
      <c r="DT66" s="183">
        <f>((Sheet3!$DB66-(SUM(Sheet3!B66:F66)/4000))/$LP$3)/(((Sheet3!$DA66-Sheet3!$DB66)/$LQ$3)+(Sheet3!$DB66-(SUM(Sheet3!B66:F66)/4000))/$LP$3)</f>
        <v>0.28555775272379497</v>
      </c>
      <c r="DU66" s="183">
        <f>((Sheet3!$DB66-(SUM(Sheet3!B66:G66)/4000))/$LP$3)/(((Sheet3!$DA66-Sheet3!$DB66)/$LQ$3)+(Sheet3!$DB66-(SUM(Sheet3!B66:G66)/4000))/$LP$3)</f>
        <v>0.28503299268634685</v>
      </c>
      <c r="DV66" s="183">
        <f>((Sheet3!$DB66-(SUM(Sheet3!B66:H66)/4000))/$LP$3)/(((Sheet3!$DA66-Sheet3!$DB66)/$LQ$3)+(Sheet3!$DB66-(SUM(Sheet3!B66:H66)/4000))/$LP$3)</f>
        <v>0.28502464675618733</v>
      </c>
      <c r="DW66" s="183">
        <f>((Sheet3!$DB66-(SUM(Sheet3!B66:I66)/4000))/$LP$3)/(((Sheet3!$DA66-Sheet3!$DB66)/$LQ$3)+(Sheet3!$DB66-(SUM(Sheet3!B66:I66)/4000))/$LP$3)</f>
        <v>0.28455310641362097</v>
      </c>
      <c r="DX66" s="186">
        <f>($LR$2*($LP$3/1000))/($LP$2*(Sheet3!DF66+273))*DO66</f>
        <v>0.17581220686682425</v>
      </c>
      <c r="DY66" s="183">
        <f>(($LR$2*($LP$3/1000))/($LP$2*(Sheet3!BZ66+273)))*(DP66)</f>
        <v>0.17627264875109494</v>
      </c>
      <c r="DZ66" s="183">
        <f>(($LR$2*($LP$3/1000))/($LP$2*(Sheet3!CA66+273)))*(DQ66)</f>
        <v>0.17725169248742656</v>
      </c>
      <c r="EA66" s="183">
        <f>(($LR$2*($LP$3/1000))/($LP$2*(Sheet3!CB66+273)))*(DR66)</f>
        <v>0.17824468850375086</v>
      </c>
      <c r="EB66" s="183">
        <f>(($LR$2*($LP$3/1000))/($LP$2*(Sheet3!CC66+273)))*(DS66)</f>
        <v>0.17931006658927959</v>
      </c>
      <c r="EC66" s="183">
        <f>(($LR$2*($LP$3/1000))/($LP$2*(Sheet3!CD66+273)))*(DT66)</f>
        <v>0.18018374255466565</v>
      </c>
      <c r="ED66" s="183">
        <f>(($LR$2*($LP$3/1000))/($LP$2*(Sheet3!CE66+273)))*(DU66)</f>
        <v>0.18091740145671514</v>
      </c>
      <c r="EE66" s="183">
        <f>(($LR$2*($LP$3/1000))/($LP$2*(Sheet3!CF66+273)))*(DV66)</f>
        <v>0.18299778793294699</v>
      </c>
      <c r="EF66" s="183">
        <f>(($LR$2*($LP$3/1000))/($LP$2*(Sheet3!CG66+273)))*(DW66)</f>
        <v>0.18273655478392895</v>
      </c>
      <c r="EG66" s="186">
        <f>(($LR$2*($LQ$3/1000))/($LQ$2*(Sheet3!DF66+273)))*(1-DO66)</f>
        <v>0.703248827467297</v>
      </c>
      <c r="EH66" s="183">
        <f>(($LR$2*($LQ$3/1000))/($LQ$2*(Sheet3!BZ66+273)))*(1-DP66)</f>
        <v>0.70512805493229802</v>
      </c>
      <c r="EI66" s="183">
        <f>(($LR$2*($LQ$3/1000))/($LQ$2*(Sheet3!CA66+273)))*(1-DQ66)</f>
        <v>0.71085944738445195</v>
      </c>
      <c r="EJ66" s="183">
        <f>(($LR$2*($LQ$3/1000))/($LQ$2*(Sheet3!CB66+273)))*(1-DR66)</f>
        <v>0.71487988771639932</v>
      </c>
      <c r="EK66" s="183">
        <f>(($LR$2*($LQ$3/1000))/($LQ$2*(Sheet3!CC66+273)))*(1-DS66)</f>
        <v>0.72115251877145348</v>
      </c>
      <c r="EL66" s="183">
        <f>(($LR$2*($LQ$3/1000))/($LQ$2*(Sheet3!CD66+273)))*(1-DT66)</f>
        <v>0.72469133195907676</v>
      </c>
      <c r="EM66" s="183">
        <f>(($LR$2*($LQ$3/1000))/($LQ$2*(Sheet3!CE66+273)))*(1-DU66)</f>
        <v>0.72951714166552351</v>
      </c>
      <c r="EN66" s="183">
        <f>(($LR$2*($LQ$3/1000))/($LQ$2*(Sheet3!CF66+273)))*(1-DV66)</f>
        <v>0.73793614983892775</v>
      </c>
      <c r="EO66" s="183">
        <f>(($LR$2*($LQ$3/1000))/($LQ$2*(Sheet3!CG66+273)))*(1-DW66)</f>
        <v>0.73859063217876619</v>
      </c>
      <c r="EP66" s="186">
        <f t="shared" ref="EP66:EP102" si="350">(FV66*0.018)/(0.011*JN66*3600)</f>
        <v>9969.3627347426354</v>
      </c>
      <c r="EQ66" s="183">
        <f xml:space="preserve"> (($FV66-(Sheet3!B66/4000))*0.018)/(0.011*JO66*3600)</f>
        <v>9990.3449405975498</v>
      </c>
      <c r="ER66" s="183">
        <f>((($FV66-(SUM(Sheet3!B66:C66)/4000))*0.018)/(0.011*JP66*3600))</f>
        <v>10041.394111912301</v>
      </c>
      <c r="ES66" s="183">
        <f>((($FV66-(SUM(Sheet3!B66:D66)/4000))*0.018)/(0.011*JQ66*3600))</f>
        <v>10086.333356655841</v>
      </c>
      <c r="ET66" s="183">
        <f>((($FV66-(SUM(Sheet3!B66:E66)/4000))*0.018)/(0.011*JR66))/3600</f>
        <v>10141.718003661306</v>
      </c>
      <c r="EU66" s="183">
        <f>((($FV66-(SUM(Sheet3!B66:F66)/4000))*0.018)/(0.011*JS66))/3600</f>
        <v>10181.071132485122</v>
      </c>
      <c r="EV66" s="183">
        <f>((($FV66-(SUM(Sheet3!B66:G66)/4000))*0.018)/(0.011*JT66))/3600</f>
        <v>10220.896303080914</v>
      </c>
      <c r="EW66" s="183">
        <f>((($FV66-(SUM(Sheet3!B66:H66)/4000))*0.018)/(0.011*JU66))/3600</f>
        <v>10314.087913323025</v>
      </c>
      <c r="EX66" s="183">
        <f>((($FV66-(SUM(Sheet3!B66:I66)/4000))*0.018)/(0.011*JV66))/3600</f>
        <v>10308.664770104038</v>
      </c>
      <c r="EY66" s="186">
        <f t="shared" ref="EY66:EY102" si="351">0.27*EP66^0.63*ID66^0.36</f>
        <v>80.166056119196895</v>
      </c>
      <c r="EZ66" s="183">
        <f t="shared" ref="EZ66:EZ102" si="352">0.27*EQ66^0.63*IE66^0.36</f>
        <v>80.315159983944994</v>
      </c>
      <c r="FA66" s="183">
        <f t="shared" ref="FA66:FA102" si="353">0.27*ER66^0.63*IF66^0.36</f>
        <v>80.654994421665734</v>
      </c>
      <c r="FB66" s="183">
        <f t="shared" ref="FB66:FB102" si="354">0.27*ES66^0.63*IG66^0.36</f>
        <v>80.976500754399737</v>
      </c>
      <c r="FC66" s="183">
        <f t="shared" ref="FC66:FC102" si="355">0.27*ET66^0.63*IH66^0.36</f>
        <v>81.347090000329786</v>
      </c>
      <c r="FD66" s="183">
        <f t="shared" ref="FD66:FD102" si="356">0.27*EU66^0.63*II66^0.36</f>
        <v>81.630399165525759</v>
      </c>
      <c r="FE66" s="183">
        <f t="shared" ref="FE66:FE102" si="357">0.27*EV66^0.63*IJ66^0.36</f>
        <v>81.89232783769863</v>
      </c>
      <c r="FF66" s="183">
        <f t="shared" ref="FF66:FF102" si="358">0.27*EW66^0.63*IK66^0.36</f>
        <v>82.568058262926726</v>
      </c>
      <c r="FG66" s="183">
        <f t="shared" ref="FG66:FG102" si="359">0.27*EX66^0.63*IL66^0.36</f>
        <v>82.505025992611593</v>
      </c>
      <c r="FH66" s="186">
        <f t="shared" si="274"/>
        <v>129.80119319513474</v>
      </c>
      <c r="FI66" s="183">
        <f t="shared" si="275"/>
        <v>129.54804344515571</v>
      </c>
      <c r="FJ66" s="183">
        <f t="shared" si="276"/>
        <v>128.73624153672318</v>
      </c>
      <c r="FK66" s="183">
        <f t="shared" si="277"/>
        <v>128.20365326524794</v>
      </c>
      <c r="FL66" s="183">
        <f t="shared" si="278"/>
        <v>127.33189087464314</v>
      </c>
      <c r="FM66" s="183">
        <f t="shared" si="279"/>
        <v>126.87098671262301</v>
      </c>
      <c r="FN66" s="183">
        <f t="shared" si="280"/>
        <v>126.20405231714429</v>
      </c>
      <c r="FO66" s="183">
        <f t="shared" si="281"/>
        <v>125.12670486639676</v>
      </c>
      <c r="FP66" s="183">
        <f t="shared" si="282"/>
        <v>125.00693693656888</v>
      </c>
      <c r="FQ66" s="314">
        <f>Sheet3!CV66</f>
        <v>4</v>
      </c>
      <c r="FR66" s="183">
        <v>10000</v>
      </c>
      <c r="FS66" s="183">
        <v>20</v>
      </c>
      <c r="FT66" s="183">
        <v>0.33119999999999994</v>
      </c>
      <c r="FU66" s="183">
        <v>24.8</v>
      </c>
      <c r="FV66" s="183">
        <v>400</v>
      </c>
      <c r="FW66" s="183">
        <v>80</v>
      </c>
      <c r="FX66" s="183">
        <v>1580</v>
      </c>
      <c r="FY66" s="183">
        <v>7.6</v>
      </c>
      <c r="FZ66" s="183">
        <v>8.6</v>
      </c>
      <c r="GA66" s="183">
        <v>85</v>
      </c>
      <c r="GB66" s="186">
        <f>EXP($LP$6-($LQ$6/('Trial and Error method'!T66+$LP$8))) / ($LR$2/1000)</f>
        <v>2.804800982516524E-2</v>
      </c>
      <c r="GC66" s="183">
        <f>EXP($LP$6-($LQ$6/('Trial and Error method'!U66+$LP$8))) / ($LR$2/1000)</f>
        <v>4.0347591372684483E-2</v>
      </c>
      <c r="GD66" s="183">
        <f>EXP($LP$6-($LQ$6/('Trial and Error method'!V66+$LP$8))) / ($LR$2/1000)</f>
        <v>3.8510679275603671E-2</v>
      </c>
      <c r="GE66" s="183">
        <f>EXP($LP$6-($LQ$6/('Trial and Error method'!W66+$LP$8))) / ($LR$2/1000)</f>
        <v>3.682425384044926E-2</v>
      </c>
      <c r="GF66" s="183">
        <f>EXP($LP$6-($LQ$6/('Trial and Error method'!X66+$LP$8))) / ($LR$2/1000)</f>
        <v>3.5102482590790303E-2</v>
      </c>
      <c r="GG66" s="183">
        <f>EXP($LP$6-($LQ$6/('Trial and Error method'!Y66+$LP$8))) / ($LR$2/1000)</f>
        <v>3.3571491977406678E-2</v>
      </c>
      <c r="GH66" s="183">
        <f>EXP($LP$6-($LQ$6/('Trial and Error method'!Z66+$LP$8))) / ($LR$2/1000)</f>
        <v>3.204266123058478E-2</v>
      </c>
      <c r="GI66" s="183">
        <f>EXP($LP$6-($LQ$6/('Trial and Error method'!AA66+$LP$8))) / ($LR$2/1000)</f>
        <v>3.06106611745449E-2</v>
      </c>
      <c r="GJ66" s="183">
        <f>EXP($LP$6-($LQ$6/('Trial and Error method'!AB66+$LP$8))) / ($LR$2/1000)</f>
        <v>2.9306135936816347E-2</v>
      </c>
      <c r="GK66" s="188">
        <f t="shared" si="142"/>
        <v>0.83598099967520945</v>
      </c>
      <c r="GL66" s="165">
        <f t="shared" ref="GL66:GL102" si="360">((1-GC66)-(1-DP66)) / (LN((1-GC66)/(1-DP66)))</f>
        <v>0.83041403507646327</v>
      </c>
      <c r="GM66" s="165">
        <f t="shared" ref="GM66:GM102" si="361">((1-GD66)-(1-DQ66)) / (LN((1-GD66)/(1-DQ66)))</f>
        <v>0.83153704983052257</v>
      </c>
      <c r="GN66" s="165">
        <f t="shared" ref="GN66:GN102" si="362">((1-GE66)-(1-DR66)) / (LN((1-GE66)/(1-DR66)))</f>
        <v>0.83230825157192911</v>
      </c>
      <c r="GO66" s="165">
        <f t="shared" ref="GO66:GO102" si="363">((1-GF66)-(1-DS66)) / (LN((1-GF66)/(1-DS66)))</f>
        <v>0.83340316673068293</v>
      </c>
      <c r="GP66" s="165">
        <f t="shared" ref="GP66:GP102" si="364">((1-GG66)-(1-DT66)) / (LN((1-GG66)/(1-DT66)))</f>
        <v>0.83410114404077307</v>
      </c>
      <c r="GQ66" s="165">
        <f t="shared" ref="GQ66:GQ102" si="365">((1-GH66)-(1-DU66)) / (LN((1-GH66)/(1-DU66)))</f>
        <v>0.83508493583778876</v>
      </c>
      <c r="GR66" s="165">
        <f t="shared" ref="GR66:GR102" si="366">((1-GI66)-(1-DV66)) / (LN((1-GI66)/(1-DV66)))</f>
        <v>0.83573827059365435</v>
      </c>
      <c r="GS66" s="165">
        <f t="shared" ref="GS66:GS102" si="367">((1-GJ66)-(1-DW66)) / (LN((1-GJ66)/(1-DW66)))</f>
        <v>0.83659069086866844</v>
      </c>
      <c r="GT66" s="188">
        <f t="shared" si="283"/>
        <v>9.6204287983016168E-2</v>
      </c>
      <c r="GU66" s="165">
        <f t="shared" si="284"/>
        <v>9.6859338144723445E-2</v>
      </c>
      <c r="GV66" s="165">
        <f t="shared" si="285"/>
        <v>9.6740424513113654E-2</v>
      </c>
      <c r="GW66" s="165">
        <f t="shared" si="286"/>
        <v>9.6681939392668906E-2</v>
      </c>
      <c r="GX66" s="165">
        <f t="shared" si="287"/>
        <v>9.657074866703548E-2</v>
      </c>
      <c r="GY66" s="165">
        <f t="shared" si="288"/>
        <v>9.6519097039856075E-2</v>
      </c>
      <c r="GZ66" s="165">
        <f t="shared" si="289"/>
        <v>9.6413670293526182E-2</v>
      </c>
      <c r="HA66" s="165">
        <f t="shared" si="290"/>
        <v>9.641210179654737E-2</v>
      </c>
      <c r="HB66" s="165">
        <f t="shared" si="291"/>
        <v>9.6279618283102053E-2</v>
      </c>
      <c r="HC66" s="188">
        <f>BV66*Sheet3!DF66</f>
        <v>100.86706609603912</v>
      </c>
      <c r="HD66" s="165">
        <f>BW66*Sheet3!BZ66</f>
        <v>99.71987985312289</v>
      </c>
      <c r="HE66" s="165">
        <f>BX66*Sheet3!CA66</f>
        <v>96.410373221575938</v>
      </c>
      <c r="HF66" s="165">
        <f>BY66*Sheet3!CB66</f>
        <v>94.018081934648364</v>
      </c>
      <c r="HG66" s="165">
        <f>BZ66*Sheet3!CC66</f>
        <v>90.5137393304082</v>
      </c>
      <c r="HH66" s="165">
        <f>CA66*Sheet3!CD66</f>
        <v>88.471310461319803</v>
      </c>
      <c r="HI66" s="165">
        <f>CB66*Sheet3!CE66</f>
        <v>85.88287772098991</v>
      </c>
      <c r="HJ66" s="165">
        <f>CC66*Sheet3!CF66</f>
        <v>81.176664703032785</v>
      </c>
      <c r="HK66" s="165">
        <f>CD66*Sheet3!CG66</f>
        <v>80.966814776625426</v>
      </c>
      <c r="HL66" s="188">
        <f>(CE66*Sheet3!DF66)+2501</f>
        <v>2661.0442119434374</v>
      </c>
      <c r="HM66" s="165">
        <f>(CF66*Sheet3!BZ66)+2501</f>
        <v>2659.2269594082795</v>
      </c>
      <c r="HN66" s="165">
        <f>(CG66*Sheet3!CA66)+2501</f>
        <v>2654.2137952568564</v>
      </c>
      <c r="HO66" s="165">
        <f>(CH66*Sheet3!CB66)+2501</f>
        <v>2650.4134119885953</v>
      </c>
      <c r="HP66" s="165">
        <f>(CI66*Sheet3!CC66)+2501</f>
        <v>2645.089408730948</v>
      </c>
      <c r="HQ66" s="165">
        <f>(CJ66*Sheet3!CD66)+2501</f>
        <v>2641.8390937457966</v>
      </c>
      <c r="HR66" s="165">
        <f>(CK66*Sheet3!CE66)+2501</f>
        <v>2637.9363869073914</v>
      </c>
      <c r="HS66" s="165">
        <f>(CL66*Sheet3!CF66)+2501</f>
        <v>2630.4336386849232</v>
      </c>
      <c r="HT66" s="165">
        <f>(CM66*Sheet3!CG66)+2501</f>
        <v>2630.2859242693421</v>
      </c>
      <c r="HU66" s="188">
        <f>-0.0021*(Sheet3!DF66^2) - 2.2115*(Sheet3!DF66) + 2499</f>
        <v>2295.85</v>
      </c>
      <c r="HV66" s="165">
        <f>-0.0021*(Sheet3!BZ66^2) - 2.2115*(Sheet3!BZ66) + 2499</f>
        <v>2298.2847517696546</v>
      </c>
      <c r="HW66" s="165">
        <f>-0.0021*(Sheet3!CA66^2) - 2.2115*(Sheet3!CA66) + 2499</f>
        <v>2304.9877104057805</v>
      </c>
      <c r="HX66" s="165">
        <f>-0.0021*(Sheet3!CB66^2) - 2.2115*(Sheet3!CB66) + 2499</f>
        <v>2310.0556242859252</v>
      </c>
      <c r="HY66" s="165">
        <f>-0.0021*(Sheet3!CC66^2) - 2.2115*(Sheet3!CC66) + 2499</f>
        <v>2317.1355988403116</v>
      </c>
      <c r="HZ66" s="165">
        <f>-0.0021*(Sheet3!CD66^2) - 2.2115*(Sheet3!CD66) + 2499</f>
        <v>2321.4465226627331</v>
      </c>
      <c r="IA66" s="165">
        <f>-0.0021*(Sheet3!CE66^2) - 2.2115*(Sheet3!CE66) + 2499</f>
        <v>2326.6111860582096</v>
      </c>
      <c r="IB66" s="165">
        <f>-0.0021*(Sheet3!CF66^2) - 2.2115*(Sheet3!CF66) + 2499</f>
        <v>2336.504261025802</v>
      </c>
      <c r="IC66" s="165">
        <f>-0.0021*(Sheet3!CG66^2) - 2.2115*(Sheet3!CG66) + 2499</f>
        <v>2336.6985607799879</v>
      </c>
      <c r="ID66" s="188">
        <f t="shared" si="292"/>
        <v>0.74257394015488154</v>
      </c>
      <c r="IE66" s="165">
        <f t="shared" si="293"/>
        <v>0.74367554431468763</v>
      </c>
      <c r="IF66" s="165">
        <f t="shared" si="294"/>
        <v>0.74576764332007572</v>
      </c>
      <c r="IG66" s="165">
        <f t="shared" si="295"/>
        <v>0.74818505953570158</v>
      </c>
      <c r="IH66" s="165">
        <f t="shared" si="296"/>
        <v>0.75050836451354219</v>
      </c>
      <c r="II66" s="165">
        <f t="shared" si="297"/>
        <v>0.75267293931631407</v>
      </c>
      <c r="IJ66" s="165">
        <f t="shared" si="298"/>
        <v>0.75423011801086026</v>
      </c>
      <c r="IK66" s="165">
        <f t="shared" si="299"/>
        <v>0.75948486812119653</v>
      </c>
      <c r="IL66" s="165">
        <f t="shared" si="300"/>
        <v>0.75857329869320744</v>
      </c>
      <c r="IM66" s="188">
        <f t="shared" si="301"/>
        <v>57.123302319261569</v>
      </c>
      <c r="IN66" s="165">
        <f t="shared" ref="IN66:IN102" si="368">HV66*GU66*(DP66-GC66)</f>
        <v>54.83281139437549</v>
      </c>
      <c r="IO66" s="165">
        <f t="shared" ref="IO66:IO102" si="369">HW66*GV66*(DQ66-GD66)</f>
        <v>55.218313449145839</v>
      </c>
      <c r="IP66" s="165">
        <f t="shared" ref="IP66:IP102" si="370">HX66*GW66*(DR66-GE66)</f>
        <v>55.680481826302703</v>
      </c>
      <c r="IQ66" s="165">
        <f t="shared" ref="IQ66:IQ102" si="371">HY66*GX66*(DS66-GF66)</f>
        <v>56.045332434336345</v>
      </c>
      <c r="IR66" s="165">
        <f t="shared" ref="IR66:IR102" si="372">HZ66*GY66*(DT66-GG66)</f>
        <v>56.46102992176538</v>
      </c>
      <c r="IS66" s="165">
        <f t="shared" ref="IS66:IS102" si="373">IA66*GZ66*(DU66-GH66)</f>
        <v>56.750063499808341</v>
      </c>
      <c r="IT66" s="165">
        <f t="shared" ref="IT66:IT102" si="374">IB66*HA66*(DV66-GI66)</f>
        <v>57.311148220863728</v>
      </c>
      <c r="IU66" s="165">
        <f t="shared" ref="IU66:IU102" si="375">IC66*HB66*(DW66-GJ66)</f>
        <v>57.424556136024314</v>
      </c>
      <c r="IV66" s="188">
        <f>_xlfn.FORECAST.LINEAR(Sheet3!DF66,Sheet2!$AK$2:$AK$69,Sheet2!$AJ$2:$AJ$69)</f>
        <v>1.1761434736095797E-5</v>
      </c>
      <c r="IW66" s="165">
        <f>_xlfn.FORECAST.LINEAR(Sheet3!BZ66,Sheet2!$AK$2:$AK$69,Sheet2!$AJ$2:$AJ$69)</f>
        <v>1.1728219840906393E-5</v>
      </c>
      <c r="IX66" s="165">
        <f>_xlfn.FORECAST.LINEAR(Sheet3!CA66,Sheet2!$AK$2:$AK$69,Sheet2!$AJ$2:$AJ$69)</f>
        <v>1.163651030460235E-5</v>
      </c>
      <c r="IY66" s="165">
        <f>_xlfn.FORECAST.LINEAR(Sheet3!CB66,Sheet2!$AK$2:$AK$69,Sheet2!$AJ$2:$AJ$69)</f>
        <v>1.1566908210560699E-5</v>
      </c>
      <c r="IZ66" s="165">
        <f>_xlfn.FORECAST.LINEAR(Sheet3!CC66,Sheet2!$AK$2:$AK$69,Sheet2!$AJ$2:$AJ$69)</f>
        <v>1.1469288666540485E-5</v>
      </c>
      <c r="JA66" s="165">
        <f>_xlfn.FORECAST.LINEAR(Sheet3!CD66,Sheet2!$AK$2:$AK$69,Sheet2!$AJ$2:$AJ$69)</f>
        <v>1.1409627487343326E-5</v>
      </c>
      <c r="JB66" s="165">
        <f>_xlfn.FORECAST.LINEAR(Sheet3!CE66,Sheet2!$AK$2:$AK$69,Sheet2!$AJ$2:$AJ$69)</f>
        <v>1.1337927652327524E-5</v>
      </c>
      <c r="JC66" s="165">
        <f>_xlfn.FORECAST.LINEAR(Sheet3!CF66,Sheet2!$AK$2:$AK$69,Sheet2!$AJ$2:$AJ$69)</f>
        <v>1.1199895877397258E-5</v>
      </c>
      <c r="JD66" s="165">
        <f>_xlfn.FORECAST.LINEAR(Sheet3!CG66,Sheet2!$AK$2:$AK$69,Sheet2!$AJ$2:$AJ$69)</f>
        <v>1.1197175785773786E-5</v>
      </c>
      <c r="JE66" s="188">
        <f>_xlfn.FORECAST.LINEAR(Sheet3!DF66,New!$MC$2:$MC$18,New!$MB$2:$MB$18)</f>
        <v>2.0908514659214704E-5</v>
      </c>
      <c r="JF66" s="165">
        <f>_xlfn.FORECAST.LINEAR(Sheet3!BZ66,New!$MC$2:$MC$18,New!$MB$2:$MB$18)</f>
        <v>2.0869469748220814E-5</v>
      </c>
      <c r="JG66" s="165">
        <f>_xlfn.FORECAST.LINEAR(Sheet3!CA66,New!$MC$2:$MC$18,New!$MB$2:$MB$18)</f>
        <v>2.0761662974727678E-5</v>
      </c>
      <c r="JH66" s="165">
        <f>_xlfn.FORECAST.LINEAR(Sheet3!CB66,New!$MC$2:$MC$18,New!$MB$2:$MB$18)</f>
        <v>2.067984403321521E-5</v>
      </c>
      <c r="JI66" s="165">
        <f>_xlfn.FORECAST.LINEAR(Sheet3!CC66,New!$MC$2:$MC$18,New!$MB$2:$MB$18)</f>
        <v>2.0565089903003492E-5</v>
      </c>
      <c r="JJ66" s="165">
        <f>_xlfn.FORECAST.LINEAR(Sheet3!CD66,New!$MC$2:$MC$18,New!$MB$2:$MB$18)</f>
        <v>2.0494956746831839E-5</v>
      </c>
      <c r="JK66" s="165">
        <f>_xlfn.FORECAST.LINEAR(Sheet3!CE66,New!$MC$2:$MC$18,New!$MB$2:$MB$18)</f>
        <v>2.0410671860171663E-5</v>
      </c>
      <c r="JL66" s="165">
        <f>_xlfn.FORECAST.LINEAR(Sheet3!CF66,New!$MC$2:$MC$18,New!$MB$2:$MB$18)</f>
        <v>2.0248412177106329E-5</v>
      </c>
      <c r="JM66" s="165">
        <f>_xlfn.FORECAST.LINEAR(Sheet3!CG66,New!$MC$2:$MC$18,New!$MB$2:$MB$18)</f>
        <v>2.024521464374884E-5</v>
      </c>
      <c r="JN66" s="188">
        <f t="shared" ref="JN66:JN102" si="376">(((1-DO66)*JE66)/((1-DO66)+DO66*JW66))+(((DO66)*IV66)/((DO66)+(1-DO66)*KF66))</f>
        <v>1.8237693487122933E-5</v>
      </c>
      <c r="JO66" s="165">
        <f t="shared" ref="JO66:JO102" si="377">(((1-DP66)*JF66)/((1-DP66)+DP66*JX66))+(((DP66)*IW66)/((DP66)+(1-DP66)*KG66))</f>
        <v>1.8199196432263033E-5</v>
      </c>
      <c r="JP66" s="165">
        <f t="shared" ref="JP66:JP102" si="378">(((1-DQ66)*JG66)/((1-DQ66)+DQ66*JY66))+(((DQ66)*IX66)/((DQ66)+(1-DQ66)*KH66))</f>
        <v>1.8097428212216777E-5</v>
      </c>
      <c r="JQ66" s="165">
        <f t="shared" ref="JQ66:JQ102" si="379">(((1-DR66)*JH66)/((1-DR66)+DR66*JZ66))+(((DR66)*IY66)/((DR66)+(1-DR66)*KI66))</f>
        <v>1.801660433449898E-5</v>
      </c>
      <c r="JR66" s="165">
        <f t="shared" ref="JR66:JR102" si="380">(((1-DS66)*JI66)/((1-DS66)+DS66*KA66))+(((DS66)*IZ66)/((DS66)+(1-DS66)*KJ66))</f>
        <v>1.7908298083750834E-5</v>
      </c>
      <c r="JS66" s="165">
        <f t="shared" ref="JS66:JS102" si="381">(((1-DT66)*JJ66)/((1-DT66)+DT66*KB66))+(((DT66)*JA66)/((DT66)+(1-DT66)*KK66))</f>
        <v>1.78389539496889E-5</v>
      </c>
      <c r="JT66" s="165">
        <f t="shared" ref="JT66:JT102" si="382">(((1-DU66)*JK66)/((1-DU66)+DU66*KC66))+(((DU66)*JB66)/((DU66)+(1-DU66)*KL66))</f>
        <v>1.7760350869691966E-5</v>
      </c>
      <c r="JU66" s="165">
        <f t="shared" ref="JU66:JU102" si="383">(((1-DV66)*JL66)/((1-DV66)+DV66*KD66))+(((DV66)*JC66)/((DV66)+(1-DV66)*KM66))</f>
        <v>1.75997362828608E-5</v>
      </c>
      <c r="JV66" s="165">
        <f t="shared" ref="JV66:JV102" si="384">(((1-DW66)*JM66)/((1-DW66)+DW66*KE66))+(((DW66)*JD66)/((DW66)+(1-DW66)*KN66))</f>
        <v>1.7600903921913741E-5</v>
      </c>
      <c r="JW66" s="188">
        <f t="shared" si="302"/>
        <v>1.0444458673781256</v>
      </c>
      <c r="JX66" s="165">
        <f t="shared" ref="JX66:JX102" si="385">(SQRT(2)/4)*(1+($LQ$3/$LP$3))^-0.5*(1+((JF66/IW66)^0.5*($LP$3/$LQ$3)^0.25))^2</f>
        <v>1.0449890292780066</v>
      </c>
      <c r="JY66" s="165">
        <f t="shared" ref="JY66:JY102" si="386">(SQRT(2)/4)*(1+($LQ$3/$LP$3))^-0.5*(1+((JG66/IX66)^0.5*($LP$3/$LQ$3)^0.25))^2</f>
        <v>1.0465042225470416</v>
      </c>
      <c r="JZ66" s="165">
        <f t="shared" ref="JZ66:JZ102" si="387">(SQRT(2)/4)*(1+($LQ$3/$LP$3))^-0.5*(1+((JH66/IY66)^0.5*($LP$3/$LQ$3)^0.25))^2</f>
        <v>1.0476695719667213</v>
      </c>
      <c r="KA66" s="165">
        <f t="shared" ref="KA66:KA102" si="388">(SQRT(2)/4)*(1+($LQ$3/$LP$3))^-0.5*(1+((JI66/IZ66)^0.5*($LP$3/$LQ$3)^0.25))^2</f>
        <v>1.0493269082402432</v>
      </c>
      <c r="KB66" s="165">
        <f t="shared" ref="KB66:KB102" si="389">(SQRT(2)/4)*(1+($LQ$3/$LP$3))^-0.5*(1+((JJ66/JA66)^0.5*($LP$3/$LQ$3)^0.25))^2</f>
        <v>1.050353216761756</v>
      </c>
      <c r="KC66" s="165">
        <f t="shared" ref="KC66:KC102" si="390">(SQRT(2)/4)*(1+($LQ$3/$LP$3))^-0.5*(1+((JK66/JB66)^0.5*($LP$3/$LQ$3)^0.25))^2</f>
        <v>1.0516003408000707</v>
      </c>
      <c r="KD66" s="165">
        <f t="shared" ref="KD66:KD102" si="391">(SQRT(2)/4)*(1+($LQ$3/$LP$3))^-0.5*(1+((JL66/JC66)^0.5*($LP$3/$LQ$3)^0.25))^2</f>
        <v>1.0540443815265585</v>
      </c>
      <c r="KE66" s="165">
        <f t="shared" ref="KE66:KE102" si="392">(SQRT(2)/4)*(1+($LQ$3/$LP$3))^-0.5*(1+((JM66/JD66)^0.5*($LP$3/$LQ$3)^0.25))^2</f>
        <v>1.0540931257051505</v>
      </c>
      <c r="KF66" s="188">
        <f t="shared" ref="KF66:KF102" si="393">(SQRT(2)/4)*(1+($LP$3/$LQ$3))^-0.5*(1+((IV66/JE66)^0.5*($LQ$3/$LP$3)^0.25))^2</f>
        <v>0.94446821821306282</v>
      </c>
      <c r="KG66" s="165">
        <f t="shared" ref="KG66:KG102" si="394">(SQRT(2)/4)*(1+($LP$3/$LQ$3))^-0.5*(1+((IW66/JF66)^0.5*($LQ$3/$LP$3)^0.25))^2</f>
        <v>0.94405371489144463</v>
      </c>
      <c r="KH66" s="165">
        <f t="shared" ref="KH66:KH102" si="395">(SQRT(2)/4)*(1+($LP$3/$LQ$3))^-0.5*(1+((IX66/JG66)^0.5*($LQ$3/$LP$3)^0.25))^2</f>
        <v>0.94290056870586925</v>
      </c>
      <c r="KI66" s="165">
        <f t="shared" ref="KI66:KI102" si="396">(SQRT(2)/4)*(1+($LP$3/$LQ$3))^-0.5*(1+((IY66/JH66)^0.5*($LQ$3/$LP$3)^0.25))^2</f>
        <v>0.94201680835774959</v>
      </c>
      <c r="KJ66" s="165">
        <f t="shared" ref="KJ66:KJ102" si="397">(SQRT(2)/4)*(1+($LP$3/$LQ$3))^-0.5*(1+((IZ66/JI66)^0.5*($LQ$3/$LP$3)^0.25))^2</f>
        <v>0.94076461061775363</v>
      </c>
      <c r="KK66" s="165">
        <f t="shared" ref="KK66:KK102" si="398">(SQRT(2)/4)*(1+($LP$3/$LQ$3))^-0.5*(1+((JA66/JJ66)^0.5*($LQ$3/$LP$3)^0.25))^2</f>
        <v>0.9399919192816838</v>
      </c>
      <c r="KL66" s="165">
        <f t="shared" ref="KL66:KL102" si="399">(SQRT(2)/4)*(1+($LP$3/$LQ$3))^-0.5*(1+((JB66/JK66)^0.5*($LQ$3/$LP$3)^0.25))^2</f>
        <v>0.93905577963499798</v>
      </c>
      <c r="KM66" s="165">
        <f t="shared" ref="KM66:KM102" si="400">(SQRT(2)/4)*(1+($LP$3/$LQ$3))^-0.5*(1+((JC66/JL66)^0.5*($LQ$3/$LP$3)^0.25))^2</f>
        <v>0.93723004217871919</v>
      </c>
      <c r="KN66" s="165">
        <f t="shared" ref="KN66:KN102" si="401">(SQRT(2)/4)*(1+($LP$3/$LQ$3))^-0.5*(1+((JD66/JM66)^0.5*($LQ$3/$LP$3)^0.25))^2</f>
        <v>0.93719374816805723</v>
      </c>
      <c r="KO66" s="188">
        <f t="shared" si="304"/>
        <v>0.57786893081234292</v>
      </c>
      <c r="KP66" s="165">
        <f t="shared" si="305"/>
        <v>0.57712966900290408</v>
      </c>
      <c r="KQ66" s="165">
        <f t="shared" si="306"/>
        <v>0.57501720558156433</v>
      </c>
      <c r="KR66" s="165">
        <f t="shared" si="307"/>
        <v>0.57338176770282856</v>
      </c>
      <c r="KS66" s="165">
        <f t="shared" si="308"/>
        <v>0.57109771799473819</v>
      </c>
      <c r="KT66" s="165">
        <f t="shared" si="309"/>
        <v>0.56967303199592223</v>
      </c>
      <c r="KU66" s="165">
        <f t="shared" si="310"/>
        <v>0.56797746988449582</v>
      </c>
      <c r="KV66" s="165">
        <f t="shared" si="311"/>
        <v>0.56462464390977318</v>
      </c>
      <c r="KW66" s="165">
        <f t="shared" si="312"/>
        <v>0.56467429103986744</v>
      </c>
      <c r="KX66" s="188">
        <f>AVERAGE(Sheet3!J66:P66)*KO66^(1/3)/ID66^(1/3)</f>
        <v>339.94181225946562</v>
      </c>
      <c r="KY66" s="165">
        <f>Sheet3!J66*KP66^(1/3)/IE66^(1/3)</f>
        <v>317.94828627027903</v>
      </c>
      <c r="KZ66" s="165">
        <f>Sheet3!K66*KQ66^(1/3)/IF66^(1/3)</f>
        <v>318.65958678019274</v>
      </c>
      <c r="LA66" s="165">
        <f>Sheet3!L66*KR66^(1/3)/IG66^(1/3)</f>
        <v>327.54968514965248</v>
      </c>
      <c r="LB66" s="165">
        <f>Sheet3!M66*KS66^(1/3)/IH66^(1/3)</f>
        <v>337.59277406310019</v>
      </c>
      <c r="LC66" s="165">
        <f>Sheet3!N66*KT66^(1/3)/II66^(1/3)</f>
        <v>346.40095088088094</v>
      </c>
      <c r="LD66" s="165">
        <f>Sheet3!O66*KU66^(1/3)/IJ66^(1/3)</f>
        <v>359.7643444783925</v>
      </c>
      <c r="LE66" s="165">
        <f>Sheet3!P66*KV66^(1/3)/IK66^(1/3)</f>
        <v>353.58026281439248</v>
      </c>
      <c r="LF66" s="165">
        <f>Sheet3!Q66*KW66^(1/3)/IL66^(1/3)</f>
        <v>331.45714879466755</v>
      </c>
      <c r="LG66" s="186">
        <f t="shared" ref="LG66:LG102" si="402" xml:space="preserve">  DF66*$LQ$3 + DO66*$LP$3</f>
        <v>25.822332211443282</v>
      </c>
      <c r="LH66" s="183">
        <f t="shared" ref="LH66:LH102" si="403" xml:space="preserve">  DG66*$LQ$3 + DP66*$LP$3</f>
        <v>25.827171521668028</v>
      </c>
      <c r="LI66" s="183">
        <f t="shared" ref="LI66:LI102" si="404" xml:space="preserve">  DH66*$LQ$3 + DQ66*$LP$3</f>
        <v>26.062663733086726</v>
      </c>
      <c r="LJ66" s="183">
        <f t="shared" ref="LJ66:LJ102" si="405" xml:space="preserve">  DI66*$LQ$3 + DR66*$LP$3</f>
        <v>26.067625340487339</v>
      </c>
      <c r="LK66" s="183">
        <f t="shared" ref="LK66:LK102" si="406" xml:space="preserve">  DJ66*$LQ$3 + DS66*$LP$3</f>
        <v>26.329472561365982</v>
      </c>
      <c r="LL66" s="183">
        <f t="shared" ref="LL66:LL102" si="407" xml:space="preserve">  DK66*$LQ$3 + DT66*$LP$3</f>
        <v>26.332771602228007</v>
      </c>
      <c r="LM66" s="183">
        <f t="shared" ref="LM66:LM102" si="408" xml:space="preserve">  DL66*$LQ$3 + DU66*$LP$3</f>
        <v>26.581236222061293</v>
      </c>
      <c r="LN66" s="183">
        <f t="shared" ref="LN66:LN102" si="409" xml:space="preserve">  DM66*$LQ$3 + DV66*$LP$3</f>
        <v>26.585235511678395</v>
      </c>
      <c r="LO66" s="183">
        <f t="shared" ref="LO66:LO102" si="410" xml:space="preserve">  DN66*$LQ$3 + DW66*$LP$3</f>
        <v>26.813669568836364</v>
      </c>
      <c r="LP66" s="220"/>
      <c r="LQ66" s="220"/>
      <c r="LR66" s="220"/>
      <c r="LS66" s="220"/>
      <c r="LT66" s="222">
        <v>230.04</v>
      </c>
      <c r="LU66" s="220">
        <v>1.7E-5</v>
      </c>
      <c r="LV66" s="220"/>
      <c r="LW66" s="220"/>
      <c r="LX66" s="188">
        <f>Sheet3!DP66</f>
        <v>543.21474348823904</v>
      </c>
      <c r="MF66" s="165"/>
      <c r="MJ66"/>
      <c r="MK66"/>
      <c r="ML66"/>
      <c r="MM66"/>
      <c r="MN66"/>
      <c r="MO66"/>
      <c r="MP66"/>
      <c r="MQ66"/>
      <c r="MR66"/>
    </row>
    <row r="67" spans="1:356" x14ac:dyDescent="0.3">
      <c r="A67" s="184">
        <f>Sheet3!A67</f>
        <v>44953</v>
      </c>
      <c r="B67" s="186">
        <f t="shared" si="313"/>
        <v>0.90386819730208978</v>
      </c>
      <c r="C67" s="183">
        <f t="shared" si="257"/>
        <v>0.90115321645091739</v>
      </c>
      <c r="D67" s="183">
        <f t="shared" si="258"/>
        <v>0.89334324694923661</v>
      </c>
      <c r="E67" s="183">
        <f t="shared" si="259"/>
        <v>0.88412628924140513</v>
      </c>
      <c r="F67" s="183">
        <f t="shared" si="260"/>
        <v>0.87361034907550028</v>
      </c>
      <c r="G67" s="183">
        <f t="shared" si="261"/>
        <v>0.86527455810756071</v>
      </c>
      <c r="H67" s="183">
        <f t="shared" si="262"/>
        <v>0.85911833261504422</v>
      </c>
      <c r="I67" s="183">
        <f t="shared" si="263"/>
        <v>0.8508504040240904</v>
      </c>
      <c r="J67" s="183">
        <f t="shared" si="264"/>
        <v>0.84393581409492424</v>
      </c>
      <c r="K67" s="186">
        <f xml:space="preserve"> (6.057 * (10^(-6)))
+ (4.055 * (10^(-8)) * (Sheet3!DF67 + 273))
+ (1.25 * (10^(-10)) * (Sheet3!DF67 + 273)^2)
- (3.367 * (10^(-14)) * (DD67 + 273)^3)</f>
        <v>4.4158244757031116E-5</v>
      </c>
      <c r="L67" s="183">
        <f xml:space="preserve"> (6.057 * (10^(-6)))
+ (4.055 * (10^(-8)) * (Sheet3!BZ67 + 273))
+ (1.25 * (10^(-10)) * (Sheet3!BZ67 + 273)^2)
- (3.367 * (10^(-14)) * (BX67 + 273)^3)</f>
        <v>4.393689446923238E-5</v>
      </c>
      <c r="M67" s="183">
        <f xml:space="preserve"> (6.057 * (10^(-6)))
+ (4.055 * (10^(-8)) * (Sheet3!CA67 + 273))
+ (1.25 * (10^(-10)) * (Sheet3!CA67 + 273)^2)
- (3.367 * (10^(-14)) * (BY67 + 273)^3)</f>
        <v>4.3259398533935359E-5</v>
      </c>
      <c r="N67" s="183">
        <f xml:space="preserve"> (6.057 * (10^(-6)))
+ (4.055 * (10^(-8)) * (Sheet3!CB67 + 273))
+ (1.25 * (10^(-10)) * (Sheet3!CB67 + 273)^2)
- (3.367 * (10^(-14)) * (BZ67 + 273)^3)</f>
        <v>4.2579928652558233E-5</v>
      </c>
      <c r="O67" s="183">
        <f xml:space="preserve"> (6.057 * (10^(-6)))
+ (4.055 * (10^(-8)) * (Sheet3!CC67 + 273))
+ (1.25 * (10^(-10)) * (Sheet3!CC67 + 273)^2)
- (3.367 * (10^(-14)) * (CA67 + 273)^3)</f>
        <v>4.1746585204902017E-5</v>
      </c>
      <c r="P67" s="183">
        <f xml:space="preserve"> (6.057 * (10^(-6)))
+ (4.055 * (10^(-8)) * (Sheet3!CD67 + 273))
+ (1.25 * (10^(-10)) * (Sheet3!CD67 + 273)^2)
- (3.367 * (10^(-14)) * (CB67 + 273)^3)</f>
        <v>4.1165113769378138E-5</v>
      </c>
      <c r="Q67" s="183">
        <f xml:space="preserve"> (6.057 * (10^(-6)))
+ (4.055 * (10^(-8)) * (Sheet3!CE67 + 273))
+ (1.25 * (10^(-10)) * (Sheet3!CE67 + 273)^2)
- (3.367 * (10^(-14)) * (CC67 + 273)^3)</f>
        <v>4.0668150851548142E-5</v>
      </c>
      <c r="R67" s="183">
        <f xml:space="preserve"> (6.057 * (10^(-6)))
+ (4.055 * (10^(-8)) * (Sheet3!CF67 + 273))
+ (1.25 * (10^(-10)) * (Sheet3!CF67 + 273)^2)
- (3.367 * (10^(-14)) * (CD67 + 273)^3)</f>
        <v>4.011453540198459E-5</v>
      </c>
      <c r="S67" s="183">
        <f xml:space="preserve"> (6.057 * (10^(-6)))
+ (4.055 * (10^(-8)) * (Sheet3!CG67 + 273))
+ (1.25 * (10^(-10)) * (Sheet3!CG67 + 273)^2)
- (3.367 * (10^(-14)) * (CE67 + 273)^3)</f>
        <v>3.9581298456290307E-5</v>
      </c>
      <c r="T67" s="188">
        <f t="shared" si="314"/>
        <v>4.4158244757031116E-5</v>
      </c>
      <c r="U67" s="165">
        <f t="shared" si="315"/>
        <v>4.393689446923238E-5</v>
      </c>
      <c r="V67" s="165">
        <f t="shared" si="316"/>
        <v>4.3259398533935359E-5</v>
      </c>
      <c r="W67" s="165">
        <f t="shared" si="317"/>
        <v>4.2579928652558233E-5</v>
      </c>
      <c r="X67" s="165">
        <f t="shared" si="318"/>
        <v>4.1746585204902017E-5</v>
      </c>
      <c r="Y67" s="165">
        <f t="shared" si="319"/>
        <v>4.1165113769378138E-5</v>
      </c>
      <c r="Z67" s="165">
        <f t="shared" si="320"/>
        <v>4.0668150851548142E-5</v>
      </c>
      <c r="AA67" s="165">
        <f t="shared" si="321"/>
        <v>4.011453540198459E-5</v>
      </c>
      <c r="AB67" s="165">
        <f t="shared" si="322"/>
        <v>3.9581298456290307E-5</v>
      </c>
      <c r="AC67" s="186">
        <f t="shared" si="265"/>
        <v>3.9913233084562172E-5</v>
      </c>
      <c r="AD67" s="183">
        <f t="shared" si="266"/>
        <v>3.9593873771813284E-5</v>
      </c>
      <c r="AE67" s="183">
        <f t="shared" si="267"/>
        <v>3.8645491547376858E-5</v>
      </c>
      <c r="AF67" s="183">
        <f t="shared" si="268"/>
        <v>3.7646034315750096E-5</v>
      </c>
      <c r="AG67" s="183">
        <f t="shared" si="269"/>
        <v>3.6470248873564567E-5</v>
      </c>
      <c r="AH67" s="183">
        <f t="shared" si="270"/>
        <v>3.5619125626246133E-5</v>
      </c>
      <c r="AI67" s="183">
        <f t="shared" si="271"/>
        <v>3.493875395011913E-5</v>
      </c>
      <c r="AJ67" s="183">
        <f t="shared" si="272"/>
        <v>3.4131468654017269E-5</v>
      </c>
      <c r="AK67" s="183">
        <f t="shared" si="273"/>
        <v>3.3404075335643527E-5</v>
      </c>
      <c r="AL67" s="186">
        <f t="shared" si="323"/>
        <v>3.6090103873590219E-2</v>
      </c>
      <c r="AM67" s="183">
        <f t="shared" si="324"/>
        <v>3.5918624126617692E-2</v>
      </c>
      <c r="AN67" s="183">
        <f t="shared" si="325"/>
        <v>3.5375218207944883E-2</v>
      </c>
      <c r="AO67" s="183">
        <f t="shared" si="326"/>
        <v>3.4828772857739346E-2</v>
      </c>
      <c r="AP67" s="183">
        <f t="shared" si="327"/>
        <v>3.4149352776272492E-2</v>
      </c>
      <c r="AQ67" s="183">
        <f t="shared" si="328"/>
        <v>3.3672209279614659E-2</v>
      </c>
      <c r="AR67" s="183">
        <f t="shared" si="329"/>
        <v>3.3259939139454422E-2</v>
      </c>
      <c r="AS67" s="183">
        <f t="shared" si="330"/>
        <v>3.2798789156088221E-2</v>
      </c>
      <c r="AT67" s="183">
        <f t="shared" si="331"/>
        <v>3.235519460339608E-2</v>
      </c>
      <c r="AU67" s="186">
        <f>_xlfn.FORECAST.LINEAR(Sheet3!DF67,Sheet2!$AH$2:$AH$40,Sheet2!$AG$2:$AG$40)</f>
        <v>4.0902410270024961E-2</v>
      </c>
      <c r="AV67" s="183">
        <f>_xlfn.FORECAST.LINEAR(Sheet3!BZ67,Sheet2!$AH$2:$AH$40,Sheet2!$AG$2:$AG$40)</f>
        <v>4.0522786165676172E-2</v>
      </c>
      <c r="AW67" s="183">
        <f>_xlfn.FORECAST.LINEAR(Sheet3!CA67,Sheet2!$AH$2:$AH$40,Sheet2!$AG$2:$AG$40)</f>
        <v>3.9327797974484158E-2</v>
      </c>
      <c r="AX67" s="183">
        <f>_xlfn.FORECAST.LINEAR(Sheet3!CB67,Sheet2!$AH$2:$AH$40,Sheet2!$AG$2:$AG$40)</f>
        <v>3.8119386032513941E-2</v>
      </c>
      <c r="AY67" s="183">
        <f>_xlfn.FORECAST.LINEAR(Sheet3!CC67,Sheet2!$AH$2:$AH$40,Sheet2!$AG$2:$AG$40)</f>
        <v>3.6623432707035324E-2</v>
      </c>
      <c r="AZ67" s="183">
        <f>_xlfn.FORECAST.LINEAR(Sheet3!CD67,Sheet2!$AH$2:$AH$40,Sheet2!$AG$2:$AG$40)</f>
        <v>3.5570266491400396E-2</v>
      </c>
      <c r="BA67" s="183">
        <f>_xlfn.FORECAST.LINEAR(Sheet3!CE67,Sheet2!$AH$2:$AH$40,Sheet2!$AG$2:$AG$40)</f>
        <v>3.466395681175391E-2</v>
      </c>
      <c r="BB67" s="183">
        <f>_xlfn.FORECAST.LINEAR(Sheet3!CF67,Sheet2!$AH$2:$AH$40,Sheet2!$AG$2:$AG$40)</f>
        <v>3.3647410315506845E-2</v>
      </c>
      <c r="BC67" s="183">
        <f>_xlfn.FORECAST.LINEAR(Sheet3!CG67,Sheet2!$AH$2:$AH$40,Sheet2!$AG$2:$AG$40)</f>
        <v>3.2671527048419462E-2</v>
      </c>
      <c r="BD67" s="186">
        <f>_xlfn.FORECAST.LINEAR(Sheet3!DF67,Sheet2!$AB$12:$AB$37,Sheet2!$AA$12:$AA$37)/1000</f>
        <v>3.3915606923988664E-2</v>
      </c>
      <c r="BE67" s="183">
        <f>_xlfn.FORECAST.LINEAR(Sheet3!BZ67,Sheet2!$AB$12:$AB$37,Sheet2!$AA$12:$AA$37)/1000</f>
        <v>3.3830731761236826E-2</v>
      </c>
      <c r="BF67" s="183">
        <f>_xlfn.FORECAST.LINEAR(Sheet3!CA67,Sheet2!$AB$12:$AB$37,Sheet2!$AA$12:$AA$37)/1000</f>
        <v>3.3563560061515778E-2</v>
      </c>
      <c r="BG67" s="183">
        <f>_xlfn.FORECAST.LINEAR(Sheet3!CB67,Sheet2!$AB$12:$AB$37,Sheet2!$AA$12:$AA$37)/1000</f>
        <v>3.3293387121833974E-2</v>
      </c>
      <c r="BH67" s="183">
        <f>_xlfn.FORECAST.LINEAR(Sheet3!CC67,Sheet2!$AB$12:$AB$37,Sheet2!$AA$12:$AA$37)/1000</f>
        <v>3.2958926584384811E-2</v>
      </c>
      <c r="BI67" s="183">
        <f>_xlfn.FORECAST.LINEAR(Sheet3!CD67,Sheet2!$AB$12:$AB$37,Sheet2!$AA$12:$AA$37)/1000</f>
        <v>3.2723462995711786E-2</v>
      </c>
      <c r="BJ67" s="183">
        <f>_xlfn.FORECAST.LINEAR(Sheet3!CE67,Sheet2!$AB$12:$AB$37,Sheet2!$AA$12:$AA$37)/1000</f>
        <v>3.252083312926661E-2</v>
      </c>
      <c r="BK67" s="183">
        <f>_xlfn.FORECAST.LINEAR(Sheet3!CF67,Sheet2!$AB$12:$AB$37,Sheet2!$AA$12:$AA$37)/1000</f>
        <v>3.2293556862229296E-2</v>
      </c>
      <c r="BL67" s="183">
        <f>_xlfn.FORECAST.LINEAR(Sheet3!CG67,Sheet2!$AB$12:$AB$37,Sheet2!$AA$12:$AA$37)/1000</f>
        <v>3.2075371952019441E-2</v>
      </c>
      <c r="BM67" s="186">
        <f t="shared" si="332"/>
        <v>0.75288002462108938</v>
      </c>
      <c r="BN67" s="183">
        <f t="shared" si="333"/>
        <v>0.75558010391799135</v>
      </c>
      <c r="BO67" s="183">
        <f t="shared" si="334"/>
        <v>0.76437729472338445</v>
      </c>
      <c r="BP67" s="183">
        <f t="shared" si="335"/>
        <v>0.77330648841619509</v>
      </c>
      <c r="BQ67" s="183">
        <f t="shared" si="336"/>
        <v>0.78482121135133465</v>
      </c>
      <c r="BR67" s="183">
        <f t="shared" si="337"/>
        <v>0.79301292116090938</v>
      </c>
      <c r="BS67" s="183">
        <f t="shared" si="338"/>
        <v>0.80037173351778657</v>
      </c>
      <c r="BT67" s="183">
        <f t="shared" si="339"/>
        <v>0.80859192832134985</v>
      </c>
      <c r="BU67" s="183">
        <f t="shared" si="340"/>
        <v>0.8168025034125872</v>
      </c>
      <c r="BV67" s="186">
        <f t="shared" si="341"/>
        <v>1.2010067524001928</v>
      </c>
      <c r="BW67" s="183">
        <f t="shared" si="342"/>
        <v>1.2006355126903734</v>
      </c>
      <c r="BX67" s="183">
        <f t="shared" si="343"/>
        <v>1.1975468524820279</v>
      </c>
      <c r="BY67" s="183">
        <f t="shared" si="344"/>
        <v>1.1963748783231383</v>
      </c>
      <c r="BZ67" s="183">
        <f t="shared" si="345"/>
        <v>1.1930894841578452</v>
      </c>
      <c r="CA67" s="183">
        <f t="shared" si="346"/>
        <v>1.1920873901694904</v>
      </c>
      <c r="CB67" s="183">
        <f t="shared" si="347"/>
        <v>1.1893845574812698</v>
      </c>
      <c r="CC67" s="183">
        <f t="shared" si="348"/>
        <v>1.1884295262541851</v>
      </c>
      <c r="CD67" s="183">
        <f t="shared" si="349"/>
        <v>1.1858438392296851</v>
      </c>
      <c r="CE67" s="187">
        <f xml:space="preserve"> -0.0000000019505*Sheet3!DF67^3 + 0.0000015497*Sheet3!DF67^2  + 0.00016911*Sheet3!DF67 + 1.8585</f>
        <v>1.9096570494375</v>
      </c>
      <c r="CF67" s="185">
        <f xml:space="preserve"> -0.0000000019505*Sheet3!BZ67^3 + 0.0000015497*Sheet3!BZ67^2  + 0.00016911*Sheet3!BZ67 + 1.8585</f>
        <v>1.9089184841731837</v>
      </c>
      <c r="CG67" s="185">
        <f xml:space="preserve"> -0.0000000019505*Sheet3!CA67^3 + 0.0000015497*Sheet3!CA67^2  + 0.00016911*Sheet3!CA67 + 1.8585</f>
        <v>1.9066144793938848</v>
      </c>
      <c r="CH67" s="185">
        <f xml:space="preserve"> -0.0000000019505*Sheet3!CB67^3 + 0.0000015497*Sheet3!CB67^2  + 0.00016911*Sheet3!CB67 + 1.8585</f>
        <v>1.9043177588578033</v>
      </c>
      <c r="CI67" s="185">
        <f xml:space="preserve"> -0.0000000019505*Sheet3!CC67^3 + 0.0000015497*Sheet3!CC67^2  + 0.00016911*Sheet3!CC67 + 1.8585</f>
        <v>1.9015226078797087</v>
      </c>
      <c r="CJ67" s="185">
        <f xml:space="preserve"> -0.0000000019505*Sheet3!CD67^3 + 0.0000015497*Sheet3!CD67^2  + 0.00016911*Sheet3!CD67 + 1.8585</f>
        <v>1.8995878936221644</v>
      </c>
      <c r="CK67" s="185">
        <f xml:space="preserve"> -0.0000000019505*Sheet3!CE67^3 + 0.0000015497*Sheet3!CE67^2  + 0.00016911*Sheet3!CE67 + 1.8585</f>
        <v>1.8979455864175978</v>
      </c>
      <c r="CL67" s="185">
        <f xml:space="preserve"> -0.0000000019505*Sheet3!CF67^3 + 0.0000015497*Sheet3!CF67^2  + 0.00016911*Sheet3!CF67 + 1.8585</f>
        <v>1.8961291148913781</v>
      </c>
      <c r="CM67" s="185">
        <f xml:space="preserve"> -0.0000000019505*Sheet3!CG67^3 + 0.0000015497*Sheet3!CG67^2  + 0.00016911*Sheet3!CG67 + 1.8585</f>
        <v>1.8944114334051823</v>
      </c>
      <c r="CN67" s="186">
        <f>_xlfn.FORECAST.LINEAR(Sheet3!DF67,New!$LU$2:$LU$14,New!$LT$2:$LT$14)</f>
        <v>1.023844178140866</v>
      </c>
      <c r="CO67" s="183">
        <f>_xlfn.FORECAST.LINEAR(Sheet3!BZ67,New!$LU$2:$LU$14,New!$LT$2:$LT$14)</f>
        <v>1.0235647698196708</v>
      </c>
      <c r="CP67" s="183">
        <f>_xlfn.FORECAST.LINEAR(Sheet3!CA67,New!$LU$2:$LU$14,New!$LT$2:$LT$14)</f>
        <v>1.0226852428335702</v>
      </c>
      <c r="CQ67" s="183">
        <f>_xlfn.FORECAST.LINEAR(Sheet3!CB67,New!$LU$2:$LU$14,New!$LT$2:$LT$14)</f>
        <v>1.0217958357907868</v>
      </c>
      <c r="CR67" s="183">
        <f>_xlfn.FORECAST.LINEAR(Sheet3!CC67,New!$LU$2:$LU$14,New!$LT$2:$LT$14)</f>
        <v>1.0206947945174059</v>
      </c>
      <c r="CS67" s="183">
        <f>_xlfn.FORECAST.LINEAR(Sheet3!CD67,New!$LU$2:$LU$14,New!$LT$2:$LT$14)</f>
        <v>1.0199196503659171</v>
      </c>
      <c r="CT67" s="183">
        <f>_xlfn.FORECAST.LINEAR(Sheet3!CE67,New!$LU$2:$LU$14,New!$LT$2:$LT$14)</f>
        <v>1.019252594551568</v>
      </c>
      <c r="CU67" s="183">
        <f>_xlfn.FORECAST.LINEAR(Sheet3!CF67,New!$LU$2:$LU$14,New!$LT$2:$LT$14)</f>
        <v>1.0185044029939732</v>
      </c>
      <c r="CV67" s="183">
        <f>_xlfn.FORECAST.LINEAR(Sheet3!CG67,New!$LU$2:$LU$14,New!$LT$2:$LT$14)</f>
        <v>1.0177861401065122</v>
      </c>
      <c r="CW67" s="186">
        <f>EXP((17.625*Sheet3!BA67)/(243.04+Sheet3!BA67)) / EXP((17.625*Sheet3!DF67)/(243.04+Sheet3!DF67))</f>
        <v>5.5777277418098327E-2</v>
      </c>
      <c r="CX67" s="183">
        <f>EXP((17.625*(Sheet3!BC67+273))/(243.04+(Sheet3!BC67+273)))/EXP((17.625*(Sheet3!BZ67+273))/(243.04+(Sheet3!BZ67+273)))</f>
        <v>0.41354106162458082</v>
      </c>
      <c r="CY67" s="183">
        <f>EXP((17.625*(Sheet3!BE67+273))/(243.04+(Sheet3!BE67+273))) / EXP((17.625*(Sheet3!CA67+273))/(243.04+(Sheet3!CA67+273)))</f>
        <v>0.43304081822694229</v>
      </c>
      <c r="CZ67" s="183">
        <f>EXP((17.625*(Sheet3!BG67+273))/(243.04+(Sheet3!BG67+273))) / EXP((17.625*(Sheet3!CB67+273))/(243.04+(Sheet3!CB67+273)))</f>
        <v>0.45350711312463127</v>
      </c>
      <c r="DA67" s="183">
        <f>EXP((17.625*(Sheet3!BI67+273))/(243.04+(Sheet3!BI67+273))) / EXP((17.625*(Sheet3!CC67+273))/(243.04+(Sheet3!CC67+273)))</f>
        <v>0.48061600558567541</v>
      </c>
      <c r="DB67" s="183">
        <f>EXP((17.625*(Sheet3!BK67+273))/(243.04+(Sheet3!BK67+273)))/EXP((17.625*(Sheet3!CD67+273))/(243.04+(Sheet3!CD67+273)))</f>
        <v>0.50175864919424296</v>
      </c>
      <c r="DC67" s="183">
        <f>EXP((17.625*(Sheet3!BM67+273))/(243.04+(Sheet3!BM67+273))) / EXP((17.625*(Sheet3!CE67+273))/(243.04+(Sheet3!CE67+273)))</f>
        <v>0.5197975443951891</v>
      </c>
      <c r="DD67" s="183">
        <f>EXP((17.625*(Sheet3!BO67+273))/(243.04+(Sheet3!BO67+273))) / EXP((17.625*(Sheet3!CF67+273))/(243.04+(Sheet3!CF67+273)))</f>
        <v>0.54239771810582083</v>
      </c>
      <c r="DE67" s="183">
        <f>EXP((17.625*(Sheet3!BQ67+273))/(243.04+(Sheet3!BQ67+273))) / EXP((17.625*(Sheet3!CG67+273))/(243.04+(Sheet3!CG67+273)))</f>
        <v>0.56417678704135665</v>
      </c>
      <c r="DF67" s="186">
        <f>((Sheet3!DA67-Sheet3!DB67)/New!$LQ$3)/(((Sheet3!DA67-Sheet3!DB67)/New!$LQ$3)+(Sheet3!DB67/New!$LP$3))</f>
        <v>0.71332409423876453</v>
      </c>
      <c r="DG67" s="183">
        <f>((Sheet3!DA67-Sheet3!DB67)/New!$LQ$3)/(((Sheet3!DA67-Sheet3!DB67)/New!$LQ$3)+((Sheet3!DB67-(Sheet3!B67*0.004))/New!$LP$3))</f>
        <v>0.71332409423876453</v>
      </c>
      <c r="DH67" s="183" cm="1">
        <f t="array" ref="DH67">((Sheet3!DA67-Sheet3!DB67)/New!$LQ$3)/(((Sheet3!DA67-Sheet3!DB67)/New!$LQ$3)+((Sheet3!DB67-(SUM(Sheet3!B67:C67*0.004)))/New!$LP$3))</f>
        <v>0.72181267095164925</v>
      </c>
      <c r="DI67" s="183" cm="1">
        <f t="array" ref="DI67">((Sheet3!DA67-Sheet3!DB67)/New!$LQ$3)/(((Sheet3!DA67-Sheet3!DB67)/New!$LQ$3)+((Sheet3!DB67-(SUM(Sheet3!B67:D67*0.004)))/New!$LP$3))</f>
        <v>0.72183128376314798</v>
      </c>
      <c r="DJ67" s="183" cm="1">
        <f t="array" ref="DJ67">((Sheet3!DA67-Sheet3!DB67)/New!$LQ$3)/(((Sheet3!DA67-Sheet3!DB67)/New!$LQ$3)+((Sheet3!DB67-(SUM(Sheet3!B67:E67*0.004)))/New!$LP$3))</f>
        <v>0.7301912996271126</v>
      </c>
      <c r="DK67" s="183" cm="1">
        <f t="array" ref="DK67">((Sheet3!DA67-Sheet3!DB67)/New!$LQ$3)/(((Sheet3!DA67-Sheet3!DB67)/New!$LQ$3)+((Sheet3!DB67-(SUM(Sheet3!B67:F67*0.004)))/New!$LP$3))</f>
        <v>0.7301912996271126</v>
      </c>
      <c r="DL67" s="183" cm="1">
        <f t="array" ref="DL67">((Sheet3!DA67-Sheet3!DB67)/New!$LQ$3)/(((Sheet3!DA67-Sheet3!DB67)/New!$LQ$3)+((Sheet3!DB67-(SUM(Sheet3!B67:G67*0.004)))/New!$LP$3))</f>
        <v>0.73872773510555212</v>
      </c>
      <c r="DM67" s="183" cm="1">
        <f t="array" ref="DM67">((Sheet3!DA67-Sheet3!DB67)/New!$LQ$3)/(((Sheet3!DA67-Sheet3!DB67)/New!$LQ$3)+((Sheet3!DB67-(SUM(Sheet3!B67:H67*0.004)))/New!$LP$3))</f>
        <v>0.73872773510555212</v>
      </c>
      <c r="DN67" s="183" cm="1">
        <f t="array" ref="DN67">((Sheet3!DA67-Sheet3!DB67)/New!$LQ$3)/(((Sheet3!DA67-Sheet3!DB67)/New!$LQ$3)+((Sheet3!DB67-(SUM(Sheet3!B67:I67*0.004)))/New!$LP$3))</f>
        <v>0.74664870847618214</v>
      </c>
      <c r="DO67" s="186">
        <f>(Sheet3!DB67/$LP$3) / ((Sheet3!DB67/$LP$3) + ((Sheet3!DA67-Sheet3!DB67)/$LQ$3))</f>
        <v>0.28667590576123536</v>
      </c>
      <c r="DP67" s="183">
        <f>((Sheet3!$DB67-(Sheet3!B67/4000)) / $LP$3) / (((Sheet3!$DA67-Sheet3!DB67) / $LQ$3) + (Sheet3!$DB67-((Sheet3!B67/4000)))/$LP$3)</f>
        <v>0.28667590576123536</v>
      </c>
      <c r="DQ67" s="183">
        <f>((Sheet3!$DB67-(SUM(Sheet3!B67:C67)/4000))/$LP$3)/(((Sheet3!$DA67-Sheet3!$DB67)/$LQ$3)+(Sheet3!$DB67-(SUM(Sheet3!B67:C67)/4000))/$LP$3)</f>
        <v>0.28615122322006564</v>
      </c>
      <c r="DR67" s="183">
        <f>((Sheet3!$DB67-(SUM(Sheet3!B67:D67)/4000))/$LP$3)/(((Sheet3!$DA67-Sheet3!$DB67)/$LQ$3)+(Sheet3!$DB67-(SUM(Sheet3!B67:D67)/4000))/$LP$3)</f>
        <v>0.28615008547509035</v>
      </c>
      <c r="DS67" s="183">
        <f>((Sheet3!$DB67-(SUM(Sheet3!B67:E67)/4000))/$LP$3)/(((Sheet3!$DA67-Sheet3!$DB67)/$LQ$3)+(Sheet3!$DB67-(SUM(Sheet3!B67:E67)/4000))/$LP$3)</f>
        <v>0.28564456816902428</v>
      </c>
      <c r="DT67" s="183">
        <f>((Sheet3!$DB67-(SUM(Sheet3!B67:F67)/4000))/$LP$3)/(((Sheet3!$DA67-Sheet3!$DB67)/$LQ$3)+(Sheet3!$DB67-(SUM(Sheet3!B67:F67)/4000))/$LP$3)</f>
        <v>0.28564456816902428</v>
      </c>
      <c r="DU67" s="183">
        <f>((Sheet3!$DB67-(SUM(Sheet3!B67:G67)/4000))/$LP$3)/(((Sheet3!$DA67-Sheet3!$DB67)/$LQ$3)+(Sheet3!$DB67-(SUM(Sheet3!B67:G67)/4000))/$LP$3)</f>
        <v>0.2851394753574083</v>
      </c>
      <c r="DV67" s="183">
        <f>((Sheet3!$DB67-(SUM(Sheet3!B67:H67)/4000))/$LP$3)/(((Sheet3!$DA67-Sheet3!$DB67)/$LQ$3)+(Sheet3!$DB67-(SUM(Sheet3!B67:H67)/4000))/$LP$3)</f>
        <v>0.2851394753574083</v>
      </c>
      <c r="DW67" s="183">
        <f>((Sheet3!$DB67-(SUM(Sheet3!B67:I67)/4000))/$LP$3)/(((Sheet3!$DA67-Sheet3!$DB67)/$LQ$3)+(Sheet3!$DB67-(SUM(Sheet3!B67:I67)/4000))/$LP$3)</f>
        <v>0.28468051072421791</v>
      </c>
      <c r="DX67" s="186">
        <f>($LR$2*($LP$3/1000))/($LP$2*(Sheet3!DF67+273))*DO67</f>
        <v>0.15057600492421785</v>
      </c>
      <c r="DY67" s="183">
        <f>(($LR$2*($LP$3/1000))/($LP$2*(Sheet3!BZ67+273)))*(DP67)</f>
        <v>0.15111602078359823</v>
      </c>
      <c r="DZ67" s="183">
        <f>(($LR$2*($LP$3/1000))/($LP$2*(Sheet3!CA67+273)))*(DQ67)</f>
        <v>0.15256173352079358</v>
      </c>
      <c r="EA67" s="183">
        <f>(($LR$2*($LP$3/1000))/($LP$2*(Sheet3!CB67+273)))*(DR67)</f>
        <v>0.15434321933662867</v>
      </c>
      <c r="EB67" s="183">
        <f>(($LR$2*($LP$3/1000))/($LP$2*(Sheet3!CC67+273)))*(DS67)</f>
        <v>0.15633121317766202</v>
      </c>
      <c r="EC67" s="183">
        <f>(($LR$2*($LP$3/1000))/($LP$2*(Sheet3!CD67+273)))*(DT67)</f>
        <v>0.15796294778677783</v>
      </c>
      <c r="ED67" s="183">
        <f>(($LR$2*($LP$3/1000))/($LP$2*(Sheet3!CE67+273)))*(DU67)</f>
        <v>0.15911281458010576</v>
      </c>
      <c r="EE67" s="183">
        <f>(($LR$2*($LP$3/1000))/($LP$2*(Sheet3!CF67+273)))*(DV67)</f>
        <v>0.16074697815287844</v>
      </c>
      <c r="EF67" s="183">
        <f>(($LR$2*($LP$3/1000))/($LP$2*(Sheet3!CG67+273)))*(DW67)</f>
        <v>0.16208635030232563</v>
      </c>
      <c r="EG67" s="186">
        <f>(($LR$2*($LQ$3/1000))/($LQ$2*(Sheet3!DF67+273)))*(1-DO67)</f>
        <v>0.60230401969687153</v>
      </c>
      <c r="EH67" s="183">
        <f>(($LR$2*($LQ$3/1000))/($LQ$2*(Sheet3!BZ67+273)))*(1-DP67)</f>
        <v>0.60446408313439315</v>
      </c>
      <c r="EI67" s="183">
        <f>(($LR$2*($LQ$3/1000))/($LQ$2*(Sheet3!CA67+273)))*(1-DQ67)</f>
        <v>0.61181556120259084</v>
      </c>
      <c r="EJ67" s="183">
        <f>(($LR$2*($LQ$3/1000))/($LQ$2*(Sheet3!CB67+273)))*(1-DR67)</f>
        <v>0.61896326907956645</v>
      </c>
      <c r="EK67" s="183">
        <f>(($LR$2*($LQ$3/1000))/($LQ$2*(Sheet3!CC67+273)))*(1-DS67)</f>
        <v>0.62848999817367268</v>
      </c>
      <c r="EL67" s="183">
        <f>(($LR$2*($LQ$3/1000))/($LQ$2*(Sheet3!CD67+273)))*(1-DT67)</f>
        <v>0.6350499733741316</v>
      </c>
      <c r="EM67" s="183">
        <f>(($LR$2*($LQ$3/1000))/($LQ$2*(Sheet3!CE67+273)))*(1-DU67)</f>
        <v>0.64125891893768083</v>
      </c>
      <c r="EN67" s="183">
        <f>(($LR$2*($LQ$3/1000))/($LQ$2*(Sheet3!CF67+273)))*(1-DV67)</f>
        <v>0.64784495016847143</v>
      </c>
      <c r="EO67" s="183">
        <f>(($LR$2*($LQ$3/1000))/($LQ$2*(Sheet3!CG67+273)))*(1-DW67)</f>
        <v>0.65471615311026155</v>
      </c>
      <c r="EP67" s="186">
        <f t="shared" si="350"/>
        <v>9895.1011305421125</v>
      </c>
      <c r="EQ67" s="183">
        <f xml:space="preserve"> (($FV67-(Sheet3!B67/4000))*0.018)/(0.011*JO67*3600)</f>
        <v>9924.1146741984667</v>
      </c>
      <c r="ER67" s="183">
        <f>((($FV67-(SUM(Sheet3!B67:C67)/4000))*0.018)/(0.011*JP67*3600))</f>
        <v>10009.021005065564</v>
      </c>
      <c r="ES67" s="183">
        <f>((($FV67-(SUM(Sheet3!B67:D67)/4000))*0.018)/(0.011*JQ67*3600))</f>
        <v>10104.230076114223</v>
      </c>
      <c r="ET67" s="183">
        <f>((($FV67-(SUM(Sheet3!B67:E67)/4000))*0.018)/(0.011*JR67))/3600</f>
        <v>10217.229942648504</v>
      </c>
      <c r="EU67" s="183">
        <f>((($FV67-(SUM(Sheet3!B67:F67)/4000))*0.018)/(0.011*JS67))/3600</f>
        <v>10303.741569004407</v>
      </c>
      <c r="EV67" s="183">
        <f>((($FV67-(SUM(Sheet3!B67:G67)/4000))*0.018)/(0.011*JT67))/3600</f>
        <v>10371.786920244713</v>
      </c>
      <c r="EW67" s="183">
        <f>((($FV67-(SUM(Sheet3!B67:H67)/4000))*0.018)/(0.011*JU67))/3600</f>
        <v>10457.926264104237</v>
      </c>
      <c r="EX67" s="183">
        <f>((($FV67-(SUM(Sheet3!B67:I67)/4000))*0.018)/(0.011*JV67))/3600</f>
        <v>10534.958082593019</v>
      </c>
      <c r="EY67" s="186">
        <f t="shared" si="351"/>
        <v>77.622602984658897</v>
      </c>
      <c r="EZ67" s="183">
        <f t="shared" si="352"/>
        <v>77.808639245080911</v>
      </c>
      <c r="FA67" s="183">
        <f t="shared" si="353"/>
        <v>78.329844414408583</v>
      </c>
      <c r="FB67" s="183">
        <f t="shared" si="354"/>
        <v>78.943811432664333</v>
      </c>
      <c r="FC67" s="183">
        <f t="shared" si="355"/>
        <v>79.651709179411398</v>
      </c>
      <c r="FD67" s="183">
        <f t="shared" si="356"/>
        <v>80.214396714196383</v>
      </c>
      <c r="FE67" s="183">
        <f t="shared" si="357"/>
        <v>80.634011905146423</v>
      </c>
      <c r="FF67" s="183">
        <f t="shared" si="358"/>
        <v>81.1980174024783</v>
      </c>
      <c r="FG67" s="183">
        <f t="shared" si="359"/>
        <v>81.681641110830014</v>
      </c>
      <c r="FH67" s="186">
        <f t="shared" si="274"/>
        <v>155.63376692526631</v>
      </c>
      <c r="FI67" s="183">
        <f t="shared" si="275"/>
        <v>155.26551482486974</v>
      </c>
      <c r="FJ67" s="183">
        <f t="shared" si="276"/>
        <v>153.94085213078205</v>
      </c>
      <c r="FK67" s="183">
        <f t="shared" si="277"/>
        <v>152.75089316180404</v>
      </c>
      <c r="FL67" s="183">
        <f t="shared" si="278"/>
        <v>151.11412866671012</v>
      </c>
      <c r="FM67" s="183">
        <f t="shared" si="279"/>
        <v>150.05533074435863</v>
      </c>
      <c r="FN67" s="183">
        <f t="shared" si="280"/>
        <v>148.99346269640077</v>
      </c>
      <c r="FO67" s="183">
        <f t="shared" si="281"/>
        <v>147.95536959312599</v>
      </c>
      <c r="FP67" s="183">
        <f t="shared" si="282"/>
        <v>146.8236329814257</v>
      </c>
      <c r="FQ67" s="314">
        <f>Sheet3!CV67</f>
        <v>4</v>
      </c>
      <c r="FR67" s="183">
        <v>10000</v>
      </c>
      <c r="FS67" s="183">
        <v>20</v>
      </c>
      <c r="FT67" s="183">
        <v>0.3503</v>
      </c>
      <c r="FU67" s="183">
        <v>23.3</v>
      </c>
      <c r="FV67" s="183">
        <v>450</v>
      </c>
      <c r="FW67" s="183">
        <v>90</v>
      </c>
      <c r="FX67" s="183">
        <v>1580</v>
      </c>
      <c r="FY67" s="183">
        <v>7.2</v>
      </c>
      <c r="FZ67" s="183">
        <v>10.9</v>
      </c>
      <c r="GA67" s="183">
        <v>145</v>
      </c>
      <c r="GB67" s="186">
        <f>EXP($LP$6-($LQ$6/('Trial and Error method'!T67+$LP$8))) / ($LR$2/1000)</f>
        <v>3.1783085935911518E-2</v>
      </c>
      <c r="GC67" s="183">
        <f>EXP($LP$6-($LQ$6/('Trial and Error method'!U67+$LP$8))) / ($LR$2/1000)</f>
        <v>4.8468006934983293E-2</v>
      </c>
      <c r="GD67" s="183">
        <f>EXP($LP$6-($LQ$6/('Trial and Error method'!V67+$LP$8))) / ($LR$2/1000)</f>
        <v>4.5395094394587859E-2</v>
      </c>
      <c r="GE67" s="183">
        <f>EXP($LP$6-($LQ$6/('Trial and Error method'!W67+$LP$8))) / ($LR$2/1000)</f>
        <v>4.2799399185491964E-2</v>
      </c>
      <c r="GF67" s="183">
        <f>EXP($LP$6-($LQ$6/('Trial and Error method'!X67+$LP$8))) / ($LR$2/1000)</f>
        <v>4.0360087781505655E-2</v>
      </c>
      <c r="GG67" s="183">
        <f>EXP($LP$6-($LQ$6/('Trial and Error method'!Y67+$LP$8))) / ($LR$2/1000)</f>
        <v>3.8303104494890161E-2</v>
      </c>
      <c r="GH67" s="183">
        <f>EXP($LP$6-($LQ$6/('Trial and Error method'!Z67+$LP$8))) / ($LR$2/1000)</f>
        <v>3.6340924833351551E-2</v>
      </c>
      <c r="GI67" s="183">
        <f>EXP($LP$6-($LQ$6/('Trial and Error method'!AA67+$LP$8))) / ($LR$2/1000)</f>
        <v>3.4530571773555577E-2</v>
      </c>
      <c r="GJ67" s="183">
        <f>EXP($LP$6-($LQ$6/('Trial and Error method'!AB67+$LP$8))) / ($LR$2/1000)</f>
        <v>3.2710234094703423E-2</v>
      </c>
      <c r="GK67" s="188">
        <f t="shared" ref="GK67:GK102" si="411">((1-GB67)-(1-DO67)) / (LN((1-GB67)/(1-DO67)))</f>
        <v>0.83429100053696514</v>
      </c>
      <c r="GL67" s="165">
        <f t="shared" si="360"/>
        <v>0.82671622462563021</v>
      </c>
      <c r="GM67" s="165">
        <f t="shared" si="361"/>
        <v>0.82840419236127916</v>
      </c>
      <c r="GN67" s="165">
        <f t="shared" si="362"/>
        <v>0.82958505898540913</v>
      </c>
      <c r="GO67" s="165">
        <f t="shared" si="363"/>
        <v>0.8309728776544919</v>
      </c>
      <c r="GP67" s="165">
        <f t="shared" si="364"/>
        <v>0.83190690370738307</v>
      </c>
      <c r="GQ67" s="165">
        <f t="shared" si="365"/>
        <v>0.83307700850673028</v>
      </c>
      <c r="GR67" s="165">
        <f t="shared" si="366"/>
        <v>0.83389817544861822</v>
      </c>
      <c r="GS67" s="165">
        <f t="shared" si="367"/>
        <v>0.83497782595411429</v>
      </c>
      <c r="GT67" s="188">
        <f t="shared" si="283"/>
        <v>0.10335697562294768</v>
      </c>
      <c r="GU67" s="165">
        <f t="shared" si="284"/>
        <v>0.10429831992482966</v>
      </c>
      <c r="GV67" s="165">
        <f t="shared" si="285"/>
        <v>0.10406608604364935</v>
      </c>
      <c r="GW67" s="165">
        <f t="shared" si="286"/>
        <v>0.10393178611216501</v>
      </c>
      <c r="GX67" s="165">
        <f t="shared" si="287"/>
        <v>0.10375341493497454</v>
      </c>
      <c r="GY67" s="165">
        <f t="shared" si="288"/>
        <v>0.10365772955042217</v>
      </c>
      <c r="GZ67" s="165">
        <f t="shared" si="289"/>
        <v>0.10350471975043503</v>
      </c>
      <c r="HA67" s="165">
        <f t="shared" si="290"/>
        <v>0.10342952027605425</v>
      </c>
      <c r="HB67" s="165">
        <f t="shared" si="291"/>
        <v>0.10328952637163359</v>
      </c>
      <c r="HC67" s="188">
        <f>BV67*Sheet3!DF67</f>
        <v>174.14597909802796</v>
      </c>
      <c r="HD67" s="165">
        <f>BW67*Sheet3!BZ67</f>
        <v>172.29872329700621</v>
      </c>
      <c r="HE67" s="165">
        <f>BX67*Sheet3!CA67</f>
        <v>166.22462243112176</v>
      </c>
      <c r="HF67" s="165">
        <f>BY67*Sheet3!CB67</f>
        <v>160.37340761526801</v>
      </c>
      <c r="HG67" s="165">
        <f>BZ67*Sheet3!CC67</f>
        <v>152.9102141382117</v>
      </c>
      <c r="HH67" s="165">
        <f>CA67*Sheet3!CD67</f>
        <v>147.84182152964942</v>
      </c>
      <c r="HI67" s="165">
        <f>CB67*Sheet3!CE67</f>
        <v>143.26513818853613</v>
      </c>
      <c r="HJ67" s="165">
        <f>CC67*Sheet3!CF67</f>
        <v>138.39653937599996</v>
      </c>
      <c r="HK67" s="165">
        <f>CD67*Sheet3!CG67</f>
        <v>133.54194290836685</v>
      </c>
      <c r="HL67" s="188">
        <f>(CE67*Sheet3!DF67)+2501</f>
        <v>2777.9002721684374</v>
      </c>
      <c r="HM67" s="165">
        <f>(CF67*Sheet3!BZ67)+2501</f>
        <v>2774.9417701914299</v>
      </c>
      <c r="HN67" s="165">
        <f>(CG67*Sheet3!CA67)+2501</f>
        <v>2765.6462401885146</v>
      </c>
      <c r="HO67" s="165">
        <f>(CH67*Sheet3!CB67)+2501</f>
        <v>2756.2727691828109</v>
      </c>
      <c r="HP67" s="165">
        <f>(CI67*Sheet3!CC67)+2501</f>
        <v>2744.7052987394109</v>
      </c>
      <c r="HQ67" s="165">
        <f>(CJ67*Sheet3!CD67)+2501</f>
        <v>2736.5855255786582</v>
      </c>
      <c r="HR67" s="165">
        <f>(CK67*Sheet3!CE67)+2501</f>
        <v>2729.6135590058907</v>
      </c>
      <c r="HS67" s="165">
        <f>(CL67*Sheet3!CF67)+2501</f>
        <v>2721.8104914206901</v>
      </c>
      <c r="HT67" s="165">
        <f>(CM67*Sheet3!CG67)+2501</f>
        <v>2714.336170510519</v>
      </c>
      <c r="HU67" s="188">
        <f>-0.0021*(Sheet3!DF67^2) - 2.2115*(Sheet3!DF67) + 2499</f>
        <v>2134.1799999999998</v>
      </c>
      <c r="HV67" s="165">
        <f>-0.0021*(Sheet3!BZ67^2) - 2.2115*(Sheet3!BZ67) + 2499</f>
        <v>2138.3883816618591</v>
      </c>
      <c r="HW67" s="165">
        <f>-0.0021*(Sheet3!CA67^2) - 2.2115*(Sheet3!CA67) + 2499</f>
        <v>2151.574430126238</v>
      </c>
      <c r="HX67" s="165">
        <f>-0.0021*(Sheet3!CB67^2) - 2.2115*(Sheet3!CB67) + 2499</f>
        <v>2164.8141751590028</v>
      </c>
      <c r="HY67" s="165">
        <f>-0.0021*(Sheet3!CC67^2) - 2.2115*(Sheet3!CC67) + 2499</f>
        <v>2181.0727804067278</v>
      </c>
      <c r="HZ67" s="165">
        <f>-0.0021*(Sheet3!CD67^2) - 2.2115*(Sheet3!CD67) + 2499</f>
        <v>2192.4317165702291</v>
      </c>
      <c r="IA67" s="165">
        <f>-0.0021*(Sheet3!CE67^2) - 2.2115*(Sheet3!CE67) + 2499</f>
        <v>2202.1489904213558</v>
      </c>
      <c r="IB67" s="165">
        <f>-0.0021*(Sheet3!CF67^2) - 2.2115*(Sheet3!CF67) + 2499</f>
        <v>2212.9846495383808</v>
      </c>
      <c r="IC67" s="165">
        <f>-0.0021*(Sheet3!CG67^2) - 2.2115*(Sheet3!CG67) + 2499</f>
        <v>2223.3236502118325</v>
      </c>
      <c r="ID67" s="188">
        <f t="shared" si="292"/>
        <v>0.68790253976190729</v>
      </c>
      <c r="IE67" s="165">
        <f t="shared" si="293"/>
        <v>0.6889529298221726</v>
      </c>
      <c r="IF67" s="165">
        <f t="shared" si="294"/>
        <v>0.69146287059202749</v>
      </c>
      <c r="IG67" s="165">
        <f t="shared" si="295"/>
        <v>0.6950122860866873</v>
      </c>
      <c r="IH67" s="165">
        <f t="shared" si="296"/>
        <v>0.69873026504845837</v>
      </c>
      <c r="II67" s="165">
        <f t="shared" si="297"/>
        <v>0.70209148520321785</v>
      </c>
      <c r="IJ67" s="165">
        <f t="shared" si="298"/>
        <v>0.7041827839569571</v>
      </c>
      <c r="IK67" s="165">
        <f t="shared" si="299"/>
        <v>0.70763318384561857</v>
      </c>
      <c r="IL67" s="165">
        <f t="shared" si="300"/>
        <v>0.71022261590310309</v>
      </c>
      <c r="IM67" s="188">
        <f t="shared" si="301"/>
        <v>56.224867450804666</v>
      </c>
      <c r="IN67" s="165">
        <f t="shared" si="368"/>
        <v>53.127582842699866</v>
      </c>
      <c r="IO67" s="165">
        <f t="shared" si="369"/>
        <v>53.90672487365805</v>
      </c>
      <c r="IP67" s="165">
        <f t="shared" si="370"/>
        <v>54.752201891222697</v>
      </c>
      <c r="IQ67" s="165">
        <f t="shared" si="371"/>
        <v>55.506344684747177</v>
      </c>
      <c r="IR67" s="165">
        <f t="shared" si="372"/>
        <v>56.211437887870737</v>
      </c>
      <c r="IS67" s="165">
        <f t="shared" si="373"/>
        <v>56.709353765513029</v>
      </c>
      <c r="IT67" s="165">
        <f t="shared" si="374"/>
        <v>57.36135585738743</v>
      </c>
      <c r="IU67" s="165">
        <f t="shared" si="375"/>
        <v>57.863977939380788</v>
      </c>
      <c r="IV67" s="188">
        <f>_xlfn.FORECAST.LINEAR(Sheet3!DF67,Sheet2!$AK$2:$AK$69,Sheet2!$AJ$2:$AJ$69)</f>
        <v>1.386217343669711E-5</v>
      </c>
      <c r="IW67" s="165">
        <f>_xlfn.FORECAST.LINEAR(Sheet3!BZ67,Sheet2!$AK$2:$AK$69,Sheet2!$AJ$2:$AJ$69)</f>
        <v>1.3809874474250688E-5</v>
      </c>
      <c r="IX67" s="165">
        <f>_xlfn.FORECAST.LINEAR(Sheet3!CA67,Sheet2!$AK$2:$AK$69,Sheet2!$AJ$2:$AJ$69)</f>
        <v>1.3645246775906092E-5</v>
      </c>
      <c r="IY67" s="165">
        <f>_xlfn.FORECAST.LINEAR(Sheet3!CB67,Sheet2!$AK$2:$AK$69,Sheet2!$AJ$2:$AJ$69)</f>
        <v>1.3478769752848454E-5</v>
      </c>
      <c r="IZ67" s="165">
        <f>_xlfn.FORECAST.LINEAR(Sheet3!CC67,Sheet2!$AK$2:$AK$69,Sheet2!$AJ$2:$AJ$69)</f>
        <v>1.3272679554953842E-5</v>
      </c>
      <c r="JA67" s="165">
        <f>_xlfn.FORECAST.LINEAR(Sheet3!CD67,Sheet2!$AK$2:$AK$69,Sheet2!$AJ$2:$AJ$69)</f>
        <v>1.3127589978895926E-5</v>
      </c>
      <c r="JB67" s="165">
        <f>_xlfn.FORECAST.LINEAR(Sheet3!CE67,Sheet2!$AK$2:$AK$69,Sheet2!$AJ$2:$AJ$69)</f>
        <v>1.3002732111975253E-5</v>
      </c>
      <c r="JC67" s="165">
        <f>_xlfn.FORECAST.LINEAR(Sheet3!CF67,Sheet2!$AK$2:$AK$69,Sheet2!$AJ$2:$AJ$69)</f>
        <v>1.2862687456161139E-5</v>
      </c>
      <c r="JD67" s="165">
        <f>_xlfn.FORECAST.LINEAR(Sheet3!CG67,Sheet2!$AK$2:$AK$69,Sheet2!$AJ$2:$AJ$69)</f>
        <v>1.2728244775222727E-5</v>
      </c>
      <c r="JE67" s="188">
        <f>_xlfn.FORECAST.LINEAR(Sheet3!DF67,New!$MC$2:$MC$18,New!$MB$2:$MB$18)</f>
        <v>2.337798370672098E-5</v>
      </c>
      <c r="JF67" s="165">
        <f>_xlfn.FORECAST.LINEAR(Sheet3!BZ67,New!$MC$2:$MC$18,New!$MB$2:$MB$18)</f>
        <v>2.3316505014039608E-5</v>
      </c>
      <c r="JG67" s="165">
        <f>_xlfn.FORECAST.LINEAR(Sheet3!CA67,New!$MC$2:$MC$18,New!$MB$2:$MB$18)</f>
        <v>2.3122981181062281E-5</v>
      </c>
      <c r="JH67" s="165">
        <f>_xlfn.FORECAST.LINEAR(Sheet3!CB67,New!$MC$2:$MC$18,New!$MB$2:$MB$18)</f>
        <v>2.292728342224813E-5</v>
      </c>
      <c r="JI67" s="165">
        <f>_xlfn.FORECAST.LINEAR(Sheet3!CC67,New!$MC$2:$MC$18,New!$MB$2:$MB$18)</f>
        <v>2.2685019420280864E-5</v>
      </c>
      <c r="JJ67" s="165">
        <f>_xlfn.FORECAST.LINEAR(Sheet3!CD67,New!$MC$2:$MC$18,New!$MB$2:$MB$18)</f>
        <v>2.2514463121637785E-5</v>
      </c>
      <c r="JK67" s="165">
        <f>_xlfn.FORECAST.LINEAR(Sheet3!CE67,New!$MC$2:$MC$18,New!$MB$2:$MB$18)</f>
        <v>2.2367689685412707E-5</v>
      </c>
      <c r="JL67" s="165">
        <f>_xlfn.FORECAST.LINEAR(Sheet3!CF67,New!$MC$2:$MC$18,New!$MB$2:$MB$18)</f>
        <v>2.2203063812284064E-5</v>
      </c>
      <c r="JM67" s="165">
        <f>_xlfn.FORECAST.LINEAR(Sheet3!CG67,New!$MC$2:$MC$18,New!$MB$2:$MB$18)</f>
        <v>2.2045023195835125E-5</v>
      </c>
      <c r="JN67" s="188">
        <f t="shared" si="376"/>
        <v>2.0671385956239169E-5</v>
      </c>
      <c r="JO67" s="165">
        <f t="shared" si="377"/>
        <v>2.0610952337869366E-5</v>
      </c>
      <c r="JP67" s="165">
        <f t="shared" si="378"/>
        <v>2.0425630846248681E-5</v>
      </c>
      <c r="JQ67" s="165">
        <f t="shared" si="379"/>
        <v>2.0233143878262952E-5</v>
      </c>
      <c r="JR67" s="165">
        <f t="shared" si="380"/>
        <v>1.999949428222549E-5</v>
      </c>
      <c r="JS67" s="165">
        <f t="shared" si="381"/>
        <v>1.9831575787272584E-5</v>
      </c>
      <c r="JT67" s="165">
        <f t="shared" si="382"/>
        <v>1.9691761079409176E-5</v>
      </c>
      <c r="JU67" s="165">
        <f t="shared" si="383"/>
        <v>1.952956492923732E-5</v>
      </c>
      <c r="JV67" s="165">
        <f t="shared" si="384"/>
        <v>1.9378091945230465E-5</v>
      </c>
      <c r="JW67" s="188">
        <f t="shared" si="302"/>
        <v>1.0152024173422087</v>
      </c>
      <c r="JX67" s="165">
        <f t="shared" si="385"/>
        <v>1.0158261918273357</v>
      </c>
      <c r="JY67" s="165">
        <f t="shared" si="386"/>
        <v>1.0178198245138448</v>
      </c>
      <c r="JZ67" s="165">
        <f t="shared" si="387"/>
        <v>1.0198835962133885</v>
      </c>
      <c r="KA67" s="165">
        <f t="shared" si="388"/>
        <v>1.0225075535267136</v>
      </c>
      <c r="KB67" s="165">
        <f t="shared" si="389"/>
        <v>1.0244024585122276</v>
      </c>
      <c r="KC67" s="165">
        <f t="shared" si="390"/>
        <v>1.0260657441319434</v>
      </c>
      <c r="KD67" s="165">
        <f t="shared" si="391"/>
        <v>1.0279683413380241</v>
      </c>
      <c r="KE67" s="165">
        <f t="shared" si="392"/>
        <v>1.0298327562863703</v>
      </c>
      <c r="KF67" s="188">
        <f t="shared" si="393"/>
        <v>0.9677010468805306</v>
      </c>
      <c r="KG67" s="165">
        <f t="shared" si="394"/>
        <v>0.96718594173898997</v>
      </c>
      <c r="KH67" s="165">
        <f t="shared" si="395"/>
        <v>0.96554554694950712</v>
      </c>
      <c r="KI67" s="165">
        <f t="shared" si="396"/>
        <v>0.96385688226820421</v>
      </c>
      <c r="KJ67" s="165">
        <f t="shared" si="397"/>
        <v>0.96172359206889346</v>
      </c>
      <c r="KK67" s="165">
        <f t="shared" si="398"/>
        <v>0.96019250482963958</v>
      </c>
      <c r="KL67" s="165">
        <f t="shared" si="399"/>
        <v>0.95885506313505942</v>
      </c>
      <c r="KM67" s="165">
        <f t="shared" si="400"/>
        <v>0.95733258372401031</v>
      </c>
      <c r="KN67" s="165">
        <f t="shared" si="401"/>
        <v>0.95584825358916159</v>
      </c>
      <c r="KO67" s="188">
        <f t="shared" si="304"/>
        <v>0.62177322853412431</v>
      </c>
      <c r="KP67" s="165">
        <f t="shared" si="305"/>
        <v>0.62085214869253402</v>
      </c>
      <c r="KQ67" s="165">
        <f t="shared" si="306"/>
        <v>0.61771368595952159</v>
      </c>
      <c r="KR67" s="165">
        <f t="shared" si="307"/>
        <v>0.61447863347500886</v>
      </c>
      <c r="KS67" s="165">
        <f t="shared" si="308"/>
        <v>0.61041799075860059</v>
      </c>
      <c r="KT67" s="165">
        <f t="shared" si="309"/>
        <v>0.60750189961029533</v>
      </c>
      <c r="KU67" s="165">
        <f t="shared" si="310"/>
        <v>0.60497633920932103</v>
      </c>
      <c r="KV67" s="165">
        <f t="shared" si="311"/>
        <v>0.602089980375898</v>
      </c>
      <c r="KW67" s="165">
        <f t="shared" si="312"/>
        <v>0.59938230154081207</v>
      </c>
      <c r="KX67" s="188">
        <f>AVERAGE(Sheet3!J67:P67)*KO67^(1/3)/ID67^(1/3)</f>
        <v>203.48871349237487</v>
      </c>
      <c r="KY67" s="165">
        <f>Sheet3!J67*KP67^(1/3)/IE67^(1/3)</f>
        <v>207.35258151820881</v>
      </c>
      <c r="KZ67" s="165">
        <f>Sheet3!K67*KQ67^(1/3)/IF67^(1/3)</f>
        <v>194.74185018747968</v>
      </c>
      <c r="LA67" s="165">
        <f>Sheet3!L67*KR67^(1/3)/IG67^(1/3)</f>
        <v>191.31201419195909</v>
      </c>
      <c r="LB67" s="165">
        <f>Sheet3!M67*KS67^(1/3)/IH67^(1/3)</f>
        <v>192.72235343723833</v>
      </c>
      <c r="LC67" s="165">
        <f>Sheet3!N67*KT67^(1/3)/II67^(1/3)</f>
        <v>197.5159912750336</v>
      </c>
      <c r="LD67" s="165">
        <f>Sheet3!O67*KU67^(1/3)/IJ67^(1/3)</f>
        <v>206.67263421218431</v>
      </c>
      <c r="LE67" s="165">
        <f>Sheet3!P67*KV67^(1/3)/IK67^(1/3)</f>
        <v>218.64839619751862</v>
      </c>
      <c r="LF67" s="165">
        <f>Sheet3!Q67*KW67^(1/3)/IL67^(1/3)</f>
        <v>231.61512814354759</v>
      </c>
      <c r="LG67" s="186">
        <f t="shared" si="402"/>
        <v>25.822332211443278</v>
      </c>
      <c r="LH67" s="183">
        <f t="shared" si="403"/>
        <v>25.822332211443278</v>
      </c>
      <c r="LI67" s="183">
        <f t="shared" si="404"/>
        <v>26.058709237069245</v>
      </c>
      <c r="LJ67" s="183">
        <f t="shared" si="405"/>
        <v>26.059227767614519</v>
      </c>
      <c r="LK67" s="183">
        <f t="shared" si="406"/>
        <v>26.292226932766155</v>
      </c>
      <c r="LL67" s="183">
        <f t="shared" si="407"/>
        <v>26.292226932766155</v>
      </c>
      <c r="LM67" s="183">
        <f t="shared" si="408"/>
        <v>26.5303428572205</v>
      </c>
      <c r="LN67" s="183">
        <f t="shared" si="409"/>
        <v>26.5303428572205</v>
      </c>
      <c r="LO67" s="183">
        <f t="shared" si="410"/>
        <v>26.751465998167021</v>
      </c>
      <c r="LP67" s="220"/>
      <c r="LQ67" s="220"/>
      <c r="LR67" s="220"/>
      <c r="LS67" s="220"/>
      <c r="LT67" s="222">
        <v>231.96</v>
      </c>
      <c r="LU67" s="220">
        <v>1.7E-5</v>
      </c>
      <c r="LV67" s="220"/>
      <c r="LW67" s="220"/>
      <c r="LX67" s="188">
        <f>Sheet3!DP67</f>
        <v>365.01564198862457</v>
      </c>
      <c r="MF67" s="165"/>
      <c r="MJ67"/>
      <c r="MK67"/>
      <c r="ML67"/>
      <c r="MM67"/>
      <c r="MN67"/>
      <c r="MO67"/>
      <c r="MP67"/>
      <c r="MQ67"/>
      <c r="MR67"/>
    </row>
    <row r="68" spans="1:356" x14ac:dyDescent="0.3">
      <c r="A68" s="184" t="str">
        <f>Sheet3!A68</f>
        <v>2023.01.30-1</v>
      </c>
      <c r="B68" s="186">
        <f t="shared" si="313"/>
        <v>0.78031491316137291</v>
      </c>
      <c r="C68" s="183">
        <f t="shared" si="257"/>
        <v>0.77752779586522724</v>
      </c>
      <c r="D68" s="183">
        <f t="shared" si="258"/>
        <v>0.77333147224903065</v>
      </c>
      <c r="E68" s="183">
        <f t="shared" si="259"/>
        <v>0.76693316652610166</v>
      </c>
      <c r="F68" s="183">
        <f t="shared" si="260"/>
        <v>0.76068184298027619</v>
      </c>
      <c r="G68" s="183">
        <f t="shared" si="261"/>
        <v>0.75605526801909895</v>
      </c>
      <c r="H68" s="183">
        <f t="shared" si="262"/>
        <v>0.7501191939801829</v>
      </c>
      <c r="I68" s="183">
        <f t="shared" si="263"/>
        <v>0.742570329544331</v>
      </c>
      <c r="J68" s="183">
        <f t="shared" si="264"/>
        <v>0.73916147657416975</v>
      </c>
      <c r="K68" s="186">
        <f xml:space="preserve"> (6.057 * (10^(-6)))
+ (4.055 * (10^(-8)) * (Sheet3!DF68 + 273))
+ (1.25 * (10^(-10)) * (Sheet3!DF68 + 273)^2)
- (3.367 * (10^(-14)) * (DD68 + 273)^3)</f>
        <v>3.5902023009528063E-5</v>
      </c>
      <c r="L68" s="183">
        <f xml:space="preserve"> (6.057 * (10^(-6)))
+ (4.055 * (10^(-8)) * (Sheet3!BZ68 + 273))
+ (1.25 * (10^(-10)) * (Sheet3!BZ68 + 273)^2)
- (3.367 * (10^(-14)) * (BX68 + 273)^3)</f>
        <v>3.5703158583071737E-5</v>
      </c>
      <c r="M68" s="183">
        <f xml:space="preserve"> (6.057 * (10^(-6)))
+ (4.055 * (10^(-8)) * (Sheet3!CA68 + 273))
+ (1.25 * (10^(-10)) * (Sheet3!CA68 + 273)^2)
- (3.367 * (10^(-14)) * (BY68 + 273)^3)</f>
        <v>3.5297129529535763E-5</v>
      </c>
      <c r="N68" s="183">
        <f xml:space="preserve"> (6.057 * (10^(-6)))
+ (4.055 * (10^(-8)) * (Sheet3!CB68 + 273))
+ (1.25 * (10^(-10)) * (Sheet3!CB68 + 273)^2)
- (3.367 * (10^(-14)) * (BZ68 + 273)^3)</f>
        <v>3.4937508849146969E-5</v>
      </c>
      <c r="O68" s="183">
        <f xml:space="preserve"> (6.057 * (10^(-6)))
+ (4.055 * (10^(-8)) * (Sheet3!CC68 + 273))
+ (1.25 * (10^(-10)) * (Sheet3!CC68 + 273)^2)
- (3.367 * (10^(-14)) * (CA68 + 273)^3)</f>
        <v>3.442842473106012E-5</v>
      </c>
      <c r="P68" s="183">
        <f xml:space="preserve"> (6.057 * (10^(-6)))
+ (4.055 * (10^(-8)) * (Sheet3!CD68 + 273))
+ (1.25 * (10^(-10)) * (Sheet3!CD68 + 273)^2)
- (3.367 * (10^(-14)) * (CB68 + 273)^3)</f>
        <v>3.4101938075482897E-5</v>
      </c>
      <c r="Q68" s="183">
        <f xml:space="preserve"> (6.057 * (10^(-6)))
+ (4.055 * (10^(-8)) * (Sheet3!CE68 + 273))
+ (1.25 * (10^(-10)) * (Sheet3!CE68 + 273)^2)
- (3.367 * (10^(-14)) * (CC68 + 273)^3)</f>
        <v>3.3738961036480208E-5</v>
      </c>
      <c r="R68" s="183">
        <f xml:space="preserve"> (6.057 * (10^(-6)))
+ (4.055 * (10^(-8)) * (Sheet3!CF68 + 273))
+ (1.25 * (10^(-10)) * (Sheet3!CF68 + 273)^2)
- (3.367 * (10^(-14)) * (CD68 + 273)^3)</f>
        <v>3.3343446970894991E-5</v>
      </c>
      <c r="S68" s="183">
        <f xml:space="preserve"> (6.057 * (10^(-6)))
+ (4.055 * (10^(-8)) * (Sheet3!CG68 + 273))
+ (1.25 * (10^(-10)) * (Sheet3!CG68 + 273)^2)
- (3.367 * (10^(-14)) * (CE68 + 273)^3)</f>
        <v>3.2987107051405915E-5</v>
      </c>
      <c r="T68" s="188">
        <f t="shared" si="314"/>
        <v>3.5902023009528063E-5</v>
      </c>
      <c r="U68" s="165">
        <f t="shared" si="315"/>
        <v>3.5703158583071737E-5</v>
      </c>
      <c r="V68" s="165">
        <f t="shared" si="316"/>
        <v>3.5297129529535763E-5</v>
      </c>
      <c r="W68" s="165">
        <f t="shared" si="317"/>
        <v>3.4937508849146969E-5</v>
      </c>
      <c r="X68" s="165">
        <f t="shared" si="318"/>
        <v>3.442842473106012E-5</v>
      </c>
      <c r="Y68" s="165">
        <f t="shared" si="319"/>
        <v>3.4101938075482897E-5</v>
      </c>
      <c r="Z68" s="165">
        <f t="shared" si="320"/>
        <v>3.3738961036480208E-5</v>
      </c>
      <c r="AA68" s="165">
        <f t="shared" si="321"/>
        <v>3.3343446970894991E-5</v>
      </c>
      <c r="AB68" s="165">
        <f t="shared" si="322"/>
        <v>3.2987107051405915E-5</v>
      </c>
      <c r="AC68" s="186">
        <f t="shared" si="265"/>
        <v>2.80148839669975E-5</v>
      </c>
      <c r="AD68" s="183">
        <f t="shared" si="266"/>
        <v>2.7760198198522439E-5</v>
      </c>
      <c r="AE68" s="183">
        <f t="shared" si="267"/>
        <v>2.7296381145240627E-5</v>
      </c>
      <c r="AF68" s="183">
        <f t="shared" si="268"/>
        <v>2.6794734292209984E-5</v>
      </c>
      <c r="AG68" s="183">
        <f t="shared" si="269"/>
        <v>2.6189077575330531E-5</v>
      </c>
      <c r="AH68" s="183">
        <f t="shared" si="270"/>
        <v>2.5782949931629937E-5</v>
      </c>
      <c r="AI68" s="183">
        <f t="shared" si="271"/>
        <v>2.5308242258413331E-5</v>
      </c>
      <c r="AJ68" s="183">
        <f t="shared" si="272"/>
        <v>2.4759854405321417E-5</v>
      </c>
      <c r="AK68" s="183">
        <f t="shared" si="273"/>
        <v>2.4382798756027403E-5</v>
      </c>
      <c r="AL68" s="186">
        <f t="shared" si="323"/>
        <v>2.9186123831148391E-2</v>
      </c>
      <c r="AM68" s="183">
        <f t="shared" si="324"/>
        <v>2.9012759920404738E-2</v>
      </c>
      <c r="AN68" s="183">
        <f t="shared" si="325"/>
        <v>2.8659250567711902E-2</v>
      </c>
      <c r="AO68" s="183">
        <f t="shared" si="326"/>
        <v>2.8337788044297173E-2</v>
      </c>
      <c r="AP68" s="183">
        <f t="shared" si="327"/>
        <v>2.7889164553029908E-2</v>
      </c>
      <c r="AQ68" s="183">
        <f t="shared" si="328"/>
        <v>2.759859294275931E-2</v>
      </c>
      <c r="AR68" s="183">
        <f t="shared" si="329"/>
        <v>2.727164767024122E-2</v>
      </c>
      <c r="AS68" s="183">
        <f t="shared" si="330"/>
        <v>2.6909457636946941E-2</v>
      </c>
      <c r="AT68" s="183">
        <f t="shared" si="331"/>
        <v>2.6600241876602076E-2</v>
      </c>
      <c r="AU68" s="186">
        <f>_xlfn.FORECAST.LINEAR(Sheet3!DF68,Sheet2!$AH$2:$AH$40,Sheet2!$AG$2:$AG$40)</f>
        <v>2.5653712965492358E-2</v>
      </c>
      <c r="AV68" s="183">
        <f>_xlfn.FORECAST.LINEAR(Sheet3!BZ68,Sheet2!$AH$2:$AH$40,Sheet2!$AG$2:$AG$40)</f>
        <v>2.5267575840058145E-2</v>
      </c>
      <c r="AW68" s="183">
        <f>_xlfn.FORECAST.LINEAR(Sheet3!CA68,Sheet2!$AH$2:$AH$40,Sheet2!$AG$2:$AG$40)</f>
        <v>2.4469356594485698E-2</v>
      </c>
      <c r="AX68" s="183">
        <f>_xlfn.FORECAST.LINEAR(Sheet3!CB68,Sheet2!$AH$2:$AH$40,Sheet2!$AG$2:$AG$40)</f>
        <v>2.3758209532011253E-2</v>
      </c>
      <c r="AY68" s="183">
        <f>_xlfn.FORECAST.LINEAR(Sheet3!CC68,Sheet2!$AH$2:$AH$40,Sheet2!$AG$2:$AG$40)</f>
        <v>2.2744895904361816E-2</v>
      </c>
      <c r="AZ68" s="183">
        <f>_xlfn.FORECAST.LINEAR(Sheet3!CD68,Sheet2!$AH$2:$AH$40,Sheet2!$AG$2:$AG$40)</f>
        <v>2.2090830570659338E-2</v>
      </c>
      <c r="BA68" s="183">
        <f>_xlfn.FORECAST.LINEAR(Sheet3!CE68,Sheet2!$AH$2:$AH$40,Sheet2!$AG$2:$AG$40)</f>
        <v>2.1359760712284674E-2</v>
      </c>
      <c r="BB68" s="183">
        <f>_xlfn.FORECAST.LINEAR(Sheet3!CF68,Sheet2!$AH$2:$AH$40,Sheet2!$AG$2:$AG$40)</f>
        <v>2.0558293178566514E-2</v>
      </c>
      <c r="BC68" s="183">
        <f>_xlfn.FORECAST.LINEAR(Sheet3!CG68,Sheet2!$AH$2:$AH$40,Sheet2!$AG$2:$AG$40)</f>
        <v>1.9843272587306688E-2</v>
      </c>
      <c r="BD68" s="186">
        <f>_xlfn.FORECAST.LINEAR(Sheet3!DF68,Sheet2!$AB$12:$AB$37,Sheet2!$AA$12:$AA$37)/1000</f>
        <v>3.0506351161118033E-2</v>
      </c>
      <c r="BE68" s="183">
        <f>_xlfn.FORECAST.LINEAR(Sheet3!BZ68,Sheet2!$AB$12:$AB$37,Sheet2!$AA$12:$AA$37)/1000</f>
        <v>3.0420019837605332E-2</v>
      </c>
      <c r="BF68" s="183">
        <f>_xlfn.FORECAST.LINEAR(Sheet3!CA68,Sheet2!$AB$12:$AB$37,Sheet2!$AA$12:$AA$37)/1000</f>
        <v>3.0241556490300688E-2</v>
      </c>
      <c r="BG68" s="183">
        <f>_xlfn.FORECAST.LINEAR(Sheet3!CB68,Sheet2!$AB$12:$AB$37,Sheet2!$AA$12:$AA$37)/1000</f>
        <v>3.0082560467717904E-2</v>
      </c>
      <c r="BH68" s="183">
        <f>_xlfn.FORECAST.LINEAR(Sheet3!CC68,Sheet2!$AB$12:$AB$37,Sheet2!$AA$12:$AA$37)/1000</f>
        <v>2.9856006995269323E-2</v>
      </c>
      <c r="BI68" s="183">
        <f>_xlfn.FORECAST.LINEAR(Sheet3!CD68,Sheet2!$AB$12:$AB$37,Sheet2!$AA$12:$AA$37)/1000</f>
        <v>2.9709773125996028E-2</v>
      </c>
      <c r="BJ68" s="183">
        <f>_xlfn.FORECAST.LINEAR(Sheet3!CE68,Sheet2!$AB$12:$AB$37,Sheet2!$AA$12:$AA$37)/1000</f>
        <v>2.9546322827393539E-2</v>
      </c>
      <c r="BK68" s="183">
        <f>_xlfn.FORECAST.LINEAR(Sheet3!CF68,Sheet2!$AB$12:$AB$37,Sheet2!$AA$12:$AA$37)/1000</f>
        <v>2.9367133238046114E-2</v>
      </c>
      <c r="BL68" s="183">
        <f>_xlfn.FORECAST.LINEAR(Sheet3!CG68,Sheet2!$AB$12:$AB$37,Sheet2!$AA$12:$AA$37)/1000</f>
        <v>2.9207271184085667E-2</v>
      </c>
      <c r="BM68" s="186">
        <f t="shared" si="332"/>
        <v>0.88227413980459513</v>
      </c>
      <c r="BN68" s="183">
        <f t="shared" si="333"/>
        <v>0.88615047058476792</v>
      </c>
      <c r="BO68" s="183">
        <f t="shared" si="334"/>
        <v>0.89456926739302078</v>
      </c>
      <c r="BP68" s="183">
        <f t="shared" si="335"/>
        <v>0.90173268444725663</v>
      </c>
      <c r="BQ68" s="183">
        <f t="shared" si="336"/>
        <v>0.91267387805305211</v>
      </c>
      <c r="BR68" s="183">
        <f t="shared" si="337"/>
        <v>0.91977494144800487</v>
      </c>
      <c r="BS68" s="183">
        <f t="shared" si="338"/>
        <v>0.92771196439663561</v>
      </c>
      <c r="BT68" s="183">
        <f t="shared" si="339"/>
        <v>0.93639418615467296</v>
      </c>
      <c r="BU68" s="183">
        <f t="shared" si="340"/>
        <v>0.94487458669589663</v>
      </c>
      <c r="BV68" s="186">
        <f t="shared" si="341"/>
        <v>1.180820931248765</v>
      </c>
      <c r="BW68" s="183">
        <f t="shared" si="342"/>
        <v>1.1793942586886166</v>
      </c>
      <c r="BX68" s="183">
        <f t="shared" si="343"/>
        <v>1.1736694000208223</v>
      </c>
      <c r="BY68" s="183">
        <f t="shared" si="344"/>
        <v>1.1728397625543203</v>
      </c>
      <c r="BZ68" s="183">
        <f t="shared" si="345"/>
        <v>1.1668087628012089</v>
      </c>
      <c r="CA68" s="183">
        <f t="shared" si="346"/>
        <v>1.1637850190477834</v>
      </c>
      <c r="CB68" s="183">
        <f t="shared" si="347"/>
        <v>1.1615455274483708</v>
      </c>
      <c r="CC68" s="183">
        <f t="shared" si="348"/>
        <v>1.1606416449337162</v>
      </c>
      <c r="CD68" s="183">
        <f t="shared" si="349"/>
        <v>1.1545901897716759</v>
      </c>
      <c r="CE68" s="187">
        <f xml:space="preserve"> -0.0000000019505*Sheet3!DF68^3 + 0.0000015497*Sheet3!DF68^2  + 0.00016911*Sheet3!DF68 + 1.8585</f>
        <v>1.8828730816875001</v>
      </c>
      <c r="CF68" s="185">
        <f xml:space="preserve"> -0.0000000019505*Sheet3!BZ68^3 + 0.0000015497*Sheet3!BZ68^2  + 0.00016911*Sheet3!BZ68 + 1.8585</f>
        <v>1.8822825398840053</v>
      </c>
      <c r="CG68" s="185">
        <f xml:space="preserve"> -0.0000000019505*Sheet3!CA68^3 + 0.0000015497*Sheet3!CA68^2  + 0.00016911*Sheet3!CA68 + 1.8585</f>
        <v>1.8810773559894627</v>
      </c>
      <c r="CH68" s="185">
        <f xml:space="preserve"> -0.0000000019505*Sheet3!CB68^3 + 0.0000015497*Sheet3!CB68^2  + 0.00016911*Sheet3!CB68 + 1.8585</f>
        <v>1.8800215672740996</v>
      </c>
      <c r="CI68" s="185">
        <f xml:space="preserve"> -0.0000000019505*Sheet3!CC68^3 + 0.0000015497*Sheet3!CC68^2  + 0.00016911*Sheet3!CC68 + 1.8585</f>
        <v>1.8785468868328767</v>
      </c>
      <c r="CJ68" s="185">
        <f xml:space="preserve"> -0.0000000019505*Sheet3!CD68^3 + 0.0000015497*Sheet3!CD68^2  + 0.00016911*Sheet3!CD68 + 1.8585</f>
        <v>1.8776138746315549</v>
      </c>
      <c r="CK68" s="185">
        <f xml:space="preserve"> -0.0000000019505*Sheet3!CE68^3 + 0.0000015497*Sheet3!CE68^2  + 0.00016911*Sheet3!CE68 + 1.8585</f>
        <v>1.8765888104685065</v>
      </c>
      <c r="CL68" s="185">
        <f xml:space="preserve"> -0.0000000019505*Sheet3!CF68^3 + 0.0000015497*Sheet3!CF68^2  + 0.00016911*Sheet3!CF68 + 1.8585</f>
        <v>1.8754869407351522</v>
      </c>
      <c r="CM68" s="185">
        <f xml:space="preserve"> -0.0000000019505*Sheet3!CG68^3 + 0.0000015497*Sheet3!CG68^2  + 0.00016911*Sheet3!CG68 + 1.8585</f>
        <v>1.8745235441638914</v>
      </c>
      <c r="CN68" s="186">
        <f>_xlfn.FORECAST.LINEAR(Sheet3!DF68,New!$LU$2:$LU$14,New!$LT$2:$LT$14)</f>
        <v>1.0126209368728181</v>
      </c>
      <c r="CO68" s="183">
        <f>_xlfn.FORECAST.LINEAR(Sheet3!BZ68,New!$LU$2:$LU$14,New!$LT$2:$LT$14)</f>
        <v>1.0123367348826577</v>
      </c>
      <c r="CP68" s="183">
        <f>_xlfn.FORECAST.LINEAR(Sheet3!CA68,New!$LU$2:$LU$14,New!$LT$2:$LT$14)</f>
        <v>1.0117492350458557</v>
      </c>
      <c r="CQ68" s="183">
        <f>_xlfn.FORECAST.LINEAR(Sheet3!CB68,New!$LU$2:$LU$14,New!$LT$2:$LT$14)</f>
        <v>1.0112258214781378</v>
      </c>
      <c r="CR68" s="183">
        <f>_xlfn.FORECAST.LINEAR(Sheet3!CC68,New!$LU$2:$LU$14,New!$LT$2:$LT$14)</f>
        <v>1.0104800093542439</v>
      </c>
      <c r="CS68" s="183">
        <f>_xlfn.FORECAST.LINEAR(Sheet3!CD68,New!$LU$2:$LU$14,New!$LT$2:$LT$14)</f>
        <v>1.0099986086877732</v>
      </c>
      <c r="CT68" s="183">
        <f>_xlfn.FORECAST.LINEAR(Sheet3!CE68,New!$LU$2:$LU$14,New!$LT$2:$LT$14)</f>
        <v>1.0094605316809002</v>
      </c>
      <c r="CU68" s="183">
        <f>_xlfn.FORECAST.LINEAR(Sheet3!CF68,New!$LU$2:$LU$14,New!$LT$2:$LT$14)</f>
        <v>1.0088706410614077</v>
      </c>
      <c r="CV68" s="183">
        <f>_xlfn.FORECAST.LINEAR(Sheet3!CG68,New!$LU$2:$LU$14,New!$LT$2:$LT$14)</f>
        <v>1.0083443765256859</v>
      </c>
      <c r="CW68" s="186">
        <f>EXP((17.625*Sheet3!BA68)/(243.04+Sheet3!BA68)) / EXP((17.625*Sheet3!DF68)/(243.04+Sheet3!DF68))</f>
        <v>0.4092136654242175</v>
      </c>
      <c r="CX68" s="183">
        <f>EXP((17.625*(Sheet3!BC68+273))/(243.04+(Sheet3!BC68+273)))/EXP((17.625*(Sheet3!BZ68+273))/(243.04+(Sheet3!BZ68+273)))</f>
        <v>0.78551415177894302</v>
      </c>
      <c r="CY68" s="183">
        <f>EXP((17.625*(Sheet3!BE68+273))/(243.04+(Sheet3!BE68+273))) / EXP((17.625*(Sheet3!CA68+273))/(243.04+(Sheet3!CA68+273)))</f>
        <v>0.8105047177757656</v>
      </c>
      <c r="CZ68" s="183">
        <f>EXP((17.625*(Sheet3!BG68+273))/(243.04+(Sheet3!BG68+273))) / EXP((17.625*(Sheet3!CB68+273))/(243.04+(Sheet3!CB68+273)))</f>
        <v>0.83819333835422249</v>
      </c>
      <c r="DA68" s="183">
        <f>EXP((17.625*(Sheet3!BI68+273))/(243.04+(Sheet3!BI68+273))) / EXP((17.625*(Sheet3!CC68+273))/(243.04+(Sheet3!CC68+273)))</f>
        <v>0.87426545427835567</v>
      </c>
      <c r="DB68" s="183">
        <f>EXP((17.625*(Sheet3!BK68+273))/(243.04+(Sheet3!BK68+273)))/EXP((17.625*(Sheet3!CD68+273))/(243.04+(Sheet3!CD68+273)))</f>
        <v>0.89961102681973482</v>
      </c>
      <c r="DC68" s="183">
        <f>EXP((17.625*(Sheet3!BM68+273))/(243.04+(Sheet3!BM68+273))) / EXP((17.625*(Sheet3!CE68+273))/(243.04+(Sheet3!CE68+273)))</f>
        <v>0.93051118232092622</v>
      </c>
      <c r="DD68" s="183">
        <f>EXP((17.625*(Sheet3!BO68+273))/(243.04+(Sheet3!BO68+273))) / EXP((17.625*(Sheet3!CF68+273))/(243.04+(Sheet3!CF68+273)))</f>
        <v>0.96799837876741701</v>
      </c>
      <c r="DE68" s="183">
        <f>EXP((17.625*(Sheet3!BQ68+273))/(243.04+(Sheet3!BQ68+273))) / EXP((17.625*(Sheet3!CG68+273))/(243.04+(Sheet3!CG68+273)))</f>
        <v>0.99586351994263145</v>
      </c>
      <c r="DF68" s="186">
        <f>((Sheet3!DA68-Sheet3!DB68)/New!$LQ$3)/(((Sheet3!DA68-Sheet3!DB68)/New!$LQ$3)+(Sheet3!DB68/New!$LP$3))</f>
        <v>0.72194763558642794</v>
      </c>
      <c r="DG68" s="183">
        <f>((Sheet3!DA68-Sheet3!DB68)/New!$LQ$3)/(((Sheet3!DA68-Sheet3!DB68)/New!$LQ$3)+((Sheet3!DB68-(Sheet3!B68*0.004))/New!$LP$3))</f>
        <v>0.72693929838285765</v>
      </c>
      <c r="DH68" s="183" cm="1">
        <f t="array" ref="DH68">((Sheet3!DA68-Sheet3!DB68)/New!$LQ$3)/(((Sheet3!DA68-Sheet3!DB68)/New!$LQ$3)+((Sheet3!DB68-(SUM(Sheet3!B68:C68*0.004)))/New!$LP$3))</f>
        <v>0.75092495280059091</v>
      </c>
      <c r="DI68" s="183" cm="1">
        <f t="array" ref="DI68">((Sheet3!DA68-Sheet3!DB68)/New!$LQ$3)/(((Sheet3!DA68-Sheet3!DB68)/New!$LQ$3)+((Sheet3!DB68-(SUM(Sheet3!B68:D68*0.004)))/New!$LP$3))</f>
        <v>0.75194612757135804</v>
      </c>
      <c r="DJ68" s="183" cm="1">
        <f t="array" ref="DJ68">((Sheet3!DA68-Sheet3!DB68)/New!$LQ$3)/(((Sheet3!DA68-Sheet3!DB68)/New!$LQ$3)+((Sheet3!DB68-(SUM(Sheet3!B68:E68*0.004)))/New!$LP$3))</f>
        <v>0.77820703518166801</v>
      </c>
      <c r="DK68" s="183" cm="1">
        <f t="array" ref="DK68">((Sheet3!DA68-Sheet3!DB68)/New!$LQ$3)/(((Sheet3!DA68-Sheet3!DB68)/New!$LQ$3)+((Sheet3!DB68-(SUM(Sheet3!B68:F68*0.004)))/New!$LP$3))</f>
        <v>0.79136583197302468</v>
      </c>
      <c r="DL68" s="183" cm="1">
        <f t="array" ref="DL68">((Sheet3!DA68-Sheet3!DB68)/New!$LQ$3)/(((Sheet3!DA68-Sheet3!DB68)/New!$LQ$3)+((Sheet3!DB68-(SUM(Sheet3!B68:G68*0.004)))/New!$LP$3))</f>
        <v>0.8002311038406652</v>
      </c>
      <c r="DM68" s="183" cm="1">
        <f t="array" ref="DM68">((Sheet3!DA68-Sheet3!DB68)/New!$LQ$3)/(((Sheet3!DA68-Sheet3!DB68)/New!$LQ$3)+((Sheet3!DB68-(SUM(Sheet3!B68:H68*0.004)))/New!$LP$3))</f>
        <v>0.80147693015872634</v>
      </c>
      <c r="DN68" s="183" cm="1">
        <f t="array" ref="DN68">((Sheet3!DA68-Sheet3!DB68)/New!$LQ$3)/(((Sheet3!DA68-Sheet3!DB68)/New!$LQ$3)+((Sheet3!DB68-(SUM(Sheet3!B68:I68*0.004)))/New!$LP$3))</f>
        <v>0.83291080325920952</v>
      </c>
      <c r="DO68" s="186">
        <f>(Sheet3!DB68/$LP$3) / ((Sheet3!DB68/$LP$3) + ((Sheet3!DA68-Sheet3!DB68)/$LQ$3))</f>
        <v>0.27805236441357195</v>
      </c>
      <c r="DP68" s="183">
        <f>((Sheet3!$DB68-(Sheet3!B68/4000)) / $LP$3) / (((Sheet3!$DA68-Sheet3!DB68) / $LQ$3) + (Sheet3!$DB68-((Sheet3!B68/4000)))/$LP$3)</f>
        <v>0.27774239472063034</v>
      </c>
      <c r="DQ68" s="183">
        <f>((Sheet3!$DB68-(SUM(Sheet3!B68:C68)/4000))/$LP$3)/(((Sheet3!$DA68-Sheet3!$DB68)/$LQ$3)+(Sheet3!$DB68-(SUM(Sheet3!B68:C68)/4000))/$LP$3)</f>
        <v>0.27630696007044242</v>
      </c>
      <c r="DR68" s="183">
        <f>((Sheet3!$DB68-(SUM(Sheet3!B68:D68)/4000))/$LP$3)/(((Sheet3!$DA68-Sheet3!$DB68)/$LQ$3)+(Sheet3!$DB68-(SUM(Sheet3!B68:D68)/4000))/$LP$3)</f>
        <v>0.2762477574201303</v>
      </c>
      <c r="DS68" s="183">
        <f>((Sheet3!$DB68-(SUM(Sheet3!B68:E68)/4000))/$LP$3)/(((Sheet3!$DA68-Sheet3!$DB68)/$LQ$3)+(Sheet3!$DB68-(SUM(Sheet3!B68:E68)/4000))/$LP$3)</f>
        <v>0.27477554583263059</v>
      </c>
      <c r="DT68" s="183">
        <f>((Sheet3!$DB68-(SUM(Sheet3!B68:F68)/4000))/$LP$3)/(((Sheet3!$DA68-Sheet3!$DB68)/$LQ$3)+(Sheet3!$DB68-(SUM(Sheet3!B68:F68)/4000))/$LP$3)</f>
        <v>0.2740724906012737</v>
      </c>
      <c r="DU68" s="183">
        <f>((Sheet3!$DB68-(SUM(Sheet3!B68:G68)/4000))/$LP$3)/(((Sheet3!$DA68-Sheet3!$DB68)/$LQ$3)+(Sheet3!$DB68-(SUM(Sheet3!B68:G68)/4000))/$LP$3)</f>
        <v>0.27361112863502512</v>
      </c>
      <c r="DV68" s="183">
        <f>((Sheet3!$DB68-(SUM(Sheet3!B68:H68)/4000))/$LP$3)/(((Sheet3!$DA68-Sheet3!$DB68)/$LQ$3)+(Sheet3!$DB68-(SUM(Sheet3!B68:H68)/4000))/$LP$3)</f>
        <v>0.27354706556767</v>
      </c>
      <c r="DW68" s="183">
        <f>((Sheet3!$DB68-(SUM(Sheet3!B68:I68)/4000))/$LP$3)/(((Sheet3!$DA68-Sheet3!$DB68)/$LQ$3)+(Sheet3!$DB68-(SUM(Sheet3!B68:I68)/4000))/$LP$3)</f>
        <v>0.27199062390736922</v>
      </c>
      <c r="DX68" s="186">
        <f>($LR$2*($LP$3/1000))/($LP$2*(Sheet3!DF68+273))*DO68</f>
        <v>0.17052357323954356</v>
      </c>
      <c r="DY68" s="183">
        <f>(($LR$2*($LP$3/1000))/($LP$2*(Sheet3!BZ68+273)))*(DP68)</f>
        <v>0.17105945455782104</v>
      </c>
      <c r="DZ68" s="183">
        <f>(($LR$2*($LP$3/1000))/($LP$2*(Sheet3!CA68+273)))*(DQ68)</f>
        <v>0.17168805334316412</v>
      </c>
      <c r="EA68" s="183">
        <f>(($LR$2*($LP$3/1000))/($LP$2*(Sheet3!CB68+273)))*(DR68)</f>
        <v>0.17302147104641163</v>
      </c>
      <c r="EB68" s="183">
        <f>(($LR$2*($LP$3/1000))/($LP$2*(Sheet3!CC68+273)))*(DS68)</f>
        <v>0.17407940766312574</v>
      </c>
      <c r="EC68" s="183">
        <f>(($LR$2*($LP$3/1000))/($LP$2*(Sheet3!CD68+273)))*(DT68)</f>
        <v>0.17493309138066024</v>
      </c>
      <c r="ED68" s="183">
        <f>(($LR$2*($LP$3/1000))/($LP$2*(Sheet3!CE68+273)))*(DU68)</f>
        <v>0.17611137127015883</v>
      </c>
      <c r="EE68" s="183">
        <f>(($LR$2*($LP$3/1000))/($LP$2*(Sheet3!CF68+273)))*(DV68)</f>
        <v>0.17771313362698127</v>
      </c>
      <c r="EF68" s="183">
        <f>(($LR$2*($LP$3/1000))/($LP$2*(Sheet3!CG68+273)))*(DW68)</f>
        <v>0.17818536379607874</v>
      </c>
      <c r="EG68" s="186">
        <f>(($LR$2*($LQ$3/1000))/($LQ$2*(Sheet3!DF68+273)))*(1-DO68)</f>
        <v>0.71175056656505153</v>
      </c>
      <c r="EH68" s="183">
        <f>(($LR$2*($LQ$3/1000))/($LQ$2*(Sheet3!BZ68+273)))*(1-DP68)</f>
        <v>0.71509101602694691</v>
      </c>
      <c r="EI68" s="183">
        <f>(($LR$2*($LQ$3/1000))/($LQ$2*(Sheet3!CA68+273)))*(1-DQ68)</f>
        <v>0.72288121404985661</v>
      </c>
      <c r="EJ68" s="183">
        <f>(($LR$2*($LQ$3/1000))/($LQ$2*(Sheet3!CB68+273)))*(1-DR68)</f>
        <v>0.72871121340084499</v>
      </c>
      <c r="EK68" s="183">
        <f>(($LR$2*($LQ$3/1000))/($LQ$2*(Sheet3!CC68+273)))*(1-DS68)</f>
        <v>0.73859447038992632</v>
      </c>
      <c r="EL68" s="183">
        <f>(($LR$2*($LQ$3/1000))/($LQ$2*(Sheet3!CD68+273)))*(1-DT68)</f>
        <v>0.7448418500673446</v>
      </c>
      <c r="EM68" s="183">
        <f>(($LR$2*($LQ$3/1000))/($LQ$2*(Sheet3!CE68+273)))*(1-DU68)</f>
        <v>0.75160059312647676</v>
      </c>
      <c r="EN68" s="183">
        <f>(($LR$2*($LQ$3/1000))/($LQ$2*(Sheet3!CF68+273)))*(1-DV68)</f>
        <v>0.75868105252769169</v>
      </c>
      <c r="EO68" s="183">
        <f>(($LR$2*($LQ$3/1000))/($LQ$2*(Sheet3!CG68+273)))*(1-DW68)</f>
        <v>0.76668922289981789</v>
      </c>
      <c r="EP68" s="186">
        <f t="shared" si="350"/>
        <v>2952.9693656292143</v>
      </c>
      <c r="EQ68" s="183">
        <f xml:space="preserve"> (($FV68-(Sheet3!B68/4000))*0.018)/(0.011*JO68*3600)</f>
        <v>2961.627459601656</v>
      </c>
      <c r="ER68" s="183">
        <f>((($FV68-(SUM(Sheet3!B68:C68)/4000))*0.018)/(0.011*JP68*3600))</f>
        <v>2976.2356876239019</v>
      </c>
      <c r="ES68" s="183">
        <f>((($FV68-(SUM(Sheet3!B68:D68)/4000))*0.018)/(0.011*JQ68*3600))</f>
        <v>2994.7969515539239</v>
      </c>
      <c r="ET68" s="183">
        <f>((($FV68-(SUM(Sheet3!B68:E68)/4000))*0.018)/(0.011*JR68))/3600</f>
        <v>3015.4892502434477</v>
      </c>
      <c r="EU68" s="183">
        <f>((($FV68-(SUM(Sheet3!B68:F68)/4000))*0.018)/(0.011*JS68))/3600</f>
        <v>3030.1530961682311</v>
      </c>
      <c r="EV68" s="183">
        <f>((($FV68-(SUM(Sheet3!B68:G68)/4000))*0.018)/(0.011*JT68))/3600</f>
        <v>3048.209745583471</v>
      </c>
      <c r="EW68" s="183">
        <f>((($FV68-(SUM(Sheet3!B68:H68)/4000))*0.018)/(0.011*JU68))/3600</f>
        <v>3070.2896246174614</v>
      </c>
      <c r="EX68" s="183">
        <f>((($FV68-(SUM(Sheet3!B68:I68)/4000))*0.018)/(0.011*JV68))/3600</f>
        <v>3083.4197232944184</v>
      </c>
      <c r="EY68" s="186">
        <f t="shared" si="351"/>
        <v>37.220410905695203</v>
      </c>
      <c r="EZ68" s="183">
        <f t="shared" si="352"/>
        <v>37.309571411735043</v>
      </c>
      <c r="FA68" s="183">
        <f t="shared" si="353"/>
        <v>37.440142662813031</v>
      </c>
      <c r="FB68" s="183">
        <f t="shared" si="354"/>
        <v>37.645291951949083</v>
      </c>
      <c r="FC68" s="183">
        <f t="shared" si="355"/>
        <v>37.843072813085982</v>
      </c>
      <c r="FD68" s="183">
        <f t="shared" si="356"/>
        <v>37.991100502204624</v>
      </c>
      <c r="FE68" s="183">
        <f t="shared" si="357"/>
        <v>38.183143243916277</v>
      </c>
      <c r="FF68" s="183">
        <f t="shared" si="358"/>
        <v>38.430587990202334</v>
      </c>
      <c r="FG68" s="183">
        <f t="shared" si="359"/>
        <v>38.542067600189817</v>
      </c>
      <c r="FH68" s="186">
        <f t="shared" si="274"/>
        <v>60.351084541102573</v>
      </c>
      <c r="FI68" s="183">
        <f t="shared" si="275"/>
        <v>60.136313227881381</v>
      </c>
      <c r="FJ68" s="183">
        <f t="shared" si="276"/>
        <v>59.611468325802171</v>
      </c>
      <c r="FK68" s="183">
        <f t="shared" si="277"/>
        <v>59.265794677778857</v>
      </c>
      <c r="FL68" s="183">
        <f t="shared" si="278"/>
        <v>58.633982493135974</v>
      </c>
      <c r="FM68" s="183">
        <f t="shared" si="279"/>
        <v>58.250051011544684</v>
      </c>
      <c r="FN68" s="183">
        <f t="shared" si="280"/>
        <v>57.850957193913118</v>
      </c>
      <c r="FO68" s="183">
        <f t="shared" si="281"/>
        <v>57.452571082517316</v>
      </c>
      <c r="FP68" s="183">
        <f t="shared" si="282"/>
        <v>56.957128921633185</v>
      </c>
      <c r="FQ68" s="314">
        <f>Sheet3!CV68</f>
        <v>3</v>
      </c>
      <c r="FR68" s="183">
        <v>3000</v>
      </c>
      <c r="FS68" s="183">
        <v>20</v>
      </c>
      <c r="FT68" s="183">
        <v>0.17775824175824176</v>
      </c>
      <c r="FU68" s="183">
        <v>44.4</v>
      </c>
      <c r="FV68" s="183">
        <v>119</v>
      </c>
      <c r="FW68" s="183">
        <v>23</v>
      </c>
      <c r="FX68" s="183">
        <v>360</v>
      </c>
      <c r="FY68" s="183">
        <v>7.1</v>
      </c>
      <c r="FZ68" s="183">
        <v>19</v>
      </c>
      <c r="GA68" s="183">
        <v>85</v>
      </c>
      <c r="GB68" s="186">
        <f>EXP($LP$6-($LQ$6/('Trial and Error method'!T68+$LP$8))) / ($LR$2/1000)</f>
        <v>0.14360063674085813</v>
      </c>
      <c r="GC68" s="183">
        <f>EXP($LP$6-($LQ$6/('Trial and Error method'!U68+$LP$8))) / ($LR$2/1000)</f>
        <v>9.0782186435138176E-2</v>
      </c>
      <c r="GD68" s="183">
        <f>EXP($LP$6-($LQ$6/('Trial and Error method'!V68+$LP$8))) / ($LR$2/1000)</f>
        <v>8.5221021249351783E-2</v>
      </c>
      <c r="GE68" s="183">
        <f>EXP($LP$6-($LQ$6/('Trial and Error method'!W68+$LP$8))) / ($LR$2/1000)</f>
        <v>8.1409380291061956E-2</v>
      </c>
      <c r="GF68" s="183">
        <f>EXP($LP$6-($LQ$6/('Trial and Error method'!X68+$LP$8))) / ($LR$2/1000)</f>
        <v>7.2618048794682644E-2</v>
      </c>
      <c r="GG68" s="183">
        <f>EXP($LP$6-($LQ$6/('Trial and Error method'!Y68+$LP$8))) / ($LR$2/1000)</f>
        <v>0.18577600302254446</v>
      </c>
      <c r="GH68" s="183">
        <f>EXP($LP$6-($LQ$6/('Trial and Error method'!Z68+$LP$8))) / ($LR$2/1000)</f>
        <v>0.17949250034525369</v>
      </c>
      <c r="GI68" s="183">
        <f>EXP($LP$6-($LQ$6/('Trial and Error method'!AA68+$LP$8))) / ($LR$2/1000)</f>
        <v>0.17348550067033847</v>
      </c>
      <c r="GJ68" s="183">
        <f>EXP($LP$6-($LQ$6/('Trial and Error method'!AB68+$LP$8))) / ($LR$2/1000)</f>
        <v>0.16411142329302811</v>
      </c>
      <c r="GK68" s="188">
        <f t="shared" si="411"/>
        <v>0.7872609097066291</v>
      </c>
      <c r="GL68" s="165">
        <f t="shared" si="360"/>
        <v>0.81215430930892329</v>
      </c>
      <c r="GM68" s="165">
        <f t="shared" si="361"/>
        <v>0.81550822481506757</v>
      </c>
      <c r="GN68" s="165">
        <f t="shared" si="362"/>
        <v>0.81730444237981748</v>
      </c>
      <c r="GO68" s="165">
        <f t="shared" si="363"/>
        <v>0.82216509091963952</v>
      </c>
      <c r="GP68" s="165">
        <f t="shared" si="364"/>
        <v>0.76923134334265042</v>
      </c>
      <c r="GQ68" s="165">
        <f t="shared" si="365"/>
        <v>0.77249282330522206</v>
      </c>
      <c r="GR68" s="165">
        <f t="shared" si="366"/>
        <v>0.77540798866040572</v>
      </c>
      <c r="GS68" s="165">
        <f t="shared" si="367"/>
        <v>0.78070713000533021</v>
      </c>
      <c r="GT68" s="188">
        <f t="shared" si="283"/>
        <v>4.7647280637587872E-2</v>
      </c>
      <c r="GU68" s="165">
        <f t="shared" si="284"/>
        <v>4.6188195659866919E-2</v>
      </c>
      <c r="GV68" s="165">
        <f t="shared" si="285"/>
        <v>4.5984797427265113E-2</v>
      </c>
      <c r="GW68" s="165">
        <f t="shared" si="286"/>
        <v>4.5903478871812287E-2</v>
      </c>
      <c r="GX68" s="165">
        <f t="shared" si="287"/>
        <v>4.5627256265167553E-2</v>
      </c>
      <c r="GY68" s="165">
        <f t="shared" si="288"/>
        <v>4.8771553461603487E-2</v>
      </c>
      <c r="GZ68" s="165">
        <f t="shared" si="289"/>
        <v>4.8580507671414606E-2</v>
      </c>
      <c r="HA68" s="165">
        <f t="shared" si="290"/>
        <v>4.8427460509923977E-2</v>
      </c>
      <c r="HB68" s="165">
        <f t="shared" si="291"/>
        <v>4.8081156654194469E-2</v>
      </c>
      <c r="HC68" s="188">
        <f>BV68*Sheet3!DF68</f>
        <v>100.36977915614503</v>
      </c>
      <c r="HD68" s="165">
        <f>BW68*Sheet3!BZ68</f>
        <v>98.456590096286817</v>
      </c>
      <c r="HE68" s="165">
        <f>BX68*Sheet3!CA68</f>
        <v>94.292410807691667</v>
      </c>
      <c r="HF68" s="165">
        <f>BY68*Sheet3!CB68</f>
        <v>90.943923877320714</v>
      </c>
      <c r="HG68" s="165">
        <f>BZ68*Sheet3!CC68</f>
        <v>85.824030654207519</v>
      </c>
      <c r="HH68" s="165">
        <f>CA68*Sheet3!CD68</f>
        <v>82.606513301121623</v>
      </c>
      <c r="HI68" s="165">
        <f>CB68*Sheet3!CE68</f>
        <v>79.106266382572059</v>
      </c>
      <c r="HJ68" s="165">
        <f>CC68*Sheet3!CF68</f>
        <v>75.384526840483318</v>
      </c>
      <c r="HK68" s="165">
        <f>CD68*Sheet3!CG68</f>
        <v>71.743114664777281</v>
      </c>
      <c r="HL68" s="188">
        <f>(CE68*Sheet3!DF68)+2501</f>
        <v>2661.0442119434374</v>
      </c>
      <c r="HM68" s="165">
        <f>(CF68*Sheet3!BZ68)+2501</f>
        <v>2658.1341551898176</v>
      </c>
      <c r="HN68" s="165">
        <f>(CG68*Sheet3!CA68)+2501</f>
        <v>2652.1254522004733</v>
      </c>
      <c r="HO68" s="165">
        <f>(CH68*Sheet3!CB68)+2501</f>
        <v>2646.7799639479549</v>
      </c>
      <c r="HP68" s="165">
        <f>(CI68*Sheet3!CC68)+2501</f>
        <v>2639.1755697599083</v>
      </c>
      <c r="HQ68" s="165">
        <f>(CJ68*Sheet3!CD68)+2501</f>
        <v>2634.2747311320682</v>
      </c>
      <c r="HR68" s="165">
        <f>(CK68*Sheet3!CE68)+2501</f>
        <v>2628.8038017653803</v>
      </c>
      <c r="HS68" s="165">
        <f>(CL68*Sheet3!CF68)+2501</f>
        <v>2622.8142535553247</v>
      </c>
      <c r="HT68" s="165">
        <f>(CM68*Sheet3!CG68)+2501</f>
        <v>2617.4778280312339</v>
      </c>
      <c r="HU68" s="188">
        <f>-0.0021*(Sheet3!DF68^2) - 2.2115*(Sheet3!DF68) + 2499</f>
        <v>2295.85</v>
      </c>
      <c r="HV68" s="165">
        <f>-0.0021*(Sheet3!BZ68^2) - 2.2115*(Sheet3!BZ68) + 2499</f>
        <v>2299.7476228247901</v>
      </c>
      <c r="HW68" s="165">
        <f>-0.0021*(Sheet3!CA68^2) - 2.2115*(Sheet3!CA68) + 2499</f>
        <v>2307.7740172464341</v>
      </c>
      <c r="HX68" s="165">
        <f>-0.0021*(Sheet3!CB68^2) - 2.2115*(Sheet3!CB68) + 2499</f>
        <v>2314.8899693613384</v>
      </c>
      <c r="HY68" s="165">
        <f>-0.0021*(Sheet3!CC68^2) - 2.2115*(Sheet3!CC68) + 2499</f>
        <v>2324.9726775597328</v>
      </c>
      <c r="HZ68" s="165">
        <f>-0.0021*(Sheet3!CD68^2) - 2.2115*(Sheet3!CD68) + 2499</f>
        <v>2331.4453231986199</v>
      </c>
      <c r="IA68" s="165">
        <f>-0.0021*(Sheet3!CE68^2) - 2.2115*(Sheet3!CE68) + 2499</f>
        <v>2338.6470837884458</v>
      </c>
      <c r="IB68" s="165">
        <f>-0.0021*(Sheet3!CF68^2) - 2.2115*(Sheet3!CF68) + 2499</f>
        <v>2346.5023960850758</v>
      </c>
      <c r="IC68" s="165">
        <f>-0.0021*(Sheet3!CG68^2) - 2.2115*(Sheet3!CG68) + 2499</f>
        <v>2353.4751735406558</v>
      </c>
      <c r="ID68" s="188">
        <f t="shared" si="292"/>
        <v>0.74109342648604815</v>
      </c>
      <c r="IE68" s="165">
        <f t="shared" si="293"/>
        <v>0.74222271218853642</v>
      </c>
      <c r="IF68" s="165">
        <f t="shared" si="294"/>
        <v>0.74303491219266093</v>
      </c>
      <c r="IG68" s="165">
        <f t="shared" si="295"/>
        <v>0.74623611356429487</v>
      </c>
      <c r="IH68" s="165">
        <f t="shared" si="296"/>
        <v>0.7481083697389691</v>
      </c>
      <c r="II68" s="165">
        <f t="shared" si="297"/>
        <v>0.7498722898835497</v>
      </c>
      <c r="IJ68" s="165">
        <f t="shared" si="298"/>
        <v>0.75258335338690441</v>
      </c>
      <c r="IK68" s="165">
        <f t="shared" si="299"/>
        <v>0.7565922399431807</v>
      </c>
      <c r="IL68" s="165">
        <f t="shared" si="300"/>
        <v>0.75702983103159238</v>
      </c>
      <c r="IM68" s="188">
        <f t="shared" si="301"/>
        <v>14.707810185767153</v>
      </c>
      <c r="IN68" s="165">
        <f t="shared" si="368"/>
        <v>19.8591363996482</v>
      </c>
      <c r="IO68" s="165">
        <f t="shared" si="369"/>
        <v>20.278521496297124</v>
      </c>
      <c r="IP68" s="165">
        <f t="shared" si="370"/>
        <v>20.703818756682026</v>
      </c>
      <c r="IQ68" s="165">
        <f t="shared" si="371"/>
        <v>21.445296702378972</v>
      </c>
      <c r="IR68" s="165">
        <f t="shared" si="372"/>
        <v>10.040035571571156</v>
      </c>
      <c r="IS68" s="165">
        <f t="shared" si="373"/>
        <v>10.693067959763294</v>
      </c>
      <c r="IT68" s="165">
        <f t="shared" si="374"/>
        <v>11.370511148758897</v>
      </c>
      <c r="IU68" s="165">
        <f t="shared" si="375"/>
        <v>12.207373924333305</v>
      </c>
      <c r="IV68" s="188">
        <f>_xlfn.FORECAST.LINEAR(Sheet3!DF68,Sheet2!$AK$2:$AK$69,Sheet2!$AJ$2:$AJ$69)</f>
        <v>1.1761434736095797E-5</v>
      </c>
      <c r="IW68" s="165">
        <f>_xlfn.FORECAST.LINEAR(Sheet3!BZ68,Sheet2!$AK$2:$AK$69,Sheet2!$AJ$2:$AJ$69)</f>
        <v>1.1708238506480991E-5</v>
      </c>
      <c r="IX68" s="165">
        <f>_xlfn.FORECAST.LINEAR(Sheet3!CA68,Sheet2!$AK$2:$AK$69,Sheet2!$AJ$2:$AJ$69)</f>
        <v>1.1598271731795236E-5</v>
      </c>
      <c r="IY68" s="165">
        <f>_xlfn.FORECAST.LINEAR(Sheet3!CB68,Sheet2!$AK$2:$AK$69,Sheet2!$AJ$2:$AJ$69)</f>
        <v>1.1500300467357129E-5</v>
      </c>
      <c r="IZ68" s="165">
        <f>_xlfn.FORECAST.LINEAR(Sheet3!CC68,Sheet2!$AK$2:$AK$69,Sheet2!$AJ$2:$AJ$69)</f>
        <v>1.1360701188091671E-5</v>
      </c>
      <c r="JA68" s="165">
        <f>_xlfn.FORECAST.LINEAR(Sheet3!CD68,Sheet2!$AK$2:$AK$69,Sheet2!$AJ$2:$AJ$69)</f>
        <v>1.1270593795191815E-5</v>
      </c>
      <c r="JB68" s="165">
        <f>_xlfn.FORECAST.LINEAR(Sheet3!CE68,Sheet2!$AK$2:$AK$69,Sheet2!$AJ$2:$AJ$69)</f>
        <v>1.1169877864272636E-5</v>
      </c>
      <c r="JC68" s="165">
        <f>_xlfn.FORECAST.LINEAR(Sheet3!CF68,Sheet2!$AK$2:$AK$69,Sheet2!$AJ$2:$AJ$69)</f>
        <v>1.1059463588762244E-5</v>
      </c>
      <c r="JD68" s="165">
        <f>_xlfn.FORECAST.LINEAR(Sheet3!CG68,Sheet2!$AK$2:$AK$69,Sheet2!$AJ$2:$AJ$69)</f>
        <v>1.0960958687144198E-5</v>
      </c>
      <c r="JE68" s="188">
        <f>_xlfn.FORECAST.LINEAR(Sheet3!DF68,New!$MC$2:$MC$18,New!$MB$2:$MB$18)</f>
        <v>2.0908514659214704E-5</v>
      </c>
      <c r="JF68" s="165">
        <f>_xlfn.FORECAST.LINEAR(Sheet3!BZ68,New!$MC$2:$MC$18,New!$MB$2:$MB$18)</f>
        <v>2.0845981207319806E-5</v>
      </c>
      <c r="JG68" s="165">
        <f>_xlfn.FORECAST.LINEAR(Sheet3!CA68,New!$MC$2:$MC$18,New!$MB$2:$MB$18)</f>
        <v>2.0716712609439051E-5</v>
      </c>
      <c r="JH68" s="165">
        <f>_xlfn.FORECAST.LINEAR(Sheet3!CB68,New!$MC$2:$MC$18,New!$MB$2:$MB$18)</f>
        <v>2.0601545023386724E-5</v>
      </c>
      <c r="JI68" s="165">
        <f>_xlfn.FORECAST.LINEAR(Sheet3!CC68,New!$MC$2:$MC$18,New!$MB$2:$MB$18)</f>
        <v>2.0437442701140955E-5</v>
      </c>
      <c r="JJ68" s="165">
        <f>_xlfn.FORECAST.LINEAR(Sheet3!CD68,New!$MC$2:$MC$18,New!$MB$2:$MB$18)</f>
        <v>2.0331519285889936E-5</v>
      </c>
      <c r="JK68" s="165">
        <f>_xlfn.FORECAST.LINEAR(Sheet3!CE68,New!$MC$2:$MC$18,New!$MB$2:$MB$18)</f>
        <v>2.0213125278141852E-5</v>
      </c>
      <c r="JL68" s="165">
        <f>_xlfn.FORECAST.LINEAR(Sheet3!CF68,New!$MC$2:$MC$18,New!$MB$2:$MB$18)</f>
        <v>2.0083330632240533E-5</v>
      </c>
      <c r="JM68" s="165">
        <f>_xlfn.FORECAST.LINEAR(Sheet3!CG68,New!$MC$2:$MC$18,New!$MB$2:$MB$18)</f>
        <v>1.9967535742802931E-5</v>
      </c>
      <c r="JN68" s="188">
        <f t="shared" si="376"/>
        <v>1.8317463675883236E-5</v>
      </c>
      <c r="JO68" s="165">
        <f t="shared" si="377"/>
        <v>1.8258465477135288E-5</v>
      </c>
      <c r="JP68" s="165">
        <f t="shared" si="378"/>
        <v>1.8143800740403972E-5</v>
      </c>
      <c r="JQ68" s="165">
        <f t="shared" si="379"/>
        <v>1.8030323913242709E-5</v>
      </c>
      <c r="JR68" s="165">
        <f t="shared" si="380"/>
        <v>1.7881351333923523E-5</v>
      </c>
      <c r="JS68" s="165">
        <f t="shared" si="381"/>
        <v>1.7782854864796275E-5</v>
      </c>
      <c r="JT68" s="165">
        <f t="shared" si="382"/>
        <v>1.7669723287681094E-5</v>
      </c>
      <c r="JU68" s="165">
        <f t="shared" si="383"/>
        <v>1.7541578762113556E-5</v>
      </c>
      <c r="JV68" s="165">
        <f t="shared" si="384"/>
        <v>1.7440973248894266E-5</v>
      </c>
      <c r="JW68" s="188">
        <f t="shared" si="302"/>
        <v>1.0444458673781256</v>
      </c>
      <c r="JX68" s="165">
        <f t="shared" si="385"/>
        <v>1.0453172101120571</v>
      </c>
      <c r="JY68" s="165">
        <f t="shared" si="386"/>
        <v>1.047142788216936</v>
      </c>
      <c r="JZ68" s="165">
        <f t="shared" si="387"/>
        <v>1.048797475629212</v>
      </c>
      <c r="KA68" s="165">
        <f t="shared" si="388"/>
        <v>1.0512025867406245</v>
      </c>
      <c r="KB68" s="165">
        <f t="shared" si="389"/>
        <v>1.052785396890241</v>
      </c>
      <c r="KC68" s="165">
        <f t="shared" si="390"/>
        <v>1.0545835679474611</v>
      </c>
      <c r="KD68" s="165">
        <f t="shared" si="391"/>
        <v>1.0565910093439268</v>
      </c>
      <c r="KE68" s="165">
        <f t="shared" si="392"/>
        <v>1.0584146799016105</v>
      </c>
      <c r="KF68" s="188">
        <f t="shared" si="393"/>
        <v>0.94446821821306282</v>
      </c>
      <c r="KG68" s="165">
        <f t="shared" si="394"/>
        <v>0.94380355884498457</v>
      </c>
      <c r="KH68" s="165">
        <f t="shared" si="395"/>
        <v>0.94241596612389922</v>
      </c>
      <c r="KI68" s="165">
        <f t="shared" si="396"/>
        <v>0.94116402849704139</v>
      </c>
      <c r="KJ68" s="165">
        <f t="shared" si="397"/>
        <v>0.93935401641934058</v>
      </c>
      <c r="KK68" s="165">
        <f t="shared" si="398"/>
        <v>0.9381690641874052</v>
      </c>
      <c r="KL68" s="165">
        <f t="shared" si="399"/>
        <v>0.93682883122098004</v>
      </c>
      <c r="KM68" s="165">
        <f t="shared" si="400"/>
        <v>0.93534004210186561</v>
      </c>
      <c r="KN68" s="165">
        <f t="shared" si="401"/>
        <v>0.93399427925360656</v>
      </c>
      <c r="KO68" s="188">
        <f t="shared" si="304"/>
        <v>0.57828625273292489</v>
      </c>
      <c r="KP68" s="165">
        <f t="shared" si="305"/>
        <v>0.57709878944906379</v>
      </c>
      <c r="KQ68" s="165">
        <f t="shared" si="306"/>
        <v>0.57461228257837971</v>
      </c>
      <c r="KR68" s="165">
        <f t="shared" si="307"/>
        <v>0.57231322555199649</v>
      </c>
      <c r="KS68" s="165">
        <f t="shared" si="308"/>
        <v>0.56907245344200907</v>
      </c>
      <c r="KT68" s="165">
        <f t="shared" si="309"/>
        <v>0.56694489510800272</v>
      </c>
      <c r="KU68" s="165">
        <f t="shared" si="310"/>
        <v>0.56452721844548792</v>
      </c>
      <c r="KV68" s="165">
        <f t="shared" si="311"/>
        <v>0.56182294894529128</v>
      </c>
      <c r="KW68" s="165">
        <f t="shared" si="312"/>
        <v>0.55956728771600595</v>
      </c>
      <c r="KX68" s="188">
        <f>AVERAGE(Sheet3!J68:P68)*KO68^(1/3)/ID68^(1/3)</f>
        <v>228.91243642984375</v>
      </c>
      <c r="KY68" s="165">
        <f>Sheet3!J68*KP68^(1/3)/IE68^(1/3)</f>
        <v>242.50276972604266</v>
      </c>
      <c r="KZ68" s="165">
        <f>Sheet3!K68*KQ68^(1/3)/IF68^(1/3)</f>
        <v>226.1686263032864</v>
      </c>
      <c r="LA68" s="165">
        <f>Sheet3!L68*KR68^(1/3)/IG68^(1/3)</f>
        <v>221.52329731709986</v>
      </c>
      <c r="LB68" s="165">
        <f>Sheet3!M68*KS68^(1/3)/IH68^(1/3)</f>
        <v>220.32354051889584</v>
      </c>
      <c r="LC68" s="165">
        <f>Sheet3!N68*KT68^(1/3)/II68^(1/3)</f>
        <v>221.11952700960526</v>
      </c>
      <c r="LD68" s="165">
        <f>Sheet3!O68*KU68^(1/3)/IJ68^(1/3)</f>
        <v>226.13376626169998</v>
      </c>
      <c r="LE68" s="165">
        <f>Sheet3!P68*KV68^(1/3)/IK68^(1/3)</f>
        <v>231.29795052098623</v>
      </c>
      <c r="LF68" s="165">
        <f>Sheet3!Q68*KW68^(1/3)/IL68^(1/3)</f>
        <v>251.9837321672758</v>
      </c>
      <c r="LG68" s="186">
        <f t="shared" si="402"/>
        <v>25.916716871493453</v>
      </c>
      <c r="LH68" s="183">
        <f t="shared" si="403"/>
        <v>26.055691322059715</v>
      </c>
      <c r="LI68" s="183">
        <f t="shared" si="404"/>
        <v>26.724456518774133</v>
      </c>
      <c r="LJ68" s="183">
        <f t="shared" si="405"/>
        <v>26.752963204390177</v>
      </c>
      <c r="LK68" s="183">
        <f t="shared" si="406"/>
        <v>27.486957197035945</v>
      </c>
      <c r="LL68" s="183">
        <f t="shared" si="407"/>
        <v>27.855370412120742</v>
      </c>
      <c r="LM68" s="183">
        <f t="shared" si="408"/>
        <v>28.103797249585643</v>
      </c>
      <c r="LN68" s="183">
        <f t="shared" si="409"/>
        <v>28.138722283598291</v>
      </c>
      <c r="LO68" s="183">
        <f t="shared" si="410"/>
        <v>29.021007952077966</v>
      </c>
      <c r="LP68" s="220"/>
      <c r="LQ68" s="220"/>
      <c r="LR68" s="220"/>
      <c r="LS68" s="220"/>
      <c r="LT68" s="222">
        <v>233.84</v>
      </c>
      <c r="LU68" s="220">
        <v>1.7E-5</v>
      </c>
      <c r="LV68" s="220"/>
      <c r="LW68" s="220"/>
      <c r="LX68" s="188">
        <f>Sheet3!DP68</f>
        <v>373.94653678778025</v>
      </c>
      <c r="MF68" s="165"/>
      <c r="MJ68"/>
      <c r="MK68"/>
      <c r="ML68"/>
      <c r="MM68"/>
      <c r="MN68"/>
      <c r="MO68"/>
      <c r="MP68"/>
      <c r="MQ68"/>
      <c r="MR68"/>
    </row>
    <row r="69" spans="1:356" x14ac:dyDescent="0.3">
      <c r="A69" s="184" t="str">
        <f>Sheet3!A69</f>
        <v>2023.01.30-2</v>
      </c>
      <c r="B69" s="186">
        <f t="shared" si="313"/>
        <v>0.90396729510040164</v>
      </c>
      <c r="C69" s="183">
        <f t="shared" si="257"/>
        <v>0.90167723788661913</v>
      </c>
      <c r="D69" s="183">
        <f t="shared" si="258"/>
        <v>0.88730627212839031</v>
      </c>
      <c r="E69" s="183">
        <f t="shared" si="259"/>
        <v>0.87424551437457487</v>
      </c>
      <c r="F69" s="183">
        <f t="shared" si="260"/>
        <v>0.8594740595778233</v>
      </c>
      <c r="G69" s="183">
        <f t="shared" si="261"/>
        <v>0.85064655987557569</v>
      </c>
      <c r="H69" s="183">
        <f t="shared" si="262"/>
        <v>0.83645127144974019</v>
      </c>
      <c r="I69" s="183">
        <f t="shared" si="263"/>
        <v>0.82582209469849377</v>
      </c>
      <c r="J69" s="183">
        <f t="shared" si="264"/>
        <v>0.81417253794188138</v>
      </c>
      <c r="K69" s="186">
        <f xml:space="preserve"> (6.057 * (10^(-6)))
+ (4.055 * (10^(-8)) * (Sheet3!DF69 + 273))
+ (1.25 * (10^(-10)) * (Sheet3!DF69 + 273)^2)
- (3.367 * (10^(-14)) * (DD69 + 273)^3)</f>
        <v>4.415761317158789E-5</v>
      </c>
      <c r="L69" s="183">
        <f xml:space="preserve"> (6.057 * (10^(-6)))
+ (4.055 * (10^(-8)) * (Sheet3!BZ69 + 273))
+ (1.25 * (10^(-10)) * (Sheet3!BZ69 + 273)^2)
- (3.367 * (10^(-14)) * (BX69 + 273)^3)</f>
        <v>4.3967444896544926E-5</v>
      </c>
      <c r="M69" s="183">
        <f xml:space="preserve"> (6.057 * (10^(-6)))
+ (4.055 * (10^(-8)) * (Sheet3!CA69 + 273))
+ (1.25 * (10^(-10)) * (Sheet3!CA69 + 273)^2)
- (3.367 * (10^(-14)) * (BY69 + 273)^3)</f>
        <v>4.2667881084418935E-5</v>
      </c>
      <c r="N69" s="183">
        <f xml:space="preserve"> (6.057 * (10^(-6)))
+ (4.055 * (10^(-8)) * (Sheet3!CB69 + 273))
+ (1.25 * (10^(-10)) * (Sheet3!CB69 + 273)^2)
- (3.367 * (10^(-14)) * (BZ69 + 273)^3)</f>
        <v>4.1731633999005128E-5</v>
      </c>
      <c r="O69" s="183">
        <f xml:space="preserve"> (6.057 * (10^(-6)))
+ (4.055 * (10^(-8)) * (Sheet3!CC69 + 273))
+ (1.25 * (10^(-10)) * (Sheet3!CC69 + 273)^2)
- (3.367 * (10^(-14)) * (CA69 + 273)^3)</f>
        <v>4.0529320914740763E-5</v>
      </c>
      <c r="P69" s="183">
        <f xml:space="preserve"> (6.057 * (10^(-6)))
+ (4.055 * (10^(-8)) * (Sheet3!CD69 + 273))
+ (1.25 * (10^(-10)) * (Sheet3!CD69 + 273)^2)
- (3.367 * (10^(-14)) * (CB69 + 273)^3)</f>
        <v>3.9885604274780125E-5</v>
      </c>
      <c r="Q69" s="183">
        <f xml:space="preserve"> (6.057 * (10^(-6)))
+ (4.055 * (10^(-8)) * (Sheet3!CE69 + 273))
+ (1.25 * (10^(-10)) * (Sheet3!CE69 + 273)^2)
- (3.367 * (10^(-14)) * (CC69 + 273)^3)</f>
        <v>3.8913824627106418E-5</v>
      </c>
      <c r="R69" s="183">
        <f xml:space="preserve"> (6.057 * (10^(-6)))
+ (4.055 * (10^(-8)) * (Sheet3!CF69 + 273))
+ (1.25 * (10^(-10)) * (Sheet3!CF69 + 273)^2)
- (3.367 * (10^(-14)) * (CD69 + 273)^3)</f>
        <v>3.8239709062163284E-5</v>
      </c>
      <c r="S69" s="183">
        <f xml:space="preserve"> (6.057 * (10^(-6)))
+ (4.055 * (10^(-8)) * (Sheet3!CG69 + 273))
+ (1.25 * (10^(-10)) * (Sheet3!CG69 + 273)^2)
- (3.367 * (10^(-14)) * (CE69 + 273)^3)</f>
        <v>3.7320524197782473E-5</v>
      </c>
      <c r="T69" s="188">
        <f t="shared" si="314"/>
        <v>4.415761317158789E-5</v>
      </c>
      <c r="U69" s="165">
        <f t="shared" si="315"/>
        <v>4.3967444896544926E-5</v>
      </c>
      <c r="V69" s="165">
        <f t="shared" si="316"/>
        <v>4.2667881084418935E-5</v>
      </c>
      <c r="W69" s="165">
        <f t="shared" si="317"/>
        <v>4.1731633999005128E-5</v>
      </c>
      <c r="X69" s="165">
        <f t="shared" si="318"/>
        <v>4.0529320914740763E-5</v>
      </c>
      <c r="Y69" s="165">
        <f t="shared" si="319"/>
        <v>3.9885604274780125E-5</v>
      </c>
      <c r="Z69" s="165">
        <f t="shared" si="320"/>
        <v>3.8913824627106418E-5</v>
      </c>
      <c r="AA69" s="165">
        <f t="shared" si="321"/>
        <v>3.8239709062163284E-5</v>
      </c>
      <c r="AB69" s="165">
        <f t="shared" si="322"/>
        <v>3.7320524197782473E-5</v>
      </c>
      <c r="AC69" s="186">
        <f t="shared" si="265"/>
        <v>3.9917038136810175E-5</v>
      </c>
      <c r="AD69" s="183">
        <f t="shared" si="266"/>
        <v>3.9644444271248759E-5</v>
      </c>
      <c r="AE69" s="183">
        <f t="shared" si="267"/>
        <v>3.7859478504633226E-5</v>
      </c>
      <c r="AF69" s="183">
        <f t="shared" si="268"/>
        <v>3.6483693831151735E-5</v>
      </c>
      <c r="AG69" s="183">
        <f t="shared" si="269"/>
        <v>3.4833899978524623E-5</v>
      </c>
      <c r="AH69" s="183">
        <f t="shared" si="270"/>
        <v>3.3928552064900269E-5</v>
      </c>
      <c r="AI69" s="183">
        <f t="shared" si="271"/>
        <v>3.2549518086315374E-5</v>
      </c>
      <c r="AJ69" s="183">
        <f t="shared" si="272"/>
        <v>3.157919663837666E-5</v>
      </c>
      <c r="AK69" s="183">
        <f t="shared" si="273"/>
        <v>3.0385345903429951E-5</v>
      </c>
      <c r="AL69" s="186">
        <f t="shared" si="323"/>
        <v>3.6104085708697026E-2</v>
      </c>
      <c r="AM69" s="183">
        <f t="shared" si="324"/>
        <v>3.5956177772154943E-2</v>
      </c>
      <c r="AN69" s="183">
        <f t="shared" si="325"/>
        <v>3.49051791103639E-2</v>
      </c>
      <c r="AO69" s="183">
        <f t="shared" si="326"/>
        <v>3.4143022287662778E-2</v>
      </c>
      <c r="AP69" s="183">
        <f t="shared" si="327"/>
        <v>3.3146344662771866E-2</v>
      </c>
      <c r="AQ69" s="183">
        <f t="shared" si="328"/>
        <v>3.2607400862075892E-2</v>
      </c>
      <c r="AR69" s="183">
        <f t="shared" si="329"/>
        <v>3.178500947965994E-2</v>
      </c>
      <c r="AS69" s="183">
        <f t="shared" si="330"/>
        <v>3.1207506823441568E-2</v>
      </c>
      <c r="AT69" s="183">
        <f t="shared" si="331"/>
        <v>3.0418630084894559E-2</v>
      </c>
      <c r="AU69" s="186">
        <f>_xlfn.FORECAST.LINEAR(Sheet3!DF69,Sheet2!$AH$2:$AH$40,Sheet2!$AG$2:$AG$40)</f>
        <v>4.0902410270024961E-2</v>
      </c>
      <c r="AV69" s="183">
        <f>_xlfn.FORECAST.LINEAR(Sheet3!BZ69,Sheet2!$AH$2:$AH$40,Sheet2!$AG$2:$AG$40)</f>
        <v>4.0576402800568394E-2</v>
      </c>
      <c r="AW69" s="183">
        <f>_xlfn.FORECAST.LINEAR(Sheet3!CA69,Sheet2!$AH$2:$AH$40,Sheet2!$AG$2:$AG$40)</f>
        <v>3.8276365563371884E-2</v>
      </c>
      <c r="AX69" s="183">
        <f>_xlfn.FORECAST.LINEAR(Sheet3!CB69,Sheet2!$AH$2:$AH$40,Sheet2!$AG$2:$AG$40)</f>
        <v>3.659637105166396E-2</v>
      </c>
      <c r="AY69" s="183">
        <f>_xlfn.FORECAST.LINEAR(Sheet3!CC69,Sheet2!$AH$2:$AH$40,Sheet2!$AG$2:$AG$40)</f>
        <v>3.4409669357507139E-2</v>
      </c>
      <c r="AZ69" s="183">
        <f>_xlfn.FORECAST.LINEAR(Sheet3!CD69,Sheet2!$AH$2:$AH$40,Sheet2!$AG$2:$AG$40)</f>
        <v>3.3224826255036026E-2</v>
      </c>
      <c r="BA69" s="183">
        <f>_xlfn.FORECAST.LINEAR(Sheet3!CE69,Sheet2!$AH$2:$AH$40,Sheet2!$AG$2:$AG$40)</f>
        <v>3.1416915128206366E-2</v>
      </c>
      <c r="BB69" s="183">
        <f>_xlfn.FORECAST.LINEAR(Sheet3!CF69,Sheet2!$AH$2:$AH$40,Sheet2!$AG$2:$AG$40)</f>
        <v>3.014864971860717E-2</v>
      </c>
      <c r="BC69" s="183">
        <f>_xlfn.FORECAST.LINEAR(Sheet3!CG69,Sheet2!$AH$2:$AH$40,Sheet2!$AG$2:$AG$40)</f>
        <v>2.8411008224464379E-2</v>
      </c>
      <c r="BD69" s="186">
        <f>_xlfn.FORECAST.LINEAR(Sheet3!DF69,Sheet2!$AB$12:$AB$37,Sheet2!$AA$12:$AA$37)/1000</f>
        <v>3.3915606923988664E-2</v>
      </c>
      <c r="BE69" s="183">
        <f>_xlfn.FORECAST.LINEAR(Sheet3!BZ69,Sheet2!$AB$12:$AB$37,Sheet2!$AA$12:$AA$37)/1000</f>
        <v>3.3842719199759702E-2</v>
      </c>
      <c r="BF69" s="183">
        <f>_xlfn.FORECAST.LINEAR(Sheet3!CA69,Sheet2!$AB$12:$AB$37,Sheet2!$AA$12:$AA$37)/1000</f>
        <v>3.3328484111402455E-2</v>
      </c>
      <c r="BG69" s="183">
        <f>_xlfn.FORECAST.LINEAR(Sheet3!CB69,Sheet2!$AB$12:$AB$37,Sheet2!$AA$12:$AA$37)/1000</f>
        <v>3.2952876224627184E-2</v>
      </c>
      <c r="BH69" s="183">
        <f>_xlfn.FORECAST.LINEAR(Sheet3!CC69,Sheet2!$AB$12:$AB$37,Sheet2!$AA$12:$AA$37)/1000</f>
        <v>3.2463980340369111E-2</v>
      </c>
      <c r="BI69" s="183">
        <f>_xlfn.FORECAST.LINEAR(Sheet3!CD69,Sheet2!$AB$12:$AB$37,Sheet2!$AA$12:$AA$37)/1000</f>
        <v>3.2199076847662468E-2</v>
      </c>
      <c r="BJ69" s="183">
        <f>_xlfn.FORECAST.LINEAR(Sheet3!CE69,Sheet2!$AB$12:$AB$37,Sheet2!$AA$12:$AA$37)/1000</f>
        <v>3.1794869766571685E-2</v>
      </c>
      <c r="BK69" s="183">
        <f>_xlfn.FORECAST.LINEAR(Sheet3!CF69,Sheet2!$AB$12:$AB$37,Sheet2!$AA$12:$AA$37)/1000</f>
        <v>3.1511314976928093E-2</v>
      </c>
      <c r="BL69" s="183">
        <f>_xlfn.FORECAST.LINEAR(Sheet3!CG69,Sheet2!$AB$12:$AB$37,Sheet2!$AA$12:$AA$37)/1000</f>
        <v>3.1122818559207968E-2</v>
      </c>
      <c r="BM69" s="186">
        <f t="shared" si="332"/>
        <v>0.75227177986457461</v>
      </c>
      <c r="BN69" s="183">
        <f t="shared" si="333"/>
        <v>0.75459476629757527</v>
      </c>
      <c r="BO69" s="183">
        <f t="shared" si="334"/>
        <v>0.77180028956774238</v>
      </c>
      <c r="BP69" s="183">
        <f t="shared" si="335"/>
        <v>0.78452903031735755</v>
      </c>
      <c r="BQ69" s="183">
        <f t="shared" si="336"/>
        <v>0.80214822944153374</v>
      </c>
      <c r="BR69" s="183">
        <f t="shared" si="337"/>
        <v>0.8119295392913265</v>
      </c>
      <c r="BS69" s="183">
        <f t="shared" si="338"/>
        <v>0.82725196302069604</v>
      </c>
      <c r="BT69" s="183">
        <f t="shared" si="339"/>
        <v>0.83827801793057255</v>
      </c>
      <c r="BU69" s="183">
        <f t="shared" si="340"/>
        <v>0.85436450192345881</v>
      </c>
      <c r="BV69" s="186">
        <f t="shared" si="341"/>
        <v>1.202328861163322</v>
      </c>
      <c r="BW69" s="183">
        <f t="shared" si="342"/>
        <v>1.2019250756051449</v>
      </c>
      <c r="BX69" s="183">
        <f t="shared" si="343"/>
        <v>1.1945664307509944</v>
      </c>
      <c r="BY69" s="183">
        <f t="shared" si="344"/>
        <v>1.1928728125050383</v>
      </c>
      <c r="BZ69" s="183">
        <f t="shared" si="345"/>
        <v>1.186257338817694</v>
      </c>
      <c r="CA69" s="183">
        <f t="shared" si="346"/>
        <v>1.1836751071639751</v>
      </c>
      <c r="CB69" s="183">
        <f t="shared" si="347"/>
        <v>1.1804292867621555</v>
      </c>
      <c r="CC69" s="183">
        <f t="shared" si="348"/>
        <v>1.1788808656517062</v>
      </c>
      <c r="CD69" s="183">
        <f t="shared" si="349"/>
        <v>1.1717427399747653</v>
      </c>
      <c r="CE69" s="187">
        <f xml:space="preserve"> -0.0000000019505*Sheet3!DF69^3 + 0.0000015497*Sheet3!DF69^2  + 0.00016911*Sheet3!DF69 + 1.8585</f>
        <v>1.9096570494375</v>
      </c>
      <c r="CF69" s="185">
        <f xml:space="preserve"> -0.0000000019505*Sheet3!BZ69^3 + 0.0000015497*Sheet3!BZ69^2  + 0.00016911*Sheet3!BZ69 + 1.8585</f>
        <v>1.9090226050292332</v>
      </c>
      <c r="CG69" s="185">
        <f xml:space="preserve"> -0.0000000019505*Sheet3!CA69^3 + 0.0000015497*Sheet3!CA69^2  + 0.00016911*Sheet3!CA69 + 1.8585</f>
        <v>1.904614186911737</v>
      </c>
      <c r="CH69" s="185">
        <f xml:space="preserve"> -0.0000000019505*Sheet3!CB69^3 + 0.0000015497*Sheet3!CB69^2  + 0.00016911*Sheet3!CB69 + 1.8585</f>
        <v>1.9014725469972351</v>
      </c>
      <c r="CI69" s="185">
        <f xml:space="preserve"> -0.0000000019505*Sheet3!CC69^3 + 0.0000015497*Sheet3!CC69^2  + 0.00016911*Sheet3!CC69 + 1.8585</f>
        <v>1.89748863430605</v>
      </c>
      <c r="CJ69" s="185">
        <f xml:space="preserve"> -0.0000000019505*Sheet3!CD69^3 + 0.0000015497*Sheet3!CD69^2  + 0.00016911*Sheet3!CD69 + 1.8585</f>
        <v>1.8953821299631972</v>
      </c>
      <c r="CK69" s="185">
        <f xml:space="preserve"> -0.0000000019505*Sheet3!CE69^3 + 0.0000015497*Sheet3!CE69^2  + 0.00016911*Sheet3!CE69 + 1.8585</f>
        <v>1.8922418381477322</v>
      </c>
      <c r="CL69" s="185">
        <f xml:space="preserve"> -0.0000000019505*Sheet3!CF69^3 + 0.0000015497*Sheet3!CF69^2  + 0.00016911*Sheet3!CF69 + 1.8585</f>
        <v>1.8900941942469274</v>
      </c>
      <c r="CM69" s="185">
        <f xml:space="preserve"> -0.0000000019505*Sheet3!CG69^3 + 0.0000015497*Sheet3!CG69^2  + 0.00016911*Sheet3!CG69 + 1.8585</f>
        <v>1.8872287430674233</v>
      </c>
      <c r="CN69" s="186">
        <f>_xlfn.FORECAST.LINEAR(Sheet3!DF69,New!$LU$2:$LU$14,New!$LT$2:$LT$14)</f>
        <v>1.023844178140866</v>
      </c>
      <c r="CO69" s="183">
        <f>_xlfn.FORECAST.LINEAR(Sheet3!BZ69,New!$LU$2:$LU$14,New!$LT$2:$LT$14)</f>
        <v>1.023604232366363</v>
      </c>
      <c r="CP69" s="183">
        <f>_xlfn.FORECAST.LINEAR(Sheet3!CA69,New!$LU$2:$LU$14,New!$LT$2:$LT$14)</f>
        <v>1.0219113747849564</v>
      </c>
      <c r="CQ69" s="183">
        <f>_xlfn.FORECAST.LINEAR(Sheet3!CB69,New!$LU$2:$LU$14,New!$LT$2:$LT$14)</f>
        <v>1.020674876784023</v>
      </c>
      <c r="CR69" s="183">
        <f>_xlfn.FORECAST.LINEAR(Sheet3!CC69,New!$LU$2:$LU$14,New!$LT$2:$LT$14)</f>
        <v>1.0190654356491744</v>
      </c>
      <c r="CS69" s="183">
        <f>_xlfn.FORECAST.LINEAR(Sheet3!CD69,New!$LU$2:$LU$14,New!$LT$2:$LT$14)</f>
        <v>1.0181933755814685</v>
      </c>
      <c r="CT69" s="183">
        <f>_xlfn.FORECAST.LINEAR(Sheet3!CE69,New!$LU$2:$LU$14,New!$LT$2:$LT$14)</f>
        <v>1.0168627292736316</v>
      </c>
      <c r="CU69" s="183">
        <f>_xlfn.FORECAST.LINEAR(Sheet3!CF69,New!$LU$2:$LU$14,New!$LT$2:$LT$14)</f>
        <v>1.0159292692934392</v>
      </c>
      <c r="CV69" s="183">
        <f>_xlfn.FORECAST.LINEAR(Sheet3!CG69,New!$LU$2:$LU$14,New!$LT$2:$LT$14)</f>
        <v>1.0146503423571467</v>
      </c>
      <c r="CW69" s="186">
        <f>EXP((17.625*Sheet3!BA69)/(243.04+Sheet3!BA69)) / EXP((17.625*Sheet3!DF69)/(243.04+Sheet3!DF69))</f>
        <v>5.6093671640401591E-2</v>
      </c>
      <c r="CX69" s="183">
        <f>EXP((17.625*(Sheet3!BC69+273))/(243.04+(Sheet3!BC69+273)))/EXP((17.625*(Sheet3!BZ69+273))/(243.04+(Sheet3!BZ69+273)))</f>
        <v>0.41329698023872952</v>
      </c>
      <c r="CY69" s="183">
        <f>EXP((17.625*(Sheet3!BE69+273))/(243.04+(Sheet3!BE69+273))) / EXP((17.625*(Sheet3!CA69+273))/(243.04+(Sheet3!CA69+273)))</f>
        <v>0.44971175002790376</v>
      </c>
      <c r="CZ69" s="183">
        <f>EXP((17.625*(Sheet3!BG69+273))/(243.04+(Sheet3!BG69+273))) / EXP((17.625*(Sheet3!CB69+273))/(243.04+(Sheet3!CB69+273)))</f>
        <v>0.48109565746738953</v>
      </c>
      <c r="DA69" s="183">
        <f>EXP((17.625*(Sheet3!BI69+273))/(243.04+(Sheet3!BI69+273))) / EXP((17.625*(Sheet3!CC69+273))/(243.04+(Sheet3!CC69+273)))</f>
        <v>0.52361141537894396</v>
      </c>
      <c r="DB69" s="183">
        <f>EXP((17.625*(Sheet3!BK69+273))/(243.04+(Sheet3!BK69+273)))/EXP((17.625*(Sheet3!CD69+273))/(243.04+(Sheet3!CD69+273)))</f>
        <v>0.54938186920391485</v>
      </c>
      <c r="DC69" s="183">
        <f>EXP((17.625*(Sheet3!BM69+273))/(243.04+(Sheet3!BM69+273))) / EXP((17.625*(Sheet3!CE69+273))/(243.04+(Sheet3!CE69+273)))</f>
        <v>0.59248634774680831</v>
      </c>
      <c r="DD69" s="183">
        <f>EXP((17.625*(Sheet3!BO69+273))/(243.04+(Sheet3!BO69+273))) / EXP((17.625*(Sheet3!CF69+273))/(243.04+(Sheet3!CF69+273)))</f>
        <v>0.62593605358246796</v>
      </c>
      <c r="DE69" s="183">
        <f>EXP((17.625*(Sheet3!BQ69+273))/(243.04+(Sheet3!BQ69+273))) / EXP((17.625*(Sheet3!CG69+273))/(243.04+(Sheet3!CG69+273)))</f>
        <v>0.67160827113134258</v>
      </c>
      <c r="DF69" s="186">
        <f>((Sheet3!DA69-Sheet3!DB69)/New!$LQ$3)/(((Sheet3!DA69-Sheet3!DB69)/New!$LQ$3)+(Sheet3!DB69/New!$LP$3))</f>
        <v>0.7114180529797659</v>
      </c>
      <c r="DG69" s="183">
        <f>((Sheet3!DA69-Sheet3!DB69)/New!$LQ$3)/(((Sheet3!DA69-Sheet3!DB69)/New!$LQ$3)+((Sheet3!DB69-(Sheet3!B69*0.004))/New!$LP$3))</f>
        <v>0.71178322238095881</v>
      </c>
      <c r="DH69" s="183" cm="1">
        <f t="array" ref="DH69">((Sheet3!DA69-Sheet3!DB69)/New!$LQ$3)/(((Sheet3!DA69-Sheet3!DB69)/New!$LQ$3)+((Sheet3!DB69-(SUM(Sheet3!B69:C69*0.004)))/New!$LP$3))</f>
        <v>0.73466060757448526</v>
      </c>
      <c r="DI69" s="183" cm="1">
        <f t="array" ref="DI69">((Sheet3!DA69-Sheet3!DB69)/New!$LQ$3)/(((Sheet3!DA69-Sheet3!DB69)/New!$LQ$3)+((Sheet3!DB69-(SUM(Sheet3!B69:D69*0.004)))/New!$LP$3))</f>
        <v>0.73505003398930269</v>
      </c>
      <c r="DJ69" s="183" cm="1">
        <f t="array" ref="DJ69">((Sheet3!DA69-Sheet3!DB69)/New!$LQ$3)/(((Sheet3!DA69-Sheet3!DB69)/New!$LQ$3)+((Sheet3!DB69-(SUM(Sheet3!B69:E69*0.004)))/New!$LP$3))</f>
        <v>0.75660699179351243</v>
      </c>
      <c r="DK69" s="183" cm="1">
        <f t="array" ref="DK69">((Sheet3!DA69-Sheet3!DB69)/New!$LQ$3)/(((Sheet3!DA69-Sheet3!DB69)/New!$LQ$3)+((Sheet3!DB69-(SUM(Sheet3!B69:F69*0.004)))/New!$LP$3))</f>
        <v>0.76386594994172263</v>
      </c>
      <c r="DL69" s="183" cm="1">
        <f t="array" ref="DL69">((Sheet3!DA69-Sheet3!DB69)/New!$LQ$3)/(((Sheet3!DA69-Sheet3!DB69)/New!$LQ$3)+((Sheet3!DB69-(SUM(Sheet3!B69:G69*0.004)))/New!$LP$3))</f>
        <v>0.77176633666467864</v>
      </c>
      <c r="DM69" s="183" cm="1">
        <f t="array" ref="DM69">((Sheet3!DA69-Sheet3!DB69)/New!$LQ$3)/(((Sheet3!DA69-Sheet3!DB69)/New!$LQ$3)+((Sheet3!DB69-(SUM(Sheet3!B69:H69*0.004)))/New!$LP$3))</f>
        <v>0.7737400501245455</v>
      </c>
      <c r="DN69" s="183" cm="1">
        <f t="array" ref="DN69">((Sheet3!DA69-Sheet3!DB69)/New!$LQ$3)/(((Sheet3!DA69-Sheet3!DB69)/New!$LQ$3)+((Sheet3!DB69-(SUM(Sheet3!B69:I69*0.004)))/New!$LP$3))</f>
        <v>0.8031298115896347</v>
      </c>
      <c r="DO69" s="186">
        <f>(Sheet3!DB69/$LP$3) / ((Sheet3!DB69/$LP$3) + ((Sheet3!DA69-Sheet3!DB69)/$LQ$3))</f>
        <v>0.28858194702023421</v>
      </c>
      <c r="DP69" s="183">
        <f>((Sheet3!$DB69-(Sheet3!B69/4000)) / $LP$3) / (((Sheet3!$DA69-Sheet3!DB69) / $LQ$3) + (Sheet3!$DB69-((Sheet3!B69/4000)))/$LP$3)</f>
        <v>0.28855913491023005</v>
      </c>
      <c r="DQ69" s="183">
        <f>((Sheet3!$DB69-(SUM(Sheet3!B69:C69)/4000))/$LP$3)/(((Sheet3!$DA69-Sheet3!$DB69)/$LQ$3)+(Sheet3!$DB69-(SUM(Sheet3!B69:C69)/4000))/$LP$3)</f>
        <v>0.28717245833227634</v>
      </c>
      <c r="DR69" s="183">
        <f>((Sheet3!$DB69-(SUM(Sheet3!B69:D69)/4000))/$LP$3)/(((Sheet3!$DA69-Sheet3!$DB69)/$LQ$3)+(Sheet3!$DB69-(SUM(Sheet3!B69:D69)/4000))/$LP$3)</f>
        <v>0.28714955573882095</v>
      </c>
      <c r="DS69" s="183">
        <f>((Sheet3!$DB69-(SUM(Sheet3!B69:E69)/4000))/$LP$3)/(((Sheet3!$DA69-Sheet3!$DB69)/$LQ$3)+(Sheet3!$DB69-(SUM(Sheet3!B69:E69)/4000))/$LP$3)</f>
        <v>0.28591637214806642</v>
      </c>
      <c r="DT69" s="183">
        <f>((Sheet3!$DB69-(SUM(Sheet3!B69:F69)/4000))/$LP$3)/(((Sheet3!$DA69-Sheet3!$DB69)/$LQ$3)+(Sheet3!$DB69-(SUM(Sheet3!B69:F69)/4000))/$LP$3)</f>
        <v>0.2855158666587771</v>
      </c>
      <c r="DU69" s="183">
        <f>((Sheet3!$DB69-(SUM(Sheet3!B69:G69)/4000))/$LP$3)/(((Sheet3!$DA69-Sheet3!$DB69)/$LQ$3)+(Sheet3!$DB69-(SUM(Sheet3!B69:G69)/4000))/$LP$3)</f>
        <v>0.28508803734492211</v>
      </c>
      <c r="DV69" s="183">
        <f>((Sheet3!$DB69-(SUM(Sheet3!B69:H69)/4000))/$LP$3)/(((Sheet3!$DA69-Sheet3!$DB69)/$LQ$3)+(Sheet3!$DB69-(SUM(Sheet3!B69:H69)/4000))/$LP$3)</f>
        <v>0.2849824401252985</v>
      </c>
      <c r="DW69" s="183">
        <f>((Sheet3!$DB69-(SUM(Sheet3!B69:I69)/4000))/$LP$3)/(((Sheet3!$DA69-Sheet3!$DB69)/$LQ$3)+(Sheet3!$DB69-(SUM(Sheet3!B69:I69)/4000))/$LP$3)</f>
        <v>0.28346801591812043</v>
      </c>
      <c r="DX69" s="186">
        <f>($LR$2*($LP$3/1000))/($LP$2*(Sheet3!DF69+273))*DO69</f>
        <v>0.15157714967420535</v>
      </c>
      <c r="DY69" s="183">
        <f>(($LR$2*($LP$3/1000))/($LP$2*(Sheet3!BZ69+273)))*(DP69)</f>
        <v>0.15203172388736794</v>
      </c>
      <c r="DZ69" s="183">
        <f>(($LR$2*($LP$3/1000))/($LP$2*(Sheet3!CA69+273)))*(DQ69)</f>
        <v>0.15465997657033229</v>
      </c>
      <c r="EA69" s="183">
        <f>(($LR$2*($LP$3/1000))/($LP$2*(Sheet3!CB69+273)))*(DR69)</f>
        <v>0.15719660688779025</v>
      </c>
      <c r="EB69" s="183">
        <f>(($LR$2*($LP$3/1000))/($LP$2*(Sheet3!CC69+273)))*(DS69)</f>
        <v>0.15995310109212971</v>
      </c>
      <c r="EC69" s="183">
        <f>(($LR$2*($LP$3/1000))/($LP$2*(Sheet3!CD69+273)))*(DT69)</f>
        <v>0.16164932877869401</v>
      </c>
      <c r="ED69" s="183">
        <f>(($LR$2*($LP$3/1000))/($LP$2*(Sheet3!CE69+273)))*(DU69)</f>
        <v>0.16442331793727163</v>
      </c>
      <c r="EE69" s="183">
        <f>(($LR$2*($LP$3/1000))/($LP$2*(Sheet3!CF69+273)))*(DV69)</f>
        <v>0.16654567575343301</v>
      </c>
      <c r="EF69" s="183">
        <f>(($LR$2*($LP$3/1000))/($LP$2*(Sheet3!CG69+273)))*(DW69)</f>
        <v>0.16873141836107916</v>
      </c>
      <c r="EG69" s="186">
        <f>(($LR$2*($LQ$3/1000))/($LQ$2*(Sheet3!DF69+273)))*(1-DO69)</f>
        <v>0.60069463019036928</v>
      </c>
      <c r="EH69" s="183">
        <f>(($LR$2*($LQ$3/1000))/($LQ$2*(Sheet3!BZ69+273)))*(1-DP69)</f>
        <v>0.60256304241020731</v>
      </c>
      <c r="EI69" s="183">
        <f>(($LR$2*($LQ$3/1000))/($LQ$2*(Sheet3!CA69+273)))*(1-DQ69)</f>
        <v>0.61714031299741012</v>
      </c>
      <c r="EJ69" s="183">
        <f>(($LR$2*($LQ$3/1000))/($LQ$2*(Sheet3!CB69+273)))*(1-DR69)</f>
        <v>0.6273324234295673</v>
      </c>
      <c r="EK69" s="183">
        <f>(($LR$2*($LQ$3/1000))/($LQ$2*(Sheet3!CC69+273)))*(1-DS69)</f>
        <v>0.64219512834940407</v>
      </c>
      <c r="EL69" s="183">
        <f>(($LR$2*($LQ$3/1000))/($LQ$2*(Sheet3!CD69+273)))*(1-DT69)</f>
        <v>0.65028021051263252</v>
      </c>
      <c r="EM69" s="183">
        <f>(($LR$2*($LQ$3/1000))/($LQ$2*(Sheet3!CE69+273)))*(1-DU69)</f>
        <v>0.66282864508342443</v>
      </c>
      <c r="EN69" s="183">
        <f>(($LR$2*($LQ$3/1000))/($LQ$2*(Sheet3!CF69+273)))*(1-DV69)</f>
        <v>0.67173234217713951</v>
      </c>
      <c r="EO69" s="183">
        <f>(($LR$2*($LQ$3/1000))/($LQ$2*(Sheet3!CG69+273)))*(1-DW69)</f>
        <v>0.68563308356237962</v>
      </c>
      <c r="EP69" s="186">
        <f t="shared" si="350"/>
        <v>2949.1173305606148</v>
      </c>
      <c r="EQ69" s="183">
        <f xml:space="preserve"> (($FV69-(Sheet3!B69/4000))*0.018)/(0.011*JO69*3600)</f>
        <v>2956.4479857046595</v>
      </c>
      <c r="ER69" s="183">
        <f>((($FV69-(SUM(Sheet3!B69:C69)/4000))*0.018)/(0.011*JP69*3600))</f>
        <v>3003.9246446616835</v>
      </c>
      <c r="ES69" s="183">
        <f>((($FV69-(SUM(Sheet3!B69:D69)/4000))*0.018)/(0.011*JQ69*3600))</f>
        <v>3044.0703014032533</v>
      </c>
      <c r="ET69" s="183">
        <f>((($FV69-(SUM(Sheet3!B69:E69)/4000))*0.018)/(0.011*JR69))/3600</f>
        <v>3092.5788225083129</v>
      </c>
      <c r="EU69" s="183">
        <f>((($FV69-(SUM(Sheet3!B69:F69)/4000))*0.018)/(0.011*JS69))/3600</f>
        <v>3120.8099093282499</v>
      </c>
      <c r="EV69" s="183">
        <f>((($FV69-(SUM(Sheet3!B69:G69)/4000))*0.018)/(0.011*JT69))/3600</f>
        <v>3165.8194898150091</v>
      </c>
      <c r="EW69" s="183">
        <f>((($FV69-(SUM(Sheet3!B69:H69)/4000))*0.018)/(0.011*JU69))/3600</f>
        <v>3199.1353363559397</v>
      </c>
      <c r="EX69" s="183">
        <f>((($FV69-(SUM(Sheet3!B69:I69)/4000))*0.018)/(0.011*JV69))/3600</f>
        <v>3239.4480933451732</v>
      </c>
      <c r="EY69" s="186">
        <f t="shared" si="351"/>
        <v>36.203809562707455</v>
      </c>
      <c r="EZ69" s="183">
        <f t="shared" si="352"/>
        <v>36.276985160446024</v>
      </c>
      <c r="FA69" s="183">
        <f t="shared" si="353"/>
        <v>36.725246746885411</v>
      </c>
      <c r="FB69" s="183">
        <f t="shared" si="354"/>
        <v>37.131951010206997</v>
      </c>
      <c r="FC69" s="183">
        <f t="shared" si="355"/>
        <v>37.598930393655948</v>
      </c>
      <c r="FD69" s="183">
        <f t="shared" si="356"/>
        <v>37.879324311075656</v>
      </c>
      <c r="FE69" s="183">
        <f t="shared" si="357"/>
        <v>38.333680574781837</v>
      </c>
      <c r="FF69" s="183">
        <f t="shared" si="358"/>
        <v>38.677066161441587</v>
      </c>
      <c r="FG69" s="183">
        <f t="shared" si="359"/>
        <v>39.061129199511932</v>
      </c>
      <c r="FH69" s="186">
        <f t="shared" si="274"/>
        <v>72.616969079629726</v>
      </c>
      <c r="FI69" s="183">
        <f t="shared" si="275"/>
        <v>72.465651525934675</v>
      </c>
      <c r="FJ69" s="183">
        <f t="shared" si="276"/>
        <v>71.216739754019144</v>
      </c>
      <c r="FK69" s="183">
        <f t="shared" si="277"/>
        <v>70.433168384772216</v>
      </c>
      <c r="FL69" s="183">
        <f t="shared" si="278"/>
        <v>69.237061432204939</v>
      </c>
      <c r="FM69" s="183">
        <f t="shared" si="279"/>
        <v>68.619239566434487</v>
      </c>
      <c r="FN69" s="183">
        <f t="shared" si="280"/>
        <v>67.690911136649831</v>
      </c>
      <c r="FO69" s="183">
        <f t="shared" si="281"/>
        <v>67.056378119104963</v>
      </c>
      <c r="FP69" s="183">
        <f t="shared" si="282"/>
        <v>66.010335545457053</v>
      </c>
      <c r="FQ69" s="314">
        <f>Sheet3!CV69</f>
        <v>3</v>
      </c>
      <c r="FR69" s="183">
        <v>3000</v>
      </c>
      <c r="FS69" s="183">
        <v>20</v>
      </c>
      <c r="FT69" s="183">
        <v>0.17757377049180328</v>
      </c>
      <c r="FU69" s="183">
        <v>39.5</v>
      </c>
      <c r="FV69" s="183">
        <v>134</v>
      </c>
      <c r="FW69" s="183">
        <v>27</v>
      </c>
      <c r="FX69" s="183">
        <v>402</v>
      </c>
      <c r="FY69" s="183">
        <v>7.1</v>
      </c>
      <c r="FZ69" s="183">
        <v>19.7</v>
      </c>
      <c r="GA69" s="183">
        <v>145</v>
      </c>
      <c r="GB69" s="186">
        <f>EXP($LP$6-($LQ$6/('Trial and Error method'!T69+$LP$8))) / ($LR$2/1000)</f>
        <v>0.22459816761298323</v>
      </c>
      <c r="GC69" s="183">
        <f>EXP($LP$6-($LQ$6/('Trial and Error method'!U69+$LP$8))) / ($LR$2/1000)</f>
        <v>9.9990116582476654E-2</v>
      </c>
      <c r="GD69" s="183">
        <f>EXP($LP$6-($LQ$6/('Trial and Error method'!V69+$LP$8))) / ($LR$2/1000)</f>
        <v>9.2357050635270138E-2</v>
      </c>
      <c r="GE69" s="183">
        <f>EXP($LP$6-($LQ$6/('Trial and Error method'!W69+$LP$8))) / ($LR$2/1000)</f>
        <v>8.7452151847554602E-2</v>
      </c>
      <c r="GF69" s="183">
        <f>EXP($LP$6-($LQ$6/('Trial and Error method'!X69+$LP$8))) / ($LR$2/1000)</f>
        <v>8.2603854017119449E-2</v>
      </c>
      <c r="GG69" s="183">
        <f>EXP($LP$6-($LQ$6/('Trial and Error method'!Y69+$LP$8))) / ($LR$2/1000)</f>
        <v>7.9638934382702448E-2</v>
      </c>
      <c r="GH69" s="183">
        <f>EXP($LP$6-($LQ$6/('Trial and Error method'!Z69+$LP$8))) / ($LR$2/1000)</f>
        <v>7.1134766723327039E-2</v>
      </c>
      <c r="GI69" s="183">
        <f>EXP($LP$6-($LQ$6/('Trial and Error method'!AA69+$LP$8))) / ($LR$2/1000)</f>
        <v>0.23122664743813823</v>
      </c>
      <c r="GJ69" s="183">
        <f>EXP($LP$6-($LQ$6/('Trial and Error method'!AB69+$LP$8))) / ($LR$2/1000)</f>
        <v>0.21833213321743386</v>
      </c>
      <c r="GK69" s="188">
        <f t="shared" si="411"/>
        <v>0.74295080303458949</v>
      </c>
      <c r="GL69" s="165">
        <f t="shared" si="360"/>
        <v>0.80203418102101864</v>
      </c>
      <c r="GM69" s="165">
        <f t="shared" si="361"/>
        <v>0.80631658532512707</v>
      </c>
      <c r="GN69" s="165">
        <f t="shared" si="362"/>
        <v>0.80859339782292283</v>
      </c>
      <c r="GO69" s="165">
        <f t="shared" si="363"/>
        <v>0.81149950640913293</v>
      </c>
      <c r="GP69" s="165">
        <f t="shared" si="364"/>
        <v>0.81308314067602161</v>
      </c>
      <c r="GQ69" s="165">
        <f t="shared" si="365"/>
        <v>0.81722609853530981</v>
      </c>
      <c r="GR69" s="165">
        <f t="shared" si="366"/>
        <v>0.74157075892630797</v>
      </c>
      <c r="GS69" s="165">
        <f t="shared" si="367"/>
        <v>0.74862771163527686</v>
      </c>
      <c r="GT69" s="188">
        <f t="shared" si="283"/>
        <v>5.4090627488473923E-2</v>
      </c>
      <c r="GU69" s="165">
        <f t="shared" si="284"/>
        <v>5.0102980985132523E-2</v>
      </c>
      <c r="GV69" s="165">
        <f t="shared" si="285"/>
        <v>4.9810342757870288E-2</v>
      </c>
      <c r="GW69" s="165">
        <f t="shared" si="286"/>
        <v>4.9682067550137238E-2</v>
      </c>
      <c r="GX69" s="165">
        <f t="shared" si="287"/>
        <v>4.9493934770528061E-2</v>
      </c>
      <c r="GY69" s="165">
        <f t="shared" si="288"/>
        <v>4.9402399049192185E-2</v>
      </c>
      <c r="GZ69" s="165">
        <f t="shared" si="289"/>
        <v>4.9168855741115673E-2</v>
      </c>
      <c r="HA69" s="165">
        <f t="shared" si="290"/>
        <v>5.420786305142191E-2</v>
      </c>
      <c r="HB69" s="165">
        <f t="shared" si="291"/>
        <v>5.368733491762108E-2</v>
      </c>
      <c r="HC69" s="188">
        <f>BV69*Sheet3!DF69</f>
        <v>174.33768486868169</v>
      </c>
      <c r="HD69" s="165">
        <f>BW69*Sheet3!BZ69</f>
        <v>172.73735225014801</v>
      </c>
      <c r="HE69" s="165">
        <f>BX69*Sheet3!CA69</f>
        <v>160.86884257817769</v>
      </c>
      <c r="HF69" s="165">
        <f>BY69*Sheet3!CB69</f>
        <v>152.75542628934701</v>
      </c>
      <c r="HG69" s="165">
        <f>BZ69*Sheet3!CC69</f>
        <v>141.70153231902015</v>
      </c>
      <c r="HH69" s="165">
        <f>CA69*Sheet3!CD69</f>
        <v>135.87469467373884</v>
      </c>
      <c r="HI69" s="165">
        <f>CB69*Sheet3!CE69</f>
        <v>127.1048846646934</v>
      </c>
      <c r="HJ69" s="165">
        <f>CC69*Sheet3!CF69</f>
        <v>121.05515931196329</v>
      </c>
      <c r="HK69" s="165">
        <f>CD69*Sheet3!CG69</f>
        <v>112.3107232410588</v>
      </c>
      <c r="HL69" s="188">
        <f>(CE69*Sheet3!DF69)+2501</f>
        <v>2777.9002721684374</v>
      </c>
      <c r="HM69" s="165">
        <f>(CF69*Sheet3!BZ69)+2501</f>
        <v>2775.3594562351591</v>
      </c>
      <c r="HN69" s="165">
        <f>(CG69*Sheet3!CA69)+2501</f>
        <v>2757.4889418613966</v>
      </c>
      <c r="HO69" s="165">
        <f>(CH69*Sheet3!CB69)+2501</f>
        <v>2744.4964117289965</v>
      </c>
      <c r="HP69" s="165">
        <f>(CI69*Sheet3!CC69)+2501</f>
        <v>2727.6599651194347</v>
      </c>
      <c r="HQ69" s="165">
        <f>(CJ69*Sheet3!CD69)+2501</f>
        <v>2718.571922092583</v>
      </c>
      <c r="HR69" s="165">
        <f>(CK69*Sheet3!CE69)+2501</f>
        <v>2704.7506043713875</v>
      </c>
      <c r="HS69" s="165">
        <f>(CL69*Sheet3!CF69)+2501</f>
        <v>2695.0871723901387</v>
      </c>
      <c r="HT69" s="165">
        <f>(CM69*Sheet3!CG69)+2501</f>
        <v>2681.889556917401</v>
      </c>
      <c r="HU69" s="188">
        <f>-0.0021*(Sheet3!DF69^2) - 2.2115*(Sheet3!DF69) + 2499</f>
        <v>2134.1799999999998</v>
      </c>
      <c r="HV69" s="165">
        <f>-0.0021*(Sheet3!BZ69^2) - 2.2115*(Sheet3!BZ69) + 2499</f>
        <v>2137.7945744793574</v>
      </c>
      <c r="HW69" s="165">
        <f>-0.0021*(Sheet3!CA69^2) - 2.2115*(Sheet3!CA69) + 2499</f>
        <v>2163.0996239326073</v>
      </c>
      <c r="HX69" s="165">
        <f>-0.0021*(Sheet3!CB69^2) - 2.2115*(Sheet3!CB69) + 2499</f>
        <v>2181.3655570199785</v>
      </c>
      <c r="HY69" s="165">
        <f>-0.0021*(Sheet3!CC69^2) - 2.2115*(Sheet3!CC69) + 2499</f>
        <v>2204.865815021355</v>
      </c>
      <c r="HZ69" s="165">
        <f>-0.0021*(Sheet3!CD69^2) - 2.2115*(Sheet3!CD69) + 2499</f>
        <v>2217.4693207335636</v>
      </c>
      <c r="IA69" s="165">
        <f>-0.0021*(Sheet3!CE69^2) - 2.2115*(Sheet3!CE69) + 2499</f>
        <v>2236.5246587279385</v>
      </c>
      <c r="IB69" s="165">
        <f>-0.0021*(Sheet3!CF69^2) - 2.2115*(Sheet3!CF69) + 2499</f>
        <v>2249.7652981060523</v>
      </c>
      <c r="IC69" s="165">
        <f>-0.0021*(Sheet3!CG69^2) - 2.2115*(Sheet3!CG69) + 2499</f>
        <v>2267.7363835055771</v>
      </c>
      <c r="ID69" s="188">
        <f t="shared" si="292"/>
        <v>0.68779178921650874</v>
      </c>
      <c r="IE69" s="165">
        <f t="shared" si="293"/>
        <v>0.68866185602221042</v>
      </c>
      <c r="IF69" s="165">
        <f t="shared" si="294"/>
        <v>0.69296854072556657</v>
      </c>
      <c r="IG69" s="165">
        <f t="shared" si="295"/>
        <v>0.6980875326163255</v>
      </c>
      <c r="IH69" s="165">
        <f t="shared" si="296"/>
        <v>0.70302571714623607</v>
      </c>
      <c r="II69" s="165">
        <f t="shared" si="297"/>
        <v>0.70636295843014862</v>
      </c>
      <c r="IJ69" s="165">
        <f t="shared" si="298"/>
        <v>0.71208053881587641</v>
      </c>
      <c r="IK69" s="165">
        <f t="shared" si="299"/>
        <v>0.71668967439236275</v>
      </c>
      <c r="IL69" s="165">
        <f t="shared" si="300"/>
        <v>0.72066614651197114</v>
      </c>
      <c r="IM69" s="188">
        <f t="shared" si="301"/>
        <v>7.3862321726922904</v>
      </c>
      <c r="IN69" s="165">
        <f t="shared" si="368"/>
        <v>20.197605097392906</v>
      </c>
      <c r="IO69" s="165">
        <f t="shared" si="369"/>
        <v>20.990334220536351</v>
      </c>
      <c r="IP69" s="165">
        <f t="shared" si="370"/>
        <v>21.642156413157775</v>
      </c>
      <c r="IQ69" s="165">
        <f t="shared" si="371"/>
        <v>22.186983737359032</v>
      </c>
      <c r="IR69" s="165">
        <f t="shared" si="372"/>
        <v>22.553468817552019</v>
      </c>
      <c r="IS69" s="165">
        <f t="shared" si="373"/>
        <v>23.527875971280089</v>
      </c>
      <c r="IT69" s="165">
        <f t="shared" si="374"/>
        <v>6.5557860402787034</v>
      </c>
      <c r="IU69" s="165">
        <f t="shared" si="375"/>
        <v>7.9302105224481849</v>
      </c>
      <c r="IV69" s="188">
        <f>_xlfn.FORECAST.LINEAR(Sheet3!DF69,Sheet2!$AK$2:$AK$69,Sheet2!$AJ$2:$AJ$69)</f>
        <v>1.386217343669711E-5</v>
      </c>
      <c r="IW69" s="165">
        <f>_xlfn.FORECAST.LINEAR(Sheet3!BZ69,Sheet2!$AK$2:$AK$69,Sheet2!$AJ$2:$AJ$69)</f>
        <v>1.3817260976695104E-5</v>
      </c>
      <c r="IX69" s="165">
        <f>_xlfn.FORECAST.LINEAR(Sheet3!CA69,Sheet2!$AK$2:$AK$69,Sheet2!$AJ$2:$AJ$69)</f>
        <v>1.3500396057646143E-5</v>
      </c>
      <c r="IY69" s="165">
        <f>_xlfn.FORECAST.LINEAR(Sheet3!CB69,Sheet2!$AK$2:$AK$69,Sheet2!$AJ$2:$AJ$69)</f>
        <v>1.3268951402600522E-5</v>
      </c>
      <c r="IZ69" s="165">
        <f>_xlfn.FORECAST.LINEAR(Sheet3!CC69,Sheet2!$AK$2:$AK$69,Sheet2!$AJ$2:$AJ$69)</f>
        <v>1.2967700168882331E-5</v>
      </c>
      <c r="JA69" s="165">
        <f>_xlfn.FORECAST.LINEAR(Sheet3!CD69,Sheet2!$AK$2:$AK$69,Sheet2!$AJ$2:$AJ$69)</f>
        <v>1.2804470109960398E-5</v>
      </c>
      <c r="JB69" s="165">
        <f>_xlfn.FORECAST.LINEAR(Sheet3!CE69,Sheet2!$AK$2:$AK$69,Sheet2!$AJ$2:$AJ$69)</f>
        <v>1.2555403006356088E-5</v>
      </c>
      <c r="JC69" s="165">
        <f>_xlfn.FORECAST.LINEAR(Sheet3!CF69,Sheet2!$AK$2:$AK$69,Sheet2!$AJ$2:$AJ$69)</f>
        <v>1.2380680262808213E-5</v>
      </c>
      <c r="JD69" s="165">
        <f>_xlfn.FORECAST.LINEAR(Sheet3!CG69,Sheet2!$AK$2:$AK$69,Sheet2!$AJ$2:$AJ$69)</f>
        <v>1.2141293863982432E-5</v>
      </c>
      <c r="JE69" s="188">
        <f>_xlfn.FORECAST.LINEAR(Sheet3!DF69,New!$MC$2:$MC$18,New!$MB$2:$MB$18)</f>
        <v>2.337798370672098E-5</v>
      </c>
      <c r="JF69" s="165">
        <f>_xlfn.FORECAST.LINEAR(Sheet3!BZ69,New!$MC$2:$MC$18,New!$MB$2:$MB$18)</f>
        <v>2.3325188025948989E-5</v>
      </c>
      <c r="JG69" s="165">
        <f>_xlfn.FORECAST.LINEAR(Sheet3!CA69,New!$MC$2:$MC$18,New!$MB$2:$MB$18)</f>
        <v>2.2952705665525955E-5</v>
      </c>
      <c r="JH69" s="165">
        <f>_xlfn.FORECAST.LINEAR(Sheet3!CB69,New!$MC$2:$MC$18,New!$MB$2:$MB$18)</f>
        <v>2.2680636887204155E-5</v>
      </c>
      <c r="JI69" s="165">
        <f>_xlfn.FORECAST.LINEAR(Sheet3!CC69,New!$MC$2:$MC$18,New!$MB$2:$MB$18)</f>
        <v>2.2326508790750649E-5</v>
      </c>
      <c r="JJ69" s="165">
        <f>_xlfn.FORECAST.LINEAR(Sheet3!CD69,New!$MC$2:$MC$18,New!$MB$2:$MB$18)</f>
        <v>2.2134627916649098E-5</v>
      </c>
      <c r="JK69" s="165">
        <f>_xlfn.FORECAST.LINEAR(Sheet3!CE69,New!$MC$2:$MC$18,New!$MB$2:$MB$18)</f>
        <v>2.1841843524698383E-5</v>
      </c>
      <c r="JL69" s="165">
        <f>_xlfn.FORECAST.LINEAR(Sheet3!CF69,New!$MC$2:$MC$18,New!$MB$2:$MB$18)</f>
        <v>2.1636452722423285E-5</v>
      </c>
      <c r="JM69" s="165">
        <f>_xlfn.FORECAST.LINEAR(Sheet3!CG69,New!$MC$2:$MC$18,New!$MB$2:$MB$18)</f>
        <v>2.1355048232600231E-5</v>
      </c>
      <c r="JN69" s="188">
        <f t="shared" si="376"/>
        <v>2.0653329142897257E-5</v>
      </c>
      <c r="JO69" s="165">
        <f t="shared" si="377"/>
        <v>2.06016569773035E-5</v>
      </c>
      <c r="JP69" s="165">
        <f t="shared" si="378"/>
        <v>2.0248510596992821E-5</v>
      </c>
      <c r="JQ69" s="165">
        <f t="shared" si="379"/>
        <v>1.9981022230530592E-5</v>
      </c>
      <c r="JR69" s="165">
        <f t="shared" si="380"/>
        <v>1.9643910275443789E-5</v>
      </c>
      <c r="JS69" s="165">
        <f t="shared" si="381"/>
        <v>1.9458599746039079E-5</v>
      </c>
      <c r="JT69" s="165">
        <f t="shared" si="382"/>
        <v>1.917394538611139E-5</v>
      </c>
      <c r="JU69" s="165">
        <f t="shared" si="383"/>
        <v>1.8972313959413874E-5</v>
      </c>
      <c r="JV69" s="165">
        <f t="shared" si="384"/>
        <v>1.8708609132006382E-5</v>
      </c>
      <c r="JW69" s="188">
        <f t="shared" si="302"/>
        <v>1.0152024173422087</v>
      </c>
      <c r="JX69" s="165">
        <f t="shared" si="385"/>
        <v>1.0157378160724047</v>
      </c>
      <c r="JY69" s="165">
        <f t="shared" si="386"/>
        <v>1.0196127270662818</v>
      </c>
      <c r="JZ69" s="165">
        <f t="shared" si="387"/>
        <v>1.0225557440869963</v>
      </c>
      <c r="KA69" s="165">
        <f t="shared" si="388"/>
        <v>1.0265379626963267</v>
      </c>
      <c r="KB69" s="165">
        <f t="shared" si="389"/>
        <v>1.0287710550444946</v>
      </c>
      <c r="KC69" s="165">
        <f t="shared" si="390"/>
        <v>1.0322861419543397</v>
      </c>
      <c r="KD69" s="165">
        <f t="shared" si="391"/>
        <v>1.0348332161549409</v>
      </c>
      <c r="KE69" s="165">
        <f t="shared" si="392"/>
        <v>1.0384374083036936</v>
      </c>
      <c r="KF69" s="188">
        <f t="shared" si="393"/>
        <v>0.9677010468805306</v>
      </c>
      <c r="KG69" s="165">
        <f t="shared" si="394"/>
        <v>0.96725886747387957</v>
      </c>
      <c r="KH69" s="165">
        <f t="shared" si="395"/>
        <v>0.9640779740560298</v>
      </c>
      <c r="KI69" s="165">
        <f t="shared" si="396"/>
        <v>0.96168455583170076</v>
      </c>
      <c r="KJ69" s="165">
        <f t="shared" si="397"/>
        <v>0.95847645482552435</v>
      </c>
      <c r="KK69" s="165">
        <f t="shared" si="398"/>
        <v>0.95669259520012584</v>
      </c>
      <c r="KL69" s="165">
        <f t="shared" si="399"/>
        <v>0.95390638131812111</v>
      </c>
      <c r="KM69" s="165">
        <f t="shared" si="400"/>
        <v>0.95190388466688869</v>
      </c>
      <c r="KN69" s="165">
        <f t="shared" si="401"/>
        <v>0.94909356708048809</v>
      </c>
      <c r="KO69" s="188">
        <f t="shared" si="304"/>
        <v>0.62174128329031308</v>
      </c>
      <c r="KP69" s="165">
        <f t="shared" si="305"/>
        <v>0.6209507201759793</v>
      </c>
      <c r="KQ69" s="165">
        <f t="shared" si="306"/>
        <v>0.61487533257345306</v>
      </c>
      <c r="KR69" s="165">
        <f t="shared" si="307"/>
        <v>0.61029989403063734</v>
      </c>
      <c r="KS69" s="165">
        <f t="shared" si="308"/>
        <v>0.60423236710328609</v>
      </c>
      <c r="KT69" s="165">
        <f t="shared" si="309"/>
        <v>0.60086522061214009</v>
      </c>
      <c r="KU69" s="165">
        <f t="shared" si="310"/>
        <v>0.59562067206715585</v>
      </c>
      <c r="KV69" s="165">
        <f t="shared" si="311"/>
        <v>0.59185816815548253</v>
      </c>
      <c r="KW69" s="165">
        <f t="shared" si="312"/>
        <v>0.58674658551444725</v>
      </c>
      <c r="KX69" s="188">
        <f>AVERAGE(Sheet3!J69:P69)*KO69^(1/3)/ID69^(1/3)</f>
        <v>116.70702891695014</v>
      </c>
      <c r="KY69" s="165">
        <f>Sheet3!J69*KP69^(1/3)/IE69^(1/3)</f>
        <v>112.25453866115441</v>
      </c>
      <c r="KZ69" s="165">
        <f>Sheet3!K69*KQ69^(1/3)/IF69^(1/3)</f>
        <v>104.89430885492824</v>
      </c>
      <c r="LA69" s="165">
        <f>Sheet3!L69*KR69^(1/3)/IG69^(1/3)</f>
        <v>103.74512401466612</v>
      </c>
      <c r="LB69" s="165">
        <f>Sheet3!M69*KS69^(1/3)/IH69^(1/3)</f>
        <v>105.52307311530649</v>
      </c>
      <c r="LC69" s="165">
        <f>Sheet3!N69*KT69^(1/3)/II69^(1/3)</f>
        <v>112.66977230670308</v>
      </c>
      <c r="LD69" s="165">
        <f>Sheet3!O69*KU69^(1/3)/IJ69^(1/3)</f>
        <v>124.09867974035589</v>
      </c>
      <c r="LE69" s="165">
        <f>Sheet3!P69*KV69^(1/3)/IK69^(1/3)</f>
        <v>140.21369743970016</v>
      </c>
      <c r="LF69" s="165">
        <f>Sheet3!Q69*KW69^(1/3)/IL69^(1/3)</f>
        <v>170.46323764937659</v>
      </c>
      <c r="LG69" s="186">
        <f t="shared" si="402"/>
        <v>25.801470589863541</v>
      </c>
      <c r="LH69" s="183">
        <f t="shared" si="403"/>
        <v>25.811634935560363</v>
      </c>
      <c r="LI69" s="183">
        <f t="shared" si="404"/>
        <v>26.449183032213053</v>
      </c>
      <c r="LJ69" s="183">
        <f t="shared" si="405"/>
        <v>26.460048230965064</v>
      </c>
      <c r="LK69" s="183">
        <f t="shared" si="406"/>
        <v>27.062121926587537</v>
      </c>
      <c r="LL69" s="183">
        <f t="shared" si="407"/>
        <v>27.265126248170155</v>
      </c>
      <c r="LM69" s="183">
        <f t="shared" si="408"/>
        <v>27.486214102577868</v>
      </c>
      <c r="LN69" s="183">
        <f t="shared" si="409"/>
        <v>27.541470510464091</v>
      </c>
      <c r="LO69" s="183">
        <f t="shared" si="410"/>
        <v>28.36531565040076</v>
      </c>
      <c r="LT69" s="165"/>
      <c r="MF69" s="165"/>
      <c r="MJ69"/>
      <c r="MK69"/>
      <c r="ML69"/>
      <c r="MM69"/>
      <c r="MN69"/>
      <c r="MO69"/>
      <c r="MP69"/>
      <c r="MQ69"/>
      <c r="MR69"/>
    </row>
    <row r="70" spans="1:356" x14ac:dyDescent="0.3">
      <c r="A70" s="184" t="str">
        <f>Sheet3!A70</f>
        <v>01.31.2023</v>
      </c>
      <c r="B70" s="186">
        <f t="shared" si="313"/>
        <v>1.0060771373540265</v>
      </c>
      <c r="C70" s="183">
        <f t="shared" si="257"/>
        <v>1.0061089934778715</v>
      </c>
      <c r="D70" s="183">
        <f t="shared" si="258"/>
        <v>0.98700801606408017</v>
      </c>
      <c r="E70" s="183">
        <f t="shared" si="259"/>
        <v>0.96940058645929628</v>
      </c>
      <c r="F70" s="183">
        <f t="shared" si="260"/>
        <v>0.94974319670194374</v>
      </c>
      <c r="G70" s="183">
        <f t="shared" si="261"/>
        <v>0.9378773798003186</v>
      </c>
      <c r="H70" s="183">
        <f t="shared" si="262"/>
        <v>0.92159759424832333</v>
      </c>
      <c r="I70" s="183">
        <f t="shared" si="263"/>
        <v>0.90804720209825884</v>
      </c>
      <c r="J70" s="183">
        <f t="shared" si="264"/>
        <v>0.89079278153946018</v>
      </c>
      <c r="K70" s="186">
        <f xml:space="preserve"> (6.057 * (10^(-6)))
+ (4.055 * (10^(-8)) * (Sheet3!DF70 + 273))
+ (1.25 * (10^(-10)) * (Sheet3!DF70 + 273)^2)
- (3.367 * (10^(-14)) * (DD70 + 273)^3)</f>
        <v>5.3312244020614479E-5</v>
      </c>
      <c r="L70" s="183">
        <f xml:space="preserve"> (6.057 * (10^(-6)))
+ (4.055 * (10^(-8)) * (Sheet3!BZ70 + 273))
+ (1.25 * (10^(-10)) * (Sheet3!BZ70 + 273)^2)
- (3.367 * (10^(-14)) * (BX70 + 273)^3)</f>
        <v>5.3294760810534583E-5</v>
      </c>
      <c r="M70" s="183">
        <f xml:space="preserve"> (6.057 * (10^(-6)))
+ (4.055 * (10^(-8)) * (Sheet3!CA70 + 273))
+ (1.25 * (10^(-10)) * (Sheet3!CA70 + 273)^2)
- (3.367 * (10^(-14)) * (BY70 + 273)^3)</f>
        <v>5.1096248793101538E-5</v>
      </c>
      <c r="N70" s="183">
        <f xml:space="preserve"> (6.057 * (10^(-6)))
+ (4.055 * (10^(-8)) * (Sheet3!CB70 + 273))
+ (1.25 * (10^(-10)) * (Sheet3!CB70 + 273)^2)
- (3.367 * (10^(-14)) * (BZ70 + 273)^3)</f>
        <v>4.9423167256308302E-5</v>
      </c>
      <c r="O70" s="183">
        <f xml:space="preserve"> (6.057 * (10^(-6)))
+ (4.055 * (10^(-8)) * (Sheet3!CC70 + 273))
+ (1.25 * (10^(-10)) * (Sheet3!CC70 + 273)^2)
- (3.367 * (10^(-14)) * (CA70 + 273)^3)</f>
        <v>4.7453069159120618E-5</v>
      </c>
      <c r="P70" s="183">
        <f xml:space="preserve"> (6.057 * (10^(-6)))
+ (4.055 * (10^(-8)) * (Sheet3!CD70 + 273))
+ (1.25 * (10^(-10)) * (Sheet3!CD70 + 273)^2)
- (3.367 * (10^(-14)) * (CB70 + 273)^3)</f>
        <v>4.6444080084568132E-5</v>
      </c>
      <c r="Q70" s="183">
        <f xml:space="preserve"> (6.057 * (10^(-6)))
+ (4.055 * (10^(-8)) * (Sheet3!CE70 + 273))
+ (1.25 * (10^(-10)) * (Sheet3!CE70 + 273)^2)
- (3.367 * (10^(-14)) * (CC70 + 273)^3)</f>
        <v>4.4907835393187551E-5</v>
      </c>
      <c r="R70" s="183">
        <f xml:space="preserve"> (6.057 * (10^(-6)))
+ (4.055 * (10^(-8)) * (Sheet3!CF70 + 273))
+ (1.25 * (10^(-10)) * (Sheet3!CF70 + 273)^2)
- (3.367 * (10^(-14)) * (CD70 + 273)^3)</f>
        <v>4.3856676562691614E-5</v>
      </c>
      <c r="S70" s="183">
        <f xml:space="preserve"> (6.057 * (10^(-6)))
+ (4.055 * (10^(-8)) * (Sheet3!CG70 + 273))
+ (1.25 * (10^(-10)) * (Sheet3!CG70 + 273)^2)
- (3.367 * (10^(-14)) * (CE70 + 273)^3)</f>
        <v>4.2384116173196625E-5</v>
      </c>
      <c r="T70" s="188">
        <f t="shared" si="314"/>
        <v>5.3312244020614479E-5</v>
      </c>
      <c r="U70" s="165">
        <f t="shared" si="315"/>
        <v>5.3294760810534583E-5</v>
      </c>
      <c r="V70" s="165">
        <f t="shared" si="316"/>
        <v>5.1096248793101538E-5</v>
      </c>
      <c r="W70" s="165">
        <f t="shared" si="317"/>
        <v>4.9423167256308302E-5</v>
      </c>
      <c r="X70" s="165">
        <f t="shared" si="318"/>
        <v>4.7453069159120618E-5</v>
      </c>
      <c r="Y70" s="165">
        <f t="shared" si="319"/>
        <v>4.6444080084568132E-5</v>
      </c>
      <c r="Z70" s="165">
        <f t="shared" si="320"/>
        <v>4.4907835393187551E-5</v>
      </c>
      <c r="AA70" s="165">
        <f t="shared" si="321"/>
        <v>4.3856676562691614E-5</v>
      </c>
      <c r="AB70" s="165">
        <f t="shared" si="322"/>
        <v>4.2384116173196625E-5</v>
      </c>
      <c r="AC70" s="186">
        <f t="shared" si="265"/>
        <v>5.3636229850179132E-5</v>
      </c>
      <c r="AD70" s="183">
        <f t="shared" si="266"/>
        <v>5.3620338156730866E-5</v>
      </c>
      <c r="AE70" s="183">
        <f t="shared" si="267"/>
        <v>5.0432407149595798E-5</v>
      </c>
      <c r="AF70" s="183">
        <f t="shared" si="268"/>
        <v>4.7910847322941154E-5</v>
      </c>
      <c r="AG70" s="183">
        <f t="shared" si="269"/>
        <v>4.5068229596501631E-5</v>
      </c>
      <c r="AH70" s="183">
        <f t="shared" si="270"/>
        <v>4.3558852136950919E-5</v>
      </c>
      <c r="AI70" s="183">
        <f t="shared" si="271"/>
        <v>4.1386953061261353E-5</v>
      </c>
      <c r="AJ70" s="183">
        <f t="shared" si="272"/>
        <v>3.9823932446080406E-5</v>
      </c>
      <c r="AK70" s="183">
        <f t="shared" si="273"/>
        <v>3.775546473901344E-5</v>
      </c>
      <c r="AL70" s="186">
        <f t="shared" si="323"/>
        <v>4.296453909052271E-2</v>
      </c>
      <c r="AM70" s="183">
        <f t="shared" si="324"/>
        <v>4.2956188576173393E-2</v>
      </c>
      <c r="AN70" s="183">
        <f t="shared" si="325"/>
        <v>4.1355566384802492E-2</v>
      </c>
      <c r="AO70" s="183">
        <f t="shared" si="326"/>
        <v>4.0127881709889943E-2</v>
      </c>
      <c r="AP70" s="183">
        <f t="shared" si="327"/>
        <v>3.8638331527719269E-2</v>
      </c>
      <c r="AQ70" s="183">
        <f t="shared" si="328"/>
        <v>3.786912794626815E-2</v>
      </c>
      <c r="AR70" s="183">
        <f t="shared" si="329"/>
        <v>3.6669197917084437E-2</v>
      </c>
      <c r="AS70" s="183">
        <f t="shared" si="330"/>
        <v>3.5842383615581043E-2</v>
      </c>
      <c r="AT70" s="183">
        <f t="shared" si="331"/>
        <v>3.4663462977650668E-2</v>
      </c>
      <c r="AU70" s="186">
        <f>_xlfn.FORECAST.LINEAR(Sheet3!DF70,Sheet2!$AH$2:$AH$40,Sheet2!$AG$2:$AG$40)</f>
        <v>5.615110757455756E-2</v>
      </c>
      <c r="AV70" s="183">
        <f>_xlfn.FORECAST.LINEAR(Sheet3!BZ70,Sheet2!$AH$2:$AH$40,Sheet2!$AG$2:$AG$40)</f>
        <v>5.6132956247467405E-2</v>
      </c>
      <c r="AW70" s="183">
        <f>_xlfn.FORECAST.LINEAR(Sheet3!CA70,Sheet2!$AH$2:$AH$40,Sheet2!$AG$2:$AG$40)</f>
        <v>5.2603201543599334E-2</v>
      </c>
      <c r="AX70" s="183">
        <f>_xlfn.FORECAST.LINEAR(Sheet3!CB70,Sheet2!$AH$2:$AH$40,Sheet2!$AG$2:$AG$40)</f>
        <v>4.9863606789045695E-2</v>
      </c>
      <c r="AY70" s="183">
        <f>_xlfn.FORECAST.LINEAR(Sheet3!CC70,Sheet2!$AH$2:$AH$40,Sheet2!$AG$2:$AG$40)</f>
        <v>4.6574923421537136E-2</v>
      </c>
      <c r="AZ70" s="183">
        <f>_xlfn.FORECAST.LINEAR(Sheet3!CD70,Sheet2!$AH$2:$AH$40,Sheet2!$AG$2:$AG$40)</f>
        <v>4.4862883417408315E-2</v>
      </c>
      <c r="BA70" s="183">
        <f>_xlfn.FORECAST.LINEAR(Sheet3!CE70,Sheet2!$AH$2:$AH$40,Sheet2!$AG$2:$AG$40)</f>
        <v>4.2218488229588208E-2</v>
      </c>
      <c r="BB70" s="183">
        <f>_xlfn.FORECAST.LINEAR(Sheet3!CF70,Sheet2!$AH$2:$AH$40,Sheet2!$AG$2:$AG$40)</f>
        <v>4.0381599042842303E-2</v>
      </c>
      <c r="BC70" s="183">
        <f>_xlfn.FORECAST.LINEAR(Sheet3!CG70,Sheet2!$AH$2:$AH$40,Sheet2!$AG$2:$AG$40)</f>
        <v>3.7779477294334625E-2</v>
      </c>
      <c r="BD70" s="186">
        <f>_xlfn.FORECAST.LINEAR(Sheet3!DF70,Sheet2!$AB$12:$AB$37,Sheet2!$AA$12:$AA$37)/1000</f>
        <v>3.7324862686859299E-2</v>
      </c>
      <c r="BE70" s="183">
        <f>_xlfn.FORECAST.LINEAR(Sheet3!BZ70,Sheet2!$AB$12:$AB$37,Sheet2!$AA$12:$AA$37)/1000</f>
        <v>3.7320804470262169E-2</v>
      </c>
      <c r="BF70" s="183">
        <f>_xlfn.FORECAST.LINEAR(Sheet3!CA70,Sheet2!$AB$12:$AB$37,Sheet2!$AA$12:$AA$37)/1000</f>
        <v>3.6531633020048845E-2</v>
      </c>
      <c r="BG70" s="183">
        <f>_xlfn.FORECAST.LINEAR(Sheet3!CB70,Sheet2!$AB$12:$AB$37,Sheet2!$AA$12:$AA$37)/1000</f>
        <v>3.5919123045041614E-2</v>
      </c>
      <c r="BH70" s="183">
        <f>_xlfn.FORECAST.LINEAR(Sheet3!CC70,Sheet2!$AB$12:$AB$37,Sheet2!$AA$12:$AA$37)/1000</f>
        <v>3.518384956567347E-2</v>
      </c>
      <c r="BI70" s="183">
        <f>_xlfn.FORECAST.LINEAR(Sheet3!CD70,Sheet2!$AB$12:$AB$37,Sheet2!$AA$12:$AA$37)/1000</f>
        <v>3.4801077048534822E-2</v>
      </c>
      <c r="BJ70" s="183">
        <f>_xlfn.FORECAST.LINEAR(Sheet3!CE70,Sheet2!$AB$12:$AB$37,Sheet2!$AA$12:$AA$37)/1000</f>
        <v>3.4209851493109615E-2</v>
      </c>
      <c r="BK70" s="183">
        <f>_xlfn.FORECAST.LINEAR(Sheet3!CF70,Sheet2!$AB$12:$AB$37,Sheet2!$AA$12:$AA$37)/1000</f>
        <v>3.3799165588563086E-2</v>
      </c>
      <c r="BL70" s="183">
        <f>_xlfn.FORECAST.LINEAR(Sheet3!CG70,Sheet2!$AB$12:$AB$37,Sheet2!$AA$12:$AA$37)/1000</f>
        <v>3.3217391395684727E-2</v>
      </c>
      <c r="BM70" s="186">
        <f t="shared" si="332"/>
        <v>0.65789786747139523</v>
      </c>
      <c r="BN70" s="183">
        <f t="shared" si="333"/>
        <v>0.65799952428255493</v>
      </c>
      <c r="BO70" s="183">
        <f t="shared" si="334"/>
        <v>0.67803524688347949</v>
      </c>
      <c r="BP70" s="183">
        <f t="shared" si="335"/>
        <v>0.69416667132258869</v>
      </c>
      <c r="BQ70" s="183">
        <f t="shared" si="336"/>
        <v>0.71489286399620244</v>
      </c>
      <c r="BR70" s="183">
        <f t="shared" si="337"/>
        <v>0.72600578713169561</v>
      </c>
      <c r="BS70" s="183">
        <f t="shared" si="338"/>
        <v>0.74422793226790362</v>
      </c>
      <c r="BT70" s="183">
        <f t="shared" si="339"/>
        <v>0.75716546598564138</v>
      </c>
      <c r="BU70" s="183">
        <f t="shared" si="340"/>
        <v>0.77663020590377685</v>
      </c>
      <c r="BV70" s="186">
        <f t="shared" si="341"/>
        <v>1.217568588223394</v>
      </c>
      <c r="BW70" s="183">
        <f t="shared" si="342"/>
        <v>1.2175046037404276</v>
      </c>
      <c r="BX70" s="183">
        <f t="shared" si="343"/>
        <v>1.209405682100219</v>
      </c>
      <c r="BY70" s="183">
        <f t="shared" si="344"/>
        <v>1.2065591700747196</v>
      </c>
      <c r="BZ70" s="183">
        <f t="shared" si="345"/>
        <v>1.1992422054190095</v>
      </c>
      <c r="CA70" s="183">
        <f t="shared" si="346"/>
        <v>1.1974814512400718</v>
      </c>
      <c r="CB70" s="183">
        <f t="shared" si="347"/>
        <v>1.19050710096851</v>
      </c>
      <c r="CC70" s="183">
        <f t="shared" si="348"/>
        <v>1.1886717555364672</v>
      </c>
      <c r="CD70" s="183">
        <f t="shared" si="349"/>
        <v>1.182164325942247</v>
      </c>
      <c r="CE70" s="187">
        <f xml:space="preserve"> -0.0000000019505*Sheet3!DF70^3 + 0.0000015497*Sheet3!DF70^2  + 0.00016911*Sheet3!DF70 + 1.8585</f>
        <v>1.9414898911875</v>
      </c>
      <c r="CF70" s="185">
        <f xml:space="preserve"> -0.0000000019505*Sheet3!BZ70^3 + 0.0000015497*Sheet3!BZ70^2  + 0.00016911*Sheet3!BZ70 + 1.8585</f>
        <v>1.9414499987070042</v>
      </c>
      <c r="CG70" s="185">
        <f xml:space="preserve"> -0.0000000019505*Sheet3!CA70^3 + 0.0000015497*Sheet3!CA70^2  + 0.00016911*Sheet3!CA70 + 1.8585</f>
        <v>1.9337655975851229</v>
      </c>
      <c r="CH70" s="185">
        <f xml:space="preserve"> -0.0000000019505*Sheet3!CB70^3 + 0.0000015497*Sheet3!CB70^2  + 0.00016911*Sheet3!CB70 + 1.8585</f>
        <v>1.9279146210634812</v>
      </c>
      <c r="CI70" s="185">
        <f xml:space="preserve"> -0.0000000019505*Sheet3!CC70^3 + 0.0000015497*Sheet3!CC70^2  + 0.00016911*Sheet3!CC70 + 1.8585</f>
        <v>1.9210441511904763</v>
      </c>
      <c r="CJ70" s="185">
        <f xml:space="preserve"> -0.0000000019505*Sheet3!CD70^3 + 0.0000015497*Sheet3!CD70^2  + 0.00016911*Sheet3!CD70 + 1.8585</f>
        <v>1.9175415194186503</v>
      </c>
      <c r="CK70" s="185">
        <f xml:space="preserve"> -0.0000000019505*Sheet3!CE70^3 + 0.0000015497*Sheet3!CE70^2  + 0.00016911*Sheet3!CE70 + 1.8585</f>
        <v>1.9122414822637612</v>
      </c>
      <c r="CL70" s="185">
        <f xml:space="preserve"> -0.0000000019505*Sheet3!CF70^3 + 0.0000015497*Sheet3!CF70^2  + 0.00016911*Sheet3!CF70 + 1.8585</f>
        <v>1.90864460836521</v>
      </c>
      <c r="CM70" s="185">
        <f xml:space="preserve"> -0.0000000019505*Sheet3!CG70^3 + 0.0000015497*Sheet3!CG70^2  + 0.00016911*Sheet3!CG70 + 1.8585</f>
        <v>1.9036779062728355</v>
      </c>
      <c r="CN70" s="186">
        <f>_xlfn.FORECAST.LINEAR(Sheet3!DF70,New!$LU$2:$LU$14,New!$LT$2:$LT$14)</f>
        <v>1.0350674194089138</v>
      </c>
      <c r="CO70" s="183">
        <f>_xlfn.FORECAST.LINEAR(Sheet3!BZ70,New!$LU$2:$LU$14,New!$LT$2:$LT$14)</f>
        <v>1.0350540597940432</v>
      </c>
      <c r="CP70" s="183">
        <f>_xlfn.FORECAST.LINEAR(Sheet3!CA70,New!$LU$2:$LU$14,New!$LT$2:$LT$14)</f>
        <v>1.0324561140241602</v>
      </c>
      <c r="CQ70" s="183">
        <f>_xlfn.FORECAST.LINEAR(Sheet3!CB70,New!$LU$2:$LU$14,New!$LT$2:$LT$14)</f>
        <v>1.0304397363433011</v>
      </c>
      <c r="CR70" s="183">
        <f>_xlfn.FORECAST.LINEAR(Sheet3!CC70,New!$LU$2:$LU$14,New!$LT$2:$LT$14)</f>
        <v>1.0280192222396607</v>
      </c>
      <c r="CS70" s="183">
        <f>_xlfn.FORECAST.LINEAR(Sheet3!CD70,New!$LU$2:$LU$14,New!$LT$2:$LT$14)</f>
        <v>1.0267591383358916</v>
      </c>
      <c r="CT70" s="183">
        <f>_xlfn.FORECAST.LINEAR(Sheet3!CE70,New!$LU$2:$LU$14,New!$LT$2:$LT$14)</f>
        <v>1.0248128287850982</v>
      </c>
      <c r="CU70" s="183">
        <f>_xlfn.FORECAST.LINEAR(Sheet3!CF70,New!$LU$2:$LU$14,New!$LT$2:$LT$14)</f>
        <v>1.0234608542449919</v>
      </c>
      <c r="CV70" s="183">
        <f>_xlfn.FORECAST.LINEAR(Sheet3!CG70,New!$LU$2:$LU$14,New!$LT$2:$LT$14)</f>
        <v>1.0215456585001292</v>
      </c>
      <c r="CW70" s="186">
        <f>EXP((17.625*Sheet3!BA70)/(243.04+Sheet3!BA70)) / EXP((17.625*Sheet3!DF70)/(243.04+Sheet3!DF70))</f>
        <v>1.2783141284820871E-2</v>
      </c>
      <c r="CX70" s="183">
        <f>EXP((17.625*(Sheet3!BC70+273))/(243.04+(Sheet3!BC70+273)))/EXP((17.625*(Sheet3!BZ70+273))/(243.04+(Sheet3!BZ70+273)))</f>
        <v>0.23812963448354985</v>
      </c>
      <c r="CY70" s="183">
        <f>EXP((17.625*(Sheet3!BE70+273))/(243.04+(Sheet3!BE70+273))) / EXP((17.625*(Sheet3!CA70+273))/(243.04+(Sheet3!CA70+273)))</f>
        <v>0.26626665574570968</v>
      </c>
      <c r="CZ70" s="183">
        <f>EXP((17.625*(Sheet3!BG70+273))/(243.04+(Sheet3!BG70+273))) / EXP((17.625*(Sheet3!CB70+273))/(243.04+(Sheet3!CB70+273)))</f>
        <v>0.2924217539140766</v>
      </c>
      <c r="DA70" s="183">
        <f>EXP((17.625*(Sheet3!BI70+273))/(243.04+(Sheet3!BI70+273))) / EXP((17.625*(Sheet3!CC70+273))/(243.04+(Sheet3!CC70+273)))</f>
        <v>0.32702770911952295</v>
      </c>
      <c r="DB70" s="183">
        <f>EXP((17.625*(Sheet3!BK70+273))/(243.04+(Sheet3!BK70+273)))/EXP((17.625*(Sheet3!CD70+273))/(243.04+(Sheet3!CD70+273)))</f>
        <v>0.34805624735230856</v>
      </c>
      <c r="DC70" s="183">
        <f>EXP((17.625*(Sheet3!BM70+273))/(243.04+(Sheet3!BM70+273))) / EXP((17.625*(Sheet3!CE70+273))/(243.04+(Sheet3!CE70+273)))</f>
        <v>0.38223159717278649</v>
      </c>
      <c r="DD70" s="183">
        <f>EXP((17.625*(Sheet3!BO70+273))/(243.04+(Sheet3!BO70+273))) / EXP((17.625*(Sheet3!CF70+273))/(243.04+(Sheet3!CF70+273)))</f>
        <v>0.41012313066224376</v>
      </c>
      <c r="DE70" s="183">
        <f>EXP((17.625*(Sheet3!BQ70+273))/(243.04+(Sheet3!BQ70+273))) / EXP((17.625*(Sheet3!CG70+273))/(243.04+(Sheet3!CG70+273)))</f>
        <v>0.4521972988186771</v>
      </c>
      <c r="DF70" s="186">
        <f>((Sheet3!DA70-Sheet3!DB70)/New!$LQ$3)/(((Sheet3!DA70-Sheet3!DB70)/New!$LQ$3)+(Sheet3!DB70/New!$LP$3))</f>
        <v>0.71160979690199611</v>
      </c>
      <c r="DG70" s="183">
        <f>((Sheet3!DA70-Sheet3!DB70)/New!$LQ$3)/(((Sheet3!DA70-Sheet3!DB70)/New!$LQ$3)+((Sheet3!DB70-(Sheet3!B70*0.004))/New!$LP$3))</f>
        <v>0.71180138834581663</v>
      </c>
      <c r="DH70" s="183" cm="1">
        <f t="array" ref="DH70">((Sheet3!DA70-Sheet3!DB70)/New!$LQ$3)/(((Sheet3!DA70-Sheet3!DB70)/New!$LQ$3)+((Sheet3!DB70-(SUM(Sheet3!B70:C70*0.004)))/New!$LP$3))</f>
        <v>0.73132250055124193</v>
      </c>
      <c r="DI70" s="183" cm="1">
        <f t="array" ref="DI70">((Sheet3!DA70-Sheet3!DB70)/New!$LQ$3)/(((Sheet3!DA70-Sheet3!DB70)/New!$LQ$3)+((Sheet3!DB70-(SUM(Sheet3!B70:D70*0.004)))/New!$LP$3))</f>
        <v>0.73166946296641966</v>
      </c>
      <c r="DJ70" s="183" cm="1">
        <f t="array" ref="DJ70">((Sheet3!DA70-Sheet3!DB70)/New!$LQ$3)/(((Sheet3!DA70-Sheet3!DB70)/New!$LQ$3)+((Sheet3!DB70-(SUM(Sheet3!B70:E70*0.004)))/New!$LP$3))</f>
        <v>0.75023747187394707</v>
      </c>
      <c r="DK70" s="183" cm="1">
        <f t="array" ref="DK70">((Sheet3!DA70-Sheet3!DB70)/New!$LQ$3)/(((Sheet3!DA70-Sheet3!DB70)/New!$LQ$3)+((Sheet3!DB70-(SUM(Sheet3!B70:F70*0.004)))/New!$LP$3))</f>
        <v>0.7505721761178572</v>
      </c>
      <c r="DL70" s="183" cm="1">
        <f t="array" ref="DL70">((Sheet3!DA70-Sheet3!DB70)/New!$LQ$3)/(((Sheet3!DA70-Sheet3!DB70)/New!$LQ$3)+((Sheet3!DB70-(SUM(Sheet3!B70:G70*0.004)))/New!$LP$3))</f>
        <v>0.7719558816960943</v>
      </c>
      <c r="DM70" s="183" cm="1">
        <f t="array" ref="DM70">((Sheet3!DA70-Sheet3!DB70)/New!$LQ$3)/(((Sheet3!DA70-Sheet3!DB70)/New!$LQ$3)+((Sheet3!DB70-(SUM(Sheet3!B70:H70*0.004)))/New!$LP$3))</f>
        <v>0.7722780208223865</v>
      </c>
      <c r="DN70" s="183" cm="1">
        <f t="array" ref="DN70">((Sheet3!DA70-Sheet3!DB70)/New!$LQ$3)/(((Sheet3!DA70-Sheet3!DB70)/New!$LQ$3)+((Sheet3!DB70-(SUM(Sheet3!B70:I70*0.004)))/New!$LP$3))</f>
        <v>0.79302747960431363</v>
      </c>
      <c r="DO70" s="186">
        <f>(Sheet3!DB70/$LP$3) / ((Sheet3!DB70/$LP$3) + ((Sheet3!DA70-Sheet3!DB70)/$LQ$3))</f>
        <v>0.28839020309800384</v>
      </c>
      <c r="DP70" s="183">
        <f>((Sheet3!$DB70-(Sheet3!B70/4000)) / $LP$3) / (((Sheet3!$DA70-Sheet3!DB70) / $LQ$3) + (Sheet3!$DB70-((Sheet3!B70/4000)))/$LP$3)</f>
        <v>0.28837823165446952</v>
      </c>
      <c r="DQ70" s="183">
        <f>((Sheet3!$DB70-(SUM(Sheet3!B70:C70)/4000))/$LP$3)/(((Sheet3!$DA70-Sheet3!$DB70)/$LQ$3)+(Sheet3!$DB70-(SUM(Sheet3!B70:C70)/4000))/$LP$3)</f>
        <v>0.28718934564654575</v>
      </c>
      <c r="DR70" s="183">
        <f>((Sheet3!$DB70-(SUM(Sheet3!B70:D70)/4000))/$LP$3)/(((Sheet3!$DA70-Sheet3!$DB70)/$LQ$3)+(Sheet3!$DB70-(SUM(Sheet3!B70:D70)/4000))/$LP$3)</f>
        <v>0.28716875360075733</v>
      </c>
      <c r="DS70" s="183">
        <f>((Sheet3!$DB70-(SUM(Sheet3!B70:E70)/4000))/$LP$3)/(((Sheet3!$DA70-Sheet3!$DB70)/$LQ$3)+(Sheet3!$DB70-(SUM(Sheet3!B70:E70)/4000))/$LP$3)</f>
        <v>0.28609288282306539</v>
      </c>
      <c r="DT70" s="183">
        <f>((Sheet3!$DB70-(SUM(Sheet3!B70:F70)/4000))/$LP$3)/(((Sheet3!$DA70-Sheet3!$DB70)/$LQ$3)+(Sheet3!$DB70-(SUM(Sheet3!B70:F70)/4000))/$LP$3)</f>
        <v>0.28607394871005865</v>
      </c>
      <c r="DU70" s="183">
        <f>((Sheet3!$DB70-(SUM(Sheet3!B70:G70)/4000))/$LP$3)/(((Sheet3!$DA70-Sheet3!$DB70)/$LQ$3)+(Sheet3!$DB70-(SUM(Sheet3!B70:G70)/4000))/$LP$3)</f>
        <v>0.28489634200070735</v>
      </c>
      <c r="DV70" s="183">
        <f>((Sheet3!$DB70-(SUM(Sheet3!B70:H70)/4000))/$LP$3)/(((Sheet3!$DA70-Sheet3!$DB70)/$LQ$3)+(Sheet3!$DB70-(SUM(Sheet3!B70:H70)/4000))/$LP$3)</f>
        <v>0.28487907146431768</v>
      </c>
      <c r="DW70" s="183">
        <f>((Sheet3!$DB70-(SUM(Sheet3!B70:I70)/4000))/$LP$3)/(((Sheet3!$DA70-Sheet3!$DB70)/$LQ$3)+(Sheet3!$DB70-(SUM(Sheet3!B70:I70)/4000))/$LP$3)</f>
        <v>0.2837945404035514</v>
      </c>
      <c r="DX70" s="186">
        <f>($LR$2*($LP$3/1000))/($LP$2*(Sheet3!DF70+273))*DO70</f>
        <v>0.13246265788014666</v>
      </c>
      <c r="DY70" s="183">
        <f>(($LR$2*($LP$3/1000))/($LP$2*(Sheet3!BZ70+273)))*(DP70)</f>
        <v>0.13247695344951466</v>
      </c>
      <c r="DZ70" s="183">
        <f>(($LR$2*($LP$3/1000))/($LP$2*(Sheet3!CA70+273)))*(DQ70)</f>
        <v>0.13587949403233032</v>
      </c>
      <c r="EA70" s="183">
        <f>(($LR$2*($LP$3/1000))/($LP$2*(Sheet3!CB70+273)))*(DR70)</f>
        <v>0.13910107178899864</v>
      </c>
      <c r="EB70" s="183">
        <f>(($LR$2*($LP$3/1000))/($LP$2*(Sheet3!CC70+273)))*(DS70)</f>
        <v>0.14265254007687295</v>
      </c>
      <c r="EC70" s="183">
        <f>(($LR$2*($LP$3/1000))/($LP$2*(Sheet3!CD70+273)))*(DT70)</f>
        <v>0.14485930655541185</v>
      </c>
      <c r="ED70" s="183">
        <f>(($LR$2*($LP$3/1000))/($LP$2*(Sheet3!CE70+273)))*(DU70)</f>
        <v>0.14781012494944631</v>
      </c>
      <c r="EE70" s="183">
        <f>(($LR$2*($LP$3/1000))/($LP$2*(Sheet3!CF70+273)))*(DV70)</f>
        <v>0.15036941541436211</v>
      </c>
      <c r="EF70" s="183">
        <f>(($LR$2*($LP$3/1000))/($LP$2*(Sheet3!CG70+273)))*(DW70)</f>
        <v>0.15357730446579493</v>
      </c>
      <c r="EG70" s="186">
        <f>(($LR$2*($LQ$3/1000))/($LQ$2*(Sheet3!DF70+273)))*(1-DO70)</f>
        <v>0.52543520959124856</v>
      </c>
      <c r="EH70" s="183">
        <f>(($LR$2*($LQ$3/1000))/($LQ$2*(Sheet3!BZ70+273)))*(1-DP70)</f>
        <v>0.52552257083304021</v>
      </c>
      <c r="EI70" s="183">
        <f>(($LR$2*($LQ$3/1000))/($LQ$2*(Sheet3!CA70+273)))*(1-DQ70)</f>
        <v>0.54215575285114914</v>
      </c>
      <c r="EJ70" s="183">
        <f>(($LR$2*($LQ$3/1000))/($LQ$2*(Sheet3!CB70+273)))*(1-DR70)</f>
        <v>0.55506559953359003</v>
      </c>
      <c r="EK70" s="183">
        <f>(($LR$2*($LQ$3/1000))/($LQ$2*(Sheet3!CC70+273)))*(1-DS70)</f>
        <v>0.57224032391932944</v>
      </c>
      <c r="EL70" s="183">
        <f>(($LR$2*($LQ$3/1000))/($LQ$2*(Sheet3!CD70+273)))*(1-DT70)</f>
        <v>0.58114648057628371</v>
      </c>
      <c r="EM70" s="183">
        <f>(($LR$2*($LQ$3/1000))/($LQ$2*(Sheet3!CE70+273)))*(1-DU70)</f>
        <v>0.59641780731845728</v>
      </c>
      <c r="EN70" s="183">
        <f>(($LR$2*($LQ$3/1000))/($LQ$2*(Sheet3!CF70+273)))*(1-DV70)</f>
        <v>0.60679605057127928</v>
      </c>
      <c r="EO70" s="183">
        <f>(($LR$2*($LQ$3/1000))/($LQ$2*(Sheet3!CG70+273)))*(1-DW70)</f>
        <v>0.62305290143798187</v>
      </c>
      <c r="EP70" s="186">
        <f t="shared" si="350"/>
        <v>2934.8050319973695</v>
      </c>
      <c r="EQ70" s="183">
        <f xml:space="preserve"> (($FV70-(Sheet3!B70/4000))*0.018)/(0.011*JO70*3600)</f>
        <v>2935.1218238076781</v>
      </c>
      <c r="ER70" s="183">
        <f>((($FV70-(SUM(Sheet3!B70:C70)/4000))*0.018)/(0.011*JP70*3600))</f>
        <v>3003.0780049070568</v>
      </c>
      <c r="ES70" s="183">
        <f>((($FV70-(SUM(Sheet3!B70:D70)/4000))*0.018)/(0.011*JQ70*3600))</f>
        <v>3062.1106565263622</v>
      </c>
      <c r="ET70" s="183">
        <f>((($FV70-(SUM(Sheet3!B70:E70)/4000))*0.018)/(0.011*JR70))/3600</f>
        <v>3131.490730741778</v>
      </c>
      <c r="EU70" s="183">
        <f>((($FV70-(SUM(Sheet3!B70:F70)/4000))*0.018)/(0.011*JS70))/3600</f>
        <v>3171.4076760872163</v>
      </c>
      <c r="EV70" s="183">
        <f>((($FV70-(SUM(Sheet3!B70:G70)/4000))*0.018)/(0.011*JT70))/3600</f>
        <v>3229.8350733895563</v>
      </c>
      <c r="EW70" s="183">
        <f>((($FV70-(SUM(Sheet3!B70:H70)/4000))*0.018)/(0.011*JU70))/3600</f>
        <v>3275.5901947130992</v>
      </c>
      <c r="EX70" s="183">
        <f>((($FV70-(SUM(Sheet3!B70:I70)/4000))*0.018)/(0.011*JV70))/3600</f>
        <v>3337.6191846682241</v>
      </c>
      <c r="EY70" s="186">
        <f t="shared" si="351"/>
        <v>35.444025038124558</v>
      </c>
      <c r="EZ70" s="183">
        <f t="shared" si="352"/>
        <v>35.446717885210134</v>
      </c>
      <c r="FA70" s="183">
        <f t="shared" si="353"/>
        <v>36.055484365480176</v>
      </c>
      <c r="FB70" s="183">
        <f t="shared" si="354"/>
        <v>36.60951740165234</v>
      </c>
      <c r="FC70" s="183">
        <f t="shared" si="355"/>
        <v>37.24085868754787</v>
      </c>
      <c r="FD70" s="183">
        <f t="shared" si="356"/>
        <v>37.619778220143033</v>
      </c>
      <c r="FE70" s="183">
        <f t="shared" si="357"/>
        <v>38.150315898242525</v>
      </c>
      <c r="FF70" s="183">
        <f t="shared" si="358"/>
        <v>38.58952273180487</v>
      </c>
      <c r="FG70" s="183">
        <f t="shared" si="359"/>
        <v>39.162889660906743</v>
      </c>
      <c r="FH70" s="186">
        <f t="shared" si="274"/>
        <v>84.60201107088713</v>
      </c>
      <c r="FI70" s="183">
        <f t="shared" si="275"/>
        <v>84.591994326861382</v>
      </c>
      <c r="FJ70" s="183">
        <f t="shared" si="276"/>
        <v>82.838609845156881</v>
      </c>
      <c r="FK70" s="183">
        <f t="shared" si="277"/>
        <v>81.614576874981267</v>
      </c>
      <c r="FL70" s="183">
        <f t="shared" si="278"/>
        <v>79.940258019245505</v>
      </c>
      <c r="FM70" s="183">
        <f t="shared" si="279"/>
        <v>79.146010818268252</v>
      </c>
      <c r="FN70" s="183">
        <f t="shared" si="280"/>
        <v>77.718971348441571</v>
      </c>
      <c r="FO70" s="183">
        <f t="shared" si="281"/>
        <v>76.841137627529733</v>
      </c>
      <c r="FP70" s="183">
        <f t="shared" si="282"/>
        <v>75.417854214369953</v>
      </c>
      <c r="FQ70" s="314">
        <f>Sheet3!CV70</f>
        <v>3</v>
      </c>
      <c r="FR70" s="183">
        <v>3000</v>
      </c>
      <c r="FS70" s="183">
        <v>20</v>
      </c>
      <c r="FT70" s="183">
        <v>0.17799999999999999</v>
      </c>
      <c r="FU70" s="183">
        <v>35.6</v>
      </c>
      <c r="FV70" s="183">
        <v>149</v>
      </c>
      <c r="FW70" s="183">
        <v>30</v>
      </c>
      <c r="FX70" s="183">
        <v>450</v>
      </c>
      <c r="FY70" s="183">
        <v>7.2</v>
      </c>
      <c r="FZ70" s="183">
        <v>22</v>
      </c>
      <c r="GA70" s="183">
        <v>205</v>
      </c>
      <c r="GB70" s="186">
        <f>EXP($LP$6-($LQ$6/('Trial and Error method'!T70+$LP$8))) / ($LR$2/1000)</f>
        <v>0.34507993608398729</v>
      </c>
      <c r="GC70" s="183">
        <f>EXP($LP$6-($LQ$6/('Trial and Error method'!U70+$LP$8))) / ($LR$2/1000)</f>
        <v>0.11259384502404621</v>
      </c>
      <c r="GD70" s="183">
        <f>EXP($LP$6-($LQ$6/('Trial and Error method'!V70+$LP$8))) / ($LR$2/1000)</f>
        <v>0.10138116846584302</v>
      </c>
      <c r="GE70" s="183">
        <f>EXP($LP$6-($LQ$6/('Trial and Error method'!W70+$LP$8))) / ($LR$2/1000)</f>
        <v>9.3805535466736922E-2</v>
      </c>
      <c r="GF70" s="183">
        <f>EXP($LP$6-($LQ$6/('Trial and Error method'!X70+$LP$8))) / ($LR$2/1000)</f>
        <v>8.672658809539166E-2</v>
      </c>
      <c r="GG70" s="183">
        <f>EXP($LP$6-($LQ$6/('Trial and Error method'!Y70+$LP$8))) / ($LR$2/1000)</f>
        <v>8.235974665200374E-2</v>
      </c>
      <c r="GH70" s="183">
        <f>EXP($LP$6-($LQ$6/('Trial and Error method'!Z70+$LP$8))) / ($LR$2/1000)</f>
        <v>7.7592594647936428E-2</v>
      </c>
      <c r="GI70" s="183">
        <f>EXP($LP$6-($LQ$6/('Trial and Error method'!AA70+$LP$8))) / ($LR$2/1000)</f>
        <v>7.4602634455256348E-2</v>
      </c>
      <c r="GJ70" s="183">
        <f>EXP($LP$6-($LQ$6/('Trial and Error method'!AB70+$LP$8))) / ($LR$2/1000)</f>
        <v>6.5859227308762369E-2</v>
      </c>
      <c r="GK70" s="188">
        <f t="shared" si="411"/>
        <v>0.68287279334951578</v>
      </c>
      <c r="GL70" s="165">
        <f t="shared" si="360"/>
        <v>0.79628279364931343</v>
      </c>
      <c r="GM70" s="165">
        <f t="shared" si="361"/>
        <v>0.80213118088729163</v>
      </c>
      <c r="GN70" s="165">
        <f t="shared" si="362"/>
        <v>0.80564915057409414</v>
      </c>
      <c r="GO70" s="165">
        <f t="shared" si="363"/>
        <v>0.80950269356658355</v>
      </c>
      <c r="GP70" s="165">
        <f t="shared" si="364"/>
        <v>0.81152615693765484</v>
      </c>
      <c r="GQ70" s="165">
        <f t="shared" si="365"/>
        <v>0.81436267913724458</v>
      </c>
      <c r="GR70" s="165">
        <f t="shared" si="366"/>
        <v>0.81574720074791529</v>
      </c>
      <c r="GS70" s="165">
        <f t="shared" si="367"/>
        <v>0.8203540559147664</v>
      </c>
      <c r="GT70" s="188">
        <f t="shared" si="283"/>
        <v>6.3041852077249896E-2</v>
      </c>
      <c r="GU70" s="165">
        <f t="shared" si="284"/>
        <v>5.4058460717386146E-2</v>
      </c>
      <c r="GV70" s="165">
        <f t="shared" si="285"/>
        <v>5.3584270311193866E-2</v>
      </c>
      <c r="GW70" s="165">
        <f t="shared" si="286"/>
        <v>5.332203046247553E-2</v>
      </c>
      <c r="GX70" s="165">
        <f t="shared" si="287"/>
        <v>5.3015792507596853E-2</v>
      </c>
      <c r="GY70" s="165">
        <f t="shared" si="288"/>
        <v>5.2876501618143446E-2</v>
      </c>
      <c r="GZ70" s="165">
        <f t="shared" si="289"/>
        <v>5.2656502797359658E-2</v>
      </c>
      <c r="HA70" s="165">
        <f t="shared" si="290"/>
        <v>5.2570205684968646E-2</v>
      </c>
      <c r="HB70" s="165">
        <f t="shared" si="291"/>
        <v>5.2253202024003131E-2</v>
      </c>
      <c r="HC70" s="188">
        <f>BV70*Sheet3!DF70</f>
        <v>249.60156058579577</v>
      </c>
      <c r="HD70" s="165">
        <f>BW70*Sheet3!BZ70</f>
        <v>249.50148817764489</v>
      </c>
      <c r="HE70" s="165">
        <f>BX70*Sheet3!CA70</f>
        <v>231.0446594620316</v>
      </c>
      <c r="HF70" s="165">
        <f>BY70*Sheet3!CB70</f>
        <v>217.4945715497536</v>
      </c>
      <c r="HG70" s="165">
        <f>BZ70*Sheet3!CC70</f>
        <v>200.65719521350084</v>
      </c>
      <c r="HH70" s="165">
        <f>CA70*Sheet3!CD70</f>
        <v>192.2957873148965</v>
      </c>
      <c r="HI70" s="165">
        <f>CB70*Sheet3!CE70</f>
        <v>178.78851590121758</v>
      </c>
      <c r="HJ70" s="165">
        <f>CC70*Sheet3!CF70</f>
        <v>169.92149707811726</v>
      </c>
      <c r="HK70" s="165">
        <f>CD70*Sheet3!CG70</f>
        <v>156.8873931048966</v>
      </c>
      <c r="HL70" s="188">
        <f>(CE70*Sheet3!DF70)+2501</f>
        <v>2899.0054276934375</v>
      </c>
      <c r="HM70" s="165">
        <f>(CF70*Sheet3!BZ70)+2501</f>
        <v>2898.8585891270745</v>
      </c>
      <c r="HN70" s="165">
        <f>(CG70*Sheet3!CA70)+2501</f>
        <v>2870.426256702855</v>
      </c>
      <c r="HO70" s="165">
        <f>(CH70*Sheet3!CB70)+2501</f>
        <v>2848.5262340153117</v>
      </c>
      <c r="HP70" s="165">
        <f>(CI70*Sheet3!CC70)+2501</f>
        <v>2822.4290904017171</v>
      </c>
      <c r="HQ70" s="165">
        <f>(CJ70*Sheet3!CD70)+2501</f>
        <v>2808.9255681194581</v>
      </c>
      <c r="HR70" s="165">
        <f>(CK70*Sheet3!CE70)+2501</f>
        <v>2788.1774694838427</v>
      </c>
      <c r="HS70" s="165">
        <f>(CL70*Sheet3!CF70)+2501</f>
        <v>2773.8421431172328</v>
      </c>
      <c r="HT70" s="165">
        <f>(CM70*Sheet3!CG70)+2501</f>
        <v>2753.6409040371632</v>
      </c>
      <c r="HU70" s="188">
        <f>-0.0021*(Sheet3!DF70^2) - 2.2115*(Sheet3!DF70) + 2499</f>
        <v>1957.3899999999999</v>
      </c>
      <c r="HV70" s="165">
        <f>-0.0021*(Sheet3!BZ70^2) - 2.2115*(Sheet3!BZ70) + 2499</f>
        <v>1957.6094307970875</v>
      </c>
      <c r="HW70" s="165">
        <f>-0.0021*(Sheet3!CA70^2) - 2.2115*(Sheet3!CA70) + 2499</f>
        <v>1999.8733521444074</v>
      </c>
      <c r="HX70" s="165">
        <f>-0.0021*(Sheet3!CB70^2) - 2.2115*(Sheet3!CB70) + 2499</f>
        <v>2032.1177777002613</v>
      </c>
      <c r="HY70" s="165">
        <f>-0.0021*(Sheet3!CC70^2) - 2.2115*(Sheet3!CC70) + 2499</f>
        <v>2070.18028271197</v>
      </c>
      <c r="HZ70" s="165">
        <f>-0.0021*(Sheet3!CD70^2) - 2.2115*(Sheet3!CD70) + 2499</f>
        <v>2089.716703255709</v>
      </c>
      <c r="IA70" s="165">
        <f>-0.0021*(Sheet3!CE70^2) - 2.2115*(Sheet3!CE70) + 2499</f>
        <v>2119.5178560785912</v>
      </c>
      <c r="IB70" s="165">
        <f>-0.0021*(Sheet3!CF70^2) - 2.2115*(Sheet3!CF70) + 2499</f>
        <v>2139.9511425892588</v>
      </c>
      <c r="IC70" s="165">
        <f>-0.0021*(Sheet3!CG70^2) - 2.2115*(Sheet3!CG70) + 2499</f>
        <v>2168.5212120869492</v>
      </c>
      <c r="ID70" s="188">
        <f t="shared" si="292"/>
        <v>0.65398473397843615</v>
      </c>
      <c r="IE70" s="165">
        <f t="shared" si="293"/>
        <v>0.65399921500109737</v>
      </c>
      <c r="IF70" s="165">
        <f t="shared" si="294"/>
        <v>0.65875496175558135</v>
      </c>
      <c r="IG70" s="165">
        <f t="shared" si="295"/>
        <v>0.66424032212434381</v>
      </c>
      <c r="IH70" s="165">
        <f t="shared" si="296"/>
        <v>0.66976769149474691</v>
      </c>
      <c r="II70" s="165">
        <f t="shared" si="297"/>
        <v>0.67376767120753878</v>
      </c>
      <c r="IJ70" s="165">
        <f t="shared" si="298"/>
        <v>0.67846879528362503</v>
      </c>
      <c r="IK70" s="165">
        <f t="shared" si="299"/>
        <v>0.68335728740302826</v>
      </c>
      <c r="IL70" s="165">
        <f t="shared" si="300"/>
        <v>0.68894214718337965</v>
      </c>
      <c r="IM70" s="188">
        <f t="shared" si="301"/>
        <v>-6.9953708067175437</v>
      </c>
      <c r="IN70" s="165">
        <f t="shared" si="368"/>
        <v>18.602444681749962</v>
      </c>
      <c r="IO70" s="165">
        <f t="shared" si="369"/>
        <v>19.91153022801079</v>
      </c>
      <c r="IP70" s="165">
        <f t="shared" si="370"/>
        <v>20.952189785638673</v>
      </c>
      <c r="IQ70" s="165">
        <f t="shared" si="371"/>
        <v>21.880899085904154</v>
      </c>
      <c r="IR70" s="165">
        <f t="shared" si="372"/>
        <v>22.509789573716084</v>
      </c>
      <c r="IS70" s="165">
        <f t="shared" si="373"/>
        <v>23.136424516874595</v>
      </c>
      <c r="IT70" s="165">
        <f t="shared" si="374"/>
        <v>23.655609581454321</v>
      </c>
      <c r="IU70" s="165">
        <f t="shared" si="375"/>
        <v>24.694724769444271</v>
      </c>
      <c r="IV70" s="188">
        <f>_xlfn.FORECAST.LINEAR(Sheet3!DF70,Sheet2!$AK$2:$AK$69,Sheet2!$AJ$2:$AJ$69)</f>
        <v>1.5962912137298422E-5</v>
      </c>
      <c r="IW70" s="165">
        <f>_xlfn.FORECAST.LINEAR(Sheet3!BZ70,Sheet2!$AK$2:$AK$69,Sheet2!$AJ$2:$AJ$69)</f>
        <v>1.5960411517440604E-5</v>
      </c>
      <c r="IX70" s="165">
        <f>_xlfn.FORECAST.LINEAR(Sheet3!CA70,Sheet2!$AK$2:$AK$69,Sheet2!$AJ$2:$AJ$69)</f>
        <v>1.5474134417045865E-5</v>
      </c>
      <c r="IY70" s="165">
        <f>_xlfn.FORECAST.LINEAR(Sheet3!CB70,Sheet2!$AK$2:$AK$69,Sheet2!$AJ$2:$AJ$69)</f>
        <v>1.5096713801375011E-5</v>
      </c>
      <c r="IZ70" s="165">
        <f>_xlfn.FORECAST.LINEAR(Sheet3!CC70,Sheet2!$AK$2:$AK$69,Sheet2!$AJ$2:$AJ$69)</f>
        <v>1.4643647923931465E-5</v>
      </c>
      <c r="JA70" s="165">
        <f>_xlfn.FORECAST.LINEAR(Sheet3!CD70,Sheet2!$AK$2:$AK$69,Sheet2!$AJ$2:$AJ$69)</f>
        <v>1.4407788517595032E-5</v>
      </c>
      <c r="JB70" s="165">
        <f>_xlfn.FORECAST.LINEAR(Sheet3!CE70,Sheet2!$AK$2:$AK$69,Sheet2!$AJ$2:$AJ$69)</f>
        <v>1.404348308219982E-5</v>
      </c>
      <c r="JC70" s="165">
        <f>_xlfn.FORECAST.LINEAR(Sheet3!CF70,Sheet2!$AK$2:$AK$69,Sheet2!$AJ$2:$AJ$69)</f>
        <v>1.379042381252921E-5</v>
      </c>
      <c r="JD70" s="165">
        <f>_xlfn.FORECAST.LINEAR(Sheet3!CG70,Sheet2!$AK$2:$AK$69,Sheet2!$AJ$2:$AJ$69)</f>
        <v>1.343194218281376E-5</v>
      </c>
      <c r="JE70" s="188">
        <f>_xlfn.FORECAST.LINEAR(Sheet3!DF70,New!$MC$2:$MC$18,New!$MB$2:$MB$18)</f>
        <v>2.5847452754227255E-5</v>
      </c>
      <c r="JF70" s="165">
        <f>_xlfn.FORECAST.LINEAR(Sheet3!BZ70,New!$MC$2:$MC$18,New!$MB$2:$MB$18)</f>
        <v>2.5844513215227621E-5</v>
      </c>
      <c r="JG70" s="165">
        <f>_xlfn.FORECAST.LINEAR(Sheet3!CA70,New!$MC$2:$MC$18,New!$MB$2:$MB$18)</f>
        <v>2.5272882746577629E-5</v>
      </c>
      <c r="JH70" s="165">
        <f>_xlfn.FORECAST.LINEAR(Sheet3!CB70,New!$MC$2:$MC$18,New!$MB$2:$MB$18)</f>
        <v>2.4829215703159445E-5</v>
      </c>
      <c r="JI70" s="165">
        <f>_xlfn.FORECAST.LINEAR(Sheet3!CC70,New!$MC$2:$MC$18,New!$MB$2:$MB$18)</f>
        <v>2.4296625828698691E-5</v>
      </c>
      <c r="JJ70" s="165">
        <f>_xlfn.FORECAST.LINEAR(Sheet3!CD70,New!$MC$2:$MC$18,New!$MB$2:$MB$18)</f>
        <v>2.4019367403676904E-5</v>
      </c>
      <c r="JK70" s="165">
        <f>_xlfn.FORECAST.LINEAR(Sheet3!CE70,New!$MC$2:$MC$18,New!$MB$2:$MB$18)</f>
        <v>2.3591117571230219E-5</v>
      </c>
      <c r="JL70" s="165">
        <f>_xlfn.FORECAST.LINEAR(Sheet3!CF70,New!$MC$2:$MC$18,New!$MB$2:$MB$18)</f>
        <v>2.3293640291710767E-5</v>
      </c>
      <c r="JM70" s="165">
        <f>_xlfn.FORECAST.LINEAR(Sheet3!CG70,New!$MC$2:$MC$18,New!$MB$2:$MB$18)</f>
        <v>2.2872236483408231E-5</v>
      </c>
      <c r="JN70" s="188">
        <f t="shared" si="376"/>
        <v>2.307726475485116E-5</v>
      </c>
      <c r="JO70" s="165">
        <f t="shared" si="377"/>
        <v>2.3074502980890587E-5</v>
      </c>
      <c r="JP70" s="165">
        <f t="shared" si="378"/>
        <v>2.2526092737460304E-5</v>
      </c>
      <c r="JQ70" s="165">
        <f t="shared" si="379"/>
        <v>2.2091379962322279E-5</v>
      </c>
      <c r="JR70" s="165">
        <f t="shared" si="380"/>
        <v>2.1579215602645788E-5</v>
      </c>
      <c r="JS70" s="165">
        <f t="shared" si="381"/>
        <v>2.1307214504738209E-5</v>
      </c>
      <c r="JT70" s="165">
        <f t="shared" si="382"/>
        <v>2.0897738883356026E-5</v>
      </c>
      <c r="JU70" s="165">
        <f t="shared" si="383"/>
        <v>2.0605481645812338E-5</v>
      </c>
      <c r="JV70" s="165">
        <f t="shared" si="384"/>
        <v>2.0201185307803744E-5</v>
      </c>
      <c r="JW70" s="188">
        <f t="shared" si="302"/>
        <v>0.99342087640971777</v>
      </c>
      <c r="JX70" s="165">
        <f t="shared" si="385"/>
        <v>0.99344350346622057</v>
      </c>
      <c r="JY70" s="165">
        <f t="shared" si="386"/>
        <v>0.99797801458391366</v>
      </c>
      <c r="JZ70" s="165">
        <f t="shared" si="387"/>
        <v>1.0016920227975985</v>
      </c>
      <c r="KA70" s="165">
        <f t="shared" si="388"/>
        <v>1.0063945917155854</v>
      </c>
      <c r="KB70" s="165">
        <f t="shared" si="389"/>
        <v>1.0089556897155054</v>
      </c>
      <c r="KC70" s="165">
        <f t="shared" si="390"/>
        <v>1.0130746422435022</v>
      </c>
      <c r="KD70" s="165">
        <f t="shared" si="391"/>
        <v>1.0160593460261937</v>
      </c>
      <c r="KE70" s="165">
        <f t="shared" si="392"/>
        <v>1.0204729926235061</v>
      </c>
      <c r="KF70" s="188">
        <f t="shared" si="393"/>
        <v>0.98626119619886909</v>
      </c>
      <c r="KG70" s="165">
        <f t="shared" si="394"/>
        <v>0.98624131873369825</v>
      </c>
      <c r="KH70" s="165">
        <f t="shared" si="395"/>
        <v>0.98228349675425863</v>
      </c>
      <c r="KI70" s="165">
        <f t="shared" si="396"/>
        <v>0.97907943090065208</v>
      </c>
      <c r="KJ70" s="165">
        <f t="shared" si="397"/>
        <v>0.97507023281951977</v>
      </c>
      <c r="KK70" s="165">
        <f t="shared" si="398"/>
        <v>0.97290882934776846</v>
      </c>
      <c r="KL70" s="165">
        <f t="shared" si="399"/>
        <v>0.96946482527712619</v>
      </c>
      <c r="KM70" s="165">
        <f t="shared" si="400"/>
        <v>0.96699363323050025</v>
      </c>
      <c r="KN70" s="165">
        <f t="shared" si="401"/>
        <v>0.96337636530244064</v>
      </c>
      <c r="KO70" s="188">
        <f t="shared" si="304"/>
        <v>0.65795908903425959</v>
      </c>
      <c r="KP70" s="165">
        <f t="shared" si="305"/>
        <v>0.65799449194007231</v>
      </c>
      <c r="KQ70" s="165">
        <f t="shared" si="306"/>
        <v>0.6501964278747453</v>
      </c>
      <c r="KR70" s="165">
        <f t="shared" si="307"/>
        <v>0.64391495781725072</v>
      </c>
      <c r="KS70" s="165">
        <f t="shared" si="308"/>
        <v>0.63610730836790219</v>
      </c>
      <c r="KT70" s="165">
        <f t="shared" si="309"/>
        <v>0.63191145806628901</v>
      </c>
      <c r="KU70" s="165">
        <f t="shared" si="310"/>
        <v>0.62527520950594695</v>
      </c>
      <c r="KV70" s="165">
        <f t="shared" si="311"/>
        <v>0.62052067285977563</v>
      </c>
      <c r="KW70" s="165">
        <f t="shared" si="312"/>
        <v>0.6137046916092509</v>
      </c>
      <c r="KX70" s="188">
        <f>AVERAGE(Sheet3!J70:P70)*KO70^(1/3)/ID70^(1/3)</f>
        <v>87.221636342998536</v>
      </c>
      <c r="KY70" s="165">
        <f>Sheet3!J70*KP70^(1/3)/IE70^(1/3)</f>
        <v>82.964836418457736</v>
      </c>
      <c r="KZ70" s="165">
        <f>Sheet3!K70*KQ70^(1/3)/IF70^(1/3)</f>
        <v>77.512638191153684</v>
      </c>
      <c r="LA70" s="165">
        <f>Sheet3!L70*KR70^(1/3)/IG70^(1/3)</f>
        <v>76.414997556288569</v>
      </c>
      <c r="LB70" s="165">
        <f>Sheet3!M70*KS70^(1/3)/IH70^(1/3)</f>
        <v>77.374702142433691</v>
      </c>
      <c r="LC70" s="165">
        <f>Sheet3!N70*KT70^(1/3)/II70^(1/3)</f>
        <v>83.141199063667074</v>
      </c>
      <c r="LD70" s="165">
        <f>Sheet3!O70*KU70^(1/3)/IJ70^(1/3)</f>
        <v>93.085173223548168</v>
      </c>
      <c r="LE70" s="165">
        <f>Sheet3!P70*KV70^(1/3)/IK70^(1/3)</f>
        <v>108.6051651655557</v>
      </c>
      <c r="LF70" s="165">
        <f>Sheet3!Q70*KW70^(1/3)/IL70^(1/3)</f>
        <v>138.49525269826162</v>
      </c>
      <c r="LG70" s="186">
        <f t="shared" si="402"/>
        <v>25.80356922709235</v>
      </c>
      <c r="LH70" s="183">
        <f t="shared" si="403"/>
        <v>25.808902049750117</v>
      </c>
      <c r="LI70" s="183">
        <f t="shared" si="404"/>
        <v>26.352815677786488</v>
      </c>
      <c r="LJ70" s="183">
        <f t="shared" si="405"/>
        <v>26.362492743625157</v>
      </c>
      <c r="LK70" s="183">
        <f t="shared" si="406"/>
        <v>26.88084046952703</v>
      </c>
      <c r="LL70" s="183">
        <f t="shared" si="407"/>
        <v>26.890192406384852</v>
      </c>
      <c r="LM70" s="183">
        <f t="shared" si="408"/>
        <v>27.488249935061638</v>
      </c>
      <c r="LN70" s="183">
        <f t="shared" si="409"/>
        <v>27.497267955445999</v>
      </c>
      <c r="LO70" s="183">
        <f t="shared" si="410"/>
        <v>28.078634454710905</v>
      </c>
      <c r="LT70" s="165"/>
      <c r="MF70" s="165"/>
      <c r="MJ70"/>
      <c r="MK70"/>
      <c r="ML70"/>
      <c r="MM70"/>
      <c r="MN70"/>
      <c r="MO70"/>
      <c r="MP70"/>
      <c r="MQ70"/>
      <c r="MR70"/>
    </row>
    <row r="71" spans="1:356" x14ac:dyDescent="0.3">
      <c r="A71" s="184" t="str">
        <f>Sheet3!A71</f>
        <v>2023.02.01-1</v>
      </c>
      <c r="B71" s="186">
        <f t="shared" si="313"/>
        <v>0.77883848085049878</v>
      </c>
      <c r="C71" s="183">
        <f t="shared" si="257"/>
        <v>0.77843020917119365</v>
      </c>
      <c r="D71" s="183">
        <f t="shared" si="258"/>
        <v>0.77204405007201604</v>
      </c>
      <c r="E71" s="183">
        <f t="shared" si="259"/>
        <v>0.76329747314740715</v>
      </c>
      <c r="F71" s="183">
        <f t="shared" si="260"/>
        <v>0.75588199660235111</v>
      </c>
      <c r="G71" s="183">
        <f t="shared" si="261"/>
        <v>0.75117667334533056</v>
      </c>
      <c r="H71" s="183">
        <f t="shared" si="262"/>
        <v>0.74456607258797936</v>
      </c>
      <c r="I71" s="183">
        <f t="shared" si="263"/>
        <v>0.73867893446370436</v>
      </c>
      <c r="J71" s="183">
        <f t="shared" si="264"/>
        <v>0.73448549569011934</v>
      </c>
      <c r="K71" s="186">
        <f xml:space="preserve"> (6.057 * (10^(-6)))
+ (4.055 * (10^(-8)) * (Sheet3!DF71 + 273))
+ (1.25 * (10^(-10)) * (Sheet3!DF71 + 273)^2)
- (3.367 * (10^(-14)) * (DD71 + 273)^3)</f>
        <v>3.5901997327918331E-5</v>
      </c>
      <c r="L71" s="183">
        <f xml:space="preserve"> (6.057 * (10^(-6)))
+ (4.055 * (10^(-8)) * (Sheet3!BZ71 + 273))
+ (1.25 * (10^(-10)) * (Sheet3!BZ71 + 273)^2)
- (3.367 * (10^(-14)) * (BX71 + 273)^3)</f>
        <v>3.5872384058883788E-5</v>
      </c>
      <c r="M71" s="183">
        <f xml:space="preserve"> (6.057 * (10^(-6)))
+ (4.055 * (10^(-8)) * (Sheet3!CA71 + 273))
+ (1.25 * (10^(-10)) * (Sheet3!CA71 + 273)^2)
- (3.367 * (10^(-14)) * (BY71 + 273)^3)</f>
        <v>3.5400090538247865E-5</v>
      </c>
      <c r="N71" s="183">
        <f xml:space="preserve"> (6.057 * (10^(-6)))
+ (4.055 * (10^(-8)) * (Sheet3!CB71 + 273))
+ (1.25 * (10^(-10)) * (Sheet3!CB71 + 273)^2)
- (3.367 * (10^(-14)) * (BZ71 + 273)^3)</f>
        <v>3.492036149319179E-5</v>
      </c>
      <c r="O71" s="183">
        <f xml:space="preserve"> (6.057 * (10^(-6)))
+ (4.055 * (10^(-8)) * (Sheet3!CC71 + 273))
+ (1.25 * (10^(-10)) * (Sheet3!CC71 + 273)^2)
- (3.367 * (10^(-14)) * (CA71 + 273)^3)</f>
        <v>3.4434431118460866E-5</v>
      </c>
      <c r="P71" s="183">
        <f xml:space="preserve"> (6.057 * (10^(-6)))
+ (4.055 * (10^(-8)) * (Sheet3!CD71 + 273))
+ (1.25 * (10^(-10)) * (Sheet3!CD71 + 273)^2)
- (3.367 * (10^(-14)) * (CB71 + 273)^3)</f>
        <v>3.4184241743992388E-5</v>
      </c>
      <c r="Q71" s="183">
        <f xml:space="preserve"> (6.057 * (10^(-6)))
+ (4.055 * (10^(-8)) * (Sheet3!CE71 + 273))
+ (1.25 * (10^(-10)) * (Sheet3!CE71 + 273)^2)
- (3.367 * (10^(-14)) * (CC71 + 273)^3)</f>
        <v>3.374632987820802E-5</v>
      </c>
      <c r="R71" s="183">
        <f xml:space="preserve"> (6.057 * (10^(-6)))
+ (4.055 * (10^(-8)) * (Sheet3!CF71 + 273))
+ (1.25 * (10^(-10)) * (Sheet3!CF71 + 273)^2)
- (3.367 * (10^(-14)) * (CD71 + 273)^3)</f>
        <v>3.3444002732288436E-5</v>
      </c>
      <c r="S71" s="183">
        <f xml:space="preserve"> (6.057 * (10^(-6)))
+ (4.055 * (10^(-8)) * (Sheet3!CG71 + 273))
+ (1.25 * (10^(-10)) * (Sheet3!CG71 + 273)^2)
- (3.367 * (10^(-14)) * (CE71 + 273)^3)</f>
        <v>3.3123220172301704E-5</v>
      </c>
      <c r="T71" s="188">
        <f t="shared" si="314"/>
        <v>3.5901997327918331E-5</v>
      </c>
      <c r="U71" s="165">
        <f t="shared" si="315"/>
        <v>3.5872384058883788E-5</v>
      </c>
      <c r="V71" s="165">
        <f t="shared" si="316"/>
        <v>3.5400090538247865E-5</v>
      </c>
      <c r="W71" s="165">
        <f t="shared" si="317"/>
        <v>3.492036149319179E-5</v>
      </c>
      <c r="X71" s="165">
        <f t="shared" si="318"/>
        <v>3.4434431118460866E-5</v>
      </c>
      <c r="Y71" s="165">
        <f t="shared" si="319"/>
        <v>3.4184241743992388E-5</v>
      </c>
      <c r="Z71" s="165">
        <f t="shared" si="320"/>
        <v>3.374632987820802E-5</v>
      </c>
      <c r="AA71" s="165">
        <f t="shared" si="321"/>
        <v>3.3444002732288436E-5</v>
      </c>
      <c r="AB71" s="165">
        <f t="shared" si="322"/>
        <v>3.3123220172301704E-5</v>
      </c>
      <c r="AC71" s="186">
        <f t="shared" si="265"/>
        <v>2.796185705837458E-5</v>
      </c>
      <c r="AD71" s="183">
        <f t="shared" si="266"/>
        <v>2.7924147426426301E-5</v>
      </c>
      <c r="AE71" s="183">
        <f t="shared" si="267"/>
        <v>2.7330429272064937E-5</v>
      </c>
      <c r="AF71" s="183">
        <f t="shared" si="268"/>
        <v>2.665462368914731E-5</v>
      </c>
      <c r="AG71" s="183">
        <f t="shared" si="269"/>
        <v>2.6028366545688328E-5</v>
      </c>
      <c r="AH71" s="183">
        <f t="shared" si="270"/>
        <v>2.5678404994084784E-5</v>
      </c>
      <c r="AI71" s="183">
        <f t="shared" si="271"/>
        <v>2.5126372301675728E-5</v>
      </c>
      <c r="AJ71" s="183">
        <f t="shared" si="272"/>
        <v>2.4704380302488038E-5</v>
      </c>
      <c r="AK71" s="183">
        <f t="shared" si="273"/>
        <v>2.4328524787105978E-5</v>
      </c>
      <c r="AL71" s="186">
        <f t="shared" si="323"/>
        <v>2.9157232604590709E-2</v>
      </c>
      <c r="AM71" s="183">
        <f t="shared" si="324"/>
        <v>2.913227898377569E-2</v>
      </c>
      <c r="AN71" s="183">
        <f t="shared" si="325"/>
        <v>2.8713247188545211E-2</v>
      </c>
      <c r="AO71" s="183">
        <f t="shared" si="326"/>
        <v>2.8279278287981942E-2</v>
      </c>
      <c r="AP71" s="183">
        <f t="shared" si="327"/>
        <v>2.7841238841683068E-2</v>
      </c>
      <c r="AQ71" s="183">
        <f t="shared" si="328"/>
        <v>2.7611779062106306E-2</v>
      </c>
      <c r="AR71" s="183">
        <f t="shared" si="329"/>
        <v>2.7214266420732384E-2</v>
      </c>
      <c r="AS71" s="183">
        <f t="shared" si="330"/>
        <v>2.6933621809703229E-2</v>
      </c>
      <c r="AT71" s="183">
        <f t="shared" si="331"/>
        <v>2.6647292148038893E-2</v>
      </c>
      <c r="AU71" s="186">
        <f>_xlfn.FORECAST.LINEAR(Sheet3!DF71,Sheet2!$AH$2:$AH$40,Sheet2!$AG$2:$AG$40)</f>
        <v>2.5653712965492358E-2</v>
      </c>
      <c r="AV71" s="183">
        <f>_xlfn.FORECAST.LINEAR(Sheet3!BZ71,Sheet2!$AH$2:$AH$40,Sheet2!$AG$2:$AG$40)</f>
        <v>2.559893092007472E-2</v>
      </c>
      <c r="AW71" s="183">
        <f>_xlfn.FORECAST.LINEAR(Sheet3!CA71,Sheet2!$AH$2:$AH$40,Sheet2!$AG$2:$AG$40)</f>
        <v>2.4672325393758163E-2</v>
      </c>
      <c r="AX71" s="183">
        <f>_xlfn.FORECAST.LINEAR(Sheet3!CB71,Sheet2!$AH$2:$AH$40,Sheet2!$AG$2:$AG$40)</f>
        <v>2.3724344619083064E-2</v>
      </c>
      <c r="AY71" s="183">
        <f>_xlfn.FORECAST.LINEAR(Sheet3!CC71,Sheet2!$AH$2:$AH$40,Sheet2!$AG$2:$AG$40)</f>
        <v>2.2757072434109779E-2</v>
      </c>
      <c r="AZ71" s="183">
        <f>_xlfn.FORECAST.LINEAR(Sheet3!CD71,Sheet2!$AH$2:$AH$40,Sheet2!$AG$2:$AG$40)</f>
        <v>2.2256169805538378E-2</v>
      </c>
      <c r="BA71" s="183">
        <f>_xlfn.FORECAST.LINEAR(Sheet3!CE71,Sheet2!$AH$2:$AH$40,Sheet2!$AG$2:$AG$40)</f>
        <v>2.1374801136842599E-2</v>
      </c>
      <c r="BB71" s="183">
        <f>_xlfn.FORECAST.LINEAR(Sheet3!CF71,Sheet2!$AH$2:$AH$40,Sheet2!$AG$2:$AG$40)</f>
        <v>2.0762707107212883E-2</v>
      </c>
      <c r="BC71" s="183">
        <f>_xlfn.FORECAST.LINEAR(Sheet3!CG71,Sheet2!$AH$2:$AH$40,Sheet2!$AG$2:$AG$40)</f>
        <v>2.0121188395224088E-2</v>
      </c>
      <c r="BD71" s="186">
        <f>_xlfn.FORECAST.LINEAR(Sheet3!DF71,Sheet2!$AB$12:$AB$37,Sheet2!$AA$12:$AA$37)/1000</f>
        <v>3.0506351161118033E-2</v>
      </c>
      <c r="BE71" s="183">
        <f>_xlfn.FORECAST.LINEAR(Sheet3!BZ71,Sheet2!$AB$12:$AB$37,Sheet2!$AA$12:$AA$37)/1000</f>
        <v>3.0494103163776883E-2</v>
      </c>
      <c r="BF71" s="183">
        <f>_xlfn.FORECAST.LINEAR(Sheet3!CA71,Sheet2!$AB$12:$AB$37,Sheet2!$AA$12:$AA$37)/1000</f>
        <v>3.0286935615794704E-2</v>
      </c>
      <c r="BG71" s="183">
        <f>_xlfn.FORECAST.LINEAR(Sheet3!CB71,Sheet2!$AB$12:$AB$37,Sheet2!$AA$12:$AA$37)/1000</f>
        <v>3.0074989057042371E-2</v>
      </c>
      <c r="BH71" s="183">
        <f>_xlfn.FORECAST.LINEAR(Sheet3!CC71,Sheet2!$AB$12:$AB$37,Sheet2!$AA$12:$AA$37)/1000</f>
        <v>2.9858729385476561E-2</v>
      </c>
      <c r="BI71" s="183">
        <f>_xlfn.FORECAST.LINEAR(Sheet3!CD71,Sheet2!$AB$12:$AB$37,Sheet2!$AA$12:$AA$37)/1000</f>
        <v>2.9746739151885492E-2</v>
      </c>
      <c r="BJ71" s="183">
        <f>_xlfn.FORECAST.LINEAR(Sheet3!CE71,Sheet2!$AB$12:$AB$37,Sheet2!$AA$12:$AA$37)/1000</f>
        <v>2.9549685518191059E-2</v>
      </c>
      <c r="BK71" s="183">
        <f>_xlfn.FORECAST.LINEAR(Sheet3!CF71,Sheet2!$AB$12:$AB$37,Sheet2!$AA$12:$AA$37)/1000</f>
        <v>2.9412835461018399E-2</v>
      </c>
      <c r="BL71" s="183">
        <f>_xlfn.FORECAST.LINEAR(Sheet3!CG71,Sheet2!$AB$12:$AB$37,Sheet2!$AA$12:$AA$37)/1000</f>
        <v>2.9269406725949534E-2</v>
      </c>
      <c r="BM71" s="186">
        <f t="shared" si="332"/>
        <v>0.88002902053273591</v>
      </c>
      <c r="BN71" s="183">
        <f t="shared" si="333"/>
        <v>0.88056893277936976</v>
      </c>
      <c r="BO71" s="183">
        <f t="shared" si="334"/>
        <v>0.89000300825853296</v>
      </c>
      <c r="BP71" s="183">
        <f t="shared" si="335"/>
        <v>0.8994874953341363</v>
      </c>
      <c r="BQ71" s="183">
        <f t="shared" si="336"/>
        <v>0.90966484432398653</v>
      </c>
      <c r="BR71" s="183">
        <f t="shared" si="337"/>
        <v>0.91487782969559373</v>
      </c>
      <c r="BS71" s="183">
        <f t="shared" si="338"/>
        <v>0.92451060465155022</v>
      </c>
      <c r="BT71" s="183">
        <f t="shared" si="339"/>
        <v>0.93109341898259301</v>
      </c>
      <c r="BU71" s="183">
        <f t="shared" si="340"/>
        <v>0.93843990310849845</v>
      </c>
      <c r="BV71" s="186">
        <f t="shared" si="341"/>
        <v>1.1849043564046586</v>
      </c>
      <c r="BW71" s="183">
        <f t="shared" si="342"/>
        <v>1.1847621712588132</v>
      </c>
      <c r="BX71" s="183">
        <f t="shared" si="343"/>
        <v>1.1804412628876912</v>
      </c>
      <c r="BY71" s="183">
        <f t="shared" si="344"/>
        <v>1.1795073079135729</v>
      </c>
      <c r="BZ71" s="183">
        <f t="shared" si="345"/>
        <v>1.1758724927588993</v>
      </c>
      <c r="CA71" s="183">
        <f t="shared" si="346"/>
        <v>1.1753392570204571</v>
      </c>
      <c r="CB71" s="183">
        <f t="shared" si="347"/>
        <v>1.1715341277779927</v>
      </c>
      <c r="CC71" s="183">
        <f t="shared" si="348"/>
        <v>1.170920841863651</v>
      </c>
      <c r="CD71" s="183">
        <f t="shared" si="349"/>
        <v>1.1671612004173249</v>
      </c>
      <c r="CE71" s="187">
        <f xml:space="preserve"> -0.0000000019505*Sheet3!DF71^3 + 0.0000015497*Sheet3!DF71^2  + 0.00016911*Sheet3!DF71 + 1.8585</f>
        <v>1.8828730816875001</v>
      </c>
      <c r="CF71" s="185">
        <f xml:space="preserve"> -0.0000000019505*Sheet3!BZ71^3 + 0.0000015497*Sheet3!BZ71^2  + 0.00016911*Sheet3!BZ71 + 1.8585</f>
        <v>1.8827890036457877</v>
      </c>
      <c r="CG71" s="185">
        <f xml:space="preserve"> -0.0000000019505*Sheet3!CA71^3 + 0.0000015497*Sheet3!CA71^2  + 0.00016911*Sheet3!CA71 + 1.8585</f>
        <v>1.8813818014994348</v>
      </c>
      <c r="CH71" s="185">
        <f xml:space="preserve"> -0.0000000019505*Sheet3!CB71^3 + 0.0000015497*Sheet3!CB71^2  + 0.00016911*Sheet3!CB71 + 1.8585</f>
        <v>1.8799717165534124</v>
      </c>
      <c r="CI71" s="185">
        <f xml:space="preserve"> -0.0000000019505*Sheet3!CC71^3 + 0.0000015497*Sheet3!CC71^2  + 0.00016911*Sheet3!CC71 + 1.8585</f>
        <v>1.8785643976324418</v>
      </c>
      <c r="CJ71" s="185">
        <f xml:space="preserve"> -0.0000000019505*Sheet3!CD71^3 + 0.0000015497*Sheet3!CD71^2  + 0.00016911*Sheet3!CD71 + 1.8585</f>
        <v>1.8778483167374118</v>
      </c>
      <c r="CK71" s="185">
        <f xml:space="preserve"> -0.0000000019505*Sheet3!CE71^3 + 0.0000015497*Sheet3!CE71^2  + 0.00016911*Sheet3!CE71 + 1.8585</f>
        <v>1.876609708298872</v>
      </c>
      <c r="CL71" s="185">
        <f xml:space="preserve"> -0.0000000019505*Sheet3!CF71^3 + 0.0000015497*Sheet3!CF71^2  + 0.00016911*Sheet3!CF71 + 1.8585</f>
        <v>1.8757657765877742</v>
      </c>
      <c r="CM71" s="185">
        <f xml:space="preserve"> -0.0000000019505*Sheet3!CG71^3 + 0.0000015497*Sheet3!CG71^2  + 0.00016911*Sheet3!CG71 + 1.8585</f>
        <v>1.8748957828488042</v>
      </c>
      <c r="CN71" s="186">
        <f>_xlfn.FORECAST.LINEAR(Sheet3!DF71,New!$LU$2:$LU$14,New!$LT$2:$LT$14)</f>
        <v>1.0126209368728181</v>
      </c>
      <c r="CO71" s="183">
        <f>_xlfn.FORECAST.LINEAR(Sheet3!BZ71,New!$LU$2:$LU$14,New!$LT$2:$LT$14)</f>
        <v>1.0125806165686897</v>
      </c>
      <c r="CP71" s="183">
        <f>_xlfn.FORECAST.LINEAR(Sheet3!CA71,New!$LU$2:$LU$14,New!$LT$2:$LT$14)</f>
        <v>1.0118986227449245</v>
      </c>
      <c r="CQ71" s="183">
        <f>_xlfn.FORECAST.LINEAR(Sheet3!CB71,New!$LU$2:$LU$14,New!$LT$2:$LT$14)</f>
        <v>1.0112008964579395</v>
      </c>
      <c r="CR71" s="183">
        <f>_xlfn.FORECAST.LINEAR(Sheet3!CC71,New!$LU$2:$LU$14,New!$LT$2:$LT$14)</f>
        <v>1.0104889714398857</v>
      </c>
      <c r="CS71" s="183">
        <f>_xlfn.FORECAST.LINEAR(Sheet3!CD71,New!$LU$2:$LU$14,New!$LT$2:$LT$14)</f>
        <v>1.0101203005337758</v>
      </c>
      <c r="CT71" s="183">
        <f>_xlfn.FORECAST.LINEAR(Sheet3!CE71,New!$LU$2:$LU$14,New!$LT$2:$LT$14)</f>
        <v>1.0094716016306944</v>
      </c>
      <c r="CU71" s="183">
        <f>_xlfn.FORECAST.LINEAR(Sheet3!CF71,New!$LU$2:$LU$14,New!$LT$2:$LT$14)</f>
        <v>1.0090210923946548</v>
      </c>
      <c r="CV71" s="183">
        <f>_xlfn.FORECAST.LINEAR(Sheet3!CG71,New!$LU$2:$LU$14,New!$LT$2:$LT$14)</f>
        <v>1.008548926206368</v>
      </c>
      <c r="CW71" s="186">
        <f>EXP((17.625*Sheet3!BA71)/(243.04+Sheet3!BA71)) / EXP((17.625*Sheet3!DF71)/(243.04+Sheet3!DF71))</f>
        <v>0.41680419672659952</v>
      </c>
      <c r="CX71" s="183">
        <f>EXP((17.625*(Sheet3!BC71+273))/(243.04+(Sheet3!BC71+273)))/EXP((17.625*(Sheet3!BZ71+273))/(243.04+(Sheet3!BZ71+273)))</f>
        <v>0.77844495801577318</v>
      </c>
      <c r="CY71" s="183">
        <f>EXP((17.625*(Sheet3!BE71+273))/(243.04+(Sheet3!BE71+273))) / EXP((17.625*(Sheet3!CA71+273))/(243.04+(Sheet3!CA71+273)))</f>
        <v>0.81224031087112714</v>
      </c>
      <c r="CZ71" s="183">
        <f>EXP((17.625*(Sheet3!BG71+273))/(243.04+(Sheet3!BG71+273))) / EXP((17.625*(Sheet3!CB71+273))/(243.04+(Sheet3!CB71+273)))</f>
        <v>0.84686006089234556</v>
      </c>
      <c r="DA71" s="183">
        <f>EXP((17.625*(Sheet3!BI71+273))/(243.04+(Sheet3!BI71+273))) / EXP((17.625*(Sheet3!CC71+273))/(243.04+(Sheet3!CC71+273)))</f>
        <v>0.88424915054251596</v>
      </c>
      <c r="DB71" s="183">
        <f>EXP((17.625*(Sheet3!BK71+273))/(243.04+(Sheet3!BK71+273)))/EXP((17.625*(Sheet3!CD71+273))/(243.04+(Sheet3!CD71+273)))</f>
        <v>0.90594249502731539</v>
      </c>
      <c r="DC71" s="183">
        <f>EXP((17.625*(Sheet3!BM71+273))/(243.04+(Sheet3!BM71+273))) / EXP((17.625*(Sheet3!CE71+273))/(243.04+(Sheet3!CE71+273)))</f>
        <v>0.94245185356183925</v>
      </c>
      <c r="DD71" s="183">
        <f>EXP((17.625*(Sheet3!BO71+273))/(243.04+(Sheet3!BO71+273))) / EXP((17.625*(Sheet3!CF71+273))/(243.04+(Sheet3!CF71+273)))</f>
        <v>0.97138567226042083</v>
      </c>
      <c r="DE71" s="183">
        <f>EXP((17.625*(Sheet3!BQ71+273))/(243.04+(Sheet3!BQ71+273))) / EXP((17.625*(Sheet3!CG71+273))/(243.04+(Sheet3!CG71+273)))</f>
        <v>0.99899404359329991</v>
      </c>
      <c r="DF71" s="186">
        <f>((Sheet3!DA71-Sheet3!DB71)/New!$LQ$3)/(((Sheet3!DA71-Sheet3!DB71)/New!$LQ$3)+(Sheet3!DB71/New!$LP$3))</f>
        <v>0.71592203852799807</v>
      </c>
      <c r="DG71" s="183">
        <f>((Sheet3!DA71-Sheet3!DB71)/New!$LQ$3)/(((Sheet3!DA71-Sheet3!DB71)/New!$LQ$3)+((Sheet3!DB71-(Sheet3!B71*0.004))/New!$LP$3))</f>
        <v>0.71633946674427429</v>
      </c>
      <c r="DH71" s="183" cm="1">
        <f t="array" ref="DH71">((Sheet3!DA71-Sheet3!DB71)/New!$LQ$3)/(((Sheet3!DA71-Sheet3!DB71)/New!$LQ$3)+((Sheet3!DB71-(SUM(Sheet3!B71:C71*0.004)))/New!$LP$3))</f>
        <v>0.73233044308125994</v>
      </c>
      <c r="DI71" s="183" cm="1">
        <f t="array" ref="DI71">((Sheet3!DA71-Sheet3!DB71)/New!$LQ$3)/(((Sheet3!DA71-Sheet3!DB71)/New!$LQ$3)+((Sheet3!DB71-(SUM(Sheet3!B71:D71*0.004)))/New!$LP$3))</f>
        <v>0.73278908375787177</v>
      </c>
      <c r="DJ71" s="183" cm="1">
        <f t="array" ref="DJ71">((Sheet3!DA71-Sheet3!DB71)/New!$LQ$3)/(((Sheet3!DA71-Sheet3!DB71)/New!$LQ$3)+((Sheet3!DB71-(SUM(Sheet3!B71:E71*0.004)))/New!$LP$3))</f>
        <v>0.74604959118127379</v>
      </c>
      <c r="DK71" s="183" cm="1">
        <f t="array" ref="DK71">((Sheet3!DA71-Sheet3!DB71)/New!$LQ$3)/(((Sheet3!DA71-Sheet3!DB71)/New!$LQ$3)+((Sheet3!DB71-(SUM(Sheet3!B71:F71*0.004)))/New!$LP$3))</f>
        <v>0.74652558233543231</v>
      </c>
      <c r="DL71" s="183" cm="1">
        <f t="array" ref="DL71">((Sheet3!DA71-Sheet3!DB71)/New!$LQ$3)/(((Sheet3!DA71-Sheet3!DB71)/New!$LQ$3)+((Sheet3!DB71-(SUM(Sheet3!B71:G71*0.004)))/New!$LP$3))</f>
        <v>0.76154143947446495</v>
      </c>
      <c r="DM71" s="183" cm="1">
        <f t="array" ref="DM71">((Sheet3!DA71-Sheet3!DB71)/New!$LQ$3)/(((Sheet3!DA71-Sheet3!DB71)/New!$LQ$3)+((Sheet3!DB71-(SUM(Sheet3!B71:H71*0.004)))/New!$LP$3))</f>
        <v>0.7619901473507017</v>
      </c>
      <c r="DN71" s="183" cm="1">
        <f t="array" ref="DN71">((Sheet3!DA71-Sheet3!DB71)/New!$LQ$3)/(((Sheet3!DA71-Sheet3!DB71)/New!$LQ$3)+((Sheet3!DB71-(SUM(Sheet3!B71:I71*0.004)))/New!$LP$3))</f>
        <v>0.77847875639705466</v>
      </c>
      <c r="DO71" s="186">
        <f>(Sheet3!DB71/$LP$3) / ((Sheet3!DB71/$LP$3) + ((Sheet3!DA71-Sheet3!DB71)/$LQ$3))</f>
        <v>0.28407796147200193</v>
      </c>
      <c r="DP71" s="183">
        <f>((Sheet3!$DB71-(Sheet3!B71/4000)) / $LP$3) / (((Sheet3!$DA71-Sheet3!DB71) / $LQ$3) + (Sheet3!$DB71-((Sheet3!B71/4000)))/$LP$3)</f>
        <v>0.28405188646166679</v>
      </c>
      <c r="DQ71" s="183">
        <f>((Sheet3!$DB71-(SUM(Sheet3!B71:C71)/4000))/$LP$3)/(((Sheet3!$DA71-Sheet3!$DB71)/$LQ$3)+(Sheet3!$DB71-(SUM(Sheet3!B71:C71)/4000))/$LP$3)</f>
        <v>0.28307400794395821</v>
      </c>
      <c r="DR71" s="183">
        <f>((Sheet3!$DB71-(SUM(Sheet3!B71:D71)/4000))/$LP$3)/(((Sheet3!$DA71-Sheet3!$DB71)/$LQ$3)+(Sheet3!$DB71-(SUM(Sheet3!B71:D71)/4000))/$LP$3)</f>
        <v>0.28304655229009396</v>
      </c>
      <c r="DS71" s="183">
        <f>((Sheet3!$DB71-(SUM(Sheet3!B71:E71)/4000))/$LP$3)/(((Sheet3!$DA71-Sheet3!$DB71)/$LQ$3)+(Sheet3!$DB71-(SUM(Sheet3!B71:E71)/4000))/$LP$3)</f>
        <v>0.2822664569684552</v>
      </c>
      <c r="DT71" s="183">
        <f>((Sheet3!$DB71-(SUM(Sheet3!B71:F71)/4000))/$LP$3)/(((Sheet3!$DA71-Sheet3!$DB71)/$LQ$3)+(Sheet3!$DB71-(SUM(Sheet3!B71:F71)/4000))/$LP$3)</f>
        <v>0.28223893942604711</v>
      </c>
      <c r="DU71" s="183">
        <f>((Sheet3!$DB71-(SUM(Sheet3!B71:G71)/4000))/$LP$3)/(((Sheet3!$DA71-Sheet3!$DB71)/$LQ$3)+(Sheet3!$DB71-(SUM(Sheet3!B71:G71)/4000))/$LP$3)</f>
        <v>0.28138747484753912</v>
      </c>
      <c r="DV71" s="183">
        <f>((Sheet3!$DB71-(SUM(Sheet3!B71:H71)/4000))/$LP$3)/(((Sheet3!$DA71-Sheet3!$DB71)/$LQ$3)+(Sheet3!$DB71-(SUM(Sheet3!B71:H71)/4000))/$LP$3)</f>
        <v>0.28136251709571863</v>
      </c>
      <c r="DW71" s="183">
        <f>((Sheet3!$DB71-(SUM(Sheet3!B71:I71)/4000))/$LP$3)/(((Sheet3!$DA71-Sheet3!$DB71)/$LQ$3)+(Sheet3!$DB71-(SUM(Sheet3!B71:I71)/4000))/$LP$3)</f>
        <v>0.28046419891463409</v>
      </c>
      <c r="DX71" s="186">
        <f>($LR$2*($LP$3/1000))/($LP$2*(Sheet3!DF71+273))*DO71</f>
        <v>0.17421894315115077</v>
      </c>
      <c r="DY71" s="183">
        <f>(($LR$2*($LP$3/1000))/($LP$2*(Sheet3!BZ71+273)))*(DP71)</f>
        <v>0.17430790392513271</v>
      </c>
      <c r="DZ71" s="183">
        <f>(($LR$2*($LP$3/1000))/($LP$2*(Sheet3!CA71+273)))*(DQ71)</f>
        <v>0.17549621010221947</v>
      </c>
      <c r="EA71" s="183">
        <f>(($LR$2*($LP$3/1000))/($LP$2*(Sheet3!CB71+273)))*(DR71)</f>
        <v>0.17734715533442322</v>
      </c>
      <c r="EB71" s="183">
        <f>(($LR$2*($LP$3/1000))/($LP$2*(Sheet3!CC71+273)))*(DS71)</f>
        <v>0.17880042846975625</v>
      </c>
      <c r="EC71" s="183">
        <f>(($LR$2*($LP$3/1000))/($LP$2*(Sheet3!CD71+273)))*(DT71)</f>
        <v>0.17980544999272929</v>
      </c>
      <c r="ED71" s="183">
        <f>(($LR$2*($LP$3/1000))/($LP$2*(Sheet3!CE71+273)))*(DU71)</f>
        <v>0.18108524337927159</v>
      </c>
      <c r="EE71" s="183">
        <f>(($LR$2*($LP$3/1000))/($LP$2*(Sheet3!CF71+273)))*(DV71)</f>
        <v>0.18235652831618238</v>
      </c>
      <c r="EF71" s="183">
        <f>(($LR$2*($LP$3/1000))/($LP$2*(Sheet3!CG71+273)))*(DW71)</f>
        <v>0.1831389656082488</v>
      </c>
      <c r="EG71" s="186">
        <f>(($LR$2*($LQ$3/1000))/($LQ$2*(Sheet3!DF71+273)))*(1-DO71)</f>
        <v>0.70581007738158519</v>
      </c>
      <c r="EH71" s="183">
        <f>(($LR$2*($LQ$3/1000))/($LQ$2*(Sheet3!BZ71+273)))*(1-DP71)</f>
        <v>0.70626102885423703</v>
      </c>
      <c r="EI71" s="183">
        <f>(($LR$2*($LQ$3/1000))/($LQ$2*(Sheet3!CA71+273)))*(1-DQ71)</f>
        <v>0.71450679815631346</v>
      </c>
      <c r="EJ71" s="183">
        <f>(($LR$2*($LQ$3/1000))/($LQ$2*(Sheet3!CB71+273)))*(1-DR71)</f>
        <v>0.72214033999971305</v>
      </c>
      <c r="EK71" s="183">
        <f>(($LR$2*($LQ$3/1000))/($LQ$2*(Sheet3!CC71+273)))*(1-DS71)</f>
        <v>0.73086441585423034</v>
      </c>
      <c r="EL71" s="183">
        <f>(($LR$2*($LQ$3/1000))/($LQ$2*(Sheet3!CD71+273)))*(1-DT71)</f>
        <v>0.73507237970286443</v>
      </c>
      <c r="EM71" s="183">
        <f>(($LR$2*($LQ$3/1000))/($LQ$2*(Sheet3!CE71+273)))*(1-DU71)</f>
        <v>0.74342536127227865</v>
      </c>
      <c r="EN71" s="183">
        <f>(($LR$2*($LQ$3/1000))/($LQ$2*(Sheet3!CF71+273)))*(1-DV71)</f>
        <v>0.74873689066641069</v>
      </c>
      <c r="EO71" s="183">
        <f>(($LR$2*($LQ$3/1000))/($LQ$2*(Sheet3!CG71+273)))*(1-DW71)</f>
        <v>0.75530093750024963</v>
      </c>
      <c r="EP71" s="186">
        <f t="shared" si="350"/>
        <v>4903.4508961443398</v>
      </c>
      <c r="EQ71" s="183">
        <f xml:space="preserve"> (($FV71-(Sheet3!B71/4000))*0.018)/(0.011*JO71*3600)</f>
        <v>4905.617984171321</v>
      </c>
      <c r="ER71" s="183">
        <f>((($FV71-(SUM(Sheet3!B71:C71)/4000))*0.018)/(0.011*JP71*3600))</f>
        <v>4938.6635102063246</v>
      </c>
      <c r="ES71" s="183">
        <f>((($FV71-(SUM(Sheet3!B71:D71)/4000))*0.018)/(0.011*JQ71*3600))</f>
        <v>4980.2268412091325</v>
      </c>
      <c r="ET71" s="183">
        <f>((($FV71-(SUM(Sheet3!B71:E71)/4000))*0.018)/(0.011*JR71))/3600</f>
        <v>5017.7674969956661</v>
      </c>
      <c r="EU71" s="183">
        <f>((($FV71-(SUM(Sheet3!B71:F71)/4000))*0.018)/(0.011*JS71))/3600</f>
        <v>5040.2918540667297</v>
      </c>
      <c r="EV71" s="183">
        <f>((($FV71-(SUM(Sheet3!B71:G71)/4000))*0.018)/(0.011*JT71))/3600</f>
        <v>5074.3546329068959</v>
      </c>
      <c r="EW71" s="183">
        <f>((($FV71-(SUM(Sheet3!B71:H71)/4000))*0.018)/(0.011*JU71))/3600</f>
        <v>5102.6491337853549</v>
      </c>
      <c r="EX71" s="183">
        <f>((($FV71-(SUM(Sheet3!B71:I71)/4000))*0.018)/(0.011*JV71))/3600</f>
        <v>5125.967569307988</v>
      </c>
      <c r="EY71" s="186">
        <f t="shared" si="351"/>
        <v>51.25689010662046</v>
      </c>
      <c r="EZ71" s="183">
        <f t="shared" si="352"/>
        <v>51.276124909588532</v>
      </c>
      <c r="FA71" s="183">
        <f t="shared" si="353"/>
        <v>51.552256996105932</v>
      </c>
      <c r="FB71" s="183">
        <f t="shared" si="354"/>
        <v>51.937795951284556</v>
      </c>
      <c r="FC71" s="183">
        <f t="shared" si="355"/>
        <v>52.264145129324106</v>
      </c>
      <c r="FD71" s="183">
        <f t="shared" si="356"/>
        <v>52.474444731898274</v>
      </c>
      <c r="FE71" s="183">
        <f t="shared" si="357"/>
        <v>52.76777618170847</v>
      </c>
      <c r="FF71" s="183">
        <f t="shared" si="358"/>
        <v>53.034177842729079</v>
      </c>
      <c r="FG71" s="183">
        <f t="shared" si="359"/>
        <v>53.225866865172307</v>
      </c>
      <c r="FH71" s="186">
        <f t="shared" si="274"/>
        <v>83.02828152370428</v>
      </c>
      <c r="FI71" s="183">
        <f t="shared" si="275"/>
        <v>82.988354226281288</v>
      </c>
      <c r="FJ71" s="183">
        <f t="shared" si="276"/>
        <v>82.235149903144375</v>
      </c>
      <c r="FK71" s="183">
        <f t="shared" si="277"/>
        <v>81.597965853933218</v>
      </c>
      <c r="FL71" s="183">
        <f t="shared" si="278"/>
        <v>80.838808188994406</v>
      </c>
      <c r="FM71" s="183">
        <f t="shared" si="279"/>
        <v>80.495154130215738</v>
      </c>
      <c r="FN71" s="183">
        <f t="shared" si="280"/>
        <v>79.779795524366179</v>
      </c>
      <c r="FO71" s="183">
        <f t="shared" si="281"/>
        <v>79.355693833589314</v>
      </c>
      <c r="FP71" s="183">
        <f t="shared" si="282"/>
        <v>78.79584578827054</v>
      </c>
      <c r="FQ71" s="314">
        <f>Sheet3!CV71</f>
        <v>3</v>
      </c>
      <c r="FR71" s="183">
        <v>5000</v>
      </c>
      <c r="FS71" s="183">
        <v>20</v>
      </c>
      <c r="FT71" s="183">
        <v>0.17986956521739134</v>
      </c>
      <c r="FU71" s="183">
        <v>27.6</v>
      </c>
      <c r="FV71" s="183">
        <v>197</v>
      </c>
      <c r="FW71" s="183">
        <v>39</v>
      </c>
      <c r="FX71" s="183">
        <v>588</v>
      </c>
      <c r="FY71" s="183">
        <v>7</v>
      </c>
      <c r="FZ71" s="183">
        <v>12.3</v>
      </c>
      <c r="GA71" s="183">
        <v>85</v>
      </c>
      <c r="GB71" s="186">
        <f>EXP($LP$6-($LQ$6/('Trial and Error method'!T71+$LP$8))) / ($LR$2/1000)</f>
        <v>5.0388543995175665E-2</v>
      </c>
      <c r="GC71" s="183">
        <f>EXP($LP$6-($LQ$6/('Trial and Error method'!U71+$LP$8))) / ($LR$2/1000)</f>
        <v>6.5619861924333861E-2</v>
      </c>
      <c r="GD71" s="183">
        <f>EXP($LP$6-($LQ$6/('Trial and Error method'!V71+$LP$8))) / ($LR$2/1000)</f>
        <v>6.2556419405155453E-2</v>
      </c>
      <c r="GE71" s="183">
        <f>EXP($LP$6-($LQ$6/('Trial and Error method'!W71+$LP$8))) / ($LR$2/1000)</f>
        <v>6.0172812009651029E-2</v>
      </c>
      <c r="GF71" s="183">
        <f>EXP($LP$6-($LQ$6/('Trial and Error method'!X71+$LP$8))) / ($LR$2/1000)</f>
        <v>5.7850686011521428E-2</v>
      </c>
      <c r="GG71" s="183">
        <f>EXP($LP$6-($LQ$6/('Trial and Error method'!Y71+$LP$8))) / ($LR$2/1000)</f>
        <v>5.617176764931435E-2</v>
      </c>
      <c r="GH71" s="183">
        <f>EXP($LP$6-($LQ$6/('Trial and Error method'!Z71+$LP$8))) / ($LR$2/1000)</f>
        <v>5.4278511021319864E-2</v>
      </c>
      <c r="GI71" s="183">
        <f>EXP($LP$6-($LQ$6/('Trial and Error method'!AA71+$LP$8))) / ($LR$2/1000)</f>
        <v>5.2912251635847278E-2</v>
      </c>
      <c r="GJ71" s="183">
        <f>EXP($LP$6-($LQ$6/('Trial and Error method'!AB71+$LP$8))) / ($LR$2/1000)</f>
        <v>5.1374691820142628E-2</v>
      </c>
      <c r="GK71" s="188">
        <f t="shared" si="411"/>
        <v>0.82727296880415468</v>
      </c>
      <c r="GL71" s="165">
        <f t="shared" si="360"/>
        <v>0.82032291623395648</v>
      </c>
      <c r="GM71" s="165">
        <f t="shared" si="361"/>
        <v>0.82226241047459458</v>
      </c>
      <c r="GN71" s="165">
        <f t="shared" si="362"/>
        <v>0.82336906300817614</v>
      </c>
      <c r="GO71" s="165">
        <f t="shared" si="363"/>
        <v>0.8248597141505446</v>
      </c>
      <c r="GP71" s="165">
        <f t="shared" si="364"/>
        <v>0.82564284034010038</v>
      </c>
      <c r="GQ71" s="165">
        <f t="shared" si="365"/>
        <v>0.82697602991830399</v>
      </c>
      <c r="GR71" s="165">
        <f t="shared" si="366"/>
        <v>0.82761426002678273</v>
      </c>
      <c r="GS71" s="165">
        <f t="shared" si="367"/>
        <v>0.82881042146607731</v>
      </c>
      <c r="GT71" s="188">
        <f t="shared" si="283"/>
        <v>6.2244076430812728E-2</v>
      </c>
      <c r="GU71" s="165">
        <f t="shared" si="284"/>
        <v>6.2770711335639731E-2</v>
      </c>
      <c r="GV71" s="165">
        <f t="shared" si="285"/>
        <v>6.2624411545569802E-2</v>
      </c>
      <c r="GW71" s="165">
        <f t="shared" si="286"/>
        <v>6.2578331174397775E-2</v>
      </c>
      <c r="GX71" s="165">
        <f t="shared" si="287"/>
        <v>6.2480709463461515E-2</v>
      </c>
      <c r="GY71" s="165">
        <f t="shared" si="288"/>
        <v>6.2443694242170784E-2</v>
      </c>
      <c r="GZ71" s="165">
        <f t="shared" si="289"/>
        <v>6.2356050448121252E-2</v>
      </c>
      <c r="HA71" s="165">
        <f t="shared" si="290"/>
        <v>6.2338233498944413E-2</v>
      </c>
      <c r="HB71" s="165">
        <f t="shared" si="291"/>
        <v>6.2244001227400508E-2</v>
      </c>
      <c r="HC71" s="188">
        <f>BV71*Sheet3!DF71</f>
        <v>100.71687029439599</v>
      </c>
      <c r="HD71" s="165">
        <f>BW71*Sheet3!BZ71</f>
        <v>100.44940394141418</v>
      </c>
      <c r="HE71" s="165">
        <f>BX71*Sheet3!CA71</f>
        <v>95.779201695767142</v>
      </c>
      <c r="HF71" s="165">
        <f>BY71*Sheet3!CB71</f>
        <v>91.303766506945507</v>
      </c>
      <c r="HG71" s="165">
        <f>BZ71*Sheet3!CC71</f>
        <v>86.547046854322744</v>
      </c>
      <c r="HH71" s="165">
        <f>CA71*Sheet3!CD71</f>
        <v>84.191284724158763</v>
      </c>
      <c r="HI71" s="165">
        <f>CB71*Sheet3!CE71</f>
        <v>79.855865170361582</v>
      </c>
      <c r="HJ71" s="165">
        <f>CC71*Sheet3!CF71</f>
        <v>76.9939635473214</v>
      </c>
      <c r="HK71" s="165">
        <f>CD71*Sheet3!CG71</f>
        <v>73.800572187476035</v>
      </c>
      <c r="HL71" s="188">
        <f>(CE71*Sheet3!DF71)+2501</f>
        <v>2661.0442119434374</v>
      </c>
      <c r="HM71" s="165">
        <f>(CF71*Sheet3!BZ71)+2501</f>
        <v>2660.6312219883948</v>
      </c>
      <c r="HN71" s="165">
        <f>(CG71*Sheet3!CA71)+2501</f>
        <v>2653.652446756857</v>
      </c>
      <c r="HO71" s="165">
        <f>(CH71*Sheet3!CB71)+2501</f>
        <v>2646.5255914874178</v>
      </c>
      <c r="HP71" s="165">
        <f>(CI71*Sheet3!CC71)+2501</f>
        <v>2639.2668630671792</v>
      </c>
      <c r="HQ71" s="165">
        <f>(CJ71*Sheet3!CD71)+2501</f>
        <v>2635.5130449433036</v>
      </c>
      <c r="HR71" s="165">
        <f>(CK71*Sheet3!CE71)+2501</f>
        <v>2628.9162836916557</v>
      </c>
      <c r="HS71" s="165">
        <f>(CL71*Sheet3!CF71)+2501</f>
        <v>2624.3410805089502</v>
      </c>
      <c r="HT71" s="165">
        <f>(CM71*Sheet3!CG71)+2501</f>
        <v>2619.5512177038213</v>
      </c>
      <c r="HU71" s="188">
        <f>-0.0021*(Sheet3!DF71^2) - 2.2115*(Sheet3!DF71) + 2499</f>
        <v>2295.85</v>
      </c>
      <c r="HV71" s="165">
        <f>-0.0021*(Sheet3!BZ71^2) - 2.2115*(Sheet3!BZ71) + 2499</f>
        <v>2296.4035537219243</v>
      </c>
      <c r="HW71" s="165">
        <f>-0.0021*(Sheet3!CA71^2) - 2.2115*(Sheet3!CA71) + 2499</f>
        <v>2305.7370178353835</v>
      </c>
      <c r="HX71" s="165">
        <f>-0.0021*(Sheet3!CB71^2) - 2.2115*(Sheet3!CB71) + 2499</f>
        <v>2315.2280116057655</v>
      </c>
      <c r="HY71" s="165">
        <f>-0.0021*(Sheet3!CC71^2) - 2.2115*(Sheet3!CC71) + 2499</f>
        <v>2324.8519145785822</v>
      </c>
      <c r="HZ71" s="165">
        <f>-0.0021*(Sheet3!CD71^2) - 2.2115*(Sheet3!CD71) + 2499</f>
        <v>2329.8117495420388</v>
      </c>
      <c r="IA71" s="165">
        <f>-0.0021*(Sheet3!CE71^2) - 2.2115*(Sheet3!CE71) + 2499</f>
        <v>2338.4992708872228</v>
      </c>
      <c r="IB71" s="165">
        <f>-0.0021*(Sheet3!CF71^2) - 2.2115*(Sheet3!CF71) + 2499</f>
        <v>2344.5028703466155</v>
      </c>
      <c r="IC71" s="165">
        <f>-0.0021*(Sheet3!CG71^2) - 2.2115*(Sheet3!CG71) + 2499</f>
        <v>2350.7689283705267</v>
      </c>
      <c r="ID71" s="188">
        <f t="shared" si="292"/>
        <v>0.74212781534988048</v>
      </c>
      <c r="IE71" s="165">
        <f t="shared" si="293"/>
        <v>0.74232744237034964</v>
      </c>
      <c r="IF71" s="165">
        <f t="shared" si="294"/>
        <v>0.74468421931154394</v>
      </c>
      <c r="IG71" s="165">
        <f t="shared" si="295"/>
        <v>0.74918853023864629</v>
      </c>
      <c r="IH71" s="165">
        <f t="shared" si="296"/>
        <v>0.75238502056543333</v>
      </c>
      <c r="II71" s="165">
        <f t="shared" si="297"/>
        <v>0.75488461250213901</v>
      </c>
      <c r="IJ71" s="165">
        <f t="shared" si="298"/>
        <v>0.75768105348831227</v>
      </c>
      <c r="IK71" s="165">
        <f t="shared" si="299"/>
        <v>0.76091387551932421</v>
      </c>
      <c r="IL71" s="165">
        <f t="shared" si="300"/>
        <v>0.76246998624038131</v>
      </c>
      <c r="IM71" s="188">
        <f t="shared" si="301"/>
        <v>33.39493351860488</v>
      </c>
      <c r="IN71" s="165">
        <f t="shared" si="368"/>
        <v>31.486295829736935</v>
      </c>
      <c r="IO71" s="165">
        <f t="shared" si="369"/>
        <v>31.841730679048098</v>
      </c>
      <c r="IP71" s="165">
        <f t="shared" si="370"/>
        <v>32.290639571517303</v>
      </c>
      <c r="IQ71" s="165">
        <f t="shared" si="371"/>
        <v>32.598275155291709</v>
      </c>
      <c r="IR71" s="165">
        <f t="shared" si="372"/>
        <v>32.888716159780913</v>
      </c>
      <c r="IS71" s="165">
        <f t="shared" si="373"/>
        <v>33.11693338060477</v>
      </c>
      <c r="IT71" s="165">
        <f t="shared" si="374"/>
        <v>33.388501433352026</v>
      </c>
      <c r="IU71" s="165">
        <f t="shared" si="375"/>
        <v>33.520666261596659</v>
      </c>
      <c r="IV71" s="188">
        <f>_xlfn.FORECAST.LINEAR(Sheet3!DF71,Sheet2!$AK$2:$AK$69,Sheet2!$AJ$2:$AJ$69)</f>
        <v>1.1761434736095797E-5</v>
      </c>
      <c r="IW71" s="165">
        <f>_xlfn.FORECAST.LINEAR(Sheet3!BZ71,Sheet2!$AK$2:$AK$69,Sheet2!$AJ$2:$AJ$69)</f>
        <v>1.175388768072388E-5</v>
      </c>
      <c r="IX71" s="165">
        <f>_xlfn.FORECAST.LINEAR(Sheet3!CA71,Sheet2!$AK$2:$AK$69,Sheet2!$AJ$2:$AJ$69)</f>
        <v>1.162623375393594E-5</v>
      </c>
      <c r="IY71" s="165">
        <f>_xlfn.FORECAST.LINEAR(Sheet3!CB71,Sheet2!$AK$2:$AK$69,Sheet2!$AJ$2:$AJ$69)</f>
        <v>1.1495635063371466E-5</v>
      </c>
      <c r="IZ71" s="165">
        <f>_xlfn.FORECAST.LINEAR(Sheet3!CC71,Sheet2!$AK$2:$AK$69,Sheet2!$AJ$2:$AJ$69)</f>
        <v>1.1362378689242735E-5</v>
      </c>
      <c r="JA71" s="165">
        <f>_xlfn.FORECAST.LINEAR(Sheet3!CD71,Sheet2!$AK$2:$AK$69,Sheet2!$AJ$2:$AJ$69)</f>
        <v>1.1293371775664609E-5</v>
      </c>
      <c r="JB71" s="165">
        <f>_xlfn.FORECAST.LINEAR(Sheet3!CE71,Sheet2!$AK$2:$AK$69,Sheet2!$AJ$2:$AJ$69)</f>
        <v>1.1171949910252125E-5</v>
      </c>
      <c r="JC71" s="165">
        <f>_xlfn.FORECAST.LINEAR(Sheet3!CF71,Sheet2!$AK$2:$AK$69,Sheet2!$AJ$2:$AJ$69)</f>
        <v>1.1087624699332767E-5</v>
      </c>
      <c r="JD71" s="165">
        <f>_xlfn.FORECAST.LINEAR(Sheet3!CG71,Sheet2!$AK$2:$AK$69,Sheet2!$AJ$2:$AJ$69)</f>
        <v>1.0999245793350145E-5</v>
      </c>
      <c r="JE71" s="188">
        <f>_xlfn.FORECAST.LINEAR(Sheet3!DF71,New!$MC$2:$MC$18,New!$MB$2:$MB$18)</f>
        <v>2.0908514659214704E-5</v>
      </c>
      <c r="JF71" s="165">
        <f>_xlfn.FORECAST.LINEAR(Sheet3!BZ71,New!$MC$2:$MC$18,New!$MB$2:$MB$18)</f>
        <v>2.0899642913463824E-5</v>
      </c>
      <c r="JG71" s="165">
        <f>_xlfn.FORECAST.LINEAR(Sheet3!CA71,New!$MC$2:$MC$18,New!$MB$2:$MB$18)</f>
        <v>2.074958264137705E-5</v>
      </c>
      <c r="JH71" s="165">
        <f>_xlfn.FORECAST.LINEAR(Sheet3!CB71,New!$MC$2:$MC$18,New!$MB$2:$MB$18)</f>
        <v>2.0596060728394011E-5</v>
      </c>
      <c r="JI71" s="165">
        <f>_xlfn.FORECAST.LINEAR(Sheet3!CC71,New!$MC$2:$MC$18,New!$MB$2:$MB$18)</f>
        <v>2.0439414644233413E-5</v>
      </c>
      <c r="JJ71" s="165">
        <f>_xlfn.FORECAST.LINEAR(Sheet3!CD71,New!$MC$2:$MC$18,New!$MB$2:$MB$18)</f>
        <v>2.0358295351721525E-5</v>
      </c>
      <c r="JK71" s="165">
        <f>_xlfn.FORECAST.LINEAR(Sheet3!CE71,New!$MC$2:$MC$18,New!$MB$2:$MB$18)</f>
        <v>2.0215561018203141E-5</v>
      </c>
      <c r="JL71" s="165">
        <f>_xlfn.FORECAST.LINEAR(Sheet3!CF71,New!$MC$2:$MC$18,New!$MB$2:$MB$18)</f>
        <v>2.0116434697433125E-5</v>
      </c>
      <c r="JM71" s="165">
        <f>_xlfn.FORECAST.LINEAR(Sheet3!CG71,New!$MC$2:$MC$18,New!$MB$2:$MB$18)</f>
        <v>2.0012543160273324E-5</v>
      </c>
      <c r="JN71" s="188">
        <f t="shared" si="376"/>
        <v>1.8261721477799552E-5</v>
      </c>
      <c r="JO71" s="165">
        <f t="shared" si="377"/>
        <v>1.8253190955167263E-5</v>
      </c>
      <c r="JP71" s="165">
        <f t="shared" si="378"/>
        <v>1.8113821279166447E-5</v>
      </c>
      <c r="JQ71" s="165">
        <f t="shared" si="379"/>
        <v>1.796217013208643E-5</v>
      </c>
      <c r="JR71" s="165">
        <f t="shared" si="380"/>
        <v>1.7814287847927313E-5</v>
      </c>
      <c r="JS71" s="165">
        <f t="shared" si="381"/>
        <v>1.77342048377016E-5</v>
      </c>
      <c r="JT71" s="165">
        <f t="shared" si="382"/>
        <v>1.760062601904806E-5</v>
      </c>
      <c r="JU71" s="165">
        <f t="shared" si="383"/>
        <v>1.7502606342179658E-5</v>
      </c>
      <c r="JV71" s="165">
        <f t="shared" si="384"/>
        <v>1.7407844323640908E-5</v>
      </c>
      <c r="JW71" s="188">
        <f t="shared" si="302"/>
        <v>1.0444458673781256</v>
      </c>
      <c r="JX71" s="165">
        <f t="shared" si="385"/>
        <v>1.0445690250211066</v>
      </c>
      <c r="JY71" s="165">
        <f t="shared" si="386"/>
        <v>1.0466754393342594</v>
      </c>
      <c r="JZ71" s="165">
        <f t="shared" si="387"/>
        <v>1.0488769479046993</v>
      </c>
      <c r="KA71" s="165">
        <f t="shared" si="388"/>
        <v>1.0511733486893973</v>
      </c>
      <c r="KB71" s="165">
        <f t="shared" si="389"/>
        <v>1.0523829922721344</v>
      </c>
      <c r="KC71" s="165">
        <f t="shared" si="390"/>
        <v>1.0545462602770033</v>
      </c>
      <c r="KD71" s="165">
        <f t="shared" si="391"/>
        <v>1.0560753664256977</v>
      </c>
      <c r="KE71" s="165">
        <f t="shared" si="392"/>
        <v>1.0577021271574623</v>
      </c>
      <c r="KF71" s="188">
        <f t="shared" si="393"/>
        <v>0.94446821821306282</v>
      </c>
      <c r="KG71" s="165">
        <f t="shared" si="394"/>
        <v>0.94437418060447798</v>
      </c>
      <c r="KH71" s="165">
        <f t="shared" si="395"/>
        <v>0.94277055341346516</v>
      </c>
      <c r="KI71" s="165">
        <f t="shared" si="396"/>
        <v>0.94110403700517353</v>
      </c>
      <c r="KJ71" s="165">
        <f t="shared" si="397"/>
        <v>0.9393759514542076</v>
      </c>
      <c r="KK71" s="165">
        <f t="shared" si="398"/>
        <v>0.93846985370969638</v>
      </c>
      <c r="KL71" s="165">
        <f t="shared" si="399"/>
        <v>0.93685657381710385</v>
      </c>
      <c r="KM71" s="165">
        <f t="shared" si="400"/>
        <v>0.93572171717134822</v>
      </c>
      <c r="KN71" s="165">
        <f t="shared" si="401"/>
        <v>0.93451934163120487</v>
      </c>
      <c r="KO71" s="188">
        <f t="shared" si="304"/>
        <v>0.57799770030400033</v>
      </c>
      <c r="KP71" s="165">
        <f t="shared" si="305"/>
        <v>0.57785010623786859</v>
      </c>
      <c r="KQ71" s="165">
        <f t="shared" si="306"/>
        <v>0.5749290207020018</v>
      </c>
      <c r="KR71" s="165">
        <f t="shared" si="307"/>
        <v>0.57185371204217861</v>
      </c>
      <c r="KS71" s="165">
        <f t="shared" si="308"/>
        <v>0.56871429155870068</v>
      </c>
      <c r="KT71" s="165">
        <f t="shared" si="309"/>
        <v>0.56705171197893567</v>
      </c>
      <c r="KU71" s="165">
        <f t="shared" si="310"/>
        <v>0.56414360627011539</v>
      </c>
      <c r="KV71" s="165">
        <f t="shared" si="311"/>
        <v>0.56207105078726216</v>
      </c>
      <c r="KW71" s="165">
        <f t="shared" si="312"/>
        <v>0.56002314579260493</v>
      </c>
      <c r="KX71" s="188">
        <f>AVERAGE(Sheet3!J71:P71)*KO71^(1/3)/ID71^(1/3)</f>
        <v>201.65193325011606</v>
      </c>
      <c r="KY71" s="165">
        <f>Sheet3!J71*KP71^(1/3)/IE71^(1/3)</f>
        <v>198.16445578960523</v>
      </c>
      <c r="KZ71" s="165">
        <f>Sheet3!K71*KQ71^(1/3)/IF71^(1/3)</f>
        <v>187.97294408951353</v>
      </c>
      <c r="LA71" s="165">
        <f>Sheet3!L71*KR71^(1/3)/IG71^(1/3)</f>
        <v>187.74041571963528</v>
      </c>
      <c r="LB71" s="165">
        <f>Sheet3!M71*KS71^(1/3)/IH71^(1/3)</f>
        <v>190.31773169048813</v>
      </c>
      <c r="LC71" s="165">
        <f>Sheet3!N71*KT71^(1/3)/II71^(1/3)</f>
        <v>199.31993783246412</v>
      </c>
      <c r="LD71" s="165">
        <f>Sheet3!O71*KU71^(1/3)/IJ71^(1/3)</f>
        <v>211.57755859557963</v>
      </c>
      <c r="LE71" s="165">
        <f>Sheet3!P71*KV71^(1/3)/IK71^(1/3)</f>
        <v>223.12561314163358</v>
      </c>
      <c r="LF71" s="165">
        <f>Sheet3!Q71*KW71^(1/3)/IL71^(1/3)</f>
        <v>252.58557798975434</v>
      </c>
      <c r="LG71" s="186">
        <f t="shared" si="402"/>
        <v>25.850766711688941</v>
      </c>
      <c r="LH71" s="183">
        <f t="shared" si="403"/>
        <v>25.862385691521112</v>
      </c>
      <c r="LI71" s="183">
        <f t="shared" si="404"/>
        <v>26.307867884743697</v>
      </c>
      <c r="LJ71" s="183">
        <f t="shared" si="405"/>
        <v>26.320655505134013</v>
      </c>
      <c r="LK71" s="183">
        <f t="shared" si="406"/>
        <v>26.690626382896411</v>
      </c>
      <c r="LL71" s="183">
        <f t="shared" si="407"/>
        <v>26.703915358194358</v>
      </c>
      <c r="LM71" s="183">
        <f t="shared" si="408"/>
        <v>27.123435446558922</v>
      </c>
      <c r="LN71" s="183">
        <f t="shared" si="409"/>
        <v>27.135980412755693</v>
      </c>
      <c r="LO71" s="183">
        <f t="shared" si="410"/>
        <v>27.597307328705838</v>
      </c>
      <c r="LT71" s="165"/>
      <c r="MF71" s="165"/>
      <c r="MJ71"/>
      <c r="MK71"/>
      <c r="ML71"/>
      <c r="MM71"/>
      <c r="MN71"/>
      <c r="MO71"/>
      <c r="MP71"/>
      <c r="MQ71"/>
      <c r="MR71"/>
    </row>
    <row r="72" spans="1:356" x14ac:dyDescent="0.3">
      <c r="A72" s="184" t="str">
        <f>Sheet3!A72</f>
        <v>2023.02.01-2</v>
      </c>
      <c r="B72" s="186">
        <f t="shared" si="313"/>
        <v>0.90382374438149415</v>
      </c>
      <c r="C72" s="183">
        <f t="shared" si="257"/>
        <v>0.90306387051085757</v>
      </c>
      <c r="D72" s="183">
        <f t="shared" si="258"/>
        <v>0.89029823589947188</v>
      </c>
      <c r="E72" s="183">
        <f t="shared" si="259"/>
        <v>0.87927548140776868</v>
      </c>
      <c r="F72" s="183">
        <f t="shared" si="260"/>
        <v>0.86327898141932813</v>
      </c>
      <c r="G72" s="183">
        <f t="shared" si="261"/>
        <v>0.85596849724027624</v>
      </c>
      <c r="H72" s="183">
        <f t="shared" si="262"/>
        <v>0.84390844264635745</v>
      </c>
      <c r="I72" s="183">
        <f t="shared" si="263"/>
        <v>0.83449111329297065</v>
      </c>
      <c r="J72" s="183">
        <f t="shared" si="264"/>
        <v>0.82388102613848346</v>
      </c>
      <c r="K72" s="186">
        <f xml:space="preserve"> (6.057 * (10^(-6)))
+ (4.055 * (10^(-8)) * (Sheet3!DF72 + 273))
+ (1.25 * (10^(-10)) * (Sheet3!DF72 + 273)^2)
- (3.367 * (10^(-14)) * (DD72 + 273)^3)</f>
        <v>4.4157855737423031E-5</v>
      </c>
      <c r="L72" s="183">
        <f xml:space="preserve"> (6.057 * (10^(-6)))
+ (4.055 * (10^(-8)) * (Sheet3!BZ72 + 273))
+ (1.25 * (10^(-10)) * (Sheet3!BZ72 + 273)^2)
- (3.367 * (10^(-14)) * (BX72 + 273)^3)</f>
        <v>4.4085641668245721E-5</v>
      </c>
      <c r="M72" s="183">
        <f xml:space="preserve"> (6.057 * (10^(-6)))
+ (4.055 * (10^(-8)) * (Sheet3!CA72 + 273))
+ (1.25 * (10^(-10)) * (Sheet3!CA72 + 273)^2)
- (3.367 * (10^(-14)) * (BY72 + 273)^3)</f>
        <v>4.2969932947579029E-5</v>
      </c>
      <c r="N72" s="183">
        <f xml:space="preserve"> (6.057 * (10^(-6)))
+ (4.055 * (10^(-8)) * (Sheet3!CB72 + 273))
+ (1.25 * (10^(-10)) * (Sheet3!CB72 + 273)^2)
- (3.367 * (10^(-14)) * (BZ72 + 273)^3)</f>
        <v>4.216418363916793E-5</v>
      </c>
      <c r="O72" s="183">
        <f xml:space="preserve"> (6.057 * (10^(-6)))
+ (4.055 * (10^(-8)) * (Sheet3!CC72 + 273))
+ (1.25 * (10^(-10)) * (Sheet3!CC72 + 273)^2)
- (3.367 * (10^(-14)) * (CA72 + 273)^3)</f>
        <v>4.0932486233076941E-5</v>
      </c>
      <c r="P72" s="183">
        <f xml:space="preserve"> (6.057 * (10^(-6)))
+ (4.055 * (10^(-8)) * (Sheet3!CD72 + 273))
+ (1.25 * (10^(-10)) * (Sheet3!CD72 + 273)^2)
- (3.367 * (10^(-14)) * (CB72 + 273)^3)</f>
        <v>4.0434572281609525E-5</v>
      </c>
      <c r="Q72" s="183">
        <f xml:space="preserve"> (6.057 * (10^(-6)))
+ (4.055 * (10^(-8)) * (Sheet3!CE72 + 273))
+ (1.25 * (10^(-10)) * (Sheet3!CE72 + 273)^2)
- (3.367 * (10^(-14)) * (CC72 + 273)^3)</f>
        <v>3.9510636762804783E-5</v>
      </c>
      <c r="R72" s="183">
        <f xml:space="preserve"> (6.057 * (10^(-6)))
+ (4.055 * (10^(-8)) * (Sheet3!CF72 + 273))
+ (1.25 * (10^(-10)) * (Sheet3!CF72 + 273)^2)
- (3.367 * (10^(-14)) * (CD72 + 273)^3)</f>
        <v>3.8904972093374775E-5</v>
      </c>
      <c r="S72" s="183">
        <f xml:space="preserve"> (6.057 * (10^(-6)))
+ (4.055 * (10^(-8)) * (Sheet3!CG72 + 273))
+ (1.25 * (10^(-10)) * (Sheet3!CG72 + 273)^2)
- (3.367 * (10^(-14)) * (CE72 + 273)^3)</f>
        <v>3.8103417761325964E-5</v>
      </c>
      <c r="T72" s="188">
        <f t="shared" si="314"/>
        <v>4.4157855737423031E-5</v>
      </c>
      <c r="U72" s="165">
        <f t="shared" si="315"/>
        <v>4.4085641668245721E-5</v>
      </c>
      <c r="V72" s="165">
        <f t="shared" si="316"/>
        <v>4.2969932947579029E-5</v>
      </c>
      <c r="W72" s="165">
        <f t="shared" si="317"/>
        <v>4.216418363916793E-5</v>
      </c>
      <c r="X72" s="165">
        <f t="shared" si="318"/>
        <v>4.0932486233076941E-5</v>
      </c>
      <c r="Y72" s="165">
        <f t="shared" si="319"/>
        <v>4.0434572281609525E-5</v>
      </c>
      <c r="Z72" s="165">
        <f t="shared" si="320"/>
        <v>3.9510636762804783E-5</v>
      </c>
      <c r="AA72" s="165">
        <f t="shared" si="321"/>
        <v>3.8904972093374775E-5</v>
      </c>
      <c r="AB72" s="165">
        <f t="shared" si="322"/>
        <v>3.8103417761325964E-5</v>
      </c>
      <c r="AC72" s="186">
        <f t="shared" si="265"/>
        <v>3.9910918516455531E-5</v>
      </c>
      <c r="AD72" s="183">
        <f t="shared" si="266"/>
        <v>3.9812150198880722E-5</v>
      </c>
      <c r="AE72" s="183">
        <f t="shared" si="267"/>
        <v>3.8256055499948205E-5</v>
      </c>
      <c r="AF72" s="183">
        <f t="shared" si="268"/>
        <v>3.7073932867494944E-5</v>
      </c>
      <c r="AG72" s="183">
        <f t="shared" si="269"/>
        <v>3.5336155022251331E-5</v>
      </c>
      <c r="AH72" s="183">
        <f t="shared" si="270"/>
        <v>3.4610720072442634E-5</v>
      </c>
      <c r="AI72" s="183">
        <f t="shared" si="271"/>
        <v>3.33433599384645E-5</v>
      </c>
      <c r="AJ72" s="183">
        <f t="shared" si="272"/>
        <v>3.2465853474832272E-5</v>
      </c>
      <c r="AK72" s="183">
        <f t="shared" si="273"/>
        <v>3.1392682924584552E-5</v>
      </c>
      <c r="AL72" s="186">
        <f t="shared" si="323"/>
        <v>3.6081612155184711E-2</v>
      </c>
      <c r="AM72" s="183">
        <f t="shared" si="324"/>
        <v>3.6028080373070183E-2</v>
      </c>
      <c r="AN72" s="183">
        <f t="shared" si="325"/>
        <v>3.5134215976606424E-2</v>
      </c>
      <c r="AO72" s="183">
        <f t="shared" si="326"/>
        <v>3.4484688262730823E-2</v>
      </c>
      <c r="AP72" s="183">
        <f t="shared" si="327"/>
        <v>3.3475251613669058E-2</v>
      </c>
      <c r="AQ72" s="183">
        <f t="shared" si="328"/>
        <v>3.3063198444428656E-2</v>
      </c>
      <c r="AR72" s="183">
        <f t="shared" si="329"/>
        <v>3.2289755001180233E-2</v>
      </c>
      <c r="AS72" s="183">
        <f t="shared" si="330"/>
        <v>3.1777857515645019E-2</v>
      </c>
      <c r="AT72" s="183">
        <f t="shared" si="331"/>
        <v>3.1098887071374322E-2</v>
      </c>
      <c r="AU72" s="186">
        <f>_xlfn.FORECAST.LINEAR(Sheet3!DF72,Sheet2!$AH$2:$AH$40,Sheet2!$AG$2:$AG$40)</f>
        <v>4.0902410270024961E-2</v>
      </c>
      <c r="AV72" s="183">
        <f>_xlfn.FORECAST.LINEAR(Sheet3!BZ72,Sheet2!$AH$2:$AH$40,Sheet2!$AG$2:$AG$40)</f>
        <v>4.0783813665142082E-2</v>
      </c>
      <c r="AW72" s="183">
        <f>_xlfn.FORECAST.LINEAR(Sheet3!CA72,Sheet2!$AH$2:$AH$40,Sheet2!$AG$2:$AG$40)</f>
        <v>3.8814200950029742E-2</v>
      </c>
      <c r="AX72" s="183">
        <f>_xlfn.FORECAST.LINEAR(Sheet3!CB72,Sheet2!$AH$2:$AH$40,Sheet2!$AG$2:$AG$40)</f>
        <v>3.7374963527210987E-2</v>
      </c>
      <c r="AY72" s="183">
        <f>_xlfn.FORECAST.LINEAR(Sheet3!CC72,Sheet2!$AH$2:$AH$40,Sheet2!$AG$2:$AG$40)</f>
        <v>3.5146730403468468E-2</v>
      </c>
      <c r="AZ72" s="183">
        <f>_xlfn.FORECAST.LINEAR(Sheet3!CD72,Sheet2!$AH$2:$AH$40,Sheet2!$AG$2:$AG$40)</f>
        <v>3.4235896063499138E-2</v>
      </c>
      <c r="BA72" s="183">
        <f>_xlfn.FORECAST.LINEAR(Sheet3!CE72,Sheet2!$AH$2:$AH$40,Sheet2!$AG$2:$AG$40)</f>
        <v>3.2530046348310707E-2</v>
      </c>
      <c r="BB72" s="183">
        <f>_xlfn.FORECAST.LINEAR(Sheet3!CF72,Sheet2!$AH$2:$AH$40,Sheet2!$AG$2:$AG$40)</f>
        <v>3.1400313776494937E-2</v>
      </c>
      <c r="BC72" s="183">
        <f>_xlfn.FORECAST.LINEAR(Sheet3!CG72,Sheet2!$AH$2:$AH$40,Sheet2!$AG$2:$AG$40)</f>
        <v>2.9901459984568276E-2</v>
      </c>
      <c r="BD72" s="186">
        <f>_xlfn.FORECAST.LINEAR(Sheet3!DF72,Sheet2!$AB$12:$AB$37,Sheet2!$AA$12:$AA$37)/1000</f>
        <v>3.3915606923988664E-2</v>
      </c>
      <c r="BE72" s="183">
        <f>_xlfn.FORECAST.LINEAR(Sheet3!BZ72,Sheet2!$AB$12:$AB$37,Sheet2!$AA$12:$AA$37)/1000</f>
        <v>3.3889091468236668E-2</v>
      </c>
      <c r="BF72" s="183">
        <f>_xlfn.FORECAST.LINEAR(Sheet3!CA72,Sheet2!$AB$12:$AB$37,Sheet2!$AA$12:$AA$37)/1000</f>
        <v>3.3448731654836479E-2</v>
      </c>
      <c r="BG72" s="183">
        <f>_xlfn.FORECAST.LINEAR(Sheet3!CB72,Sheet2!$AB$12:$AB$37,Sheet2!$AA$12:$AA$37)/1000</f>
        <v>3.3126951480445754E-2</v>
      </c>
      <c r="BH72" s="183">
        <f>_xlfn.FORECAST.LINEAR(Sheet3!CC72,Sheet2!$AB$12:$AB$37,Sheet2!$AA$12:$AA$37)/1000</f>
        <v>3.2628770129840778E-2</v>
      </c>
      <c r="BI72" s="183">
        <f>_xlfn.FORECAST.LINEAR(Sheet3!CD72,Sheet2!$AB$12:$AB$37,Sheet2!$AA$12:$AA$37)/1000</f>
        <v>3.2425128654077609E-2</v>
      </c>
      <c r="BJ72" s="183">
        <f>_xlfn.FORECAST.LINEAR(Sheet3!CE72,Sheet2!$AB$12:$AB$37,Sheet2!$AA$12:$AA$37)/1000</f>
        <v>3.2043740142262328E-2</v>
      </c>
      <c r="BK72" s="183">
        <f>_xlfn.FORECAST.LINEAR(Sheet3!CF72,Sheet2!$AB$12:$AB$37,Sheet2!$AA$12:$AA$37)/1000</f>
        <v>3.1791158088592689E-2</v>
      </c>
      <c r="BL72" s="183">
        <f>_xlfn.FORECAST.LINEAR(Sheet3!CG72,Sheet2!$AB$12:$AB$37,Sheet2!$AA$12:$AA$37)/1000</f>
        <v>3.145604907398148E-2</v>
      </c>
      <c r="BM72" s="186">
        <f t="shared" si="332"/>
        <v>0.75324930383870381</v>
      </c>
      <c r="BN72" s="183">
        <f t="shared" si="333"/>
        <v>0.75409449352091551</v>
      </c>
      <c r="BO72" s="183">
        <f t="shared" si="334"/>
        <v>0.76865236039657236</v>
      </c>
      <c r="BP72" s="183">
        <f t="shared" si="335"/>
        <v>0.77942754793422298</v>
      </c>
      <c r="BQ72" s="183">
        <f t="shared" si="336"/>
        <v>0.7969504153809045</v>
      </c>
      <c r="BR72" s="183">
        <f t="shared" si="337"/>
        <v>0.80424451687555765</v>
      </c>
      <c r="BS72" s="183">
        <f t="shared" si="338"/>
        <v>0.81856579146008668</v>
      </c>
      <c r="BT72" s="183">
        <f t="shared" si="339"/>
        <v>0.8281312844285682</v>
      </c>
      <c r="BU72" s="183">
        <f t="shared" si="340"/>
        <v>0.84149230042799039</v>
      </c>
      <c r="BV72" s="186">
        <f t="shared" si="341"/>
        <v>1.2002051117926844</v>
      </c>
      <c r="BW72" s="183">
        <f t="shared" si="342"/>
        <v>1.2000510451847004</v>
      </c>
      <c r="BX72" s="183">
        <f t="shared" si="343"/>
        <v>1.1948134771397172</v>
      </c>
      <c r="BY72" s="183">
        <f t="shared" si="344"/>
        <v>1.1933886246344172</v>
      </c>
      <c r="BZ72" s="183">
        <f t="shared" si="345"/>
        <v>1.1887027219334134</v>
      </c>
      <c r="CA72" s="183">
        <f t="shared" si="346"/>
        <v>1.1878076560868212</v>
      </c>
      <c r="CB72" s="183">
        <f t="shared" si="347"/>
        <v>1.1830464536854082</v>
      </c>
      <c r="CC72" s="183">
        <f t="shared" si="348"/>
        <v>1.1819486197331284</v>
      </c>
      <c r="CD72" s="183">
        <f t="shared" si="349"/>
        <v>1.1772434077113563</v>
      </c>
      <c r="CE72" s="187">
        <f xml:space="preserve"> -0.0000000019505*Sheet3!DF72^3 + 0.0000015497*Sheet3!DF72^2  + 0.00016911*Sheet3!DF72 + 1.8585</f>
        <v>1.9096570494375</v>
      </c>
      <c r="CF72" s="185">
        <f xml:space="preserve"> -0.0000000019505*Sheet3!BZ72^3 + 0.0000015497*Sheet3!BZ72^2  + 0.00016911*Sheet3!BZ72 + 1.8585</f>
        <v>1.9094259797662234</v>
      </c>
      <c r="CG72" s="185">
        <f xml:space="preserve"> -0.0000000019505*Sheet3!CA72^3 + 0.0000015497*Sheet3!CA72^2  + 0.00016911*Sheet3!CA72 + 1.8585</f>
        <v>1.9056341838511814</v>
      </c>
      <c r="CH72" s="185">
        <f xml:space="preserve"> -0.0000000019505*Sheet3!CB72^3 + 0.0000015497*Sheet3!CB72^2  + 0.00016911*Sheet3!CB72 + 1.8585</f>
        <v>1.9029200464053699</v>
      </c>
      <c r="CI72" s="185">
        <f xml:space="preserve"> -0.0000000019505*Sheet3!CC72^3 + 0.0000015497*Sheet3!CC72^2  + 0.00016911*Sheet3!CC72 + 1.8585</f>
        <v>1.8988177707611893</v>
      </c>
      <c r="CJ72" s="185">
        <f xml:space="preserve"> -0.0000000019505*Sheet3!CD72^3 + 0.0000015497*Sheet3!CD72^2  + 0.00016911*Sheet3!CD72 + 1.8585</f>
        <v>1.8971773444014257</v>
      </c>
      <c r="CK72" s="185">
        <f xml:space="preserve"> -0.0000000019505*Sheet3!CE72^3 + 0.0000015497*Sheet3!CE72^2  + 0.00016911*Sheet3!CE72 + 1.8585</f>
        <v>1.8941645734198516</v>
      </c>
      <c r="CL72" s="185">
        <f xml:space="preserve"> -0.0000000019505*Sheet3!CF72^3 + 0.0000015497*Sheet3!CF72^2  + 0.00016911*Sheet3!CF72 + 1.8585</f>
        <v>1.892213426870929</v>
      </c>
      <c r="CM72" s="185">
        <f xml:space="preserve"> -0.0000000019505*Sheet3!CG72^3 + 0.0000015497*Sheet3!CG72^2  + 0.00016911*Sheet3!CG72 + 1.8585</f>
        <v>1.8896810678550433</v>
      </c>
      <c r="CN72" s="186">
        <f>_xlfn.FORECAST.LINEAR(Sheet3!DF72,New!$LU$2:$LU$14,New!$LT$2:$LT$14)</f>
        <v>1.023844178140866</v>
      </c>
      <c r="CO72" s="183">
        <f>_xlfn.FORECAST.LINEAR(Sheet3!BZ72,New!$LU$2:$LU$14,New!$LT$2:$LT$14)</f>
        <v>1.0237568894837703</v>
      </c>
      <c r="CP72" s="183">
        <f>_xlfn.FORECAST.LINEAR(Sheet3!CA72,New!$LU$2:$LU$14,New!$LT$2:$LT$14)</f>
        <v>1.022307228685549</v>
      </c>
      <c r="CQ72" s="183">
        <f>_xlfn.FORECAST.LINEAR(Sheet3!CB72,New!$LU$2:$LU$14,New!$LT$2:$LT$14)</f>
        <v>1.0212479310605975</v>
      </c>
      <c r="CR72" s="183">
        <f>_xlfn.FORECAST.LINEAR(Sheet3!CC72,New!$LU$2:$LU$14,New!$LT$2:$LT$14)</f>
        <v>1.0196079222487113</v>
      </c>
      <c r="CS72" s="183">
        <f>_xlfn.FORECAST.LINEAR(Sheet3!CD72,New!$LU$2:$LU$14,New!$LT$2:$LT$14)</f>
        <v>1.0189375362250042</v>
      </c>
      <c r="CT72" s="183">
        <f>_xlfn.FORECAST.LINEAR(Sheet3!CE72,New!$LU$2:$LU$14,New!$LT$2:$LT$14)</f>
        <v>1.0176820084551075</v>
      </c>
      <c r="CU72" s="183">
        <f>_xlfn.FORECAST.LINEAR(Sheet3!CF72,New!$LU$2:$LU$14,New!$LT$2:$LT$14)</f>
        <v>1.0168505104609744</v>
      </c>
      <c r="CV72" s="183">
        <f>_xlfn.FORECAST.LINEAR(Sheet3!CG72,New!$LU$2:$LU$14,New!$LT$2:$LT$14)</f>
        <v>1.0157473344062355</v>
      </c>
      <c r="CW72" s="186">
        <f>EXP((17.625*Sheet3!BA72)/(243.04+Sheet3!BA72)) / EXP((17.625*Sheet3!DF72)/(243.04+Sheet3!DF72))</f>
        <v>5.5583140257976074E-2</v>
      </c>
      <c r="CX72" s="183">
        <f>EXP((17.625*(Sheet3!BC72+273))/(243.04+(Sheet3!BC72+273)))/EXP((17.625*(Sheet3!BZ72+273))/(243.04+(Sheet3!BZ72+273)))</f>
        <v>0.40897003482029015</v>
      </c>
      <c r="CY72" s="183">
        <f>EXP((17.625*(Sheet3!BE72+273))/(243.04+(Sheet3!BE72+273))) / EXP((17.625*(Sheet3!CA72+273))/(243.04+(Sheet3!CA72+273)))</f>
        <v>0.43999262007629075</v>
      </c>
      <c r="CZ72" s="183">
        <f>EXP((17.625*(Sheet3!BG72+273))/(243.04+(Sheet3!BG72+273))) / EXP((17.625*(Sheet3!CB72+273))/(243.04+(Sheet3!CB72+273)))</f>
        <v>0.46597190662703253</v>
      </c>
      <c r="DA72" s="183">
        <f>EXP((17.625*(Sheet3!BI72+273))/(243.04+(Sheet3!BI72+273))) / EXP((17.625*(Sheet3!CC72+273))/(243.04+(Sheet3!CC72+273)))</f>
        <v>0.50876577645414534</v>
      </c>
      <c r="DB72" s="183">
        <f>EXP((17.625*(Sheet3!BK72+273))/(243.04+(Sheet3!BK72+273)))/EXP((17.625*(Sheet3!CD72+273))/(243.04+(Sheet3!CD72+273)))</f>
        <v>0.5283816749641469</v>
      </c>
      <c r="DC72" s="183">
        <f>EXP((17.625*(Sheet3!BM72+273))/(243.04+(Sheet3!BM72+273))) / EXP((17.625*(Sheet3!CE72+273))/(243.04+(Sheet3!CE72+273)))</f>
        <v>0.56571702123778822</v>
      </c>
      <c r="DD72" s="183">
        <f>EXP((17.625*(Sheet3!BO72+273))/(243.04+(Sheet3!BO72+273))) / EXP((17.625*(Sheet3!CF72+273))/(243.04+(Sheet3!CF72+273)))</f>
        <v>0.59385846937088205</v>
      </c>
      <c r="DE72" s="183">
        <f>EXP((17.625*(Sheet3!BQ72+273))/(243.04+(Sheet3!BQ72+273))) / EXP((17.625*(Sheet3!CG72+273))/(243.04+(Sheet3!CG72+273)))</f>
        <v>0.63150585262049408</v>
      </c>
      <c r="DF72" s="186">
        <f>((Sheet3!DA72-Sheet3!DB72)/New!$LQ$3)/(((Sheet3!DA72-Sheet3!DB72)/New!$LQ$3)+(Sheet3!DB72/New!$LP$3))</f>
        <v>0.71448129521308479</v>
      </c>
      <c r="DG72" s="183">
        <f>((Sheet3!DA72-Sheet3!DB72)/New!$LQ$3)/(((Sheet3!DA72-Sheet3!DB72)/New!$LQ$3)+((Sheet3!DB72-(Sheet3!B72*0.004))/New!$LP$3))</f>
        <v>0.71464824148240991</v>
      </c>
      <c r="DH72" s="183" cm="1">
        <f t="array" ref="DH72">((Sheet3!DA72-Sheet3!DB72)/New!$LQ$3)/(((Sheet3!DA72-Sheet3!DB72)/New!$LQ$3)+((Sheet3!DB72-(SUM(Sheet3!B72:C72*0.004)))/New!$LP$3))</f>
        <v>0.7294967478037484</v>
      </c>
      <c r="DI72" s="183" cm="1">
        <f t="array" ref="DI72">((Sheet3!DA72-Sheet3!DB72)/New!$LQ$3)/(((Sheet3!DA72-Sheet3!DB72)/New!$LQ$3)+((Sheet3!DB72-(SUM(Sheet3!B72:D72*0.004)))/New!$LP$3))</f>
        <v>0.72969012837866953</v>
      </c>
      <c r="DJ72" s="183" cm="1">
        <f t="array" ref="DJ72">((Sheet3!DA72-Sheet3!DB72)/New!$LQ$3)/(((Sheet3!DA72-Sheet3!DB72)/New!$LQ$3)+((Sheet3!DB72-(SUM(Sheet3!B72:E72*0.004)))/New!$LP$3))</f>
        <v>0.74160347749329725</v>
      </c>
      <c r="DK72" s="183" cm="1">
        <f t="array" ref="DK72">((Sheet3!DA72-Sheet3!DB72)/New!$LQ$3)/(((Sheet3!DA72-Sheet3!DB72)/New!$LQ$3)+((Sheet3!DB72-(SUM(Sheet3!B72:F72*0.004)))/New!$LP$3))</f>
        <v>0.74178334071102614</v>
      </c>
      <c r="DL72" s="183" cm="1">
        <f t="array" ref="DL72">((Sheet3!DA72-Sheet3!DB72)/New!$LQ$3)/(((Sheet3!DA72-Sheet3!DB72)/New!$LQ$3)+((Sheet3!DB72-(SUM(Sheet3!B72:G72*0.004)))/New!$LP$3))</f>
        <v>0.75704319366185091</v>
      </c>
      <c r="DM72" s="183" cm="1">
        <f t="array" ref="DM72">((Sheet3!DA72-Sheet3!DB72)/New!$LQ$3)/(((Sheet3!DA72-Sheet3!DB72)/New!$LQ$3)+((Sheet3!DB72-(SUM(Sheet3!B72:H72*0.004)))/New!$LP$3))</f>
        <v>0.7573139577038781</v>
      </c>
      <c r="DN72" s="183" cm="1">
        <f t="array" ref="DN72">((Sheet3!DA72-Sheet3!DB72)/New!$LQ$3)/(((Sheet3!DA72-Sheet3!DB72)/New!$LQ$3)+((Sheet3!DB72-(SUM(Sheet3!B72:I72*0.004)))/New!$LP$3))</f>
        <v>0.77405259087581402</v>
      </c>
      <c r="DO72" s="186">
        <f>(Sheet3!DB72/$LP$3) / ((Sheet3!DB72/$LP$3) + ((Sheet3!DA72-Sheet3!DB72)/$LQ$3))</f>
        <v>0.28551870478691521</v>
      </c>
      <c r="DP72" s="183">
        <f>((Sheet3!$DB72-(Sheet3!B72/4000)) / $LP$3) / (((Sheet3!$DA72-Sheet3!DB72) / $LQ$3) + (Sheet3!$DB72-((Sheet3!B72/4000)))/$LP$3)</f>
        <v>0.2855082729302536</v>
      </c>
      <c r="DQ72" s="183">
        <f>((Sheet3!$DB72-(SUM(Sheet3!B72:C72)/4000))/$LP$3)/(((Sheet3!$DA72-Sheet3!$DB72)/$LQ$3)+(Sheet3!$DB72-(SUM(Sheet3!B72:C72)/4000))/$LP$3)</f>
        <v>0.28459837175728708</v>
      </c>
      <c r="DR72" s="183">
        <f>((Sheet3!$DB72-(SUM(Sheet3!B72:D72)/4000))/$LP$3)/(((Sheet3!$DA72-Sheet3!$DB72)/$LQ$3)+(Sheet3!$DB72-(SUM(Sheet3!B72:D72)/4000))/$LP$3)</f>
        <v>0.2845867509061894</v>
      </c>
      <c r="DS72" s="183">
        <f>((Sheet3!$DB72-(SUM(Sheet3!B72:E72)/4000))/$LP$3)/(((Sheet3!$DA72-Sheet3!$DB72)/$LQ$3)+(Sheet3!$DB72-(SUM(Sheet3!B72:E72)/4000))/$LP$3)</f>
        <v>0.28388182197588502</v>
      </c>
      <c r="DT72" s="183">
        <f>((Sheet3!$DB72-(SUM(Sheet3!B72:F72)/4000))/$LP$3)/(((Sheet3!$DA72-Sheet3!$DB72)/$LQ$3)+(Sheet3!$DB72-(SUM(Sheet3!B72:F72)/4000))/$LP$3)</f>
        <v>0.28387134226517174</v>
      </c>
      <c r="DU72" s="183">
        <f>((Sheet3!$DB72-(SUM(Sheet3!B72:G72)/4000))/$LP$3)/(((Sheet3!$DA72-Sheet3!$DB72)/$LQ$3)+(Sheet3!$DB72-(SUM(Sheet3!B72:G72)/4000))/$LP$3)</f>
        <v>0.28299928848024902</v>
      </c>
      <c r="DV72" s="183">
        <f>((Sheet3!$DB72-(SUM(Sheet3!B72:H72)/4000))/$LP$3)/(((Sheet3!$DA72-Sheet3!$DB72)/$LQ$3)+(Sheet3!$DB72-(SUM(Sheet3!B72:H72)/4000))/$LP$3)</f>
        <v>0.28298411368812831</v>
      </c>
      <c r="DW72" s="183">
        <f>((Sheet3!$DB72-(SUM(Sheet3!B72:I72)/4000))/$LP$3)/(((Sheet3!$DA72-Sheet3!$DB72)/$LQ$3)+(Sheet3!$DB72-(SUM(Sheet3!B72:I72)/4000))/$LP$3)</f>
        <v>0.28206542741970131</v>
      </c>
      <c r="DX72" s="186">
        <f>($LR$2*($LP$3/1000))/($LP$2*(Sheet3!DF72+273))*DO72</f>
        <v>0.14996818718960619</v>
      </c>
      <c r="DY72" s="183">
        <f>(($LR$2*($LP$3/1000))/($LP$2*(Sheet3!BZ72+273)))*(DP72)</f>
        <v>0.15013031129190166</v>
      </c>
      <c r="DZ72" s="183">
        <f>(($LR$2*($LP$3/1000))/($LP$2*(Sheet3!CA72+273)))*(DQ72)</f>
        <v>0.15248211813085977</v>
      </c>
      <c r="EA72" s="183">
        <f>(($LR$2*($LP$3/1000))/($LP$2*(Sheet3!CB72+273)))*(DR72)</f>
        <v>0.15461258146872331</v>
      </c>
      <c r="EB72" s="183">
        <f>(($LR$2*($LP$3/1000))/($LP$2*(Sheet3!CC72+273)))*(DS72)</f>
        <v>0.15764988536226573</v>
      </c>
      <c r="EC72" s="183">
        <f>(($LR$2*($LP$3/1000))/($LP$2*(Sheet3!CD72+273)))*(DT72)</f>
        <v>0.15908619963376616</v>
      </c>
      <c r="ED72" s="183">
        <f>(($LR$2*($LP$3/1000))/($LP$2*(Sheet3!CE72+273)))*(DU72)</f>
        <v>0.16136207698123758</v>
      </c>
      <c r="EE72" s="183">
        <f>(($LR$2*($LP$3/1000))/($LP$2*(Sheet3!CF72+273)))*(DV72)</f>
        <v>0.16323789974457195</v>
      </c>
      <c r="EF72" s="183">
        <f>(($LR$2*($LP$3/1000))/($LP$2*(Sheet3!CG72+273)))*(DW72)</f>
        <v>0.16526882610175228</v>
      </c>
      <c r="EG72" s="186">
        <f>(($LR$2*($LQ$3/1000))/($LQ$2*(Sheet3!DF72+273)))*(1-DO72)</f>
        <v>0.60328111664909767</v>
      </c>
      <c r="EH72" s="183">
        <f>(($LR$2*($LQ$3/1000))/($LQ$2*(Sheet3!BZ72+273)))*(1-DP72)</f>
        <v>0.60396418222901382</v>
      </c>
      <c r="EI72" s="183">
        <f>(($LR$2*($LQ$3/1000))/($LQ$2*(Sheet3!CA72+273)))*(1-DQ72)</f>
        <v>0.6161702422657126</v>
      </c>
      <c r="EJ72" s="183">
        <f>(($LR$2*($LQ$3/1000))/($LQ$2*(Sheet3!CB72+273)))*(1-DR72)</f>
        <v>0.62481496646549961</v>
      </c>
      <c r="EK72" s="183">
        <f>(($LR$2*($LQ$3/1000))/($LQ$2*(Sheet3!CC72+273)))*(1-DS72)</f>
        <v>0.63930053001863874</v>
      </c>
      <c r="EL72" s="183">
        <f>(($LR$2*($LQ$3/1000))/($LQ$2*(Sheet3!CD72+273)))*(1-DT72)</f>
        <v>0.64515831724179151</v>
      </c>
      <c r="EM72" s="183">
        <f>(($LR$2*($LQ$3/1000))/($LQ$2*(Sheet3!CE72+273)))*(1-DU72)</f>
        <v>0.65720371447884907</v>
      </c>
      <c r="EN72" s="183">
        <f>(($LR$2*($LQ$3/1000))/($LQ$2*(Sheet3!CF72+273)))*(1-DV72)</f>
        <v>0.66489338468399628</v>
      </c>
      <c r="EO72" s="183">
        <f>(($LR$2*($LQ$3/1000))/($LQ$2*(Sheet3!CG72+273)))*(1-DW72)</f>
        <v>0.67622347432623808</v>
      </c>
      <c r="EP72" s="186">
        <f t="shared" si="350"/>
        <v>4857.0183678701687</v>
      </c>
      <c r="EQ72" s="183">
        <f xml:space="preserve"> (($FV72-(Sheet3!B72/4000))*0.018)/(0.011*JO72*3600)</f>
        <v>4861.3837131181044</v>
      </c>
      <c r="ER72" s="183">
        <f>((($FV72-(SUM(Sheet3!B72:C72)/4000))*0.018)/(0.011*JP72*3600))</f>
        <v>4929.8575593857231</v>
      </c>
      <c r="ES72" s="183">
        <f>((($FV72-(SUM(Sheet3!B72:D72)/4000))*0.018)/(0.011*JQ72*3600))</f>
        <v>4985.9437829058124</v>
      </c>
      <c r="ET72" s="183">
        <f>((($FV72-(SUM(Sheet3!B72:E72)/4000))*0.018)/(0.011*JR72))/3600</f>
        <v>5070.3498742924785</v>
      </c>
      <c r="EU72" s="183">
        <f>((($FV72-(SUM(Sheet3!B72:F72)/4000))*0.018)/(0.011*JS72))/3600</f>
        <v>5107.7974256346843</v>
      </c>
      <c r="EV72" s="183">
        <f>((($FV72-(SUM(Sheet3!B72:G72)/4000))*0.018)/(0.011*JT72))/3600</f>
        <v>5173.0564553463928</v>
      </c>
      <c r="EW72" s="183">
        <f>((($FV72-(SUM(Sheet3!B72:H72)/4000))*0.018)/(0.011*JU72))/3600</f>
        <v>5221.5790192382437</v>
      </c>
      <c r="EX72" s="183">
        <f>((($FV72-(SUM(Sheet3!B72:I72)/4000))*0.018)/(0.011*JV72))/3600</f>
        <v>5280.4740743197581</v>
      </c>
      <c r="EY72" s="186">
        <f t="shared" si="351"/>
        <v>49.579447491793452</v>
      </c>
      <c r="EZ72" s="183">
        <f t="shared" si="352"/>
        <v>49.615513907470799</v>
      </c>
      <c r="FA72" s="183">
        <f t="shared" si="353"/>
        <v>50.160623695654643</v>
      </c>
      <c r="FB72" s="183">
        <f t="shared" si="354"/>
        <v>50.63123688035742</v>
      </c>
      <c r="FC72" s="183">
        <f t="shared" si="355"/>
        <v>51.322694287074356</v>
      </c>
      <c r="FD72" s="183">
        <f t="shared" si="356"/>
        <v>51.640372670770482</v>
      </c>
      <c r="FE72" s="183">
        <f t="shared" si="357"/>
        <v>52.169701356428938</v>
      </c>
      <c r="FF72" s="183">
        <f t="shared" si="358"/>
        <v>52.585268366477806</v>
      </c>
      <c r="FG72" s="183">
        <f t="shared" si="359"/>
        <v>53.063139116381905</v>
      </c>
      <c r="FH72" s="186">
        <f t="shared" si="274"/>
        <v>99.383688625957603</v>
      </c>
      <c r="FI72" s="183">
        <f t="shared" si="275"/>
        <v>99.308429044974417</v>
      </c>
      <c r="FJ72" s="183">
        <f t="shared" si="276"/>
        <v>97.908565913578457</v>
      </c>
      <c r="FK72" s="183">
        <f t="shared" si="277"/>
        <v>97.000134454200307</v>
      </c>
      <c r="FL72" s="183">
        <f t="shared" si="278"/>
        <v>95.446672486179423</v>
      </c>
      <c r="FM72" s="183">
        <f t="shared" si="279"/>
        <v>94.855327186551932</v>
      </c>
      <c r="FN72" s="183">
        <f t="shared" si="280"/>
        <v>93.585937515768364</v>
      </c>
      <c r="FO72" s="183">
        <f t="shared" si="281"/>
        <v>92.835953642882615</v>
      </c>
      <c r="FP72" s="183">
        <f t="shared" si="282"/>
        <v>91.678031724054804</v>
      </c>
      <c r="FQ72" s="314">
        <f>Sheet3!CV72</f>
        <v>3</v>
      </c>
      <c r="FR72" s="183">
        <v>5000</v>
      </c>
      <c r="FS72" s="183">
        <v>20</v>
      </c>
      <c r="FT72" s="183">
        <v>0.19549450549450548</v>
      </c>
      <c r="FU72" s="183">
        <v>26.8</v>
      </c>
      <c r="FV72" s="183">
        <v>221</v>
      </c>
      <c r="FW72" s="183">
        <v>44</v>
      </c>
      <c r="FX72" s="183">
        <v>663</v>
      </c>
      <c r="FY72" s="183">
        <v>7.1</v>
      </c>
      <c r="FZ72" s="183">
        <v>14.6</v>
      </c>
      <c r="GA72" s="183">
        <v>145</v>
      </c>
      <c r="GB72" s="186">
        <f>EXP($LP$6-($LQ$6/('Trial and Error method'!T72+$LP$8))) / ($LR$2/1000)</f>
        <v>5.1965113398517615E-2</v>
      </c>
      <c r="GC72" s="183">
        <f>EXP($LP$6-($LQ$6/('Trial and Error method'!U72+$LP$8))) / ($LR$2/1000)</f>
        <v>7.2298690198042581E-2</v>
      </c>
      <c r="GD72" s="183">
        <f>EXP($LP$6-($LQ$6/('Trial and Error method'!V72+$LP$8))) / ($LR$2/1000)</f>
        <v>6.7635308676654834E-2</v>
      </c>
      <c r="GE72" s="183">
        <f>EXP($LP$6-($LQ$6/('Trial and Error method'!W72+$LP$8))) / ($LR$2/1000)</f>
        <v>6.4233236091488885E-2</v>
      </c>
      <c r="GF72" s="183">
        <f>EXP($LP$6-($LQ$6/('Trial and Error method'!X72+$LP$8))) / ($LR$2/1000)</f>
        <v>6.0705422748718263E-2</v>
      </c>
      <c r="GG72" s="183">
        <f>EXP($LP$6-($LQ$6/('Trial and Error method'!Y72+$LP$8))) / ($LR$2/1000)</f>
        <v>5.8281448602462357E-2</v>
      </c>
      <c r="GH72" s="183">
        <f>EXP($LP$6-($LQ$6/('Trial and Error method'!Z72+$LP$8))) / ($LR$2/1000)</f>
        <v>5.5488205414955298E-2</v>
      </c>
      <c r="GI72" s="183">
        <f>EXP($LP$6-($LQ$6/('Trial and Error method'!AA72+$LP$8))) / ($LR$2/1000)</f>
        <v>5.3314441380006836E-2</v>
      </c>
      <c r="GJ72" s="183">
        <f>EXP($LP$6-($LQ$6/('Trial and Error method'!AB72+$LP$8))) / ($LR$2/1000)</f>
        <v>5.0885237216476073E-2</v>
      </c>
      <c r="GK72" s="188">
        <f t="shared" si="411"/>
        <v>0.8257606654124805</v>
      </c>
      <c r="GL72" s="165">
        <f t="shared" si="360"/>
        <v>0.81646201583264444</v>
      </c>
      <c r="GM72" s="165">
        <f t="shared" si="361"/>
        <v>0.8190996537671118</v>
      </c>
      <c r="GN72" s="165">
        <f t="shared" si="362"/>
        <v>0.82066540230242668</v>
      </c>
      <c r="GO72" s="165">
        <f t="shared" si="363"/>
        <v>0.8226672076586683</v>
      </c>
      <c r="GP72" s="165">
        <f t="shared" si="364"/>
        <v>0.82378194184646047</v>
      </c>
      <c r="GQ72" s="165">
        <f t="shared" si="365"/>
        <v>0.82553784810374575</v>
      </c>
      <c r="GR72" s="165">
        <f t="shared" si="366"/>
        <v>0.82653938007191163</v>
      </c>
      <c r="GS72" s="165">
        <f t="shared" si="367"/>
        <v>0.82815378541886597</v>
      </c>
      <c r="GT72" s="188">
        <f t="shared" si="283"/>
        <v>6.6729621117149154E-2</v>
      </c>
      <c r="GU72" s="165">
        <f t="shared" si="284"/>
        <v>6.7484982254456996E-2</v>
      </c>
      <c r="GV72" s="165">
        <f t="shared" si="285"/>
        <v>6.7245392799059903E-2</v>
      </c>
      <c r="GW72" s="165">
        <f t="shared" si="286"/>
        <v>6.7128980452560896E-2</v>
      </c>
      <c r="GX72" s="165">
        <f t="shared" si="287"/>
        <v>6.6967632633593968E-2</v>
      </c>
      <c r="GY72" s="165">
        <f t="shared" si="288"/>
        <v>6.6890923722730811E-2</v>
      </c>
      <c r="GZ72" s="165">
        <f t="shared" si="289"/>
        <v>6.6748876904820453E-2</v>
      </c>
      <c r="HA72" s="165">
        <f t="shared" si="290"/>
        <v>6.6692237262227921E-2</v>
      </c>
      <c r="HB72" s="165">
        <f t="shared" si="291"/>
        <v>6.6560114995703662E-2</v>
      </c>
      <c r="HC72" s="188">
        <f>BV72*Sheet3!DF72</f>
        <v>174.02974120993923</v>
      </c>
      <c r="HD72" s="165">
        <f>BW72*Sheet3!BZ72</f>
        <v>173.44739838507402</v>
      </c>
      <c r="HE72" s="165">
        <f>BX72*Sheet3!CA72</f>
        <v>163.43064092056161</v>
      </c>
      <c r="HF72" s="165">
        <f>BY72*Sheet3!CB72</f>
        <v>156.477516693696</v>
      </c>
      <c r="HG72" s="165">
        <f>BZ72*Sheet3!CC72</f>
        <v>145.44106785567178</v>
      </c>
      <c r="HH72" s="165">
        <f>CA72*Sheet3!CD72</f>
        <v>141.07455041801916</v>
      </c>
      <c r="HI72" s="165">
        <f>CB72*Sheet3!CE72</f>
        <v>132.56832612687779</v>
      </c>
      <c r="HJ72" s="165">
        <f>CC72*Sheet3!CF72</f>
        <v>127.1912739346953</v>
      </c>
      <c r="HK72" s="165">
        <f>CD72*Sheet3!CG72</f>
        <v>119.7419888538746</v>
      </c>
      <c r="HL72" s="188">
        <f>(CE72*Sheet3!DF72)+2501</f>
        <v>2777.9002721684374</v>
      </c>
      <c r="HM72" s="165">
        <f>(CF72*Sheet3!BZ72)+2501</f>
        <v>2776.9757344724862</v>
      </c>
      <c r="HN72" s="165">
        <f>(CG72*Sheet3!CA72)+2501</f>
        <v>2761.6591087108332</v>
      </c>
      <c r="HO72" s="165">
        <f>(CH72*Sheet3!CB72)+2501</f>
        <v>2750.5115146747626</v>
      </c>
      <c r="HP72" s="165">
        <f>(CI72*Sheet3!CC72)+2501</f>
        <v>2733.3256093783079</v>
      </c>
      <c r="HQ72" s="165">
        <f>(CJ72*Sheet3!CD72)+2501</f>
        <v>2726.3255731710146</v>
      </c>
      <c r="HR72" s="165">
        <f>(CK72*Sheet3!CE72)+2501</f>
        <v>2713.2539027312569</v>
      </c>
      <c r="HS72" s="165">
        <f>(CL72*Sheet3!CF72)+2501</f>
        <v>2704.6239412626837</v>
      </c>
      <c r="HT72" s="165">
        <f>(CM72*Sheet3!CG72)+2501</f>
        <v>2693.206783985624</v>
      </c>
      <c r="HU72" s="188">
        <f>-0.0021*(Sheet3!DF72^2) - 2.2115*(Sheet3!DF72) + 2499</f>
        <v>2134.1799999999998</v>
      </c>
      <c r="HV72" s="165">
        <f>-0.0021*(Sheet3!BZ72^2) - 2.2115*(Sheet3!BZ72) + 2499</f>
        <v>2135.4957274894027</v>
      </c>
      <c r="HW72" s="165">
        <f>-0.0021*(Sheet3!CA72^2) - 2.2115*(Sheet3!CA72) + 2499</f>
        <v>2157.2131646495345</v>
      </c>
      <c r="HX72" s="165">
        <f>-0.0021*(Sheet3!CB72^2) - 2.2115*(Sheet3!CB72) + 2499</f>
        <v>2172.9230393880944</v>
      </c>
      <c r="HY72" s="165">
        <f>-0.0021*(Sheet3!CC72^2) - 2.2115*(Sheet3!CC72) + 2499</f>
        <v>2196.9794350607394</v>
      </c>
      <c r="HZ72" s="165">
        <f>-0.0021*(Sheet3!CD72^2) - 2.2115*(Sheet3!CD72) + 2499</f>
        <v>2206.7200023192486</v>
      </c>
      <c r="IA72" s="165">
        <f>-0.0021*(Sheet3!CE72^2) - 2.2115*(Sheet3!CE72) + 2499</f>
        <v>2224.8174284489664</v>
      </c>
      <c r="IB72" s="165">
        <f>-0.0021*(Sheet3!CF72^2) - 2.2115*(Sheet3!CF72) + 2499</f>
        <v>2236.6986517624382</v>
      </c>
      <c r="IC72" s="165">
        <f>-0.0021*(Sheet3!CG72^2) - 2.2115*(Sheet3!CG72) + 2499</f>
        <v>2252.3337693820054</v>
      </c>
      <c r="ID72" s="188">
        <f t="shared" si="292"/>
        <v>0.68796981728082041</v>
      </c>
      <c r="IE72" s="165">
        <f t="shared" si="293"/>
        <v>0.68827796541642983</v>
      </c>
      <c r="IF72" s="165">
        <f t="shared" si="294"/>
        <v>0.69233343428675476</v>
      </c>
      <c r="IG72" s="165">
        <f t="shared" si="295"/>
        <v>0.69659944648847694</v>
      </c>
      <c r="IH72" s="165">
        <f t="shared" si="296"/>
        <v>0.70240614299648707</v>
      </c>
      <c r="II72" s="165">
        <f t="shared" si="297"/>
        <v>0.70540735786658382</v>
      </c>
      <c r="IJ72" s="165">
        <f t="shared" si="298"/>
        <v>0.70973136364960565</v>
      </c>
      <c r="IK72" s="165">
        <f t="shared" si="299"/>
        <v>0.71378907191198293</v>
      </c>
      <c r="IL72" s="165">
        <f t="shared" si="300"/>
        <v>0.71772652139439674</v>
      </c>
      <c r="IM72" s="188">
        <f t="shared" si="301"/>
        <v>33.261072934436207</v>
      </c>
      <c r="IN72" s="165">
        <f t="shared" si="368"/>
        <v>30.726462624464187</v>
      </c>
      <c r="IO72" s="165">
        <f t="shared" si="369"/>
        <v>31.473236146689903</v>
      </c>
      <c r="IP72" s="165">
        <f t="shared" si="370"/>
        <v>32.142109642144703</v>
      </c>
      <c r="IQ72" s="165">
        <f t="shared" si="371"/>
        <v>32.835165114449488</v>
      </c>
      <c r="IR72" s="165">
        <f t="shared" si="372"/>
        <v>33.299220286145804</v>
      </c>
      <c r="IS72" s="165">
        <f t="shared" si="373"/>
        <v>33.786320592042017</v>
      </c>
      <c r="IT72" s="165">
        <f t="shared" si="374"/>
        <v>34.259925422306509</v>
      </c>
      <c r="IU72" s="165">
        <f t="shared" si="375"/>
        <v>34.657515696891956</v>
      </c>
      <c r="IV72" s="188">
        <f>_xlfn.FORECAST.LINEAR(Sheet3!DF72,Sheet2!$AK$2:$AK$69,Sheet2!$AJ$2:$AJ$69)</f>
        <v>1.386217343669711E-5</v>
      </c>
      <c r="IW72" s="165">
        <f>_xlfn.FORECAST.LINEAR(Sheet3!BZ72,Sheet2!$AK$2:$AK$69,Sheet2!$AJ$2:$AJ$69)</f>
        <v>1.3845834960520307E-5</v>
      </c>
      <c r="IX72" s="165">
        <f>_xlfn.FORECAST.LINEAR(Sheet3!CA72,Sheet2!$AK$2:$AK$69,Sheet2!$AJ$2:$AJ$69)</f>
        <v>1.3574491017283723E-5</v>
      </c>
      <c r="IY72" s="165">
        <f>_xlfn.FORECAST.LINEAR(Sheet3!CB72,Sheet2!$AK$2:$AK$69,Sheet2!$AJ$2:$AJ$69)</f>
        <v>1.3376214292847051E-5</v>
      </c>
      <c r="IZ72" s="165">
        <f>_xlfn.FORECAST.LINEAR(Sheet3!CC72,Sheet2!$AK$2:$AK$69,Sheet2!$AJ$2:$AJ$69)</f>
        <v>1.3069241476512356E-5</v>
      </c>
      <c r="JA72" s="165">
        <f>_xlfn.FORECAST.LINEAR(Sheet3!CD72,Sheet2!$AK$2:$AK$69,Sheet2!$AJ$2:$AJ$69)</f>
        <v>1.2943760269193651E-5</v>
      </c>
      <c r="JB72" s="165">
        <f>_xlfn.FORECAST.LINEAR(Sheet3!CE72,Sheet2!$AK$2:$AK$69,Sheet2!$AJ$2:$AJ$69)</f>
        <v>1.2708753668791078E-5</v>
      </c>
      <c r="JC72" s="165">
        <f>_xlfn.FORECAST.LINEAR(Sheet3!CF72,Sheet2!$AK$2:$AK$69,Sheet2!$AJ$2:$AJ$69)</f>
        <v>1.2553115919051118E-5</v>
      </c>
      <c r="JD72" s="165">
        <f>_xlfn.FORECAST.LINEAR(Sheet3!CG72,Sheet2!$AK$2:$AK$69,Sheet2!$AJ$2:$AJ$69)</f>
        <v>1.2346626138031765E-5</v>
      </c>
      <c r="JE72" s="188">
        <f>_xlfn.FORECAST.LINEAR(Sheet3!DF72,New!$MC$2:$MC$18,New!$MB$2:$MB$18)</f>
        <v>2.337798370672098E-5</v>
      </c>
      <c r="JF72" s="165">
        <f>_xlfn.FORECAST.LINEAR(Sheet3!BZ72,New!$MC$2:$MC$18,New!$MB$2:$MB$18)</f>
        <v>2.3358777433617864E-5</v>
      </c>
      <c r="JG72" s="165">
        <f>_xlfn.FORECAST.LINEAR(Sheet3!CA72,New!$MC$2:$MC$18,New!$MB$2:$MB$18)</f>
        <v>2.3039806078989494E-5</v>
      </c>
      <c r="JH72" s="165">
        <f>_xlfn.FORECAST.LINEAR(Sheet3!CB72,New!$MC$2:$MC$18,New!$MB$2:$MB$18)</f>
        <v>2.2806727003663685E-5</v>
      </c>
      <c r="JI72" s="165">
        <f>_xlfn.FORECAST.LINEAR(Sheet3!CC72,New!$MC$2:$MC$18,New!$MB$2:$MB$18)</f>
        <v>2.2445873048744219E-5</v>
      </c>
      <c r="JJ72" s="165">
        <f>_xlfn.FORECAST.LINEAR(Sheet3!CD72,New!$MC$2:$MC$18,New!$MB$2:$MB$18)</f>
        <v>2.2298366860835861E-5</v>
      </c>
      <c r="JK72" s="165">
        <f>_xlfn.FORECAST.LINEAR(Sheet3!CE72,New!$MC$2:$MC$18,New!$MB$2:$MB$18)</f>
        <v>2.2022110929773275E-5</v>
      </c>
      <c r="JL72" s="165">
        <f>_xlfn.FORECAST.LINEAR(Sheet3!CF72,New!$MC$2:$MC$18,New!$MB$2:$MB$18)</f>
        <v>2.18391549983686E-5</v>
      </c>
      <c r="JM72" s="165">
        <f>_xlfn.FORECAST.LINEAR(Sheet3!CG72,New!$MC$2:$MC$18,New!$MB$2:$MB$18)</f>
        <v>2.1596421276793572E-5</v>
      </c>
      <c r="JN72" s="188">
        <f t="shared" si="376"/>
        <v>2.0682348273390483E-5</v>
      </c>
      <c r="JO72" s="165">
        <f t="shared" si="377"/>
        <v>2.066356590124863E-5</v>
      </c>
      <c r="JP72" s="165">
        <f t="shared" si="378"/>
        <v>2.0358485130488753E-5</v>
      </c>
      <c r="JQ72" s="165">
        <f t="shared" si="379"/>
        <v>2.0129247304921204E-5</v>
      </c>
      <c r="JR72" s="165">
        <f t="shared" si="380"/>
        <v>1.9780574182206115E-5</v>
      </c>
      <c r="JS72" s="165">
        <f t="shared" si="381"/>
        <v>1.9635353702079687E-5</v>
      </c>
      <c r="JT72" s="165">
        <f t="shared" si="382"/>
        <v>1.9371218921715603E-5</v>
      </c>
      <c r="JU72" s="165">
        <f t="shared" si="383"/>
        <v>1.919092509162116E-5</v>
      </c>
      <c r="JV72" s="165">
        <f t="shared" si="384"/>
        <v>1.8959966894499144E-5</v>
      </c>
      <c r="JW72" s="188">
        <f t="shared" si="302"/>
        <v>1.0152024173422087</v>
      </c>
      <c r="JX72" s="165">
        <f t="shared" si="385"/>
        <v>1.0153967995280455</v>
      </c>
      <c r="JY72" s="165">
        <f t="shared" si="386"/>
        <v>1.0186910000920306</v>
      </c>
      <c r="JZ72" s="165">
        <f t="shared" si="387"/>
        <v>1.0211795973307025</v>
      </c>
      <c r="KA72" s="165">
        <f t="shared" si="388"/>
        <v>1.025175932723948</v>
      </c>
      <c r="KB72" s="165">
        <f t="shared" si="389"/>
        <v>1.0268620806033673</v>
      </c>
      <c r="KC72" s="165">
        <f t="shared" si="390"/>
        <v>1.0301062061016681</v>
      </c>
      <c r="KD72" s="165">
        <f t="shared" si="391"/>
        <v>1.0323190417558983</v>
      </c>
      <c r="KE72" s="165">
        <f t="shared" si="392"/>
        <v>1.0353377278089897</v>
      </c>
      <c r="KF72" s="188">
        <f t="shared" si="393"/>
        <v>0.9677010468805306</v>
      </c>
      <c r="KG72" s="165">
        <f t="shared" si="394"/>
        <v>0.96754043346633001</v>
      </c>
      <c r="KH72" s="165">
        <f t="shared" si="395"/>
        <v>0.96483154765714607</v>
      </c>
      <c r="KI72" s="165">
        <f t="shared" si="396"/>
        <v>0.96280131317505557</v>
      </c>
      <c r="KJ72" s="165">
        <f t="shared" si="397"/>
        <v>0.95956980439801953</v>
      </c>
      <c r="KK72" s="165">
        <f t="shared" si="398"/>
        <v>0.95821686925379634</v>
      </c>
      <c r="KL72" s="165">
        <f t="shared" si="399"/>
        <v>0.95563117875456194</v>
      </c>
      <c r="KM72" s="165">
        <f t="shared" si="400"/>
        <v>0.95388042808617191</v>
      </c>
      <c r="KN72" s="165">
        <f t="shared" si="401"/>
        <v>0.95150886357793463</v>
      </c>
      <c r="KO72" s="188">
        <f t="shared" si="304"/>
        <v>0.62180345627620359</v>
      </c>
      <c r="KP72" s="165">
        <f t="shared" si="305"/>
        <v>0.62155896343629935</v>
      </c>
      <c r="KQ72" s="165">
        <f t="shared" si="306"/>
        <v>0.61638323519972094</v>
      </c>
      <c r="KR72" s="165">
        <f t="shared" si="307"/>
        <v>0.61250281365954062</v>
      </c>
      <c r="KS72" s="165">
        <f t="shared" si="308"/>
        <v>0.60637245966868625</v>
      </c>
      <c r="KT72" s="165">
        <f t="shared" si="309"/>
        <v>0.60380647605529347</v>
      </c>
      <c r="KU72" s="165">
        <f t="shared" si="310"/>
        <v>0.59894828979481429</v>
      </c>
      <c r="KV72" s="165">
        <f t="shared" si="311"/>
        <v>0.59565063727618706</v>
      </c>
      <c r="KW72" s="165">
        <f t="shared" si="312"/>
        <v>0.59132126293321996</v>
      </c>
      <c r="KX72" s="188">
        <f>AVERAGE(Sheet3!J72:P72)*KO72^(1/3)/ID72^(1/3)</f>
        <v>123.88300212824569</v>
      </c>
      <c r="KY72" s="165">
        <f>Sheet3!J72*KP72^(1/3)/IE72^(1/3)</f>
        <v>116.32741004607666</v>
      </c>
      <c r="KZ72" s="165">
        <f>Sheet3!K72*KQ72^(1/3)/IF72^(1/3)</f>
        <v>109.79162058835918</v>
      </c>
      <c r="LA72" s="165">
        <f>Sheet3!L72*KR72^(1/3)/IG72^(1/3)</f>
        <v>110.2318975799282</v>
      </c>
      <c r="LB72" s="165">
        <f>Sheet3!M72*KS72^(1/3)/IH72^(1/3)</f>
        <v>112.88827710367498</v>
      </c>
      <c r="LC72" s="165">
        <f>Sheet3!N72*KT72^(1/3)/II72^(1/3)</f>
        <v>120.88625460999197</v>
      </c>
      <c r="LD72" s="165">
        <f>Sheet3!O72*KU72^(1/3)/IJ72^(1/3)</f>
        <v>133.41618056563061</v>
      </c>
      <c r="LE72" s="165">
        <f>Sheet3!P72*KV72^(1/3)/IK72^(1/3)</f>
        <v>150.92994458345393</v>
      </c>
      <c r="LF72" s="165">
        <f>Sheet3!Q72*KW72^(1/3)/IL72^(1/3)</f>
        <v>171.6448012708961</v>
      </c>
      <c r="LG72" s="186">
        <f t="shared" si="402"/>
        <v>25.834997776107215</v>
      </c>
      <c r="LH72" s="183">
        <f t="shared" si="403"/>
        <v>25.83964461016911</v>
      </c>
      <c r="LI72" s="183">
        <f t="shared" si="404"/>
        <v>26.253265483604082</v>
      </c>
      <c r="LJ72" s="183">
        <f t="shared" si="405"/>
        <v>26.258656435421273</v>
      </c>
      <c r="LK72" s="183">
        <f t="shared" si="406"/>
        <v>26.590967731101458</v>
      </c>
      <c r="LL72" s="183">
        <f t="shared" si="407"/>
        <v>26.595987777898387</v>
      </c>
      <c r="LM72" s="183">
        <f t="shared" si="408"/>
        <v>27.02220307041889</v>
      </c>
      <c r="LN72" s="183">
        <f t="shared" si="409"/>
        <v>27.029771023195945</v>
      </c>
      <c r="LO72" s="183">
        <f t="shared" si="410"/>
        <v>27.497971706729494</v>
      </c>
      <c r="LT72" s="165"/>
      <c r="MF72" s="165"/>
      <c r="MJ72"/>
      <c r="MK72"/>
      <c r="ML72"/>
      <c r="MM72"/>
      <c r="MN72"/>
      <c r="MO72"/>
      <c r="MP72"/>
      <c r="MQ72"/>
      <c r="MR72"/>
    </row>
    <row r="73" spans="1:356" x14ac:dyDescent="0.3">
      <c r="A73" s="184" t="str">
        <f>Sheet3!A73</f>
        <v>2023.02.02-1</v>
      </c>
      <c r="B73" s="186">
        <f t="shared" si="313"/>
        <v>1.0055734175833762</v>
      </c>
      <c r="C73" s="183">
        <f t="shared" si="257"/>
        <v>1.0043552165869245</v>
      </c>
      <c r="D73" s="183">
        <f t="shared" si="258"/>
        <v>0.98819201589029615</v>
      </c>
      <c r="E73" s="183">
        <f t="shared" si="259"/>
        <v>0.97525688514861242</v>
      </c>
      <c r="F73" s="183">
        <f t="shared" si="260"/>
        <v>0.95858856464035491</v>
      </c>
      <c r="G73" s="183">
        <f t="shared" si="261"/>
        <v>0.9488264939652401</v>
      </c>
      <c r="H73" s="183">
        <f t="shared" si="262"/>
        <v>0.93642949184159663</v>
      </c>
      <c r="I73" s="183">
        <f t="shared" si="263"/>
        <v>0.92343679181222937</v>
      </c>
      <c r="J73" s="183">
        <f t="shared" si="264"/>
        <v>0.90988708743490787</v>
      </c>
      <c r="K73" s="186">
        <f xml:space="preserve"> (6.057 * (10^(-6)))
+ (4.055 * (10^(-8)) * (Sheet3!DF73 + 273))
+ (1.25 * (10^(-10)) * (Sheet3!DF73 + 273)^2)
- (3.367 * (10^(-14)) * (DD73 + 273)^3)</f>
        <v>5.3312505869089918E-5</v>
      </c>
      <c r="L73" s="183">
        <f xml:space="preserve"> (6.057 * (10^(-6)))
+ (4.055 * (10^(-8)) * (Sheet3!BZ73 + 273))
+ (1.25 * (10^(-10)) * (Sheet3!BZ73 + 273)^2)
- (3.367 * (10^(-14)) * (BX73 + 273)^3)</f>
        <v>5.3166017511614485E-5</v>
      </c>
      <c r="M73" s="183">
        <f xml:space="preserve"> (6.057 * (10^(-6)))
+ (4.055 * (10^(-8)) * (Sheet3!CA73 + 273))
+ (1.25 * (10^(-10)) * (Sheet3!CA73 + 273)^2)
- (3.367 * (10^(-14)) * (BY73 + 273)^3)</f>
        <v>5.1327640594920512E-5</v>
      </c>
      <c r="N73" s="183">
        <f xml:space="preserve"> (6.057 * (10^(-6)))
+ (4.055 * (10^(-8)) * (Sheet3!CB73 + 273))
+ (1.25 * (10^(-10)) * (Sheet3!CB73 + 273)^2)
- (3.367 * (10^(-14)) * (BZ73 + 273)^3)</f>
        <v>5.0077917601313355E-5</v>
      </c>
      <c r="O73" s="183">
        <f xml:space="preserve"> (6.057 * (10^(-6)))
+ (4.055 * (10^(-8)) * (Sheet3!CC73 + 273))
+ (1.25 * (10^(-10)) * (Sheet3!CC73 + 273)^2)
- (3.367 * (10^(-14)) * (CA73 + 273)^3)</f>
        <v>4.8353222761701232E-5</v>
      </c>
      <c r="P73" s="183">
        <f xml:space="preserve"> (6.057 * (10^(-6)))
+ (4.055 * (10^(-8)) * (Sheet3!CD73 + 273))
+ (1.25 * (10^(-10)) * (Sheet3!CD73 + 273)^2)
- (3.367 * (10^(-14)) * (CB73 + 273)^3)</f>
        <v>4.7493981591370781E-5</v>
      </c>
      <c r="Q73" s="183">
        <f xml:space="preserve"> (6.057 * (10^(-6)))
+ (4.055 * (10^(-8)) * (Sheet3!CE73 + 273))
+ (1.25 * (10^(-10)) * (Sheet3!CE73 + 273)^2)
- (3.367 * (10^(-14)) * (CC73 + 273)^3)</f>
        <v>4.6272946696874634E-5</v>
      </c>
      <c r="R73" s="183">
        <f xml:space="preserve"> (6.057 * (10^(-6)))
+ (4.055 * (10^(-8)) * (Sheet3!CF73 + 273))
+ (1.25 * (10^(-10)) * (Sheet3!CF73 + 273)^2)
- (3.367 * (10^(-14)) * (CD73 + 273)^3)</f>
        <v>4.5212870670169602E-5</v>
      </c>
      <c r="S73" s="183">
        <f xml:space="preserve"> (6.057 * (10^(-6)))
+ (4.055 * (10^(-8)) * (Sheet3!CG73 + 273))
+ (1.25 * (10^(-10)) * (Sheet3!CG73 + 273)^2)
- (3.367 * (10^(-14)) * (CE73 + 273)^3)</f>
        <v>4.3997538241803557E-5</v>
      </c>
      <c r="T73" s="188">
        <f t="shared" si="314"/>
        <v>5.3312505869089918E-5</v>
      </c>
      <c r="U73" s="165">
        <f t="shared" si="315"/>
        <v>5.3166017511614485E-5</v>
      </c>
      <c r="V73" s="165">
        <f t="shared" si="316"/>
        <v>5.1327640594920512E-5</v>
      </c>
      <c r="W73" s="165">
        <f t="shared" si="317"/>
        <v>5.0077917601313355E-5</v>
      </c>
      <c r="X73" s="165">
        <f t="shared" si="318"/>
        <v>4.8353222761701232E-5</v>
      </c>
      <c r="Y73" s="165">
        <f t="shared" si="319"/>
        <v>4.7493981591370781E-5</v>
      </c>
      <c r="Z73" s="165">
        <f t="shared" si="320"/>
        <v>4.6272946696874634E-5</v>
      </c>
      <c r="AA73" s="165">
        <f t="shared" si="321"/>
        <v>4.5212870670169602E-5</v>
      </c>
      <c r="AB73" s="165">
        <f t="shared" si="322"/>
        <v>4.3997538241803557E-5</v>
      </c>
      <c r="AC73" s="186">
        <f t="shared" si="265"/>
        <v>5.3609638726714553E-5</v>
      </c>
      <c r="AD73" s="183">
        <f t="shared" si="266"/>
        <v>5.3397567032941791E-5</v>
      </c>
      <c r="AE73" s="183">
        <f t="shared" si="267"/>
        <v>5.0721564630387101E-5</v>
      </c>
      <c r="AF73" s="183">
        <f t="shared" si="268"/>
        <v>4.8838833934585736E-5</v>
      </c>
      <c r="AG73" s="183">
        <f t="shared" si="269"/>
        <v>4.6350846402874521E-5</v>
      </c>
      <c r="AH73" s="183">
        <f t="shared" si="270"/>
        <v>4.5063548037789993E-5</v>
      </c>
      <c r="AI73" s="183">
        <f t="shared" si="271"/>
        <v>4.3331351961367598E-5</v>
      </c>
      <c r="AJ73" s="183">
        <f t="shared" si="272"/>
        <v>4.1751228240282658E-5</v>
      </c>
      <c r="AK73" s="183">
        <f t="shared" si="273"/>
        <v>4.0032791925140616E-5</v>
      </c>
      <c r="AL73" s="186">
        <f t="shared" si="323"/>
        <v>4.2931521784307272E-2</v>
      </c>
      <c r="AM73" s="183">
        <f t="shared" si="324"/>
        <v>4.2832171281619535E-2</v>
      </c>
      <c r="AN73" s="183">
        <f t="shared" si="325"/>
        <v>4.150024192909342E-2</v>
      </c>
      <c r="AO73" s="183">
        <f t="shared" si="326"/>
        <v>4.0590298970399334E-2</v>
      </c>
      <c r="AP73" s="183">
        <f t="shared" si="327"/>
        <v>3.9300401512033505E-2</v>
      </c>
      <c r="AQ73" s="183">
        <f t="shared" si="328"/>
        <v>3.8654808381082144E-2</v>
      </c>
      <c r="AR73" s="183">
        <f t="shared" si="329"/>
        <v>3.7716424766865354E-2</v>
      </c>
      <c r="AS73" s="183">
        <f t="shared" si="330"/>
        <v>3.6898911901767674E-2</v>
      </c>
      <c r="AT73" s="183">
        <f t="shared" si="331"/>
        <v>3.5946440892713483E-2</v>
      </c>
      <c r="AU73" s="186">
        <f>_xlfn.FORECAST.LINEAR(Sheet3!DF73,Sheet2!$AH$2:$AH$40,Sheet2!$AG$2:$AG$40)</f>
        <v>5.615110757455756E-2</v>
      </c>
      <c r="AV73" s="183">
        <f>_xlfn.FORECAST.LINEAR(Sheet3!BZ73,Sheet2!$AH$2:$AH$40,Sheet2!$AG$2:$AG$40)</f>
        <v>5.5928377400255413E-2</v>
      </c>
      <c r="AW73" s="183">
        <f>_xlfn.FORECAST.LINEAR(Sheet3!CA73,Sheet2!$AH$2:$AH$40,Sheet2!$AG$2:$AG$40)</f>
        <v>5.2978394363885101E-2</v>
      </c>
      <c r="AX73" s="183">
        <f>_xlfn.FORECAST.LINEAR(Sheet3!CB73,Sheet2!$AH$2:$AH$40,Sheet2!$AG$2:$AG$40)</f>
        <v>5.0941397933300402E-2</v>
      </c>
      <c r="AY73" s="183">
        <f>_xlfn.FORECAST.LINEAR(Sheet3!CC73,Sheet2!$AH$2:$AH$40,Sheet2!$AG$2:$AG$40)</f>
        <v>4.8086248711476251E-2</v>
      </c>
      <c r="AZ73" s="183">
        <f>_xlfn.FORECAST.LINEAR(Sheet3!CD73,Sheet2!$AH$2:$AH$40,Sheet2!$AG$2:$AG$40)</f>
        <v>4.6643899985577643E-2</v>
      </c>
      <c r="BA73" s="183">
        <f>_xlfn.FORECAST.LINEAR(Sheet3!CE73,Sheet2!$AH$2:$AH$40,Sheet2!$AG$2:$AG$40)</f>
        <v>4.4570628982672701E-2</v>
      </c>
      <c r="BB73" s="183">
        <f>_xlfn.FORECAST.LINEAR(Sheet3!CF73,Sheet2!$AH$2:$AH$40,Sheet2!$AG$2:$AG$40)</f>
        <v>4.2747269271769757E-2</v>
      </c>
      <c r="BC73" s="183">
        <f>_xlfn.FORECAST.LINEAR(Sheet3!CG73,Sheet2!$AH$2:$AH$40,Sheet2!$AG$2:$AG$40)</f>
        <v>4.0639221068375968E-2</v>
      </c>
      <c r="BD73" s="186">
        <f>_xlfn.FORECAST.LINEAR(Sheet3!DF73,Sheet2!$AB$12:$AB$37,Sheet2!$AA$12:$AA$37)/1000</f>
        <v>3.7324862686859299E-2</v>
      </c>
      <c r="BE73" s="183">
        <f>_xlfn.FORECAST.LINEAR(Sheet3!BZ73,Sheet2!$AB$12:$AB$37,Sheet2!$AA$12:$AA$37)/1000</f>
        <v>3.7275065375315899E-2</v>
      </c>
      <c r="BF73" s="183">
        <f>_xlfn.FORECAST.LINEAR(Sheet3!CA73,Sheet2!$AB$12:$AB$37,Sheet2!$AA$12:$AA$37)/1000</f>
        <v>3.6615517450253036E-2</v>
      </c>
      <c r="BG73" s="183">
        <f>_xlfn.FORECAST.LINEAR(Sheet3!CB73,Sheet2!$AB$12:$AB$37,Sheet2!$AA$12:$AA$37)/1000</f>
        <v>3.6160092197772387E-2</v>
      </c>
      <c r="BH73" s="183">
        <f>_xlfn.FORECAST.LINEAR(Sheet3!CC73,Sheet2!$AB$12:$AB$37,Sheet2!$AA$12:$AA$37)/1000</f>
        <v>3.552174691856836E-2</v>
      </c>
      <c r="BI73" s="183">
        <f>_xlfn.FORECAST.LINEAR(Sheet3!CD73,Sheet2!$AB$12:$AB$37,Sheet2!$AA$12:$AA$37)/1000</f>
        <v>3.5199271128824844E-2</v>
      </c>
      <c r="BJ73" s="183">
        <f>_xlfn.FORECAST.LINEAR(Sheet3!CE73,Sheet2!$AB$12:$AB$37,Sheet2!$AA$12:$AA$37)/1000</f>
        <v>3.4735735721603843E-2</v>
      </c>
      <c r="BK73" s="183">
        <f>_xlfn.FORECAST.LINEAR(Sheet3!CF73,Sheet2!$AB$12:$AB$37,Sheet2!$AA$12:$AA$37)/1000</f>
        <v>3.4328074694695392E-2</v>
      </c>
      <c r="BL73" s="183">
        <f>_xlfn.FORECAST.LINEAR(Sheet3!CG73,Sheet2!$AB$12:$AB$37,Sheet2!$AA$12:$AA$37)/1000</f>
        <v>3.3856763910416587E-2</v>
      </c>
      <c r="BM73" s="186">
        <f t="shared" si="332"/>
        <v>0.65837625584019954</v>
      </c>
      <c r="BN73" s="183">
        <f t="shared" si="333"/>
        <v>0.65958557467272461</v>
      </c>
      <c r="BO73" s="183">
        <f t="shared" si="334"/>
        <v>0.67628115258125299</v>
      </c>
      <c r="BP73" s="183">
        <f t="shared" si="335"/>
        <v>0.68812972125176297</v>
      </c>
      <c r="BQ73" s="183">
        <f t="shared" si="336"/>
        <v>0.70573157086782312</v>
      </c>
      <c r="BR73" s="183">
        <f t="shared" si="337"/>
        <v>0.71482247709375457</v>
      </c>
      <c r="BS73" s="183">
        <f t="shared" si="338"/>
        <v>0.72857954840078831</v>
      </c>
      <c r="BT73" s="183">
        <f t="shared" si="339"/>
        <v>0.74087195943713657</v>
      </c>
      <c r="BU73" s="183">
        <f t="shared" si="340"/>
        <v>0.75586152082639024</v>
      </c>
      <c r="BV73" s="186">
        <f t="shared" si="341"/>
        <v>1.2163519137646308</v>
      </c>
      <c r="BW73" s="183">
        <f t="shared" si="342"/>
        <v>1.2161229155308328</v>
      </c>
      <c r="BX73" s="183">
        <f t="shared" si="343"/>
        <v>1.2098476976929864</v>
      </c>
      <c r="BY73" s="183">
        <f t="shared" si="344"/>
        <v>1.2077767021197772</v>
      </c>
      <c r="BZ73" s="183">
        <f t="shared" si="345"/>
        <v>1.2014335964660232</v>
      </c>
      <c r="CA73" s="183">
        <f t="shared" si="346"/>
        <v>1.1999963970150578</v>
      </c>
      <c r="CB73" s="183">
        <f t="shared" si="347"/>
        <v>1.1946792000890787</v>
      </c>
      <c r="CC73" s="183">
        <f t="shared" si="348"/>
        <v>1.1928920537073946</v>
      </c>
      <c r="CD73" s="183">
        <f t="shared" si="349"/>
        <v>1.1879489568133184</v>
      </c>
      <c r="CE73" s="187">
        <f xml:space="preserve"> -0.0000000019505*Sheet3!DF73^3 + 0.0000015497*Sheet3!DF73^2  + 0.00016911*Sheet3!DF73 + 1.8585</f>
        <v>1.9414898911875</v>
      </c>
      <c r="CF73" s="185">
        <f xml:space="preserve"> -0.0000000019505*Sheet3!BZ73^3 + 0.0000015497*Sheet3!BZ73^2  + 0.00016911*Sheet3!BZ73 + 1.8585</f>
        <v>1.9410006293398918</v>
      </c>
      <c r="CG73" s="185">
        <f xml:space="preserve"> -0.0000000019505*Sheet3!CA73^3 + 0.0000015497*Sheet3!CA73^2  + 0.00016911*Sheet3!CA73 + 1.8585</f>
        <v>1.9345750417817493</v>
      </c>
      <c r="CH73" s="185">
        <f xml:space="preserve"> -0.0000000019505*Sheet3!CB73^3 + 0.0000015497*Sheet3!CB73^2  + 0.00016911*Sheet3!CB73 + 1.8585</f>
        <v>1.9302035576435139</v>
      </c>
      <c r="CI73" s="185">
        <f xml:space="preserve"> -0.0000000019505*Sheet3!CC73^3 + 0.0000015497*Sheet3!CC73^2  + 0.00016911*Sheet3!CC73 + 1.8585</f>
        <v>1.9241792990060897</v>
      </c>
      <c r="CJ73" s="185">
        <f xml:space="preserve"> -0.0000000019505*Sheet3!CD73^3 + 0.0000015497*Sheet3!CD73^2  + 0.00016911*Sheet3!CD73 + 1.8585</f>
        <v>1.9211863784059593</v>
      </c>
      <c r="CK73" s="185">
        <f xml:space="preserve"> -0.0000000019505*Sheet3!CE73^3 + 0.0000015497*Sheet3!CE73^2  + 0.00016911*Sheet3!CE73 + 1.8585</f>
        <v>1.9169490350262914</v>
      </c>
      <c r="CL73" s="185">
        <f xml:space="preserve"> -0.0000000019505*Sheet3!CF73^3 + 0.0000015497*Sheet3!CF73^2  + 0.00016911*Sheet3!CF73 + 1.8585</f>
        <v>1.9132900945283442</v>
      </c>
      <c r="CM73" s="185">
        <f xml:space="preserve"> -0.0000000019505*Sheet3!CG73^3 + 0.0000015497*Sheet3!CG73^2  + 0.00016911*Sheet3!CG73 + 1.8585</f>
        <v>1.9091446752525236</v>
      </c>
      <c r="CN73" s="186">
        <f>_xlfn.FORECAST.LINEAR(Sheet3!DF73,New!$LU$2:$LU$14,New!$LT$2:$LT$14)</f>
        <v>1.0350674194089138</v>
      </c>
      <c r="CO73" s="183">
        <f>_xlfn.FORECAST.LINEAR(Sheet3!BZ73,New!$LU$2:$LU$14,New!$LT$2:$LT$14)</f>
        <v>1.0349034870785683</v>
      </c>
      <c r="CP73" s="183">
        <f>_xlfn.FORECAST.LINEAR(Sheet3!CA73,New!$LU$2:$LU$14,New!$LT$2:$LT$14)</f>
        <v>1.0327322608621496</v>
      </c>
      <c r="CQ73" s="183">
        <f>_xlfn.FORECAST.LINEAR(Sheet3!CB73,New!$LU$2:$LU$14,New!$LT$2:$LT$14)</f>
        <v>1.0312330047653151</v>
      </c>
      <c r="CR73" s="183">
        <f>_xlfn.FORECAST.LINEAR(Sheet3!CC73,New!$LU$2:$LU$14,New!$LT$2:$LT$14)</f>
        <v>1.0291315774805538</v>
      </c>
      <c r="CS73" s="183">
        <f>_xlfn.FORECAST.LINEAR(Sheet3!CD73,New!$LU$2:$LU$14,New!$LT$2:$LT$14)</f>
        <v>1.0280699898957173</v>
      </c>
      <c r="CT73" s="183">
        <f>_xlfn.FORECAST.LINEAR(Sheet3!CE73,New!$LU$2:$LU$14,New!$LT$2:$LT$14)</f>
        <v>1.0265440352377588</v>
      </c>
      <c r="CU73" s="183">
        <f>_xlfn.FORECAST.LINEAR(Sheet3!CF73,New!$LU$2:$LU$14,New!$LT$2:$LT$14)</f>
        <v>1.0252020185693698</v>
      </c>
      <c r="CV73" s="183">
        <f>_xlfn.FORECAST.LINEAR(Sheet3!CG73,New!$LU$2:$LU$14,New!$LT$2:$LT$14)</f>
        <v>1.0236504674355997</v>
      </c>
      <c r="CW73" s="186">
        <f>EXP((17.625*Sheet3!BA73)/(243.04+Sheet3!BA73)) / EXP((17.625*Sheet3!DF73)/(243.04+Sheet3!DF73))</f>
        <v>1.2718515444669915E-2</v>
      </c>
      <c r="CX73" s="183">
        <f>EXP((17.625*(Sheet3!BC73+273))/(243.04+(Sheet3!BC73+273)))/EXP((17.625*(Sheet3!BZ73+273))/(243.04+(Sheet3!BZ73+273)))</f>
        <v>0.23938764827986067</v>
      </c>
      <c r="CY73" s="183">
        <f>EXP((17.625*(Sheet3!BE73+273))/(243.04+(Sheet3!BE73+273))) / EXP((17.625*(Sheet3!CA73+273))/(243.04+(Sheet3!CA73+273)))</f>
        <v>0.26291685749831201</v>
      </c>
      <c r="CZ73" s="183">
        <f>EXP((17.625*(Sheet3!BG73+273))/(243.04+(Sheet3!BG73+273))) / EXP((17.625*(Sheet3!CB73+273))/(243.04+(Sheet3!CB73+273)))</f>
        <v>0.28174608730334683</v>
      </c>
      <c r="DA73" s="183">
        <f>EXP((17.625*(Sheet3!BI73+273))/(243.04+(Sheet3!BI73+273))) / EXP((17.625*(Sheet3!CC73+273))/(243.04+(Sheet3!CC73+273)))</f>
        <v>0.31002153293463697</v>
      </c>
      <c r="DB73" s="183">
        <f>EXP((17.625*(Sheet3!BK73+273))/(243.04+(Sheet3!BK73+273)))/EXP((17.625*(Sheet3!CD73+273))/(243.04+(Sheet3!CD73+273)))</f>
        <v>0.32643097075808797</v>
      </c>
      <c r="DC73" s="183">
        <f>EXP((17.625*(Sheet3!BM73+273))/(243.04+(Sheet3!BM73+273))) / EXP((17.625*(Sheet3!CE73+273))/(243.04+(Sheet3!CE73+273)))</f>
        <v>0.35073124914850179</v>
      </c>
      <c r="DD73" s="183">
        <f>EXP((17.625*(Sheet3!BO73+273))/(243.04+(Sheet3!BO73+273))) / EXP((17.625*(Sheet3!CF73+273))/(243.04+(Sheet3!CF73+273)))</f>
        <v>0.37544053523868631</v>
      </c>
      <c r="DE73" s="183">
        <f>EXP((17.625*(Sheet3!BQ73+273))/(243.04+(Sheet3!BQ73+273))) / EXP((17.625*(Sheet3!CG73+273))/(243.04+(Sheet3!CG73+273)))</f>
        <v>0.4055055230007541</v>
      </c>
      <c r="DF73" s="186">
        <f>((Sheet3!DA73-Sheet3!DB73)/New!$LQ$3)/(((Sheet3!DA73-Sheet3!DB73)/New!$LQ$3)+(Sheet3!DB73/New!$LP$3))</f>
        <v>0.71332409423876464</v>
      </c>
      <c r="DG73" s="183">
        <f>((Sheet3!DA73-Sheet3!DB73)/New!$LQ$3)/(((Sheet3!DA73-Sheet3!DB73)/New!$LQ$3)+((Sheet3!DB73-(Sheet3!B73*0.004))/New!$LP$3))</f>
        <v>0.71332409423876464</v>
      </c>
      <c r="DH73" s="183" cm="1">
        <f t="array" ref="DH73">((Sheet3!DA73-Sheet3!DB73)/New!$LQ$3)/(((Sheet3!DA73-Sheet3!DB73)/New!$LQ$3)+((Sheet3!DB73-(SUM(Sheet3!B73:C73*0.004)))/New!$LP$3))</f>
        <v>0.72748905362182692</v>
      </c>
      <c r="DI73" s="183" cm="1">
        <f t="array" ref="DI73">((Sheet3!DA73-Sheet3!DB73)/New!$LQ$3)/(((Sheet3!DA73-Sheet3!DB73)/New!$LQ$3)+((Sheet3!DB73-(SUM(Sheet3!B73:D73*0.004)))/New!$LP$3))</f>
        <v>0.72752308640953445</v>
      </c>
      <c r="DJ73" s="183" cm="1">
        <f t="array" ref="DJ73">((Sheet3!DA73-Sheet3!DB73)/New!$LQ$3)/(((Sheet3!DA73-Sheet3!DB73)/New!$LQ$3)+((Sheet3!DB73-(SUM(Sheet3!B73:E73*0.004)))/New!$LP$3))</f>
        <v>0.74332775146387919</v>
      </c>
      <c r="DK73" s="183" cm="1">
        <f t="array" ref="DK73">((Sheet3!DA73-Sheet3!DB73)/New!$LQ$3)/(((Sheet3!DA73-Sheet3!DB73)/New!$LQ$3)+((Sheet3!DB73-(SUM(Sheet3!B73:F73*0.004)))/New!$LP$3))</f>
        <v>0.74334551646994529</v>
      </c>
      <c r="DL73" s="183" cm="1">
        <f t="array" ref="DL73">((Sheet3!DA73-Sheet3!DB73)/New!$LQ$3)/(((Sheet3!DA73-Sheet3!DB73)/New!$LQ$3)+((Sheet3!DB73-(SUM(Sheet3!B73:G73*0.004)))/New!$LP$3))</f>
        <v>0.75888884417981162</v>
      </c>
      <c r="DM73" s="183" cm="1">
        <f t="array" ref="DM73">((Sheet3!DA73-Sheet3!DB73)/New!$LQ$3)/(((Sheet3!DA73-Sheet3!DB73)/New!$LQ$3)+((Sheet3!DB73-(SUM(Sheet3!B73:H73*0.004)))/New!$LP$3))</f>
        <v>0.75892587828134861</v>
      </c>
      <c r="DN73" s="183" cm="1">
        <f t="array" ref="DN73">((Sheet3!DA73-Sheet3!DB73)/New!$LQ$3)/(((Sheet3!DA73-Sheet3!DB73)/New!$LQ$3)+((Sheet3!DB73-(SUM(Sheet3!B73:I73*0.004)))/New!$LP$3))</f>
        <v>0.77330388937816386</v>
      </c>
      <c r="DO73" s="186">
        <f>(Sheet3!DB73/$LP$3) / ((Sheet3!DB73/$LP$3) + ((Sheet3!DA73-Sheet3!DB73)/$LQ$3))</f>
        <v>0.28667590576123536</v>
      </c>
      <c r="DP73" s="183">
        <f>((Sheet3!$DB73-(Sheet3!B73/4000)) / $LP$3) / (((Sheet3!$DA73-Sheet3!DB73) / $LQ$3) + (Sheet3!$DB73-((Sheet3!B73/4000)))/$LP$3)</f>
        <v>0.28667590576123536</v>
      </c>
      <c r="DQ73" s="183">
        <f>((Sheet3!$DB73-(SUM(Sheet3!B73:C73)/4000))/$LP$3)/(((Sheet3!$DA73-Sheet3!$DB73)/$LQ$3)+(Sheet3!$DB73-(SUM(Sheet3!B73:C73)/4000))/$LP$3)</f>
        <v>0.28580677601634258</v>
      </c>
      <c r="DR73" s="183">
        <f>((Sheet3!$DB73-(SUM(Sheet3!B73:D73)/4000))/$LP$3)/(((Sheet3!$DA73-Sheet3!$DB73)/$LQ$3)+(Sheet3!$DB73-(SUM(Sheet3!B73:D73)/4000))/$LP$3)</f>
        <v>0.28580472609594365</v>
      </c>
      <c r="DS73" s="183">
        <f>((Sheet3!$DB73-(SUM(Sheet3!B73:E73)/4000))/$LP$3)/(((Sheet3!$DA73-Sheet3!$DB73)/$LQ$3)+(Sheet3!$DB73-(SUM(Sheet3!B73:E73)/4000))/$LP$3)</f>
        <v>0.28487181759027169</v>
      </c>
      <c r="DT73" s="183">
        <f>((Sheet3!$DB73-(SUM(Sheet3!B73:F73)/4000))/$LP$3)/(((Sheet3!$DA73-Sheet3!$DB73)/$LQ$3)+(Sheet3!$DB73-(SUM(Sheet3!B73:F73)/4000))/$LP$3)</f>
        <v>0.28487078994621462</v>
      </c>
      <c r="DU73" s="183">
        <f>((Sheet3!$DB73-(SUM(Sheet3!B73:G73)/4000))/$LP$3)/(((Sheet3!$DA73-Sheet3!$DB73)/$LQ$3)+(Sheet3!$DB73-(SUM(Sheet3!B73:G73)/4000))/$LP$3)</f>
        <v>0.28398901180086261</v>
      </c>
      <c r="DV73" s="183">
        <f>((Sheet3!$DB73-(SUM(Sheet3!B73:H73)/4000))/$LP$3)/(((Sheet3!$DA73-Sheet3!$DB73)/$LQ$3)+(Sheet3!$DB73-(SUM(Sheet3!B73:H73)/4000))/$LP$3)</f>
        <v>0.28398695143225661</v>
      </c>
      <c r="DW73" s="183">
        <f>((Sheet3!$DB73-(SUM(Sheet3!B73:I73)/4000))/$LP$3)/(((Sheet3!$DA73-Sheet3!$DB73)/$LQ$3)+(Sheet3!$DB73-(SUM(Sheet3!B73:I73)/4000))/$LP$3)</f>
        <v>0.28320108715019038</v>
      </c>
      <c r="DX73" s="186">
        <f>($LR$2*($LP$3/1000))/($LP$2*(Sheet3!DF73+273))*DO73</f>
        <v>0.13167525116803988</v>
      </c>
      <c r="DY73" s="183">
        <f>(($LR$2*($LP$3/1000))/($LP$2*(Sheet3!BZ73+273)))*(DP73)</f>
        <v>0.13191711493454489</v>
      </c>
      <c r="DZ73" s="183">
        <f>(($LR$2*($LP$3/1000))/($LP$2*(Sheet3!CA73+273)))*(DQ73)</f>
        <v>0.13479651005474561</v>
      </c>
      <c r="EA73" s="183">
        <f>(($LR$2*($LP$3/1000))/($LP$2*(Sheet3!CB73+273)))*(DR73)</f>
        <v>0.13715706652117687</v>
      </c>
      <c r="EB73" s="183">
        <f>(($LR$2*($LP$3/1000))/($LP$2*(Sheet3!CC73+273)))*(DS73)</f>
        <v>0.14015089217907242</v>
      </c>
      <c r="EC73" s="183">
        <f>(($LR$2*($LP$3/1000))/($LP$2*(Sheet3!CD73+273)))*(DT73)</f>
        <v>0.14195567698375722</v>
      </c>
      <c r="ED73" s="183">
        <f>(($LR$2*($LP$3/1000))/($LP$2*(Sheet3!CE73+273)))*(DU73)</f>
        <v>0.14418596728479594</v>
      </c>
      <c r="EE73" s="183">
        <f>(($LR$2*($LP$3/1000))/($LP$2*(Sheet3!CF73+273)))*(DV73)</f>
        <v>0.14661744505975857</v>
      </c>
      <c r="EF73" s="183">
        <f>(($LR$2*($LP$3/1000))/($LP$2*(Sheet3!CG73+273)))*(DW73)</f>
        <v>0.14912030537462015</v>
      </c>
      <c r="EG73" s="186">
        <f>(($LR$2*($LQ$3/1000))/($LQ$2*(Sheet3!DF73+273)))*(1-DO73)</f>
        <v>0.52670100467215963</v>
      </c>
      <c r="EH73" s="183">
        <f>(($LR$2*($LQ$3/1000))/($LQ$2*(Sheet3!BZ73+273)))*(1-DP73)</f>
        <v>0.52766845973817966</v>
      </c>
      <c r="EI73" s="183">
        <f>(($LR$2*($LQ$3/1000))/($LQ$2*(Sheet3!CA73+273)))*(1-DQ73)</f>
        <v>0.54148464252650741</v>
      </c>
      <c r="EJ73" s="183">
        <f>(($LR$2*($LQ$3/1000))/($LQ$2*(Sheet3!CB73+273)))*(1-DR73)</f>
        <v>0.5509726547305861</v>
      </c>
      <c r="EK73" s="183">
        <f>(($LR$2*($LQ$3/1000))/($LQ$2*(Sheet3!CC73+273)))*(1-DS73)</f>
        <v>0.56558067868875073</v>
      </c>
      <c r="EL73" s="183">
        <f>(($LR$2*($LQ$3/1000))/($LQ$2*(Sheet3!CD73+273)))*(1-DT73)</f>
        <v>0.57286680010999735</v>
      </c>
      <c r="EM73" s="183">
        <f>(($LR$2*($LQ$3/1000))/($LQ$2*(Sheet3!CE73+273)))*(1-DU73)</f>
        <v>0.58439358111599238</v>
      </c>
      <c r="EN73" s="183">
        <f>(($LR$2*($LQ$3/1000))/($LQ$2*(Sheet3!CF73+273)))*(1-DV73)</f>
        <v>0.59425451437737797</v>
      </c>
      <c r="EO73" s="183">
        <f>(($LR$2*($LQ$3/1000))/($LQ$2*(Sheet3!CG73+273)))*(1-DW73)</f>
        <v>0.60674121545177007</v>
      </c>
      <c r="EP73" s="186">
        <f t="shared" si="350"/>
        <v>4920.6171533089964</v>
      </c>
      <c r="EQ73" s="183">
        <f xml:space="preserve"> (($FV73-(Sheet3!B73/4000))*0.018)/(0.011*JO73*3600)</f>
        <v>4928.1551032661282</v>
      </c>
      <c r="ER73" s="183">
        <f>((($FV73-(SUM(Sheet3!B73:C73)/4000))*0.018)/(0.011*JP73*3600))</f>
        <v>5024.1117530111915</v>
      </c>
      <c r="ES73" s="183">
        <f>((($FV73-(SUM(Sheet3!B73:D73)/4000))*0.018)/(0.011*JQ73*3600))</f>
        <v>5097.0299169081118</v>
      </c>
      <c r="ET73" s="183">
        <f>((($FV73-(SUM(Sheet3!B73:E73)/4000))*0.018)/(0.011*JR73))/3600</f>
        <v>5196.0917045102924</v>
      </c>
      <c r="EU73" s="183">
        <f>((($FV73-(SUM(Sheet3!B73:F73)/4000))*0.018)/(0.011*JS73))/3600</f>
        <v>5251.2246556596483</v>
      </c>
      <c r="EV73" s="183">
        <f>((($FV73-(SUM(Sheet3!B73:G73)/4000))*0.018)/(0.011*JT73))/3600</f>
        <v>5325.922086092035</v>
      </c>
      <c r="EW73" s="183">
        <f>((($FV73-(SUM(Sheet3!B73:H73)/4000))*0.018)/(0.011*JU73))/3600</f>
        <v>5399.5130840173206</v>
      </c>
      <c r="EX73" s="183">
        <f>((($FV73-(SUM(Sheet3!B73:I73)/4000))*0.018)/(0.011*JV73))/3600</f>
        <v>5481.0715971754544</v>
      </c>
      <c r="EY73" s="186">
        <f t="shared" si="351"/>
        <v>49.092726583998683</v>
      </c>
      <c r="EZ73" s="183">
        <f t="shared" si="352"/>
        <v>49.150669606092293</v>
      </c>
      <c r="FA73" s="183">
        <f t="shared" si="353"/>
        <v>49.864106701872359</v>
      </c>
      <c r="FB73" s="183">
        <f t="shared" si="354"/>
        <v>50.428461374655022</v>
      </c>
      <c r="FC73" s="183">
        <f t="shared" si="355"/>
        <v>51.170107726133637</v>
      </c>
      <c r="FD73" s="183">
        <f t="shared" si="356"/>
        <v>51.600784691798658</v>
      </c>
      <c r="FE73" s="183">
        <f t="shared" si="357"/>
        <v>52.158636801933909</v>
      </c>
      <c r="FF73" s="183">
        <f t="shared" si="358"/>
        <v>52.738419505023835</v>
      </c>
      <c r="FG73" s="183">
        <f t="shared" si="359"/>
        <v>53.358682812240787</v>
      </c>
      <c r="FH73" s="186">
        <f t="shared" si="274"/>
        <v>117.09030337733225</v>
      </c>
      <c r="FI73" s="183">
        <f t="shared" si="275"/>
        <v>116.95721662080204</v>
      </c>
      <c r="FJ73" s="183">
        <f t="shared" si="276"/>
        <v>114.96513842810177</v>
      </c>
      <c r="FK73" s="183">
        <f t="shared" si="277"/>
        <v>113.71701798969346</v>
      </c>
      <c r="FL73" s="183">
        <f t="shared" si="278"/>
        <v>111.72254328061443</v>
      </c>
      <c r="FM73" s="183">
        <f t="shared" si="279"/>
        <v>110.81213580971968</v>
      </c>
      <c r="FN73" s="183">
        <f t="shared" si="280"/>
        <v>109.29096116013307</v>
      </c>
      <c r="FO73" s="183">
        <f t="shared" si="281"/>
        <v>108.11057195301892</v>
      </c>
      <c r="FP73" s="183">
        <f t="shared" si="282"/>
        <v>106.55859654573669</v>
      </c>
      <c r="FQ73" s="314">
        <f>Sheet3!CV73</f>
        <v>3</v>
      </c>
      <c r="FR73" s="183">
        <v>5000</v>
      </c>
      <c r="FS73" s="183">
        <v>20</v>
      </c>
      <c r="FT73" s="183">
        <v>0.22546666666666668</v>
      </c>
      <c r="FU73" s="183">
        <v>26.6</v>
      </c>
      <c r="FV73" s="183">
        <v>250</v>
      </c>
      <c r="FW73" s="183">
        <v>50</v>
      </c>
      <c r="FX73" s="183">
        <v>750</v>
      </c>
      <c r="FY73" s="183">
        <v>6.8</v>
      </c>
      <c r="FZ73" s="183">
        <v>16.7</v>
      </c>
      <c r="GA73" s="183">
        <v>205</v>
      </c>
      <c r="GB73" s="186">
        <f>EXP($LP$6-($LQ$6/('Trial and Error method'!T73+$LP$8))) / ($LR$2/1000)</f>
        <v>5.451845314288891E-2</v>
      </c>
      <c r="GC73" s="183">
        <f>EXP($LP$6-($LQ$6/('Trial and Error method'!U73+$LP$8))) / ($LR$2/1000)</f>
        <v>8.2361190678555588E-2</v>
      </c>
      <c r="GD73" s="183">
        <f>EXP($LP$6-($LQ$6/('Trial and Error method'!V73+$LP$8))) / ($LR$2/1000)</f>
        <v>7.5483850279852924E-2</v>
      </c>
      <c r="GE73" s="183">
        <f>EXP($LP$6-($LQ$6/('Trial and Error method'!W73+$LP$8))) / ($LR$2/1000)</f>
        <v>7.0465875365734301E-2</v>
      </c>
      <c r="GF73" s="183">
        <f>EXP($LP$6-($LQ$6/('Trial and Error method'!X73+$LP$8))) / ($LR$2/1000)</f>
        <v>6.5393863205580147E-2</v>
      </c>
      <c r="GG73" s="183">
        <f>EXP($LP$6-($LQ$6/('Trial and Error method'!Y73+$LP$8))) / ($LR$2/1000)</f>
        <v>6.1796768967340418E-2</v>
      </c>
      <c r="GH73" s="183">
        <f>EXP($LP$6-($LQ$6/('Trial and Error method'!Z73+$LP$8))) / ($LR$2/1000)</f>
        <v>5.797815165671482E-2</v>
      </c>
      <c r="GI73" s="183">
        <f>EXP($LP$6-($LQ$6/('Trial and Error method'!AA73+$LP$8))) / ($LR$2/1000)</f>
        <v>5.4832815367229316E-2</v>
      </c>
      <c r="GJ73" s="183">
        <f>EXP($LP$6-($LQ$6/('Trial and Error method'!AB73+$LP$8))) / ($LR$2/1000)</f>
        <v>5.1517152637109521E-2</v>
      </c>
      <c r="GK73" s="188">
        <f t="shared" si="411"/>
        <v>0.82395899132376671</v>
      </c>
      <c r="GL73" s="165">
        <f t="shared" si="360"/>
        <v>0.81119761757111053</v>
      </c>
      <c r="GM73" s="165">
        <f t="shared" si="361"/>
        <v>0.81483570931011906</v>
      </c>
      <c r="GN73" s="165">
        <f t="shared" si="362"/>
        <v>0.81714119514333727</v>
      </c>
      <c r="GO73" s="165">
        <f t="shared" si="363"/>
        <v>0.81997747735451998</v>
      </c>
      <c r="GP73" s="165">
        <f t="shared" si="364"/>
        <v>0.82162529839985576</v>
      </c>
      <c r="GQ73" s="165">
        <f t="shared" si="365"/>
        <v>0.82385603526312789</v>
      </c>
      <c r="GR73" s="165">
        <f t="shared" si="366"/>
        <v>0.82529460692531786</v>
      </c>
      <c r="GS73" s="165">
        <f t="shared" si="367"/>
        <v>0.82724065758790188</v>
      </c>
      <c r="GT73" s="188">
        <f t="shared" si="283"/>
        <v>7.2407342897748445E-2</v>
      </c>
      <c r="GU73" s="165">
        <f t="shared" si="284"/>
        <v>7.3536061907754427E-2</v>
      </c>
      <c r="GV73" s="165">
        <f t="shared" si="285"/>
        <v>7.3120680769274624E-2</v>
      </c>
      <c r="GW73" s="165">
        <f t="shared" si="286"/>
        <v>7.2883866094953814E-2</v>
      </c>
      <c r="GX73" s="165">
        <f t="shared" si="287"/>
        <v>7.2563796615729564E-2</v>
      </c>
      <c r="GY73" s="165">
        <f t="shared" si="288"/>
        <v>7.2406588782090581E-2</v>
      </c>
      <c r="GZ73" s="165">
        <f t="shared" si="289"/>
        <v>7.2166216304222333E-2</v>
      </c>
      <c r="HA73" s="165">
        <f t="shared" si="290"/>
        <v>7.2036997855690482E-2</v>
      </c>
      <c r="HB73" s="165">
        <f t="shared" si="291"/>
        <v>7.1835019600423655E-2</v>
      </c>
      <c r="HC73" s="188">
        <f>BV73*Sheet3!DF73</f>
        <v>249.35214232174931</v>
      </c>
      <c r="HD73" s="165">
        <f>BW73*Sheet3!BZ73</f>
        <v>248.23939935283082</v>
      </c>
      <c r="HE73" s="165">
        <f>BX73*Sheet3!CA73</f>
        <v>232.91519364848889</v>
      </c>
      <c r="HF73" s="165">
        <f>BY73*Sheet3!CB73</f>
        <v>222.83604635180882</v>
      </c>
      <c r="HG73" s="165">
        <f>BZ73*Sheet3!CC73</f>
        <v>208.16843093514612</v>
      </c>
      <c r="HH73" s="165">
        <f>CA73*Sheet3!CD73</f>
        <v>201.10907323125738</v>
      </c>
      <c r="HI73" s="165">
        <f>CB73*Sheet3!CE73</f>
        <v>190.47196852778771</v>
      </c>
      <c r="HJ73" s="165">
        <f>CC73*Sheet3!CF73</f>
        <v>181.6286487079378</v>
      </c>
      <c r="HK73" s="165">
        <f>CD73*Sheet3!CG73</f>
        <v>171.02237428806745</v>
      </c>
      <c r="HL73" s="188">
        <f>(CE73*Sheet3!DF73)+2501</f>
        <v>2899.0054276934375</v>
      </c>
      <c r="HM73" s="165">
        <f>(CF73*Sheet3!BZ73)+2501</f>
        <v>2897.2040548841096</v>
      </c>
      <c r="HN73" s="165">
        <f>(CG73*Sheet3!CA73)+2501</f>
        <v>2873.4368954401011</v>
      </c>
      <c r="HO73" s="165">
        <f>(CH73*Sheet3!CB73)+2501</f>
        <v>2857.124545774539</v>
      </c>
      <c r="HP73" s="165">
        <f>(CI73*Sheet3!CC73)+2501</f>
        <v>2834.3961915916129</v>
      </c>
      <c r="HQ73" s="165">
        <f>(CJ73*Sheet3!CD73)+2501</f>
        <v>2822.9743101119411</v>
      </c>
      <c r="HR73" s="165">
        <f>(CK73*Sheet3!CE73)+2501</f>
        <v>2806.6260260006839</v>
      </c>
      <c r="HS73" s="165">
        <f>(CL73*Sheet3!CF73)+2501</f>
        <v>2792.3157928879173</v>
      </c>
      <c r="HT73" s="165">
        <f>(CM73*Sheet3!CG73)+2501</f>
        <v>2775.8488925794959</v>
      </c>
      <c r="HU73" s="188">
        <f>-0.0021*(Sheet3!DF73^2) - 2.2115*(Sheet3!DF73) + 2499</f>
        <v>1957.3899999999999</v>
      </c>
      <c r="HV73" s="165">
        <f>-0.0021*(Sheet3!BZ73^2) - 2.2115*(Sheet3!BZ73) + 2499</f>
        <v>1960.0810962814644</v>
      </c>
      <c r="HW73" s="165">
        <f>-0.0021*(Sheet3!CA73^2) - 2.2115*(Sheet3!CA73) + 2499</f>
        <v>1995.4194193442763</v>
      </c>
      <c r="HX73" s="165">
        <f>-0.0021*(Sheet3!CB73^2) - 2.2115*(Sheet3!CB73) + 2499</f>
        <v>2019.4906470259077</v>
      </c>
      <c r="HY73" s="165">
        <f>-0.0021*(Sheet3!CC73^2) - 2.2115*(Sheet3!CC73) + 2499</f>
        <v>2052.7758681509431</v>
      </c>
      <c r="HZ73" s="165">
        <f>-0.0021*(Sheet3!CD73^2) - 2.2115*(Sheet3!CD73) + 2499</f>
        <v>2069.3891835980644</v>
      </c>
      <c r="IA73" s="165">
        <f>-0.0021*(Sheet3!CE73^2) - 2.2115*(Sheet3!CE73) + 2499</f>
        <v>2093.03263038366</v>
      </c>
      <c r="IB73" s="165">
        <f>-0.0021*(Sheet3!CF73^2) - 2.2115*(Sheet3!CF73) + 2499</f>
        <v>2113.5951020008811</v>
      </c>
      <c r="IC73" s="165">
        <f>-0.0021*(Sheet3!CG73^2) - 2.2115*(Sheet3!CG73) + 2499</f>
        <v>2137.0986208984123</v>
      </c>
      <c r="ID73" s="188">
        <f t="shared" si="292"/>
        <v>0.6543057114733688</v>
      </c>
      <c r="IE73" s="165">
        <f t="shared" si="293"/>
        <v>0.65469698578090152</v>
      </c>
      <c r="IF73" s="165">
        <f t="shared" si="294"/>
        <v>0.65882373698929286</v>
      </c>
      <c r="IG73" s="165">
        <f t="shared" si="295"/>
        <v>0.66281877375401232</v>
      </c>
      <c r="IH73" s="165">
        <f t="shared" si="296"/>
        <v>0.6673878159835287</v>
      </c>
      <c r="II73" s="165">
        <f t="shared" si="297"/>
        <v>0.67060637852162674</v>
      </c>
      <c r="IJ73" s="165">
        <f t="shared" si="298"/>
        <v>0.67406973702943529</v>
      </c>
      <c r="IK73" s="165">
        <f t="shared" si="299"/>
        <v>0.67859549353448911</v>
      </c>
      <c r="IL73" s="165">
        <f t="shared" si="300"/>
        <v>0.68284551805571547</v>
      </c>
      <c r="IM73" s="188">
        <f t="shared" si="301"/>
        <v>32.903538534723033</v>
      </c>
      <c r="IN73" s="165">
        <f t="shared" si="368"/>
        <v>29.449237523534201</v>
      </c>
      <c r="IO73" s="165">
        <f t="shared" si="369"/>
        <v>30.687466476355414</v>
      </c>
      <c r="IP73" s="165">
        <f t="shared" si="370"/>
        <v>31.695356326192048</v>
      </c>
      <c r="IQ73" s="165">
        <f t="shared" si="371"/>
        <v>32.692823872060927</v>
      </c>
      <c r="IR73" s="165">
        <f t="shared" si="372"/>
        <v>33.424833909138812</v>
      </c>
      <c r="IS73" s="165">
        <f t="shared" si="373"/>
        <v>34.138091875149662</v>
      </c>
      <c r="IT73" s="165">
        <f t="shared" si="374"/>
        <v>34.890331797132518</v>
      </c>
      <c r="IU73" s="165">
        <f t="shared" si="375"/>
        <v>35.567775040111783</v>
      </c>
      <c r="IV73" s="188">
        <f>_xlfn.FORECAST.LINEAR(Sheet3!DF73,Sheet2!$AK$2:$AK$69,Sheet2!$AJ$2:$AJ$69)</f>
        <v>1.5962912137298422E-5</v>
      </c>
      <c r="IW73" s="165">
        <f>_xlfn.FORECAST.LINEAR(Sheet3!BZ73,Sheet2!$AK$2:$AK$69,Sheet2!$AJ$2:$AJ$69)</f>
        <v>1.5932227686843161E-5</v>
      </c>
      <c r="IX73" s="165">
        <f>_xlfn.FORECAST.LINEAR(Sheet3!CA73,Sheet2!$AK$2:$AK$69,Sheet2!$AJ$2:$AJ$69)</f>
        <v>1.5525822903086426E-5</v>
      </c>
      <c r="IY73" s="165">
        <f>_xlfn.FORECAST.LINEAR(Sheet3!CB73,Sheet2!$AK$2:$AK$69,Sheet2!$AJ$2:$AJ$69)</f>
        <v>1.524519583381907E-5</v>
      </c>
      <c r="IZ73" s="165">
        <f>_xlfn.FORECAST.LINEAR(Sheet3!CC73,Sheet2!$AK$2:$AK$69,Sheet2!$AJ$2:$AJ$69)</f>
        <v>1.4851855842441913E-5</v>
      </c>
      <c r="JA73" s="165">
        <f>_xlfn.FORECAST.LINEAR(Sheet3!CD73,Sheet2!$AK$2:$AK$69,Sheet2!$AJ$2:$AJ$69)</f>
        <v>1.4653150488945419E-5</v>
      </c>
      <c r="JB73" s="165">
        <f>_xlfn.FORECAST.LINEAR(Sheet3!CE73,Sheet2!$AK$2:$AK$69,Sheet2!$AJ$2:$AJ$69)</f>
        <v>1.436752604866341E-5</v>
      </c>
      <c r="JC73" s="165">
        <f>_xlfn.FORECAST.LINEAR(Sheet3!CF73,Sheet2!$AK$2:$AK$69,Sheet2!$AJ$2:$AJ$69)</f>
        <v>1.4116330668932679E-5</v>
      </c>
      <c r="JD73" s="165">
        <f>_xlfn.FORECAST.LINEAR(Sheet3!CG73,Sheet2!$AK$2:$AK$69,Sheet2!$AJ$2:$AJ$69)</f>
        <v>1.3825915143254556E-5</v>
      </c>
      <c r="JE73" s="188">
        <f>_xlfn.FORECAST.LINEAR(Sheet3!DF73,New!$MC$2:$MC$18,New!$MB$2:$MB$18)</f>
        <v>2.5847452754227255E-5</v>
      </c>
      <c r="JF73" s="165">
        <f>_xlfn.FORECAST.LINEAR(Sheet3!BZ73,New!$MC$2:$MC$18,New!$MB$2:$MB$18)</f>
        <v>2.5811382442094995E-5</v>
      </c>
      <c r="JG73" s="165">
        <f>_xlfn.FORECAST.LINEAR(Sheet3!CA73,New!$MC$2:$MC$18,New!$MB$2:$MB$18)</f>
        <v>2.533364380950901E-5</v>
      </c>
      <c r="JH73" s="165">
        <f>_xlfn.FORECAST.LINEAR(Sheet3!CB73,New!$MC$2:$MC$18,New!$MB$2:$MB$18)</f>
        <v>2.5003759916167218E-5</v>
      </c>
      <c r="JI73" s="165">
        <f>_xlfn.FORECAST.LINEAR(Sheet3!CC73,New!$MC$2:$MC$18,New!$MB$2:$MB$18)</f>
        <v>2.4541379262364706E-5</v>
      </c>
      <c r="JJ73" s="165">
        <f>_xlfn.FORECAST.LINEAR(Sheet3!CD73,New!$MC$2:$MC$18,New!$MB$2:$MB$18)</f>
        <v>2.4307796323233377E-5</v>
      </c>
      <c r="JK73" s="165">
        <f>_xlfn.FORECAST.LINEAR(Sheet3!CE73,New!$MC$2:$MC$18,New!$MB$2:$MB$18)</f>
        <v>2.3972037899643696E-5</v>
      </c>
      <c r="JL73" s="165">
        <f>_xlfn.FORECAST.LINEAR(Sheet3!CF73,New!$MC$2:$MC$18,New!$MB$2:$MB$18)</f>
        <v>2.3676751667736763E-5</v>
      </c>
      <c r="JM73" s="165">
        <f>_xlfn.FORECAST.LINEAR(Sheet3!CG73,New!$MC$2:$MC$18,New!$MB$2:$MB$18)</f>
        <v>2.3335361207622853E-5</v>
      </c>
      <c r="JN73" s="188">
        <f t="shared" si="376"/>
        <v>2.3093925029291481E-5</v>
      </c>
      <c r="JO73" s="165">
        <f t="shared" si="377"/>
        <v>2.3058601293017603E-5</v>
      </c>
      <c r="JP73" s="165">
        <f t="shared" si="378"/>
        <v>2.2598996986001842E-5</v>
      </c>
      <c r="JQ73" s="165">
        <f t="shared" si="379"/>
        <v>2.2275650906868314E-5</v>
      </c>
      <c r="JR73" s="165">
        <f t="shared" si="380"/>
        <v>2.1831093461629828E-5</v>
      </c>
      <c r="JS73" s="165">
        <f t="shared" si="381"/>
        <v>2.1601865743401598E-5</v>
      </c>
      <c r="JT73" s="165">
        <f t="shared" si="382"/>
        <v>2.1280608654102091E-5</v>
      </c>
      <c r="JU73" s="165">
        <f t="shared" si="383"/>
        <v>2.0990529071801168E-5</v>
      </c>
      <c r="JV73" s="165">
        <f t="shared" si="384"/>
        <v>2.0662391185130173E-5</v>
      </c>
      <c r="JW73" s="188">
        <f t="shared" si="302"/>
        <v>0.99342087640971777</v>
      </c>
      <c r="JX73" s="165">
        <f t="shared" si="385"/>
        <v>0.99369900242311859</v>
      </c>
      <c r="JY73" s="165">
        <f t="shared" si="386"/>
        <v>0.99748297318588341</v>
      </c>
      <c r="JZ73" s="165">
        <f t="shared" si="387"/>
        <v>1.000209670447324</v>
      </c>
      <c r="KA73" s="165">
        <f t="shared" si="388"/>
        <v>1.0041990821856943</v>
      </c>
      <c r="KB73" s="165">
        <f t="shared" si="389"/>
        <v>1.0062930765579343</v>
      </c>
      <c r="KC73" s="165">
        <f t="shared" si="390"/>
        <v>1.0094009953466541</v>
      </c>
      <c r="KD73" s="165">
        <f t="shared" si="391"/>
        <v>1.0122345913408923</v>
      </c>
      <c r="KE73" s="165">
        <f t="shared" si="392"/>
        <v>1.0156343892570714</v>
      </c>
      <c r="KF73" s="188">
        <f t="shared" si="393"/>
        <v>0.98626119619886909</v>
      </c>
      <c r="KG73" s="165">
        <f t="shared" si="394"/>
        <v>0.98601695625973695</v>
      </c>
      <c r="KH73" s="165">
        <f t="shared" si="395"/>
        <v>0.98271311062471811</v>
      </c>
      <c r="KI73" s="165">
        <f t="shared" si="396"/>
        <v>0.98035423113366726</v>
      </c>
      <c r="KJ73" s="165">
        <f t="shared" si="397"/>
        <v>0.97693545030713513</v>
      </c>
      <c r="KK73" s="165">
        <f t="shared" si="398"/>
        <v>0.97515622378159361</v>
      </c>
      <c r="KL73" s="165">
        <f t="shared" si="399"/>
        <v>0.97253459111954965</v>
      </c>
      <c r="KM73" s="165">
        <f t="shared" si="400"/>
        <v>0.97016403181832256</v>
      </c>
      <c r="KN73" s="165">
        <f t="shared" si="401"/>
        <v>0.96734423557887128</v>
      </c>
      <c r="KO73" s="188">
        <f t="shared" si="304"/>
        <v>0.65795243043059803</v>
      </c>
      <c r="KP73" s="165">
        <f t="shared" si="305"/>
        <v>0.65754833295278392</v>
      </c>
      <c r="KQ73" s="165">
        <f t="shared" si="306"/>
        <v>0.65104435677182748</v>
      </c>
      <c r="KR73" s="165">
        <f t="shared" si="307"/>
        <v>0.64641857270936087</v>
      </c>
      <c r="KS73" s="165">
        <f t="shared" si="308"/>
        <v>0.639750328582112</v>
      </c>
      <c r="KT73" s="165">
        <f t="shared" si="309"/>
        <v>0.63628909896340169</v>
      </c>
      <c r="KU73" s="165">
        <f t="shared" si="310"/>
        <v>0.63121878131227283</v>
      </c>
      <c r="KV73" s="165">
        <f t="shared" si="311"/>
        <v>0.62664004548772512</v>
      </c>
      <c r="KW73" s="165">
        <f t="shared" si="312"/>
        <v>0.62131231959169575</v>
      </c>
      <c r="KX73" s="188">
        <f>AVERAGE(Sheet3!J73:P73)*KO73^(1/3)/ID73^(1/3)</f>
        <v>101.03288120889103</v>
      </c>
      <c r="KY73" s="165">
        <f>Sheet3!J73*KP73^(1/3)/IE73^(1/3)</f>
        <v>93.442620164262564</v>
      </c>
      <c r="KZ73" s="165">
        <f>Sheet3!K73*KQ73^(1/3)/IF73^(1/3)</f>
        <v>89.276563040758774</v>
      </c>
      <c r="LA73" s="165">
        <f>Sheet3!L73*KR73^(1/3)/IG73^(1/3)</f>
        <v>89.930940673703276</v>
      </c>
      <c r="LB73" s="165">
        <f>Sheet3!M73*KS73^(1/3)/IH73^(1/3)</f>
        <v>92.601197352922057</v>
      </c>
      <c r="LC73" s="165">
        <f>Sheet3!N73*KT73^(1/3)/II73^(1/3)</f>
        <v>98.933337008201448</v>
      </c>
      <c r="LD73" s="165">
        <f>Sheet3!O73*KU73^(1/3)/IJ73^(1/3)</f>
        <v>109.14931568540679</v>
      </c>
      <c r="LE73" s="165">
        <f>Sheet3!P73*KV73^(1/3)/IK73^(1/3)</f>
        <v>122.83077616680781</v>
      </c>
      <c r="LF73" s="165">
        <f>Sheet3!Q73*KW73^(1/3)/IL73^(1/3)</f>
        <v>137.6188615061036</v>
      </c>
      <c r="LG73" s="186">
        <f t="shared" si="402"/>
        <v>25.822332211443282</v>
      </c>
      <c r="LH73" s="183">
        <f t="shared" si="403"/>
        <v>25.822332211443282</v>
      </c>
      <c r="LI73" s="183">
        <f t="shared" si="404"/>
        <v>26.21689206282252</v>
      </c>
      <c r="LJ73" s="183">
        <f t="shared" si="405"/>
        <v>26.217840723038545</v>
      </c>
      <c r="LK73" s="183">
        <f t="shared" si="406"/>
        <v>26.658737476282688</v>
      </c>
      <c r="LL73" s="183">
        <f t="shared" si="407"/>
        <v>26.659233437850673</v>
      </c>
      <c r="LM73" s="183">
        <f t="shared" si="408"/>
        <v>27.093482975039883</v>
      </c>
      <c r="LN73" s="183">
        <f t="shared" si="409"/>
        <v>27.09451836507996</v>
      </c>
      <c r="LO73" s="183">
        <f t="shared" si="410"/>
        <v>27.496748221402306</v>
      </c>
      <c r="LT73" s="165"/>
      <c r="MF73" s="165"/>
      <c r="MJ73"/>
      <c r="MK73"/>
      <c r="ML73"/>
      <c r="MM73"/>
      <c r="MN73"/>
      <c r="MO73"/>
      <c r="MP73"/>
      <c r="MQ73"/>
      <c r="MR73"/>
    </row>
    <row r="74" spans="1:356" x14ac:dyDescent="0.3">
      <c r="A74" s="184" t="str">
        <f>Sheet3!A74</f>
        <v>2023.02.02-2</v>
      </c>
      <c r="B74" s="186">
        <f t="shared" si="313"/>
        <v>1.0055680570431162</v>
      </c>
      <c r="C74" s="183">
        <f t="shared" si="257"/>
        <v>1.0040912319381476</v>
      </c>
      <c r="D74" s="183">
        <f t="shared" si="258"/>
        <v>0.99360726660076837</v>
      </c>
      <c r="E74" s="183">
        <f t="shared" si="259"/>
        <v>0.98237706558520088</v>
      </c>
      <c r="F74" s="183">
        <f t="shared" si="260"/>
        <v>0.96942109974351209</v>
      </c>
      <c r="G74" s="183">
        <f t="shared" si="261"/>
        <v>0.95843460505627842</v>
      </c>
      <c r="H74" s="183">
        <f t="shared" si="262"/>
        <v>0.94999881426299282</v>
      </c>
      <c r="I74" s="183">
        <f t="shared" si="263"/>
        <v>0.94142849187022037</v>
      </c>
      <c r="J74" s="183">
        <f t="shared" si="264"/>
        <v>0.93079414899981472</v>
      </c>
      <c r="K74" s="186">
        <f xml:space="preserve"> (6.057 * (10^(-6)))
+ (4.055 * (10^(-8)) * (Sheet3!DF74 + 273))
+ (1.25 * (10^(-10)) * (Sheet3!DF74 + 273)^2)
- (3.367 * (10^(-14)) * (DD74 + 273)^3)</f>
        <v>5.3312790070474464E-5</v>
      </c>
      <c r="L74" s="183">
        <f xml:space="preserve"> (6.057 * (10^(-6)))
+ (4.055 * (10^(-8)) * (Sheet3!BZ74 + 273))
+ (1.25 * (10^(-10)) * (Sheet3!BZ74 + 273)^2)
- (3.367 * (10^(-14)) * (BX74 + 273)^3)</f>
        <v>5.3138357608198714E-5</v>
      </c>
      <c r="M74" s="183">
        <f xml:space="preserve"> (6.057 * (10^(-6)))
+ (4.055 * (10^(-8)) * (Sheet3!CA74 + 273))
+ (1.25 * (10^(-10)) * (Sheet3!CA74 + 273)^2)
- (3.367 * (10^(-14)) * (BY74 + 273)^3)</f>
        <v>5.1974601014073132E-5</v>
      </c>
      <c r="N74" s="183">
        <f xml:space="preserve"> (6.057 * (10^(-6)))
+ (4.055 * (10^(-8)) * (Sheet3!CB74 + 273))
+ (1.25 * (10^(-10)) * (Sheet3!CB74 + 273)^2)
- (3.367 * (10^(-14)) * (BZ74 + 273)^3)</f>
        <v>5.0864165692159218E-5</v>
      </c>
      <c r="O74" s="183">
        <f xml:space="preserve"> (6.057 * (10^(-6)))
+ (4.055 * (10^(-8)) * (Sheet3!CC74 + 273))
+ (1.25 * (10^(-10)) * (Sheet3!CC74 + 273)^2)
- (3.367 * (10^(-14)) * (CA74 + 273)^3)</f>
        <v>4.9548399542381968E-5</v>
      </c>
      <c r="P74" s="183">
        <f xml:space="preserve"> (6.057 * (10^(-6)))
+ (4.055 * (10^(-8)) * (Sheet3!CD74 + 273))
+ (1.25 * (10^(-10)) * (Sheet3!CD74 + 273)^2)
- (3.367 * (10^(-14)) * (CB74 + 273)^3)</f>
        <v>4.8543819681141544E-5</v>
      </c>
      <c r="Q74" s="183">
        <f xml:space="preserve"> (6.057 * (10^(-6)))
+ (4.055 * (10^(-8)) * (Sheet3!CE74 + 273))
+ (1.25 * (10^(-10)) * (Sheet3!CE74 + 273)^2)
- (3.367 * (10^(-14)) * (CC74 + 273)^3)</f>
        <v>4.7721062562367422E-5</v>
      </c>
      <c r="R74" s="183">
        <f xml:space="preserve"> (6.057 * (10^(-6)))
+ (4.055 * (10^(-8)) * (Sheet3!CF74 + 273))
+ (1.25 * (10^(-10)) * (Sheet3!CF74 + 273)^2)
- (3.367 * (10^(-14)) * (CD74 + 273)^3)</f>
        <v>4.6981340688774517E-5</v>
      </c>
      <c r="S74" s="183">
        <f xml:space="preserve"> (6.057 * (10^(-6)))
+ (4.055 * (10^(-8)) * (Sheet3!CG74 + 273))
+ (1.25 * (10^(-10)) * (Sheet3!CG74 + 273)^2)
- (3.367 * (10^(-14)) * (CE74 + 273)^3)</f>
        <v>4.6009392249958466E-5</v>
      </c>
      <c r="T74" s="188">
        <f t="shared" si="314"/>
        <v>5.3312790070474464E-5</v>
      </c>
      <c r="U74" s="165">
        <f t="shared" si="315"/>
        <v>5.3138357608198714E-5</v>
      </c>
      <c r="V74" s="165">
        <f t="shared" si="316"/>
        <v>5.1974601014073132E-5</v>
      </c>
      <c r="W74" s="165">
        <f t="shared" si="317"/>
        <v>5.0864165692159218E-5</v>
      </c>
      <c r="X74" s="165">
        <f t="shared" si="318"/>
        <v>4.9548399542381968E-5</v>
      </c>
      <c r="Y74" s="165">
        <f t="shared" si="319"/>
        <v>4.8543819681141544E-5</v>
      </c>
      <c r="Z74" s="165">
        <f t="shared" si="320"/>
        <v>4.7721062562367422E-5</v>
      </c>
      <c r="AA74" s="165">
        <f t="shared" si="321"/>
        <v>4.6981340688774517E-5</v>
      </c>
      <c r="AB74" s="165">
        <f t="shared" si="322"/>
        <v>4.6009392249958466E-5</v>
      </c>
      <c r="AC74" s="186">
        <f t="shared" si="265"/>
        <v>5.3609638726714553E-5</v>
      </c>
      <c r="AD74" s="183">
        <f t="shared" si="266"/>
        <v>5.335575895398609E-5</v>
      </c>
      <c r="AE74" s="183">
        <f t="shared" si="267"/>
        <v>5.1642341246258726E-5</v>
      </c>
      <c r="AF74" s="183">
        <f t="shared" si="268"/>
        <v>4.9967789836102823E-5</v>
      </c>
      <c r="AG74" s="183">
        <f t="shared" si="269"/>
        <v>4.803326397490686E-5</v>
      </c>
      <c r="AH74" s="183">
        <f t="shared" si="270"/>
        <v>4.6526076644018092E-5</v>
      </c>
      <c r="AI74" s="183">
        <f t="shared" si="271"/>
        <v>4.533495284961915E-5</v>
      </c>
      <c r="AJ74" s="183">
        <f t="shared" si="272"/>
        <v>4.4229572710674017E-5</v>
      </c>
      <c r="AK74" s="183">
        <f t="shared" si="273"/>
        <v>4.2825273105298763E-5</v>
      </c>
      <c r="AL74" s="186">
        <f t="shared" si="323"/>
        <v>4.2931521784307272E-2</v>
      </c>
      <c r="AM74" s="183">
        <f t="shared" si="324"/>
        <v>4.2812563950987439E-2</v>
      </c>
      <c r="AN74" s="183">
        <f t="shared" si="325"/>
        <v>4.1974715331378816E-2</v>
      </c>
      <c r="AO74" s="183">
        <f t="shared" si="326"/>
        <v>4.1172144011812663E-2</v>
      </c>
      <c r="AP74" s="183">
        <f t="shared" si="327"/>
        <v>4.0202050856528157E-2</v>
      </c>
      <c r="AQ74" s="183">
        <f t="shared" si="328"/>
        <v>3.9456174651099747E-2</v>
      </c>
      <c r="AR74" s="183">
        <f t="shared" si="329"/>
        <v>3.8833916062443283E-2</v>
      </c>
      <c r="AS74" s="183">
        <f t="shared" si="330"/>
        <v>3.8273561618499319E-2</v>
      </c>
      <c r="AT74" s="183">
        <f t="shared" si="331"/>
        <v>3.753020651258461E-2</v>
      </c>
      <c r="AU74" s="186">
        <f>_xlfn.FORECAST.LINEAR(Sheet3!DF74,Sheet2!$AH$2:$AH$40,Sheet2!$AG$2:$AG$40)</f>
        <v>5.615110757455756E-2</v>
      </c>
      <c r="AV74" s="183">
        <f>_xlfn.FORECAST.LINEAR(Sheet3!BZ74,Sheet2!$AH$2:$AH$40,Sheet2!$AG$2:$AG$40)</f>
        <v>5.5884424495458426E-2</v>
      </c>
      <c r="AW74" s="183">
        <f>_xlfn.FORECAST.LINEAR(Sheet3!CA74,Sheet2!$AH$2:$AH$40,Sheet2!$AG$2:$AG$40)</f>
        <v>5.402275993373859E-2</v>
      </c>
      <c r="AX74" s="183">
        <f>_xlfn.FORECAST.LINEAR(Sheet3!CB74,Sheet2!$AH$2:$AH$40,Sheet2!$AG$2:$AG$40)</f>
        <v>5.2226020500848729E-2</v>
      </c>
      <c r="AY74" s="183">
        <f>_xlfn.FORECAST.LINEAR(Sheet3!CC74,Sheet2!$AH$2:$AH$40,Sheet2!$AG$2:$AG$40)</f>
        <v>5.007040024056255E-2</v>
      </c>
      <c r="AZ74" s="183">
        <f>_xlfn.FORECAST.LINEAR(Sheet3!CD74,Sheet2!$AH$2:$AH$40,Sheet2!$AG$2:$AG$40)</f>
        <v>4.8404391339946874E-2</v>
      </c>
      <c r="BA74" s="183">
        <f>_xlfn.FORECAST.LINEAR(Sheet3!CE74,Sheet2!$AH$2:$AH$40,Sheet2!$AG$2:$AG$40)</f>
        <v>4.7026471446411144E-2</v>
      </c>
      <c r="BB74" s="183">
        <f>_xlfn.FORECAST.LINEAR(Sheet3!CF74,Sheet2!$AH$2:$AH$40,Sheet2!$AG$2:$AG$40)</f>
        <v>4.5776951866989844E-2</v>
      </c>
      <c r="BC74" s="183">
        <f>_xlfn.FORECAST.LINEAR(Sheet3!CG74,Sheet2!$AH$2:$AH$40,Sheet2!$AG$2:$AG$40)</f>
        <v>4.4129159481153299E-2</v>
      </c>
      <c r="BD74" s="186">
        <f>_xlfn.FORECAST.LINEAR(Sheet3!DF74,Sheet2!$AB$12:$AB$37,Sheet2!$AA$12:$AA$37)/1000</f>
        <v>3.7324862686859299E-2</v>
      </c>
      <c r="BE74" s="183">
        <f>_xlfn.FORECAST.LINEAR(Sheet3!BZ74,Sheet2!$AB$12:$AB$37,Sheet2!$AA$12:$AA$37)/1000</f>
        <v>3.7265238523160507E-2</v>
      </c>
      <c r="BF74" s="183">
        <f>_xlfn.FORECAST.LINEAR(Sheet3!CA74,Sheet2!$AB$12:$AB$37,Sheet2!$AA$12:$AA$37)/1000</f>
        <v>3.6849013418233753E-2</v>
      </c>
      <c r="BG74" s="183">
        <f>_xlfn.FORECAST.LINEAR(Sheet3!CB74,Sheet2!$AB$12:$AB$37,Sheet2!$AA$12:$AA$37)/1000</f>
        <v>3.6447304069321965E-2</v>
      </c>
      <c r="BH74" s="183">
        <f>_xlfn.FORECAST.LINEAR(Sheet3!CC74,Sheet2!$AB$12:$AB$37,Sheet2!$AA$12:$AA$37)/1000</f>
        <v>3.5965357274250036E-2</v>
      </c>
      <c r="BI74" s="183">
        <f>_xlfn.FORECAST.LINEAR(Sheet3!CD74,Sheet2!$AB$12:$AB$37,Sheet2!$AA$12:$AA$37)/1000</f>
        <v>3.5592876246396635E-2</v>
      </c>
      <c r="BJ74" s="183">
        <f>_xlfn.FORECAST.LINEAR(Sheet3!CE74,Sheet2!$AB$12:$AB$37,Sheet2!$AA$12:$AA$37)/1000</f>
        <v>3.5284805252265593E-2</v>
      </c>
      <c r="BK74" s="183">
        <f>_xlfn.FORECAST.LINEAR(Sheet3!CF74,Sheet2!$AB$12:$AB$37,Sheet2!$AA$12:$AA$37)/1000</f>
        <v>3.5005441596348857E-2</v>
      </c>
      <c r="BL74" s="183">
        <f>_xlfn.FORECAST.LINEAR(Sheet3!CG74,Sheet2!$AB$12:$AB$37,Sheet2!$AA$12:$AA$37)/1000</f>
        <v>3.4637033359550977E-2</v>
      </c>
      <c r="BM74" s="186">
        <f t="shared" si="332"/>
        <v>0.65837625584019954</v>
      </c>
      <c r="BN74" s="183">
        <f t="shared" si="333"/>
        <v>0.65982474306222794</v>
      </c>
      <c r="BO74" s="183">
        <f t="shared" si="334"/>
        <v>0.670226511298468</v>
      </c>
      <c r="BP74" s="183">
        <f t="shared" si="335"/>
        <v>0.68047031287541637</v>
      </c>
      <c r="BQ74" s="183">
        <f t="shared" si="336"/>
        <v>0.69329816175883974</v>
      </c>
      <c r="BR74" s="183">
        <f t="shared" si="337"/>
        <v>0.70345374492936741</v>
      </c>
      <c r="BS74" s="183">
        <f t="shared" si="338"/>
        <v>0.71219491047320371</v>
      </c>
      <c r="BT74" s="183">
        <f t="shared" si="339"/>
        <v>0.72020431061184131</v>
      </c>
      <c r="BU74" s="183">
        <f t="shared" si="340"/>
        <v>0.73115475733128099</v>
      </c>
      <c r="BV74" s="186">
        <f t="shared" si="341"/>
        <v>1.2163519137646308</v>
      </c>
      <c r="BW74" s="183">
        <f t="shared" si="342"/>
        <v>1.2160777385508148</v>
      </c>
      <c r="BX74" s="183">
        <f t="shared" si="343"/>
        <v>1.2127191447689238</v>
      </c>
      <c r="BY74" s="183">
        <f t="shared" si="344"/>
        <v>1.2108885151865207</v>
      </c>
      <c r="BZ74" s="183">
        <f t="shared" si="345"/>
        <v>1.2072189969938303</v>
      </c>
      <c r="CA74" s="183">
        <f t="shared" si="346"/>
        <v>1.2055438157411098</v>
      </c>
      <c r="CB74" s="183">
        <f t="shared" si="347"/>
        <v>1.2027604902413325</v>
      </c>
      <c r="CC74" s="183">
        <f t="shared" si="348"/>
        <v>1.2015183779673988</v>
      </c>
      <c r="CD74" s="183">
        <f t="shared" si="349"/>
        <v>1.1985923536320515</v>
      </c>
      <c r="CE74" s="187">
        <f xml:space="preserve"> -0.0000000019505*Sheet3!DF74^3 + 0.0000015497*Sheet3!DF74^2  + 0.00016911*Sheet3!DF74 + 1.8585</f>
        <v>1.9414898911875</v>
      </c>
      <c r="CF74" s="185">
        <f xml:space="preserve"> -0.0000000019505*Sheet3!BZ74^3 + 0.0000015497*Sheet3!BZ74^2  + 0.00016911*Sheet3!BZ74 + 1.8585</f>
        <v>1.9409041440980461</v>
      </c>
      <c r="CG74" s="185">
        <f xml:space="preserve"> -0.0000000019505*Sheet3!CA74^3 + 0.0000015497*Sheet3!CA74^2  + 0.00016911*Sheet3!CA74 + 1.8585</f>
        <v>1.9368377607035727</v>
      </c>
      <c r="CH74" s="185">
        <f xml:space="preserve"> -0.0000000019505*Sheet3!CB74^3 + 0.0000015497*Sheet3!CB74^2  + 0.00016911*Sheet3!CB74 + 1.8585</f>
        <v>1.9329537613377663</v>
      </c>
      <c r="CI74" s="185">
        <f xml:space="preserve"> -0.0000000019505*Sheet3!CC74^3 + 0.0000015497*Sheet3!CC74^2  + 0.00016911*Sheet3!CC74 + 1.8585</f>
        <v>1.9283524417444371</v>
      </c>
      <c r="CJ74" s="185">
        <f xml:space="preserve"> -0.0000000019505*Sheet3!CD74^3 + 0.0000015497*Sheet3!CD74^2  + 0.00016911*Sheet3!CD74 + 1.8585</f>
        <v>1.9248441765768534</v>
      </c>
      <c r="CK74" s="185">
        <f xml:space="preserve"> -0.0000000019505*Sheet3!CE74^3 + 0.0000015497*Sheet3!CE74^2  + 0.00016911*Sheet3!CE74 + 1.8585</f>
        <v>1.9219767426123333</v>
      </c>
      <c r="CL74" s="185">
        <f xml:space="preserve"> -0.0000000019505*Sheet3!CF74^3 + 0.0000015497*Sheet3!CF74^2  + 0.00016911*Sheet3!CF74 + 1.8585</f>
        <v>1.9194049340347223</v>
      </c>
      <c r="CM74" s="185">
        <f xml:space="preserve"> -0.0000000019505*Sheet3!CG74^3 + 0.0000015497*Sheet3!CG74^2  + 0.00016911*Sheet3!CG74 + 1.8585</f>
        <v>1.9160571473358892</v>
      </c>
      <c r="CN74" s="186">
        <f>_xlfn.FORECAST.LINEAR(Sheet3!DF74,New!$LU$2:$LU$14,New!$LT$2:$LT$14)</f>
        <v>1.0350674194089138</v>
      </c>
      <c r="CO74" s="183">
        <f>_xlfn.FORECAST.LINEAR(Sheet3!BZ74,New!$LU$2:$LU$14,New!$LT$2:$LT$14)</f>
        <v>1.0348711371640071</v>
      </c>
      <c r="CP74" s="183">
        <f>_xlfn.FORECAST.LINEAR(Sheet3!CA74,New!$LU$2:$LU$14,New!$LT$2:$LT$14)</f>
        <v>1.0335009276228848</v>
      </c>
      <c r="CQ74" s="183">
        <f>_xlfn.FORECAST.LINEAR(Sheet3!CB74,New!$LU$2:$LU$14,New!$LT$2:$LT$14)</f>
        <v>1.0321785038283524</v>
      </c>
      <c r="CR74" s="183">
        <f>_xlfn.FORECAST.LINEAR(Sheet3!CC74,New!$LU$2:$LU$14,New!$LT$2:$LT$14)</f>
        <v>1.0305919390365985</v>
      </c>
      <c r="CS74" s="183">
        <f>_xlfn.FORECAST.LINEAR(Sheet3!CD74,New!$LU$2:$LU$14,New!$LT$2:$LT$14)</f>
        <v>1.02936573462891</v>
      </c>
      <c r="CT74" s="183">
        <f>_xlfn.FORECAST.LINEAR(Sheet3!CE74,New!$LU$2:$LU$14,New!$LT$2:$LT$14)</f>
        <v>1.0283515675099524</v>
      </c>
      <c r="CU74" s="183">
        <f>_xlfn.FORECAST.LINEAR(Sheet3!CF74,New!$LU$2:$LU$14,New!$LT$2:$LT$14)</f>
        <v>1.0274319047067024</v>
      </c>
      <c r="CV74" s="183">
        <f>_xlfn.FORECAST.LINEAR(Sheet3!CG74,New!$LU$2:$LU$14,New!$LT$2:$LT$14)</f>
        <v>1.0262191078928791</v>
      </c>
      <c r="CW74" s="186">
        <f>EXP((17.625*Sheet3!BA74)/(243.04+Sheet3!BA74)) / EXP((17.625*Sheet3!DF74)/(243.04+Sheet3!DF74))</f>
        <v>1.2718515444669915E-2</v>
      </c>
      <c r="CX74" s="183">
        <f>EXP((17.625*(Sheet3!BC74+273))/(243.04+(Sheet3!BC74+273)))/EXP((17.625*(Sheet3!BZ74+273))/(243.04+(Sheet3!BZ74+273)))</f>
        <v>0.23972991679952452</v>
      </c>
      <c r="CY74" s="183">
        <f>EXP((17.625*(Sheet3!BE74+273))/(243.04+(Sheet3!BE74+273))) / EXP((17.625*(Sheet3!CA74+273))/(243.04+(Sheet3!CA74+273)))</f>
        <v>0.25443003679865389</v>
      </c>
      <c r="CZ74" s="183">
        <f>EXP((17.625*(Sheet3!BG74+273))/(243.04+(Sheet3!BG74+273))) / EXP((17.625*(Sheet3!CB74+273))/(243.04+(Sheet3!CB74+273)))</f>
        <v>0.27022360669767437</v>
      </c>
      <c r="DA74" s="183">
        <f>EXP((17.625*(Sheet3!BI74+273))/(243.04+(Sheet3!BI74+273))) / EXP((17.625*(Sheet3!CC74+273))/(243.04+(Sheet3!CC74+273)))</f>
        <v>0.29045139038985018</v>
      </c>
      <c r="DB74" s="183">
        <f>EXP((17.625*(Sheet3!BK74+273))/(243.04+(Sheet3!BK74+273)))/EXP((17.625*(Sheet3!CD74+273))/(243.04+(Sheet3!CD74+273)))</f>
        <v>0.30789755322441764</v>
      </c>
      <c r="DC74" s="183">
        <f>EXP((17.625*(Sheet3!BM74+273))/(243.04+(Sheet3!BM74+273))) / EXP((17.625*(Sheet3!CE74+273))/(243.04+(Sheet3!CE74+273)))</f>
        <v>0.32286245102577693</v>
      </c>
      <c r="DD74" s="183">
        <f>EXP((17.625*(Sheet3!BO74+273))/(243.04+(Sheet3!BO74+273))) / EXP((17.625*(Sheet3!CF74+273))/(243.04+(Sheet3!CF74+273)))</f>
        <v>0.33778726985858504</v>
      </c>
      <c r="DE74" s="183">
        <f>EXP((17.625*(Sheet3!BQ74+273))/(243.04+(Sheet3!BQ74+273))) / EXP((17.625*(Sheet3!CG74+273))/(243.04+(Sheet3!CG74+273)))</f>
        <v>0.35835237033883333</v>
      </c>
      <c r="DF74" s="186">
        <f>((Sheet3!DA74-Sheet3!DB74)/New!$LQ$3)/(((Sheet3!DA74-Sheet3!DB74)/New!$LQ$3)+(Sheet3!DB74/New!$LP$3))</f>
        <v>0.71332409423876464</v>
      </c>
      <c r="DG74" s="183">
        <f>((Sheet3!DA74-Sheet3!DB74)/New!$LQ$3)/(((Sheet3!DA74-Sheet3!DB74)/New!$LQ$3)+((Sheet3!DB74-(Sheet3!B74*0.004))/New!$LP$3))</f>
        <v>0.71332409423876464</v>
      </c>
      <c r="DH74" s="183" cm="1">
        <f t="array" ref="DH74">((Sheet3!DA74-Sheet3!DB74)/New!$LQ$3)/(((Sheet3!DA74-Sheet3!DB74)/New!$LQ$3)+((Sheet3!DB74-(SUM(Sheet3!B74:C74*0.004)))/New!$LP$3))</f>
        <v>0.71956203464327517</v>
      </c>
      <c r="DI74" s="183" cm="1">
        <f t="array" ref="DI74">((Sheet3!DA74-Sheet3!DB74)/New!$LQ$3)/(((Sheet3!DA74-Sheet3!DB74)/New!$LQ$3)+((Sheet3!DB74-(SUM(Sheet3!B74:D74*0.004)))/New!$LP$3))</f>
        <v>0.71956203464327517</v>
      </c>
      <c r="DJ74" s="183" cm="1">
        <f t="array" ref="DJ74">((Sheet3!DA74-Sheet3!DB74)/New!$LQ$3)/(((Sheet3!DA74-Sheet3!DB74)/New!$LQ$3)+((Sheet3!DB74-(SUM(Sheet3!B74:E74*0.004)))/New!$LP$3))</f>
        <v>0.72609644553481023</v>
      </c>
      <c r="DK74" s="183" cm="1">
        <f t="array" ref="DK74">((Sheet3!DA74-Sheet3!DB74)/New!$LQ$3)/(((Sheet3!DA74-Sheet3!DB74)/New!$LQ$3)+((Sheet3!DB74-(SUM(Sheet3!B74:F74*0.004)))/New!$LP$3))</f>
        <v>0.72609644553481023</v>
      </c>
      <c r="DL74" s="183" cm="1">
        <f t="array" ref="DL74">((Sheet3!DA74-Sheet3!DB74)/New!$LQ$3)/(((Sheet3!DA74-Sheet3!DB74)/New!$LQ$3)+((Sheet3!DB74-(SUM(Sheet3!B74:G74*0.004)))/New!$LP$3))</f>
        <v>0.73240553346833503</v>
      </c>
      <c r="DM74" s="183" cm="1">
        <f t="array" ref="DM74">((Sheet3!DA74-Sheet3!DB74)/New!$LQ$3)/(((Sheet3!DA74-Sheet3!DB74)/New!$LQ$3)+((Sheet3!DB74-(SUM(Sheet3!B74:H74*0.004)))/New!$LP$3))</f>
        <v>0.73240553346833503</v>
      </c>
      <c r="DN74" s="183" cm="1">
        <f t="array" ref="DN74">((Sheet3!DA74-Sheet3!DB74)/New!$LQ$3)/(((Sheet3!DA74-Sheet3!DB74)/New!$LQ$3)+((Sheet3!DB74-(SUM(Sheet3!B74:I74*0.004)))/New!$LP$3))</f>
        <v>0.73834291177689526</v>
      </c>
      <c r="DO74" s="186">
        <f>(Sheet3!DB74/$LP$3) / ((Sheet3!DB74/$LP$3) + ((Sheet3!DA74-Sheet3!DB74)/$LQ$3))</f>
        <v>0.28667590576123536</v>
      </c>
      <c r="DP74" s="183">
        <f>((Sheet3!$DB74-(Sheet3!B74/4000)) / $LP$3) / (((Sheet3!$DA74-Sheet3!DB74) / $LQ$3) + (Sheet3!$DB74-((Sheet3!B74/4000)))/$LP$3)</f>
        <v>0.28667590576123536</v>
      </c>
      <c r="DQ74" s="183">
        <f>((Sheet3!$DB74-(SUM(Sheet3!B74:C74)/4000))/$LP$3)/(((Sheet3!$DA74-Sheet3!$DB74)/$LQ$3)+(Sheet3!$DB74-(SUM(Sheet3!B74:C74)/4000))/$LP$3)</f>
        <v>0.28628920478965197</v>
      </c>
      <c r="DR74" s="183">
        <f>((Sheet3!$DB74-(SUM(Sheet3!B74:D74)/4000))/$LP$3)/(((Sheet3!$DA74-Sheet3!$DB74)/$LQ$3)+(Sheet3!$DB74-(SUM(Sheet3!B74:D74)/4000))/$LP$3)</f>
        <v>0.28628920478965197</v>
      </c>
      <c r="DS74" s="183">
        <f>((Sheet3!$DB74-(SUM(Sheet3!B74:E74)/4000))/$LP$3)/(((Sheet3!$DA74-Sheet3!$DB74)/$LQ$3)+(Sheet3!$DB74-(SUM(Sheet3!B74:E74)/4000))/$LP$3)</f>
        <v>0.28589081262200655</v>
      </c>
      <c r="DT74" s="183">
        <f>((Sheet3!$DB74-(SUM(Sheet3!B74:F74)/4000))/$LP$3)/(((Sheet3!$DA74-Sheet3!$DB74)/$LQ$3)+(Sheet3!$DB74-(SUM(Sheet3!B74:F74)/4000))/$LP$3)</f>
        <v>0.28589081262200655</v>
      </c>
      <c r="DU74" s="183">
        <f>((Sheet3!$DB74-(SUM(Sheet3!B74:G74)/4000))/$LP$3)/(((Sheet3!$DA74-Sheet3!$DB74)/$LQ$3)+(Sheet3!$DB74-(SUM(Sheet3!B74:G74)/4000))/$LP$3)</f>
        <v>0.2855124920734125</v>
      </c>
      <c r="DV74" s="183">
        <f>((Sheet3!$DB74-(SUM(Sheet3!B74:H74)/4000))/$LP$3)/(((Sheet3!$DA74-Sheet3!$DB74)/$LQ$3)+(Sheet3!$DB74-(SUM(Sheet3!B74:H74)/4000))/$LP$3)</f>
        <v>0.2855124920734125</v>
      </c>
      <c r="DW74" s="183">
        <f>((Sheet3!$DB74-(SUM(Sheet3!B74:I74)/4000))/$LP$3)/(((Sheet3!$DA74-Sheet3!$DB74)/$LQ$3)+(Sheet3!$DB74-(SUM(Sheet3!B74:I74)/4000))/$LP$3)</f>
        <v>0.28516200881498616</v>
      </c>
      <c r="DX74" s="186">
        <f>($LR$2*($LP$3/1000))/($LP$2*(Sheet3!DF74+273))*DO74</f>
        <v>0.13167525116803988</v>
      </c>
      <c r="DY74" s="183">
        <f>(($LR$2*($LP$3/1000))/($LP$2*(Sheet3!BZ74+273)))*(DP74)</f>
        <v>0.13196494861244557</v>
      </c>
      <c r="DZ74" s="183">
        <f>(($LR$2*($LP$3/1000))/($LP$2*(Sheet3!CA74+273)))*(DQ74)</f>
        <v>0.13384254912199092</v>
      </c>
      <c r="EA74" s="183">
        <f>(($LR$2*($LP$3/1000))/($LP$2*(Sheet3!CB74+273)))*(DR74)</f>
        <v>0.13588821054040065</v>
      </c>
      <c r="EB74" s="183">
        <f>(($LR$2*($LP$3/1000))/($LP$2*(Sheet3!CC74+273)))*(DS74)</f>
        <v>0.13823389806151209</v>
      </c>
      <c r="EC74" s="183">
        <f>(($LR$2*($LP$3/1000))/($LP$2*(Sheet3!CD74+273)))*(DT74)</f>
        <v>0.14025877844658119</v>
      </c>
      <c r="ED74" s="183">
        <f>(($LR$2*($LP$3/1000))/($LP$2*(Sheet3!CE74+273)))*(DU74)</f>
        <v>0.14179100325604202</v>
      </c>
      <c r="EE74" s="183">
        <f>(($LR$2*($LP$3/1000))/($LP$2*(Sheet3!CF74+273)))*(DV74)</f>
        <v>0.14338559606264037</v>
      </c>
      <c r="EF74" s="183">
        <f>(($LR$2*($LP$3/1000))/($LP$2*(Sheet3!CG74+273)))*(DW74)</f>
        <v>0.1453654477613667</v>
      </c>
      <c r="EG74" s="186">
        <f>(($LR$2*($LQ$3/1000))/($LQ$2*(Sheet3!DF74+273)))*(1-DO74)</f>
        <v>0.52670100467215963</v>
      </c>
      <c r="EH74" s="183">
        <f>(($LR$2*($LQ$3/1000))/($LQ$2*(Sheet3!BZ74+273)))*(1-DP74)</f>
        <v>0.52785979444978237</v>
      </c>
      <c r="EI74" s="183">
        <f>(($LR$2*($LQ$3/1000))/($LQ$2*(Sheet3!CA74+273)))*(1-DQ74)</f>
        <v>0.5363839621764771</v>
      </c>
      <c r="EJ74" s="183">
        <f>(($LR$2*($LQ$3/1000))/($LQ$2*(Sheet3!CB74+273)))*(1-DR74)</f>
        <v>0.54458210233501569</v>
      </c>
      <c r="EK74" s="183">
        <f>(($LR$2*($LQ$3/1000))/($LQ$2*(Sheet3!CC74+273)))*(1-DS74)</f>
        <v>0.55506426369732764</v>
      </c>
      <c r="EL74" s="183">
        <f>(($LR$2*($LQ$3/1000))/($LQ$2*(Sheet3!CD74+273)))*(1-DT74)</f>
        <v>0.56319496648278622</v>
      </c>
      <c r="EM74" s="183">
        <f>(($LR$2*($LQ$3/1000))/($LQ$2*(Sheet3!CE74+273)))*(1-DU74)</f>
        <v>0.57040390721716172</v>
      </c>
      <c r="EN74" s="183">
        <f>(($LR$2*($LQ$3/1000))/($LQ$2*(Sheet3!CF74+273)))*(1-DV74)</f>
        <v>0.57681871454920097</v>
      </c>
      <c r="EO74" s="183">
        <f>(($LR$2*($LQ$3/1000))/($LQ$2*(Sheet3!CG74+273)))*(1-DW74)</f>
        <v>0.58578930956991426</v>
      </c>
      <c r="EP74" s="186">
        <f t="shared" si="350"/>
        <v>9841.2343066179928</v>
      </c>
      <c r="EQ74" s="183">
        <f xml:space="preserve"> (($FV74-(Sheet3!B74/4000))*0.018)/(0.011*JO74*3600)</f>
        <v>9859.2907786308588</v>
      </c>
      <c r="ER74" s="183">
        <f>((($FV74-(SUM(Sheet3!B74:C74)/4000))*0.018)/(0.011*JP74*3600))</f>
        <v>9981.8201738315111</v>
      </c>
      <c r="ES74" s="183">
        <f>((($FV74-(SUM(Sheet3!B74:D74)/4000))*0.018)/(0.011*JQ74*3600))</f>
        <v>10108.459217683814</v>
      </c>
      <c r="ET74" s="183">
        <f>((($FV74-(SUM(Sheet3!B74:E74)/4000))*0.018)/(0.011*JR74))/3600</f>
        <v>10258.998050927683</v>
      </c>
      <c r="EU74" s="183">
        <f>((($FV74-(SUM(Sheet3!B74:F74)/4000))*0.018)/(0.011*JS74))/3600</f>
        <v>10383.125840288749</v>
      </c>
      <c r="EV74" s="183">
        <f>((($FV74-(SUM(Sheet3!B74:G74)/4000))*0.018)/(0.011*JT74))/3600</f>
        <v>10482.495259397389</v>
      </c>
      <c r="EW74" s="183">
        <f>((($FV74-(SUM(Sheet3!B74:H74)/4000))*0.018)/(0.011*JU74))/3600</f>
        <v>10579.526950321284</v>
      </c>
      <c r="EX74" s="183">
        <f>((($FV74-(SUM(Sheet3!B74:I74)/4000))*0.018)/(0.011*JV74))/3600</f>
        <v>10704.969580951516</v>
      </c>
      <c r="EY74" s="186">
        <f t="shared" si="351"/>
        <v>75.974185098944233</v>
      </c>
      <c r="EZ74" s="183">
        <f t="shared" si="352"/>
        <v>76.081588089467132</v>
      </c>
      <c r="FA74" s="183">
        <f t="shared" si="353"/>
        <v>76.793844776429637</v>
      </c>
      <c r="FB74" s="183">
        <f t="shared" si="354"/>
        <v>77.550905740226767</v>
      </c>
      <c r="FC74" s="183">
        <f t="shared" si="355"/>
        <v>78.435523560105636</v>
      </c>
      <c r="FD74" s="183">
        <f t="shared" si="356"/>
        <v>79.183358298197447</v>
      </c>
      <c r="FE74" s="183">
        <f t="shared" si="357"/>
        <v>79.765854220960748</v>
      </c>
      <c r="FF74" s="183">
        <f t="shared" si="358"/>
        <v>80.354153848522799</v>
      </c>
      <c r="FG74" s="183">
        <f t="shared" si="359"/>
        <v>81.100268907414005</v>
      </c>
      <c r="FH74" s="186">
        <f t="shared" si="274"/>
        <v>181.20485459001765</v>
      </c>
      <c r="FI74" s="183">
        <f t="shared" si="275"/>
        <v>180.9582141984998</v>
      </c>
      <c r="FJ74" s="183">
        <f t="shared" si="276"/>
        <v>179.07776520515145</v>
      </c>
      <c r="FK74" s="183">
        <f t="shared" si="277"/>
        <v>177.38539218795145</v>
      </c>
      <c r="FL74" s="183">
        <f t="shared" si="278"/>
        <v>175.18160595120997</v>
      </c>
      <c r="FM74" s="183">
        <f t="shared" si="279"/>
        <v>173.57068969301594</v>
      </c>
      <c r="FN74" s="183">
        <f t="shared" si="280"/>
        <v>172.09002708143763</v>
      </c>
      <c r="FO74" s="183">
        <f t="shared" si="281"/>
        <v>170.85775881243399</v>
      </c>
      <c r="FP74" s="183">
        <f t="shared" si="282"/>
        <v>169.09499112896626</v>
      </c>
      <c r="FQ74" s="314">
        <f>Sheet3!CV74</f>
        <v>3</v>
      </c>
      <c r="FR74" s="183">
        <v>10000</v>
      </c>
      <c r="FS74" s="183">
        <v>20</v>
      </c>
      <c r="FT74" s="183">
        <v>0.32833333333333337</v>
      </c>
      <c r="FU74" s="183">
        <v>19.7</v>
      </c>
      <c r="FV74" s="183">
        <v>500</v>
      </c>
      <c r="FW74" s="183">
        <v>100</v>
      </c>
      <c r="FX74" s="183">
        <v>1500</v>
      </c>
      <c r="FY74" s="183">
        <v>7.3</v>
      </c>
      <c r="FZ74" s="183">
        <v>13</v>
      </c>
      <c r="GA74" s="183">
        <v>205</v>
      </c>
      <c r="GB74" s="186">
        <f>EXP($LP$6-($LQ$6/('Trial and Error method'!T74+$LP$8))) / ($LR$2/1000)</f>
        <v>3.9633483286037205E-2</v>
      </c>
      <c r="GC74" s="183">
        <f>EXP($LP$6-($LQ$6/('Trial and Error method'!U74+$LP$8))) / ($LR$2/1000)</f>
        <v>6.1877268219129943E-2</v>
      </c>
      <c r="GD74" s="183">
        <f>EXP($LP$6-($LQ$6/('Trial and Error method'!V74+$LP$8))) / ($LR$2/1000)</f>
        <v>5.7301142344340937E-2</v>
      </c>
      <c r="GE74" s="183">
        <f>EXP($LP$6-($LQ$6/('Trial and Error method'!W74+$LP$8))) / ($LR$2/1000)</f>
        <v>5.3619135976646144E-2</v>
      </c>
      <c r="GF74" s="183">
        <f>EXP($LP$6-($LQ$6/('Trial and Error method'!X74+$LP$8))) / ($LR$2/1000)</f>
        <v>5.0263870689927173E-2</v>
      </c>
      <c r="GG74" s="183">
        <f>EXP($LP$6-($LQ$6/('Trial and Error method'!Y74+$LP$8))) / ($LR$2/1000)</f>
        <v>4.7481314921867836E-2</v>
      </c>
      <c r="GH74" s="183">
        <f>EXP($LP$6-($LQ$6/('Trial and Error method'!Z74+$LP$8))) / ($LR$2/1000)</f>
        <v>4.4884899162014658E-2</v>
      </c>
      <c r="GI74" s="183">
        <f>EXP($LP$6-($LQ$6/('Trial and Error method'!AA74+$LP$8))) / ($LR$2/1000)</f>
        <v>4.24522259541084E-2</v>
      </c>
      <c r="GJ74" s="183">
        <f>EXP($LP$6-($LQ$6/('Trial and Error method'!AB74+$LP$8))) / ($LR$2/1000)</f>
        <v>3.9834708968260586E-2</v>
      </c>
      <c r="GK74" s="188">
        <f t="shared" si="411"/>
        <v>0.83073220481619103</v>
      </c>
      <c r="GL74" s="165">
        <f t="shared" si="360"/>
        <v>0.82059794997143742</v>
      </c>
      <c r="GM74" s="165">
        <f t="shared" si="361"/>
        <v>0.82290164242079999</v>
      </c>
      <c r="GN74" s="165">
        <f t="shared" si="362"/>
        <v>0.82458208606365246</v>
      </c>
      <c r="GO74" s="165">
        <f t="shared" si="363"/>
        <v>0.82633117920515808</v>
      </c>
      <c r="GP74" s="165">
        <f t="shared" si="364"/>
        <v>0.8275985414133834</v>
      </c>
      <c r="GQ74" s="165">
        <f t="shared" si="365"/>
        <v>0.82898895378439286</v>
      </c>
      <c r="GR74" s="165">
        <f t="shared" si="366"/>
        <v>0.83009522363563348</v>
      </c>
      <c r="GS74" s="165">
        <f t="shared" si="367"/>
        <v>0.83147839972117998</v>
      </c>
      <c r="GT74" s="188">
        <f t="shared" si="283"/>
        <v>0.11114184491313461</v>
      </c>
      <c r="GU74" s="165">
        <f t="shared" si="284"/>
        <v>0.11249678941808376</v>
      </c>
      <c r="GV74" s="165">
        <f t="shared" si="285"/>
        <v>0.11210527269870989</v>
      </c>
      <c r="GW74" s="165">
        <f t="shared" si="286"/>
        <v>0.11183129717295483</v>
      </c>
      <c r="GX74" s="165">
        <f t="shared" si="287"/>
        <v>0.11152589044099924</v>
      </c>
      <c r="GY74" s="165">
        <f t="shared" si="288"/>
        <v>0.11132714151431282</v>
      </c>
      <c r="GZ74" s="165">
        <f t="shared" si="289"/>
        <v>0.11110019110477543</v>
      </c>
      <c r="HA74" s="165">
        <f t="shared" si="290"/>
        <v>0.11093975166437364</v>
      </c>
      <c r="HB74" s="165">
        <f t="shared" si="291"/>
        <v>0.1107154462307859</v>
      </c>
      <c r="HC74" s="188">
        <f>BV74*Sheet3!DF74</f>
        <v>249.35214232174931</v>
      </c>
      <c r="HD74" s="165">
        <f>BW74*Sheet3!BZ74</f>
        <v>248.01986403058038</v>
      </c>
      <c r="HE74" s="165">
        <f>BX74*Sheet3!CA74</f>
        <v>238.45145707253678</v>
      </c>
      <c r="HF74" s="165">
        <f>BY74*Sheet3!CB74</f>
        <v>229.5308384901096</v>
      </c>
      <c r="HG74" s="165">
        <f>BZ74*Sheet3!CC74</f>
        <v>218.59580574787589</v>
      </c>
      <c r="HH74" s="165">
        <f>CA74*Sheet3!CD74</f>
        <v>210.38971365085962</v>
      </c>
      <c r="HI74" s="165">
        <f>CB74*Sheet3!CE74</f>
        <v>203.38286025576278</v>
      </c>
      <c r="HJ74" s="165">
        <f>CC74*Sheet3!CF74</f>
        <v>197.26548282537257</v>
      </c>
      <c r="HK74" s="165">
        <f>CD74*Sheet3!CG74</f>
        <v>189.01380866712674</v>
      </c>
      <c r="HL74" s="188">
        <f>(CE74*Sheet3!DF74)+2501</f>
        <v>2899.0054276934375</v>
      </c>
      <c r="HM74" s="165">
        <f>(CF74*Sheet3!BZ74)+2501</f>
        <v>2896.8486917861396</v>
      </c>
      <c r="HN74" s="165">
        <f>(CG74*Sheet3!CA74)+2501</f>
        <v>2881.8316114617596</v>
      </c>
      <c r="HO74" s="165">
        <f>(CH74*Sheet3!CB74)+2501</f>
        <v>2867.4024326253743</v>
      </c>
      <c r="HP74" s="165">
        <f>(CI74*Sheet3!CC74)+2501</f>
        <v>2850.1742234165349</v>
      </c>
      <c r="HQ74" s="165">
        <f>(CJ74*Sheet3!CD74)+2501</f>
        <v>2836.9209427685337</v>
      </c>
      <c r="HR74" s="165">
        <f>(CK74*Sheet3!CE74)+2501</f>
        <v>2825.9999733356035</v>
      </c>
      <c r="HS74" s="165">
        <f>(CL74*Sheet3!CF74)+2501</f>
        <v>2816.1282144267257</v>
      </c>
      <c r="HT74" s="165">
        <f>(CM74*Sheet3!CG74)+2501</f>
        <v>2803.1554892657059</v>
      </c>
      <c r="HU74" s="188">
        <f>-0.0021*(Sheet3!DF74^2) - 2.2115*(Sheet3!DF74) + 2499</f>
        <v>1957.3899999999999</v>
      </c>
      <c r="HV74" s="165">
        <f>-0.0021*(Sheet3!BZ74^2) - 2.2115*(Sheet3!BZ74) + 2499</f>
        <v>1960.6117680527273</v>
      </c>
      <c r="HW74" s="165">
        <f>-0.0021*(Sheet3!CA74^2) - 2.2115*(Sheet3!CA74) + 2499</f>
        <v>1982.9735015756423</v>
      </c>
      <c r="HX74" s="165">
        <f>-0.0021*(Sheet3!CB74^2) - 2.2115*(Sheet3!CB74) + 2499</f>
        <v>2004.3416606720357</v>
      </c>
      <c r="HY74" s="165">
        <f>-0.0021*(Sheet3!CC74^2) - 2.2115*(Sheet3!CC74) + 2499</f>
        <v>2029.7008936196485</v>
      </c>
      <c r="HZ74" s="165">
        <f>-0.0021*(Sheet3!CD74^2) - 2.2115*(Sheet3!CD74) + 2499</f>
        <v>2049.0932156499584</v>
      </c>
      <c r="IA74" s="165">
        <f>-0.0021*(Sheet3!CE74^2) - 2.2115*(Sheet3!CE74) + 2499</f>
        <v>2064.9958166471679</v>
      </c>
      <c r="IB74" s="165">
        <f>-0.0021*(Sheet3!CF74^2) - 2.2115*(Sheet3!CF74) + 2499</f>
        <v>2079.309805852753</v>
      </c>
      <c r="IC74" s="165">
        <f>-0.0021*(Sheet3!CG74^2) - 2.2115*(Sheet3!CG74) + 2499</f>
        <v>2098.0310244157317</v>
      </c>
      <c r="ID74" s="188">
        <f t="shared" si="292"/>
        <v>0.6543057114733688</v>
      </c>
      <c r="IE74" s="165">
        <f t="shared" si="293"/>
        <v>0.65477448695060236</v>
      </c>
      <c r="IF74" s="165">
        <f t="shared" si="294"/>
        <v>0.65757586019007319</v>
      </c>
      <c r="IG74" s="165">
        <f t="shared" si="295"/>
        <v>0.66099601739494696</v>
      </c>
      <c r="IH74" s="165">
        <f t="shared" si="296"/>
        <v>0.66473262871749794</v>
      </c>
      <c r="II74" s="165">
        <f t="shared" si="297"/>
        <v>0.6682731256573593</v>
      </c>
      <c r="IJ74" s="165">
        <f t="shared" si="298"/>
        <v>0.67074427684259519</v>
      </c>
      <c r="IK74" s="165">
        <f t="shared" si="299"/>
        <v>0.67362620753071467</v>
      </c>
      <c r="IL74" s="165">
        <f t="shared" si="300"/>
        <v>0.67703370525577389</v>
      </c>
      <c r="IM74" s="188">
        <f t="shared" si="301"/>
        <v>53.743569068098076</v>
      </c>
      <c r="IN74" s="165">
        <f t="shared" si="368"/>
        <v>49.582156057280606</v>
      </c>
      <c r="IO74" s="165">
        <f t="shared" si="369"/>
        <v>50.904455059278071</v>
      </c>
      <c r="IP74" s="165">
        <f t="shared" si="370"/>
        <v>52.152560340646822</v>
      </c>
      <c r="IQ74" s="165">
        <f t="shared" si="371"/>
        <v>53.337504088690196</v>
      </c>
      <c r="IR74" s="165">
        <f t="shared" si="372"/>
        <v>54.385900802507116</v>
      </c>
      <c r="IS74" s="165">
        <f t="shared" si="373"/>
        <v>55.205126429517847</v>
      </c>
      <c r="IT74" s="165">
        <f t="shared" si="374"/>
        <v>56.068683653896848</v>
      </c>
      <c r="IU74" s="165">
        <f t="shared" si="375"/>
        <v>56.985714725144376</v>
      </c>
      <c r="IV74" s="188">
        <f>_xlfn.FORECAST.LINEAR(Sheet3!DF74,Sheet2!$AK$2:$AK$69,Sheet2!$AJ$2:$AJ$69)</f>
        <v>1.5962912137298422E-5</v>
      </c>
      <c r="IW74" s="165">
        <f>_xlfn.FORECAST.LINEAR(Sheet3!BZ74,Sheet2!$AK$2:$AK$69,Sheet2!$AJ$2:$AJ$69)</f>
        <v>1.5926172509389843E-5</v>
      </c>
      <c r="IX74" s="165">
        <f>_xlfn.FORECAST.LINEAR(Sheet3!CA74,Sheet2!$AK$2:$AK$69,Sheet2!$AJ$2:$AJ$69)</f>
        <v>1.5669700057072203E-5</v>
      </c>
      <c r="IY74" s="165">
        <f>_xlfn.FORECAST.LINEAR(Sheet3!CB74,Sheet2!$AK$2:$AK$69,Sheet2!$AJ$2:$AJ$69)</f>
        <v>1.5422172023287558E-5</v>
      </c>
      <c r="IZ74" s="165">
        <f>_xlfn.FORECAST.LINEAR(Sheet3!CC74,Sheet2!$AK$2:$AK$69,Sheet2!$AJ$2:$AJ$69)</f>
        <v>1.5125202727212843E-5</v>
      </c>
      <c r="JA74" s="165">
        <f>_xlfn.FORECAST.LINEAR(Sheet3!CD74,Sheet2!$AK$2:$AK$69,Sheet2!$AJ$2:$AJ$69)</f>
        <v>1.4895684801637045E-5</v>
      </c>
      <c r="JB74" s="165">
        <f>_xlfn.FORECAST.LINEAR(Sheet3!CE74,Sheet2!$AK$2:$AK$69,Sheet2!$AJ$2:$AJ$69)</f>
        <v>1.4705855494328378E-5</v>
      </c>
      <c r="JC74" s="165">
        <f>_xlfn.FORECAST.LINEAR(Sheet3!CF74,Sheet2!$AK$2:$AK$69,Sheet2!$AJ$2:$AJ$69)</f>
        <v>1.4533715272430921E-5</v>
      </c>
      <c r="JD74" s="165">
        <f>_xlfn.FORECAST.LINEAR(Sheet3!CG74,Sheet2!$AK$2:$AK$69,Sheet2!$AJ$2:$AJ$69)</f>
        <v>1.4306706947303104E-5</v>
      </c>
      <c r="JE74" s="188">
        <f>_xlfn.FORECAST.LINEAR(Sheet3!DF74,New!$MC$2:$MC$18,New!$MB$2:$MB$18)</f>
        <v>2.5847452754227255E-5</v>
      </c>
      <c r="JF74" s="165">
        <f>_xlfn.FORECAST.LINEAR(Sheet3!BZ74,New!$MC$2:$MC$18,New!$MB$2:$MB$18)</f>
        <v>2.5804264434846476E-5</v>
      </c>
      <c r="JG74" s="165">
        <f>_xlfn.FORECAST.LINEAR(Sheet3!CA74,New!$MC$2:$MC$18,New!$MB$2:$MB$18)</f>
        <v>2.5502774876742396E-5</v>
      </c>
      <c r="JH74" s="165">
        <f>_xlfn.FORECAST.LINEAR(Sheet3!CB74,New!$MC$2:$MC$18,New!$MB$2:$MB$18)</f>
        <v>2.52117996985128E-5</v>
      </c>
      <c r="JI74" s="165">
        <f>_xlfn.FORECAST.LINEAR(Sheet3!CC74,New!$MC$2:$MC$18,New!$MB$2:$MB$18)</f>
        <v>2.4862705123111145E-5</v>
      </c>
      <c r="JJ74" s="165">
        <f>_xlfn.FORECAST.LINEAR(Sheet3!CD74,New!$MC$2:$MC$18,New!$MB$2:$MB$18)</f>
        <v>2.4592901261786058E-5</v>
      </c>
      <c r="JK74" s="165">
        <f>_xlfn.FORECAST.LINEAR(Sheet3!CE74,New!$MC$2:$MC$18,New!$MB$2:$MB$18)</f>
        <v>2.4369752329187192E-5</v>
      </c>
      <c r="JL74" s="165">
        <f>_xlfn.FORECAST.LINEAR(Sheet3!CF74,New!$MC$2:$MC$18,New!$MB$2:$MB$18)</f>
        <v>2.4167397343445772E-5</v>
      </c>
      <c r="JM74" s="165">
        <f>_xlfn.FORECAST.LINEAR(Sheet3!CG74,New!$MC$2:$MC$18,New!$MB$2:$MB$18)</f>
        <v>2.3900543578020816E-5</v>
      </c>
      <c r="JN74" s="188">
        <f t="shared" si="376"/>
        <v>2.3093925029291481E-5</v>
      </c>
      <c r="JO74" s="165">
        <f t="shared" si="377"/>
        <v>2.3051630424099151E-5</v>
      </c>
      <c r="JP74" s="165">
        <f t="shared" si="378"/>
        <v>2.2760059210184386E-5</v>
      </c>
      <c r="JQ74" s="165">
        <f t="shared" si="379"/>
        <v>2.2474920587736642E-5</v>
      </c>
      <c r="JR74" s="165">
        <f t="shared" si="380"/>
        <v>2.2136509624385142E-5</v>
      </c>
      <c r="JS74" s="165">
        <f t="shared" si="381"/>
        <v>2.1871872939237498E-5</v>
      </c>
      <c r="JT74" s="165">
        <f t="shared" si="382"/>
        <v>2.1656536906232375E-5</v>
      </c>
      <c r="JU74" s="165">
        <f t="shared" si="383"/>
        <v>2.1457910785666211E-5</v>
      </c>
      <c r="JV74" s="165">
        <f t="shared" si="384"/>
        <v>2.1199213141342759E-5</v>
      </c>
      <c r="JW74" s="188">
        <f t="shared" si="302"/>
        <v>0.99342087640971777</v>
      </c>
      <c r="JX74" s="165">
        <f t="shared" si="385"/>
        <v>0.99375400950914439</v>
      </c>
      <c r="JY74" s="165">
        <f t="shared" si="386"/>
        <v>0.99612164311653295</v>
      </c>
      <c r="JZ74" s="165">
        <f t="shared" si="387"/>
        <v>0.99847891394118771</v>
      </c>
      <c r="KA74" s="165">
        <f t="shared" si="388"/>
        <v>1.001405425889865</v>
      </c>
      <c r="KB74" s="165">
        <f t="shared" si="389"/>
        <v>1.003744472411364</v>
      </c>
      <c r="KC74" s="165">
        <f t="shared" si="390"/>
        <v>1.0057323341837001</v>
      </c>
      <c r="KD74" s="165">
        <f t="shared" si="391"/>
        <v>1.0075783144262322</v>
      </c>
      <c r="KE74" s="165">
        <f t="shared" si="392"/>
        <v>1.0100782471736811</v>
      </c>
      <c r="KF74" s="188">
        <f t="shared" si="393"/>
        <v>0.98626119619886909</v>
      </c>
      <c r="KG74" s="165">
        <f t="shared" si="394"/>
        <v>0.98596867396746934</v>
      </c>
      <c r="KH74" s="165">
        <f t="shared" si="395"/>
        <v>0.98389762805630698</v>
      </c>
      <c r="KI74" s="165">
        <f t="shared" si="396"/>
        <v>0.98184941073794518</v>
      </c>
      <c r="KJ74" s="165">
        <f t="shared" si="397"/>
        <v>0.97932548525104401</v>
      </c>
      <c r="KK74" s="165">
        <f t="shared" si="398"/>
        <v>0.97732310360376717</v>
      </c>
      <c r="KL74" s="165">
        <f t="shared" si="399"/>
        <v>0.9756316544452911</v>
      </c>
      <c r="KM74" s="165">
        <f t="shared" si="400"/>
        <v>0.9740693277288327</v>
      </c>
      <c r="KN74" s="165">
        <f t="shared" si="401"/>
        <v>0.97196631127490618</v>
      </c>
      <c r="KO74" s="188">
        <f t="shared" si="304"/>
        <v>0.65794892299848939</v>
      </c>
      <c r="KP74" s="165">
        <f t="shared" si="305"/>
        <v>0.65745332124389888</v>
      </c>
      <c r="KQ74" s="165">
        <f t="shared" si="306"/>
        <v>0.65337215302610763</v>
      </c>
      <c r="KR74" s="165">
        <f t="shared" si="307"/>
        <v>0.64934732793195249</v>
      </c>
      <c r="KS74" s="165">
        <f t="shared" si="308"/>
        <v>0.64440583596671264</v>
      </c>
      <c r="KT74" s="165">
        <f t="shared" si="309"/>
        <v>0.64049608925913581</v>
      </c>
      <c r="KU74" s="165">
        <f t="shared" si="310"/>
        <v>0.63720626767415411</v>
      </c>
      <c r="KV74" s="165">
        <f t="shared" si="311"/>
        <v>0.63417090463989678</v>
      </c>
      <c r="KW74" s="165">
        <f t="shared" si="312"/>
        <v>0.63017901152773936</v>
      </c>
      <c r="KX74" s="188">
        <f>AVERAGE(Sheet3!J74:P74)*KO74^(1/3)/ID74^(1/3)</f>
        <v>138.28900044313946</v>
      </c>
      <c r="KY74" s="165">
        <f>Sheet3!J74*KP74^(1/3)/IE74^(1/3)</f>
        <v>143.19185875615273</v>
      </c>
      <c r="KZ74" s="165">
        <f>Sheet3!K74*KQ74^(1/3)/IF74^(1/3)</f>
        <v>130.51950252246721</v>
      </c>
      <c r="LA74" s="165">
        <f>Sheet3!L74*KR74^(1/3)/IG74^(1/3)</f>
        <v>124.81338062660619</v>
      </c>
      <c r="LB74" s="165">
        <f>Sheet3!M74*KS74^(1/3)/IH74^(1/3)</f>
        <v>124.67027933355841</v>
      </c>
      <c r="LC74" s="165">
        <f>Sheet3!N74*KT74^(1/3)/II74^(1/3)</f>
        <v>129.87444223121267</v>
      </c>
      <c r="LD74" s="165">
        <f>Sheet3!O74*KU74^(1/3)/IJ74^(1/3)</f>
        <v>141.5527016743886</v>
      </c>
      <c r="LE74" s="165">
        <f>Sheet3!P74*KV74^(1/3)/IK74^(1/3)</f>
        <v>161.90461016896776</v>
      </c>
      <c r="LF74" s="165">
        <f>Sheet3!Q74*KW74^(1/3)/IL74^(1/3)</f>
        <v>189.85745640404031</v>
      </c>
      <c r="LG74" s="186">
        <f t="shared" si="402"/>
        <v>25.822332211443282</v>
      </c>
      <c r="LH74" s="183">
        <f t="shared" si="403"/>
        <v>25.822332211443282</v>
      </c>
      <c r="LI74" s="183">
        <f t="shared" si="404"/>
        <v>25.996016547554831</v>
      </c>
      <c r="LJ74" s="183">
        <f t="shared" si="405"/>
        <v>25.996016547554831</v>
      </c>
      <c r="LK74" s="183">
        <f t="shared" si="406"/>
        <v>26.178076052073553</v>
      </c>
      <c r="LL74" s="183">
        <f t="shared" si="407"/>
        <v>26.178076052073553</v>
      </c>
      <c r="LM74" s="183">
        <f t="shared" si="408"/>
        <v>26.353971793945508</v>
      </c>
      <c r="LN74" s="183">
        <f t="shared" si="409"/>
        <v>26.353971793945508</v>
      </c>
      <c r="LO74" s="183">
        <f t="shared" si="410"/>
        <v>26.51960431386086</v>
      </c>
      <c r="LT74" s="165"/>
      <c r="MF74" s="165"/>
      <c r="MJ74"/>
      <c r="MK74"/>
      <c r="ML74"/>
      <c r="MM74"/>
      <c r="MN74"/>
      <c r="MO74"/>
      <c r="MP74"/>
      <c r="MQ74"/>
      <c r="MR74"/>
    </row>
    <row r="75" spans="1:356" x14ac:dyDescent="0.3">
      <c r="A75" s="184">
        <f>Sheet3!A75</f>
        <v>44960</v>
      </c>
      <c r="B75" s="186">
        <f t="shared" si="313"/>
        <v>0.77819301650125816</v>
      </c>
      <c r="C75" s="183">
        <f t="shared" si="257"/>
        <v>0.77514216782106959</v>
      </c>
      <c r="D75" s="183">
        <f t="shared" si="258"/>
        <v>0.77042787080310027</v>
      </c>
      <c r="E75" s="183">
        <f t="shared" si="259"/>
        <v>0.7661702087517186</v>
      </c>
      <c r="F75" s="183">
        <f t="shared" si="260"/>
        <v>0.76096759618213494</v>
      </c>
      <c r="G75" s="183">
        <f t="shared" si="261"/>
        <v>0.75734044786377575</v>
      </c>
      <c r="H75" s="183">
        <f t="shared" si="262"/>
        <v>0.75330700683896912</v>
      </c>
      <c r="I75" s="183">
        <f t="shared" si="263"/>
        <v>0.74859800806016508</v>
      </c>
      <c r="J75" s="183">
        <f t="shared" si="264"/>
        <v>0.74367911360992434</v>
      </c>
      <c r="K75" s="186">
        <f xml:space="preserve"> (6.057 * (10^(-6)))
+ (4.055 * (10^(-8)) * (Sheet3!DF75 + 273))
+ (1.25 * (10^(-10)) * (Sheet3!DF75 + 273)^2)
- (3.367 * (10^(-14)) * (DD75 + 273)^3)</f>
        <v>3.5902430445917221E-5</v>
      </c>
      <c r="L75" s="183">
        <f xml:space="preserve"> (6.057 * (10^(-6)))
+ (4.055 * (10^(-8)) * (Sheet3!BZ75 + 273))
+ (1.25 * (10^(-10)) * (Sheet3!BZ75 + 273)^2)
- (3.367 * (10^(-14)) * (BX75 + 273)^3)</f>
        <v>3.5726666590544139E-5</v>
      </c>
      <c r="M75" s="183">
        <f xml:space="preserve"> (6.057 * (10^(-6)))
+ (4.055 * (10^(-8)) * (Sheet3!CA75 + 273))
+ (1.25 * (10^(-10)) * (Sheet3!CA75 + 273)^2)
- (3.367 * (10^(-14)) * (BY75 + 273)^3)</f>
        <v>3.5406747085817979E-5</v>
      </c>
      <c r="N75" s="183">
        <f xml:space="preserve"> (6.057 * (10^(-6)))
+ (4.055 * (10^(-8)) * (Sheet3!CB75 + 273))
+ (1.25 * (10^(-10)) * (Sheet3!CB75 + 273)^2)
- (3.367 * (10^(-14)) * (BZ75 + 273)^3)</f>
        <v>3.5173562806031376E-5</v>
      </c>
      <c r="O75" s="183">
        <f xml:space="preserve"> (6.057 * (10^(-6)))
+ (4.055 * (10^(-8)) * (Sheet3!CC75 + 273))
+ (1.25 * (10^(-10)) * (Sheet3!CC75 + 273)^2)
- (3.367 * (10^(-14)) * (CA75 + 273)^3)</f>
        <v>3.4836051652457325E-5</v>
      </c>
      <c r="P75" s="183">
        <f xml:space="preserve"> (6.057 * (10^(-6)))
+ (4.055 * (10^(-8)) * (Sheet3!CD75 + 273))
+ (1.25 * (10^(-10)) * (Sheet3!CD75 + 273)^2)
- (3.367 * (10^(-14)) * (CB75 + 273)^3)</f>
        <v>3.4642082851505968E-5</v>
      </c>
      <c r="Q75" s="183">
        <f xml:space="preserve"> (6.057 * (10^(-6)))
+ (4.055 * (10^(-8)) * (Sheet3!CE75 + 273))
+ (1.25 * (10^(-10)) * (Sheet3!CE75 + 273)^2)
- (3.367 * (10^(-14)) * (CC75 + 273)^3)</f>
        <v>3.4374697638865642E-5</v>
      </c>
      <c r="R75" s="183">
        <f xml:space="preserve"> (6.057 * (10^(-6)))
+ (4.055 * (10^(-8)) * (Sheet3!CF75 + 273))
+ (1.25 * (10^(-10)) * (Sheet3!CF75 + 273)^2)
- (3.367 * (10^(-14)) * (CD75 + 273)^3)</f>
        <v>3.4128514077278673E-5</v>
      </c>
      <c r="S75" s="183">
        <f xml:space="preserve"> (6.057 * (10^(-6)))
+ (4.055 * (10^(-8)) * (Sheet3!CG75 + 273))
+ (1.25 * (10^(-10)) * (Sheet3!CG75 + 273)^2)
- (3.367 * (10^(-14)) * (CE75 + 273)^3)</f>
        <v>3.3812725587106119E-5</v>
      </c>
      <c r="T75" s="188">
        <f t="shared" si="314"/>
        <v>3.5902430445917221E-5</v>
      </c>
      <c r="U75" s="165">
        <f t="shared" si="315"/>
        <v>3.5726666590544139E-5</v>
      </c>
      <c r="V75" s="165">
        <f t="shared" si="316"/>
        <v>3.5406747085817979E-5</v>
      </c>
      <c r="W75" s="165">
        <f t="shared" si="317"/>
        <v>3.5173562806031376E-5</v>
      </c>
      <c r="X75" s="165">
        <f t="shared" si="318"/>
        <v>3.4836051652457325E-5</v>
      </c>
      <c r="Y75" s="165">
        <f t="shared" si="319"/>
        <v>3.4642082851505968E-5</v>
      </c>
      <c r="Z75" s="165">
        <f t="shared" si="320"/>
        <v>3.4374697638865642E-5</v>
      </c>
      <c r="AA75" s="165">
        <f t="shared" si="321"/>
        <v>3.4128514077278673E-5</v>
      </c>
      <c r="AB75" s="165">
        <f t="shared" si="322"/>
        <v>3.3812725587106119E-5</v>
      </c>
      <c r="AC75" s="186">
        <f t="shared" si="265"/>
        <v>2.7939020648434932E-5</v>
      </c>
      <c r="AD75" s="183">
        <f t="shared" si="266"/>
        <v>2.7693245790014966E-5</v>
      </c>
      <c r="AE75" s="183">
        <f t="shared" si="267"/>
        <v>2.7278344769390621E-5</v>
      </c>
      <c r="AF75" s="183">
        <f t="shared" si="268"/>
        <v>2.6948935957638744E-5</v>
      </c>
      <c r="AG75" s="183">
        <f t="shared" si="269"/>
        <v>2.6509106486447142E-5</v>
      </c>
      <c r="AH75" s="183">
        <f t="shared" si="270"/>
        <v>2.6235850541693556E-5</v>
      </c>
      <c r="AI75" s="183">
        <f t="shared" si="271"/>
        <v>2.5894700589328456E-5</v>
      </c>
      <c r="AJ75" s="183">
        <f t="shared" si="272"/>
        <v>2.5548537656304118E-5</v>
      </c>
      <c r="AK75" s="183">
        <f t="shared" si="273"/>
        <v>2.5145817793354686E-5</v>
      </c>
      <c r="AL75" s="186">
        <f t="shared" si="323"/>
        <v>2.9144772620951425E-2</v>
      </c>
      <c r="AM75" s="183">
        <f t="shared" si="324"/>
        <v>2.8988466670346387E-2</v>
      </c>
      <c r="AN75" s="183">
        <f t="shared" si="325"/>
        <v>2.8702052360741956E-2</v>
      </c>
      <c r="AO75" s="183">
        <f t="shared" si="326"/>
        <v>2.849043733468733E-2</v>
      </c>
      <c r="AP75" s="183">
        <f t="shared" si="327"/>
        <v>2.8185682203501771E-2</v>
      </c>
      <c r="AQ75" s="183">
        <f t="shared" si="328"/>
        <v>2.8008044305859646E-2</v>
      </c>
      <c r="AR75" s="183">
        <f t="shared" si="329"/>
        <v>2.7765522108906655E-2</v>
      </c>
      <c r="AS75" s="183">
        <f t="shared" si="330"/>
        <v>2.7538202826787053E-2</v>
      </c>
      <c r="AT75" s="183">
        <f t="shared" si="331"/>
        <v>2.7253722917938365E-2</v>
      </c>
      <c r="AU75" s="186">
        <f>_xlfn.FORECAST.LINEAR(Sheet3!DF75,Sheet2!$AH$2:$AH$40,Sheet2!$AG$2:$AG$40)</f>
        <v>2.5653712965492358E-2</v>
      </c>
      <c r="AV75" s="183">
        <f>_xlfn.FORECAST.LINEAR(Sheet3!BZ75,Sheet2!$AH$2:$AH$40,Sheet2!$AG$2:$AG$40)</f>
        <v>2.53137949466531E-2</v>
      </c>
      <c r="AW75" s="183">
        <f>_xlfn.FORECAST.LINEAR(Sheet3!CA75,Sheet2!$AH$2:$AH$40,Sheet2!$AG$2:$AG$40)</f>
        <v>2.468549011155928E-2</v>
      </c>
      <c r="AX75" s="183">
        <f>_xlfn.FORECAST.LINEAR(Sheet3!CB75,Sheet2!$AH$2:$AH$40,Sheet2!$AG$2:$AG$40)</f>
        <v>2.4225596107373331E-2</v>
      </c>
      <c r="AY75" s="183">
        <f>_xlfn.FORECAST.LINEAR(Sheet3!CC75,Sheet2!$AH$2:$AH$40,Sheet2!$AG$2:$AG$40)</f>
        <v>2.3557111927534458E-2</v>
      </c>
      <c r="AZ75" s="183">
        <f>_xlfn.FORECAST.LINEAR(Sheet3!CD75,Sheet2!$AH$2:$AH$40,Sheet2!$AG$2:$AG$40)</f>
        <v>2.3171343137087658E-2</v>
      </c>
      <c r="BA75" s="183">
        <f>_xlfn.FORECAST.LINEAR(Sheet3!CE75,Sheet2!$AH$2:$AH$40,Sheet2!$AG$2:$AG$40)</f>
        <v>2.263771291589807E-2</v>
      </c>
      <c r="BB75" s="183">
        <f>_xlfn.FORECAST.LINEAR(Sheet3!CF75,Sheet2!$AH$2:$AH$40,Sheet2!$AG$2:$AG$40)</f>
        <v>2.214441232612082E-2</v>
      </c>
      <c r="BC75" s="183">
        <f>_xlfn.FORECAST.LINEAR(Sheet3!CG75,Sheet2!$AH$2:$AH$40,Sheet2!$AG$2:$AG$40)</f>
        <v>2.1519755795971499E-2</v>
      </c>
      <c r="BD75" s="186">
        <f>_xlfn.FORECAST.LINEAR(Sheet3!DF75,Sheet2!$AB$12:$AB$37,Sheet2!$AA$12:$AA$37)/1000</f>
        <v>3.0506351161118033E-2</v>
      </c>
      <c r="BE75" s="183">
        <f>_xlfn.FORECAST.LINEAR(Sheet3!BZ75,Sheet2!$AB$12:$AB$37,Sheet2!$AA$12:$AA$37)/1000</f>
        <v>3.0430353360028042E-2</v>
      </c>
      <c r="BF75" s="183">
        <f>_xlfn.FORECAST.LINEAR(Sheet3!CA75,Sheet2!$AB$12:$AB$37,Sheet2!$AA$12:$AA$37)/1000</f>
        <v>3.0289878941977502E-2</v>
      </c>
      <c r="BG75" s="183">
        <f>_xlfn.FORECAST.LINEAR(Sheet3!CB75,Sheet2!$AB$12:$AB$37,Sheet2!$AA$12:$AA$37)/1000</f>
        <v>3.0187057287591686E-2</v>
      </c>
      <c r="BH75" s="183">
        <f>_xlfn.FORECAST.LINEAR(Sheet3!CC75,Sheet2!$AB$12:$AB$37,Sheet2!$AA$12:$AA$37)/1000</f>
        <v>3.0037599698068539E-2</v>
      </c>
      <c r="BI75" s="183">
        <f>_xlfn.FORECAST.LINEAR(Sheet3!CD75,Sheet2!$AB$12:$AB$37,Sheet2!$AA$12:$AA$37)/1000</f>
        <v>2.9951350725733347E-2</v>
      </c>
      <c r="BJ75" s="183">
        <f>_xlfn.FORECAST.LINEAR(Sheet3!CE75,Sheet2!$AB$12:$AB$37,Sheet2!$AA$12:$AA$37)/1000</f>
        <v>2.9832043359963038E-2</v>
      </c>
      <c r="BK75" s="183">
        <f>_xlfn.FORECAST.LINEAR(Sheet3!CF75,Sheet2!$AB$12:$AB$37,Sheet2!$AA$12:$AA$37)/1000</f>
        <v>2.9721752766285525E-2</v>
      </c>
      <c r="BL75" s="183">
        <f>_xlfn.FORECAST.LINEAR(Sheet3!CG75,Sheet2!$AB$12:$AB$37,Sheet2!$AA$12:$AA$37)/1000</f>
        <v>2.9582094024774977E-2</v>
      </c>
      <c r="BM75" s="186">
        <f t="shared" si="332"/>
        <v>0.87906103433412119</v>
      </c>
      <c r="BN75" s="183">
        <f t="shared" si="333"/>
        <v>0.88236160638210603</v>
      </c>
      <c r="BO75" s="183">
        <f t="shared" si="334"/>
        <v>0.88870974794778379</v>
      </c>
      <c r="BP75" s="183">
        <f t="shared" si="335"/>
        <v>0.89327763978422225</v>
      </c>
      <c r="BQ75" s="183">
        <f t="shared" si="336"/>
        <v>0.90018318947423737</v>
      </c>
      <c r="BR75" s="183">
        <f t="shared" si="337"/>
        <v>0.90411042963987909</v>
      </c>
      <c r="BS75" s="183">
        <f t="shared" si="338"/>
        <v>0.90977930568415355</v>
      </c>
      <c r="BT75" s="183">
        <f t="shared" si="339"/>
        <v>0.91491311049245461</v>
      </c>
      <c r="BU75" s="183">
        <f t="shared" si="340"/>
        <v>0.92167121552216824</v>
      </c>
      <c r="BV75" s="186">
        <f t="shared" si="341"/>
        <v>1.1866713658357544</v>
      </c>
      <c r="BW75" s="183">
        <f t="shared" si="342"/>
        <v>1.1863280010977866</v>
      </c>
      <c r="BX75" s="183">
        <f t="shared" si="343"/>
        <v>1.1839544507082675</v>
      </c>
      <c r="BY75" s="183">
        <f t="shared" si="344"/>
        <v>1.1835075436680011</v>
      </c>
      <c r="BZ75" s="183">
        <f t="shared" si="345"/>
        <v>1.1811432239058874</v>
      </c>
      <c r="CA75" s="183">
        <f t="shared" si="346"/>
        <v>1.1807723026878925</v>
      </c>
      <c r="CB75" s="183">
        <f t="shared" si="347"/>
        <v>1.1785795378630812</v>
      </c>
      <c r="CC75" s="183">
        <f t="shared" si="348"/>
        <v>1.1781204544303541</v>
      </c>
      <c r="CD75" s="183">
        <f t="shared" si="349"/>
        <v>1.1759369788919523</v>
      </c>
      <c r="CE75" s="187">
        <f xml:space="preserve"> -0.0000000019505*Sheet3!DF75^3 + 0.0000015497*Sheet3!DF75^2  + 0.00016911*Sheet3!DF75 + 1.8585</f>
        <v>1.8828730816875001</v>
      </c>
      <c r="CF75" s="185">
        <f xml:space="preserve"> -0.0000000019505*Sheet3!BZ75^3 + 0.0000015497*Sheet3!BZ75^2  + 0.00016911*Sheet3!BZ75 + 1.8585</f>
        <v>1.8823529681116546</v>
      </c>
      <c r="CG75" s="185">
        <f xml:space="preserve"> -0.0000000019505*Sheet3!CA75^3 + 0.0000015497*Sheet3!CA75^2  + 0.00016911*Sheet3!CA75 + 1.8585</f>
        <v>1.8814015954944463</v>
      </c>
      <c r="CH75" s="185">
        <f xml:space="preserve"> -0.0000000019505*Sheet3!CB75^3 + 0.0000015497*Sheet3!CB75^2  + 0.00016911*Sheet3!CB75 + 1.8585</f>
        <v>1.8807135451582415</v>
      </c>
      <c r="CI75" s="185">
        <f xml:space="preserve"> -0.0000000019505*Sheet3!CC75^3 + 0.0000015497*Sheet3!CC75^2  + 0.00016911*Sheet3!CC75 + 1.8585</f>
        <v>1.8797261138624606</v>
      </c>
      <c r="CJ75" s="185">
        <f xml:space="preserve"> -0.0000000019505*Sheet3!CD75^3 + 0.0000015497*Sheet3!CD75^2  + 0.00016911*Sheet3!CD75 + 1.8585</f>
        <v>1.8791632034895911</v>
      </c>
      <c r="CK75" s="185">
        <f xml:space="preserve"> -0.0000000019505*Sheet3!CE75^3 + 0.0000015497*Sheet3!CE75^2  + 0.00016911*Sheet3!CE75 + 1.8585</f>
        <v>1.8783929711790157</v>
      </c>
      <c r="CL75" s="185">
        <f xml:space="preserve"> -0.0000000019505*Sheet3!CF75^3 + 0.0000015497*Sheet3!CF75^2  + 0.00016911*Sheet3!CF75 + 1.8585</f>
        <v>1.8776897456558328</v>
      </c>
      <c r="CM75" s="185">
        <f xml:space="preserve"> -0.0000000019505*Sheet3!CG75^3 + 0.0000015497*Sheet3!CG75^2  + 0.00016911*Sheet3!CG75 + 1.8585</f>
        <v>1.8768115275777872</v>
      </c>
      <c r="CN75" s="186">
        <f>_xlfn.FORECAST.LINEAR(Sheet3!DF75,New!$LU$2:$LU$14,New!$LT$2:$LT$14)</f>
        <v>1.0126209368728181</v>
      </c>
      <c r="CO75" s="183">
        <f>_xlfn.FORECAST.LINEAR(Sheet3!BZ75,New!$LU$2:$LU$14,New!$LT$2:$LT$14)</f>
        <v>1.0123707527514731</v>
      </c>
      <c r="CP75" s="183">
        <f>_xlfn.FORECAST.LINEAR(Sheet3!CA75,New!$LU$2:$LU$14,New!$LT$2:$LT$14)</f>
        <v>1.0119083121499377</v>
      </c>
      <c r="CQ75" s="183">
        <f>_xlfn.FORECAST.LINEAR(Sheet3!CB75,New!$LU$2:$LU$14,New!$LT$2:$LT$14)</f>
        <v>1.0115698241293791</v>
      </c>
      <c r="CR75" s="183">
        <f>_xlfn.FORECAST.LINEAR(Sheet3!CC75,New!$LU$2:$LU$14,New!$LT$2:$LT$14)</f>
        <v>1.0110778110029874</v>
      </c>
      <c r="CS75" s="183">
        <f>_xlfn.FORECAST.LINEAR(Sheet3!CD75,New!$LU$2:$LU$14,New!$LT$2:$LT$14)</f>
        <v>1.0107938801122103</v>
      </c>
      <c r="CT75" s="183">
        <f>_xlfn.FORECAST.LINEAR(Sheet3!CE75,New!$LU$2:$LU$14,New!$LT$2:$LT$14)</f>
        <v>1.0104011212685711</v>
      </c>
      <c r="CU75" s="183">
        <f>_xlfn.FORECAST.LINEAR(Sheet3!CF75,New!$LU$2:$LU$14,New!$LT$2:$LT$14)</f>
        <v>1.0100380455627469</v>
      </c>
      <c r="CV75" s="183">
        <f>_xlfn.FORECAST.LINEAR(Sheet3!CG75,New!$LU$2:$LU$14,New!$LT$2:$LT$14)</f>
        <v>1.0095782901615138</v>
      </c>
      <c r="CW75" s="186">
        <f>EXP((17.625*Sheet3!BA75)/(243.04+Sheet3!BA75)) / EXP((17.625*Sheet3!DF75)/(243.04+Sheet3!DF75))</f>
        <v>0.42008314077038528</v>
      </c>
      <c r="CX75" s="183">
        <f>EXP((17.625*(Sheet3!BC75+273))/(243.04+(Sheet3!BC75+273)))/EXP((17.625*(Sheet3!BZ75+273))/(243.04+(Sheet3!BZ75+273)))</f>
        <v>0.79061405958059339</v>
      </c>
      <c r="CY75" s="183">
        <f>EXP((17.625*(Sheet3!BE75+273))/(243.04+(Sheet3!BE75+273))) / EXP((17.625*(Sheet3!CA75+273))/(243.04+(Sheet3!CA75+273)))</f>
        <v>0.81261300065750208</v>
      </c>
      <c r="CZ75" s="183">
        <f>EXP((17.625*(Sheet3!BG75+273))/(243.04+(Sheet3!BG75+273))) / EXP((17.625*(Sheet3!CB75+273))/(243.04+(Sheet3!CB75+273)))</f>
        <v>0.83048915981826721</v>
      </c>
      <c r="DA75" s="183">
        <f>EXP((17.625*(Sheet3!BI75+273))/(243.04+(Sheet3!BI75+273))) / EXP((17.625*(Sheet3!CC75+273))/(243.04+(Sheet3!CC75+273)))</f>
        <v>0.8556303811983722</v>
      </c>
      <c r="DB75" s="183">
        <f>EXP((17.625*(Sheet3!BK75+273))/(243.04+(Sheet3!BK75+273)))/EXP((17.625*(Sheet3!CD75+273))/(243.04+(Sheet3!CD75+273)))</f>
        <v>0.87161792122472348</v>
      </c>
      <c r="DC75" s="183">
        <f>EXP((17.625*(Sheet3!BM75+273))/(243.04+(Sheet3!BM75+273))) / EXP((17.625*(Sheet3!CE75+273))/(243.04+(Sheet3!CE75+273)))</f>
        <v>0.89257309691000752</v>
      </c>
      <c r="DD75" s="183">
        <f>EXP((17.625*(Sheet3!BO75+273))/(243.04+(Sheet3!BO75+273))) / EXP((17.625*(Sheet3!CF75+273))/(243.04+(Sheet3!CF75+273)))</f>
        <v>0.91424806824895455</v>
      </c>
      <c r="DE75" s="183">
        <f>EXP((17.625*(Sheet3!BQ75+273))/(243.04+(Sheet3!BQ75+273))) / EXP((17.625*(Sheet3!CG75+273))/(243.04+(Sheet3!CG75+273)))</f>
        <v>0.94085420951460175</v>
      </c>
      <c r="DF75" s="186">
        <f>((Sheet3!DA75-Sheet3!DB75)/New!$LQ$3)/(((Sheet3!DA75-Sheet3!DB75)/New!$LQ$3)+(Sheet3!DB75/New!$LP$3))</f>
        <v>0.71332409423876464</v>
      </c>
      <c r="DG75" s="183">
        <f>((Sheet3!DA75-Sheet3!DB75)/New!$LQ$3)/(((Sheet3!DA75-Sheet3!DB75)/New!$LQ$3)+((Sheet3!DB75-(Sheet3!B75*0.004))/New!$LP$3))</f>
        <v>0.7134979555105212</v>
      </c>
      <c r="DH75" s="183" cm="1">
        <f t="array" ref="DH75">((Sheet3!DA75-Sheet3!DB75)/New!$LQ$3)/(((Sheet3!DA75-Sheet3!DB75)/New!$LQ$3)+((Sheet3!DB75-(SUM(Sheet3!B75:C75*0.004)))/New!$LP$3))</f>
        <v>0.72163008364660053</v>
      </c>
      <c r="DI75" s="183" cm="1">
        <f t="array" ref="DI75">((Sheet3!DA75-Sheet3!DB75)/New!$LQ$3)/(((Sheet3!DA75-Sheet3!DB75)/New!$LQ$3)+((Sheet3!DB75-(SUM(Sheet3!B75:D75*0.004)))/New!$LP$3))</f>
        <v>0.72180801789875548</v>
      </c>
      <c r="DJ75" s="183" cm="1">
        <f t="array" ref="DJ75">((Sheet3!DA75-Sheet3!DB75)/New!$LQ$3)/(((Sheet3!DA75-Sheet3!DB75)/New!$LQ$3)+((Sheet3!DB75-(SUM(Sheet3!B75:E75*0.004)))/New!$LP$3))</f>
        <v>0.72993901494253843</v>
      </c>
      <c r="DK75" s="183" cm="1">
        <f t="array" ref="DK75">((Sheet3!DA75-Sheet3!DB75)/New!$LQ$3)/(((Sheet3!DA75-Sheet3!DB75)/New!$LQ$3)+((Sheet3!DB75-(SUM(Sheet3!B75:F75*0.004)))/New!$LP$3))</f>
        <v>0.73008893670682118</v>
      </c>
      <c r="DL75" s="183" cm="1">
        <f t="array" ref="DL75">((Sheet3!DA75-Sheet3!DB75)/New!$LQ$3)/(((Sheet3!DA75-Sheet3!DB75)/New!$LQ$3)+((Sheet3!DB75-(SUM(Sheet3!B75:G75*0.004)))/New!$LP$3))</f>
        <v>0.73816768219527251</v>
      </c>
      <c r="DM75" s="183" cm="1">
        <f t="array" ref="DM75">((Sheet3!DA75-Sheet3!DB75)/New!$LQ$3)/(((Sheet3!DA75-Sheet3!DB75)/New!$LQ$3)+((Sheet3!DB75-(SUM(Sheet3!B75:H75*0.004)))/New!$LP$3))</f>
        <v>0.73831004989361215</v>
      </c>
      <c r="DN75" s="183" cm="1">
        <f t="array" ref="DN75">((Sheet3!DA75-Sheet3!DB75)/New!$LQ$3)/(((Sheet3!DA75-Sheet3!DB75)/New!$LQ$3)+((Sheet3!DB75-(SUM(Sheet3!B75:I75*0.004)))/New!$LP$3))</f>
        <v>0.74615861886723056</v>
      </c>
      <c r="DO75" s="186">
        <f>(Sheet3!DB75/$LP$3) / ((Sheet3!DB75/$LP$3) + ((Sheet3!DA75-Sheet3!DB75)/$LQ$3))</f>
        <v>0.28667590576123542</v>
      </c>
      <c r="DP75" s="183">
        <f>((Sheet3!$DB75-(Sheet3!B75/4000)) / $LP$3) / (((Sheet3!$DA75-Sheet3!DB75) / $LQ$3) + (Sheet3!$DB75-((Sheet3!B75/4000)))/$LP$3)</f>
        <v>0.28666504191414555</v>
      </c>
      <c r="DQ75" s="183">
        <f>((Sheet3!$DB75-(SUM(Sheet3!B75:C75)/4000))/$LP$3)/(((Sheet3!$DA75-Sheet3!$DB75)/$LQ$3)+(Sheet3!$DB75-(SUM(Sheet3!B75:C75)/4000))/$LP$3)</f>
        <v>0.28616238715024539</v>
      </c>
      <c r="DR75" s="183">
        <f>((Sheet3!$DB75-(SUM(Sheet3!B75:D75)/4000))/$LP$3)/(((Sheet3!$DA75-Sheet3!$DB75)/$LQ$3)+(Sheet3!$DB75-(SUM(Sheet3!B75:D75)/4000))/$LP$3)</f>
        <v>0.28615150765574277</v>
      </c>
      <c r="DS75" s="183">
        <f>((Sheet3!$DB75-(SUM(Sheet3!B75:E75)/4000))/$LP$3)/(((Sheet3!$DA75-Sheet3!$DB75)/$LQ$3)+(Sheet3!$DB75-(SUM(Sheet3!B75:E75)/4000))/$LP$3)</f>
        <v>0.28565966435362217</v>
      </c>
      <c r="DT75" s="183">
        <f>((Sheet3!$DB75-(SUM(Sheet3!B75:F75)/4000))/$LP$3)/(((Sheet3!$DA75-Sheet3!$DB75)/$LQ$3)+(Sheet3!$DB75-(SUM(Sheet3!B75:F75)/4000))/$LP$3)</f>
        <v>0.28565069216988204</v>
      </c>
      <c r="DU75" s="183">
        <f>((Sheet3!$DB75-(SUM(Sheet3!B75:G75)/4000))/$LP$3)/(((Sheet3!$DA75-Sheet3!$DB75)/$LQ$3)+(Sheet3!$DB75-(SUM(Sheet3!B75:G75)/4000))/$LP$3)</f>
        <v>0.28517227675486778</v>
      </c>
      <c r="DV75" s="183">
        <f>((Sheet3!$DB75-(SUM(Sheet3!B75:H75)/4000))/$LP$3)/(((Sheet3!$DA75-Sheet3!$DB75)/$LQ$3)+(Sheet3!$DB75-(SUM(Sheet3!B75:H75)/4000))/$LP$3)</f>
        <v>0.28516393407618318</v>
      </c>
      <c r="DW75" s="183">
        <f>((Sheet3!$DB75-(SUM(Sheet3!B75:I75)/4000))/$LP$3)/(((Sheet3!$DA75-Sheet3!$DB75)/$LQ$3)+(Sheet3!$DB75-(SUM(Sheet3!B75:I75)/4000))/$LP$3)</f>
        <v>0.28470864210631169</v>
      </c>
      <c r="DX75" s="186">
        <f>($LR$2*($LP$3/1000))/($LP$2*(Sheet3!DF75+273))*DO75</f>
        <v>0.17581220686682425</v>
      </c>
      <c r="DY75" s="183">
        <f>(($LR$2*($LP$3/1000))/($LP$2*(Sheet3!BZ75+273)))*(DP75)</f>
        <v>0.17646482112307782</v>
      </c>
      <c r="DZ75" s="183">
        <f>(($LR$2*($LP$3/1000))/($LP$2*(Sheet3!CA75+273)))*(DQ75)</f>
        <v>0.17738495345832239</v>
      </c>
      <c r="EA75" s="183">
        <f>(($LR$2*($LP$3/1000))/($LP$2*(Sheet3!CB75+273)))*(DR75)</f>
        <v>0.17828909632832332</v>
      </c>
      <c r="EB75" s="183">
        <f>(($LR$2*($LP$3/1000))/($LP$2*(Sheet3!CC75+273)))*(DS75)</f>
        <v>0.17932118235277941</v>
      </c>
      <c r="EC75" s="183">
        <f>(($LR$2*($LP$3/1000))/($LP$2*(Sheet3!CD75+273)))*(DT75)</f>
        <v>0.18009716764940789</v>
      </c>
      <c r="ED75" s="183">
        <f>(($LR$2*($LP$3/1000))/($LP$2*(Sheet3!CE75+273)))*(DU75)</f>
        <v>0.18088621051967682</v>
      </c>
      <c r="EE75" s="183">
        <f>(($LR$2*($LP$3/1000))/($LP$2*(Sheet3!CF75+273)))*(DV75)</f>
        <v>0.18190097106024122</v>
      </c>
      <c r="EF75" s="183">
        <f>(($LR$2*($LP$3/1000))/($LP$2*(Sheet3!CG75+273)))*(DW75)</f>
        <v>0.18291675798904194</v>
      </c>
      <c r="EG75" s="186">
        <f>(($LR$2*($LQ$3/1000))/($LQ$2*(Sheet3!DF75+273)))*(1-DO75)</f>
        <v>0.703248827467297</v>
      </c>
      <c r="EH75" s="183">
        <f>(($LR$2*($LQ$3/1000))/($LQ$2*(Sheet3!BZ75+273)))*(1-DP75)</f>
        <v>0.70589678525902821</v>
      </c>
      <c r="EI75" s="183">
        <f>(($LR$2*($LQ$3/1000))/($LQ$2*(Sheet3!CA75+273)))*(1-DQ75)</f>
        <v>0.7113247944894614</v>
      </c>
      <c r="EJ75" s="183">
        <f>(($LR$2*($LQ$3/1000))/($LQ$2*(Sheet3!CB75+273)))*(1-DR75)</f>
        <v>0.71498854345589891</v>
      </c>
      <c r="EK75" s="183">
        <f>(($LR$2*($LQ$3/1000))/($LQ$2*(Sheet3!CC75+273)))*(1-DS75)</f>
        <v>0.72086200712145798</v>
      </c>
      <c r="EL75" s="183">
        <f>(($LR$2*($LQ$3/1000))/($LQ$2*(Sheet3!CD75+273)))*(1-DT75)</f>
        <v>0.72401326199047122</v>
      </c>
      <c r="EM75" s="183">
        <f>(($LR$2*($LQ$3/1000))/($LQ$2*(Sheet3!CE75+273)))*(1-DU75)</f>
        <v>0.72889309516447676</v>
      </c>
      <c r="EN75" s="183">
        <f>(($LR$2*($LQ$3/1000))/($LQ$2*(Sheet3!CF75+273)))*(1-DV75)</f>
        <v>0.73301213943221333</v>
      </c>
      <c r="EO75" s="183">
        <f>(($LR$2*($LQ$3/1000))/($LQ$2*(Sheet3!CG75+273)))*(1-DW75)</f>
        <v>0.7387544575331263</v>
      </c>
      <c r="EP75" s="186">
        <f t="shared" si="350"/>
        <v>9969.3627347426354</v>
      </c>
      <c r="EQ75" s="183">
        <f xml:space="preserve"> (($FV75-(Sheet3!B75/4000))*0.018)/(0.011*JO75*3600)</f>
        <v>9999.037562352898</v>
      </c>
      <c r="ER75" s="183">
        <f>((($FV75-(SUM(Sheet3!B75:C75)/4000))*0.018)/(0.011*JP75*3600))</f>
        <v>10047.152548782096</v>
      </c>
      <c r="ES75" s="183">
        <f>((($FV75-(SUM(Sheet3!B75:D75)/4000))*0.018)/(0.011*JQ75*3600))</f>
        <v>10088.075652730999</v>
      </c>
      <c r="ET75" s="183">
        <f>((($FV75-(SUM(Sheet3!B75:E75)/4000))*0.018)/(0.011*JR75))/3600</f>
        <v>10140.973632542717</v>
      </c>
      <c r="EU75" s="183">
        <f>((($FV75-(SUM(Sheet3!B75:F75)/4000))*0.018)/(0.011*JS75))/3600</f>
        <v>10175.963660224368</v>
      </c>
      <c r="EV75" s="183">
        <f>((($FV75-(SUM(Sheet3!B75:G75)/4000))*0.018)/(0.011*JT75))/3600</f>
        <v>10217.661004308598</v>
      </c>
      <c r="EW75" s="183">
        <f>((($FV75-(SUM(Sheet3!B75:H75)/4000))*0.018)/(0.011*JU75))/3600</f>
        <v>10263.224021116723</v>
      </c>
      <c r="EX75" s="183">
        <f>((($FV75-(SUM(Sheet3!B75:I75)/4000))*0.018)/(0.011*JV75))/3600</f>
        <v>10314.652202949728</v>
      </c>
      <c r="EY75" s="186">
        <f t="shared" si="351"/>
        <v>80.166056119196895</v>
      </c>
      <c r="EZ75" s="183">
        <f t="shared" si="352"/>
        <v>80.377201649561414</v>
      </c>
      <c r="FA75" s="183">
        <f t="shared" si="353"/>
        <v>80.697160652838321</v>
      </c>
      <c r="FB75" s="183">
        <f t="shared" si="354"/>
        <v>80.989960390309804</v>
      </c>
      <c r="FC75" s="183">
        <f t="shared" si="355"/>
        <v>81.346354724290705</v>
      </c>
      <c r="FD75" s="183">
        <f t="shared" si="356"/>
        <v>81.598089031050947</v>
      </c>
      <c r="FE75" s="183">
        <f t="shared" si="357"/>
        <v>81.875806458087652</v>
      </c>
      <c r="FF75" s="183">
        <f t="shared" si="358"/>
        <v>82.205414307176895</v>
      </c>
      <c r="FG75" s="183">
        <f t="shared" si="359"/>
        <v>82.55637476791803</v>
      </c>
      <c r="FH75" s="186">
        <f t="shared" si="274"/>
        <v>129.80119319513474</v>
      </c>
      <c r="FI75" s="183">
        <f t="shared" si="275"/>
        <v>129.44510172633457</v>
      </c>
      <c r="FJ75" s="183">
        <f t="shared" si="276"/>
        <v>128.67634057894284</v>
      </c>
      <c r="FK75" s="183">
        <f t="shared" si="277"/>
        <v>128.1910772910517</v>
      </c>
      <c r="FL75" s="183">
        <f t="shared" si="278"/>
        <v>127.37791681512127</v>
      </c>
      <c r="FM75" s="183">
        <f t="shared" si="279"/>
        <v>126.96682738084196</v>
      </c>
      <c r="FN75" s="183">
        <f t="shared" si="280"/>
        <v>126.29580635536641</v>
      </c>
      <c r="FO75" s="183">
        <f t="shared" si="281"/>
        <v>125.76607625839445</v>
      </c>
      <c r="FP75" s="183">
        <f t="shared" si="282"/>
        <v>124.99825350190646</v>
      </c>
      <c r="FQ75" s="314">
        <f>Sheet3!CV75</f>
        <v>3</v>
      </c>
      <c r="FR75" s="183">
        <v>10000</v>
      </c>
      <c r="FS75" s="183">
        <v>20</v>
      </c>
      <c r="FT75" s="183">
        <v>0.33490909090909093</v>
      </c>
      <c r="FU75" s="183">
        <v>25.3</v>
      </c>
      <c r="FV75" s="183">
        <v>400</v>
      </c>
      <c r="FW75" s="183">
        <v>80</v>
      </c>
      <c r="FX75" s="183">
        <v>1200</v>
      </c>
      <c r="FY75" s="183">
        <v>6.9</v>
      </c>
      <c r="FZ75" s="183">
        <v>10.199999999999999</v>
      </c>
      <c r="GA75" s="183">
        <v>85</v>
      </c>
      <c r="GB75" s="186">
        <f>EXP($LP$6-($LQ$6/('Trial and Error method'!T75+$LP$8))) / ($LR$2/1000)</f>
        <v>3.5016094799413658E-2</v>
      </c>
      <c r="GC75" s="183">
        <f>EXP($LP$6-($LQ$6/('Trial and Error method'!U75+$LP$8))) / ($LR$2/1000)</f>
        <v>5.1805541550893147E-2</v>
      </c>
      <c r="GD75" s="183">
        <f>EXP($LP$6-($LQ$6/('Trial and Error method'!V75+$LP$8))) / ($LR$2/1000)</f>
        <v>4.8915735445789067E-2</v>
      </c>
      <c r="GE75" s="183">
        <f>EXP($LP$6-($LQ$6/('Trial and Error method'!W75+$LP$8))) / ($LR$2/1000)</f>
        <v>4.6604616193696866E-2</v>
      </c>
      <c r="GF75" s="183">
        <f>EXP($LP$6-($LQ$6/('Trial and Error method'!X75+$LP$8))) / ($LR$2/1000)</f>
        <v>4.4453232026694413E-2</v>
      </c>
      <c r="GG75" s="183">
        <f>EXP($LP$6-($LQ$6/('Trial and Error method'!Y75+$LP$8))) / ($LR$2/1000)</f>
        <v>4.2668168412054237E-2</v>
      </c>
      <c r="GH75" s="183">
        <f>EXP($LP$6-($LQ$6/('Trial and Error method'!Z75+$LP$8))) / ($LR$2/1000)</f>
        <v>4.0867290671253283E-2</v>
      </c>
      <c r="GI75" s="183">
        <f>EXP($LP$6-($LQ$6/('Trial and Error method'!AA75+$LP$8))) / ($LR$2/1000)</f>
        <v>3.9211266288008556E-2</v>
      </c>
      <c r="GJ75" s="183">
        <f>EXP($LP$6-($LQ$6/('Trial and Error method'!AB75+$LP$8))) / ($LR$2/1000)</f>
        <v>3.742177824363159E-2</v>
      </c>
      <c r="GK75" s="188">
        <f t="shared" si="411"/>
        <v>0.83282650258643587</v>
      </c>
      <c r="GL75" s="165">
        <f t="shared" si="360"/>
        <v>0.82520196279727653</v>
      </c>
      <c r="GM75" s="165">
        <f t="shared" si="361"/>
        <v>0.826795604297623</v>
      </c>
      <c r="GN75" s="165">
        <f t="shared" si="362"/>
        <v>0.82785372945044577</v>
      </c>
      <c r="GO75" s="165">
        <f t="shared" si="363"/>
        <v>0.82910405177252122</v>
      </c>
      <c r="GP75" s="165">
        <f t="shared" si="364"/>
        <v>0.82992069378053612</v>
      </c>
      <c r="GQ75" s="165">
        <f t="shared" si="365"/>
        <v>0.83100359475307506</v>
      </c>
      <c r="GR75" s="165">
        <f t="shared" si="366"/>
        <v>0.83176050343169594</v>
      </c>
      <c r="GS75" s="165">
        <f t="shared" si="367"/>
        <v>0.83282494989767819</v>
      </c>
      <c r="GT75" s="188">
        <f t="shared" si="283"/>
        <v>9.6569023712109486E-2</v>
      </c>
      <c r="GU75" s="165">
        <f t="shared" si="284"/>
        <v>9.7476977495351322E-2</v>
      </c>
      <c r="GV75" s="165">
        <f t="shared" si="285"/>
        <v>9.7300095553479543E-2</v>
      </c>
      <c r="GW75" s="165">
        <f t="shared" si="286"/>
        <v>9.7204273494853208E-2</v>
      </c>
      <c r="GX75" s="165">
        <f t="shared" si="287"/>
        <v>9.707501687343216E-2</v>
      </c>
      <c r="GY75" s="165">
        <f t="shared" si="288"/>
        <v>9.7005373185402213E-2</v>
      </c>
      <c r="GZ75" s="165">
        <f t="shared" si="289"/>
        <v>9.6890567984475678E-2</v>
      </c>
      <c r="HA75" s="165">
        <f t="shared" si="290"/>
        <v>9.6837919971315467E-2</v>
      </c>
      <c r="HB75" s="165">
        <f t="shared" si="291"/>
        <v>9.6726355107062456E-2</v>
      </c>
      <c r="HC75" s="188">
        <f>BV75*Sheet3!DF75</f>
        <v>100.86706609603912</v>
      </c>
      <c r="HD75" s="165">
        <f>BW75*Sheet3!BZ75</f>
        <v>99.25117039959855</v>
      </c>
      <c r="HE75" s="165">
        <f>BX75*Sheet3!CA75</f>
        <v>96.125585274434869</v>
      </c>
      <c r="HF75" s="165">
        <f>BY75*Sheet3!CB75</f>
        <v>93.947656749789047</v>
      </c>
      <c r="HG75" s="165">
        <f>BZ75*Sheet3!CC75</f>
        <v>90.653183211950775</v>
      </c>
      <c r="HH75" s="165">
        <f>CA75*Sheet3!CD75</f>
        <v>88.832410541736152</v>
      </c>
      <c r="HI75" s="165">
        <f>CB75*Sheet3!CE75</f>
        <v>86.192770435329209</v>
      </c>
      <c r="HJ75" s="165">
        <f>CC75*Sheet3!CF75</f>
        <v>83.872440342879329</v>
      </c>
      <c r="HK75" s="165">
        <f>CD75*Sheet3!CG75</f>
        <v>80.82668883288693</v>
      </c>
      <c r="HL75" s="188">
        <f>(CE75*Sheet3!DF75)+2501</f>
        <v>2661.0442119434374</v>
      </c>
      <c r="HM75" s="165">
        <f>(CF75*Sheet3!BZ75)+2501</f>
        <v>2658.4823615537675</v>
      </c>
      <c r="HN75" s="165">
        <f>(CG75*Sheet3!CA75)+2501</f>
        <v>2653.7515094816108</v>
      </c>
      <c r="HO75" s="165">
        <f>(CH75*Sheet3!CB75)+2501</f>
        <v>2650.2923568848582</v>
      </c>
      <c r="HP75" s="165">
        <f>(CI75*Sheet3!CC75)+2501</f>
        <v>2645.2696807121838</v>
      </c>
      <c r="HQ75" s="165">
        <f>(CJ75*Sheet3!CD75)+2501</f>
        <v>2642.3740793100524</v>
      </c>
      <c r="HR75" s="165">
        <f>(CK75*Sheet3!CE75)+2501</f>
        <v>2638.3720558951172</v>
      </c>
      <c r="HS75" s="165">
        <f>(CL75*Sheet3!CF75)+2501</f>
        <v>2634.6759926225905</v>
      </c>
      <c r="HT75" s="165">
        <f>(CM75*Sheet3!CG75)+2501</f>
        <v>2630.0005026293534</v>
      </c>
      <c r="HU75" s="188">
        <f>-0.0021*(Sheet3!DF75^2) - 2.2115*(Sheet3!DF75) + 2499</f>
        <v>2295.85</v>
      </c>
      <c r="HV75" s="165">
        <f>-0.0021*(Sheet3!BZ75^2) - 2.2115*(Sheet3!BZ75) + 2499</f>
        <v>2299.2816033887257</v>
      </c>
      <c r="HW75" s="165">
        <f>-0.0021*(Sheet3!CA75^2) - 2.2115*(Sheet3!CA75) + 2499</f>
        <v>2305.6048039226853</v>
      </c>
      <c r="HX75" s="165">
        <f>-0.0021*(Sheet3!CB75^2) - 2.2115*(Sheet3!CB75) + 2499</f>
        <v>2310.2168624539222</v>
      </c>
      <c r="HY75" s="165">
        <f>-0.0021*(Sheet3!CC75^2) - 2.2115*(Sheet3!CC75) + 2499</f>
        <v>2316.8962481715425</v>
      </c>
      <c r="HZ75" s="165">
        <f>-0.0021*(Sheet3!CD75^2) - 2.2115*(Sheet3!CD75) + 2499</f>
        <v>2320.7375645352058</v>
      </c>
      <c r="IA75" s="165">
        <f>-0.0021*(Sheet3!CE75^2) - 2.2115*(Sheet3!CE75) + 2499</f>
        <v>2326.0352686819942</v>
      </c>
      <c r="IB75" s="165">
        <f>-0.0021*(Sheet3!CF75^2) - 2.2115*(Sheet3!CF75) + 2499</f>
        <v>2330.9161230126861</v>
      </c>
      <c r="IC75" s="165">
        <f>-0.0021*(Sheet3!CG75^2) - 2.2115*(Sheet3!CG75) + 2499</f>
        <v>2337.0739447782339</v>
      </c>
      <c r="ID75" s="188">
        <f t="shared" si="292"/>
        <v>0.74257394015488154</v>
      </c>
      <c r="IE75" s="165">
        <f t="shared" si="293"/>
        <v>0.74413894344717613</v>
      </c>
      <c r="IF75" s="165">
        <f t="shared" si="294"/>
        <v>0.74610223336904324</v>
      </c>
      <c r="IG75" s="165">
        <f t="shared" si="295"/>
        <v>0.74830433602363</v>
      </c>
      <c r="IH75" s="165">
        <f t="shared" si="296"/>
        <v>0.75058592726717754</v>
      </c>
      <c r="II75" s="165">
        <f t="shared" si="297"/>
        <v>0.7525061966323715</v>
      </c>
      <c r="IJ75" s="165">
        <f t="shared" si="298"/>
        <v>0.75422526750120766</v>
      </c>
      <c r="IK75" s="165">
        <f t="shared" si="299"/>
        <v>0.75677412524068854</v>
      </c>
      <c r="IL75" s="165">
        <f t="shared" si="300"/>
        <v>0.75911370129697686</v>
      </c>
      <c r="IM75" s="188">
        <f t="shared" si="301"/>
        <v>55.794991629615005</v>
      </c>
      <c r="IN75" s="165">
        <f t="shared" si="368"/>
        <v>52.638360195563422</v>
      </c>
      <c r="IO75" s="165">
        <f t="shared" si="369"/>
        <v>53.222862302217429</v>
      </c>
      <c r="IP75" s="165">
        <f t="shared" si="370"/>
        <v>53.793357024557039</v>
      </c>
      <c r="IQ75" s="165">
        <f t="shared" si="371"/>
        <v>54.250400175610132</v>
      </c>
      <c r="IR75" s="165">
        <f t="shared" si="372"/>
        <v>54.701200961909002</v>
      </c>
      <c r="IS75" s="165">
        <f t="shared" si="373"/>
        <v>55.059229295167107</v>
      </c>
      <c r="IT75" s="165">
        <f t="shared" si="374"/>
        <v>55.51669909166683</v>
      </c>
      <c r="IU75" s="165">
        <f t="shared" si="375"/>
        <v>55.900838622805139</v>
      </c>
      <c r="IV75" s="188">
        <f>_xlfn.FORECAST.LINEAR(Sheet3!DF75,Sheet2!$AK$2:$AK$69,Sheet2!$AJ$2:$AJ$69)</f>
        <v>1.1761434736095797E-5</v>
      </c>
      <c r="IW75" s="165">
        <f>_xlfn.FORECAST.LINEAR(Sheet3!BZ75,Sheet2!$AK$2:$AK$69,Sheet2!$AJ$2:$AJ$69)</f>
        <v>1.1714605887509821E-5</v>
      </c>
      <c r="IX75" s="165">
        <f>_xlfn.FORECAST.LINEAR(Sheet3!CA75,Sheet2!$AK$2:$AK$69,Sheet2!$AJ$2:$AJ$69)</f>
        <v>1.1628047392938342E-5</v>
      </c>
      <c r="IY75" s="165">
        <f>_xlfn.FORECAST.LINEAR(Sheet3!CB75,Sheet2!$AK$2:$AK$69,Sheet2!$AJ$2:$AJ$69)</f>
        <v>1.1564690037652604E-5</v>
      </c>
      <c r="IZ75" s="165">
        <f>_xlfn.FORECAST.LINEAR(Sheet3!CC75,Sheet2!$AK$2:$AK$69,Sheet2!$AJ$2:$AJ$69)</f>
        <v>1.1472596230602619E-5</v>
      </c>
      <c r="JA75" s="165">
        <f>_xlfn.FORECAST.LINEAR(Sheet3!CD75,Sheet2!$AK$2:$AK$69,Sheet2!$AJ$2:$AJ$69)</f>
        <v>1.1419450744703647E-5</v>
      </c>
      <c r="JB75" s="165">
        <f>_xlfn.FORECAST.LINEAR(Sheet3!CE75,Sheet2!$AK$2:$AK$69,Sheet2!$AJ$2:$AJ$69)</f>
        <v>1.1345935110215304E-5</v>
      </c>
      <c r="JC75" s="165">
        <f>_xlfn.FORECAST.LINEAR(Sheet3!CF75,Sheet2!$AK$2:$AK$69,Sheet2!$AJ$2:$AJ$69)</f>
        <v>1.1277975492467071E-5</v>
      </c>
      <c r="JD75" s="165">
        <f>_xlfn.FORECAST.LINEAR(Sheet3!CG75,Sheet2!$AK$2:$AK$69,Sheet2!$AJ$2:$AJ$69)</f>
        <v>1.1191919607084787E-5</v>
      </c>
      <c r="JE75" s="188">
        <f>_xlfn.FORECAST.LINEAR(Sheet3!DF75,New!$MC$2:$MC$18,New!$MB$2:$MB$18)</f>
        <v>2.0908514659214704E-5</v>
      </c>
      <c r="JF75" s="165">
        <f>_xlfn.FORECAST.LINEAR(Sheet3!BZ75,New!$MC$2:$MC$18,New!$MB$2:$MB$18)</f>
        <v>2.085346621740691E-5</v>
      </c>
      <c r="JG75" s="165">
        <f>_xlfn.FORECAST.LINEAR(Sheet3!CA75,New!$MC$2:$MC$18,New!$MB$2:$MB$18)</f>
        <v>2.0751714617799677E-5</v>
      </c>
      <c r="JH75" s="165">
        <f>_xlfn.FORECAST.LINEAR(Sheet3!CB75,New!$MC$2:$MC$18,New!$MB$2:$MB$18)</f>
        <v>2.0677236517422318E-5</v>
      </c>
      <c r="JI75" s="165">
        <f>_xlfn.FORECAST.LINEAR(Sheet3!CC75,New!$MC$2:$MC$18,New!$MB$2:$MB$18)</f>
        <v>2.0568978024392291E-5</v>
      </c>
      <c r="JJ75" s="165">
        <f>_xlfn.FORECAST.LINEAR(Sheet3!CD75,New!$MC$2:$MC$18,New!$MB$2:$MB$18)</f>
        <v>2.0506504222960144E-5</v>
      </c>
      <c r="JK75" s="165">
        <f>_xlfn.FORECAST.LINEAR(Sheet3!CE75,New!$MC$2:$MC$18,New!$MB$2:$MB$18)</f>
        <v>2.0420084820192544E-5</v>
      </c>
      <c r="JL75" s="165">
        <f>_xlfn.FORECAST.LINEAR(Sheet3!CF75,New!$MC$2:$MC$18,New!$MB$2:$MB$18)</f>
        <v>2.0340196649206987E-5</v>
      </c>
      <c r="JM75" s="165">
        <f>_xlfn.FORECAST.LINEAR(Sheet3!CG75,New!$MC$2:$MC$18,New!$MB$2:$MB$18)</f>
        <v>2.023903587883299E-5</v>
      </c>
      <c r="JN75" s="188">
        <f t="shared" si="376"/>
        <v>1.8237693487122933E-5</v>
      </c>
      <c r="JO75" s="165">
        <f t="shared" si="377"/>
        <v>1.8183375036468645E-5</v>
      </c>
      <c r="JP75" s="165">
        <f t="shared" si="378"/>
        <v>1.8087406450319156E-5</v>
      </c>
      <c r="JQ75" s="165">
        <f t="shared" si="379"/>
        <v>1.8013841911544768E-5</v>
      </c>
      <c r="JR75" s="165">
        <f t="shared" si="380"/>
        <v>1.7911271033172382E-5</v>
      </c>
      <c r="JS75" s="165">
        <f t="shared" si="381"/>
        <v>1.7849526828954052E-5</v>
      </c>
      <c r="JT75" s="165">
        <f t="shared" si="382"/>
        <v>1.7768387849215862E-5</v>
      </c>
      <c r="JU75" s="165">
        <f t="shared" si="383"/>
        <v>1.7689362133194694E-5</v>
      </c>
      <c r="JV75" s="165">
        <f t="shared" si="384"/>
        <v>1.759335308755467E-5</v>
      </c>
      <c r="JW75" s="188">
        <f t="shared" si="302"/>
        <v>1.0444458673781256</v>
      </c>
      <c r="JX75" s="165">
        <f t="shared" si="385"/>
        <v>1.0452125130759151</v>
      </c>
      <c r="JY75" s="165">
        <f t="shared" si="386"/>
        <v>1.0466452013065757</v>
      </c>
      <c r="JZ75" s="165">
        <f t="shared" si="387"/>
        <v>1.0477069324929471</v>
      </c>
      <c r="KA75" s="165">
        <f t="shared" si="388"/>
        <v>1.0492703106043115</v>
      </c>
      <c r="KB75" s="165">
        <f t="shared" si="389"/>
        <v>1.0501835259026646</v>
      </c>
      <c r="KC75" s="165">
        <f t="shared" si="390"/>
        <v>1.0514603107240912</v>
      </c>
      <c r="KD75" s="165">
        <f t="shared" si="391"/>
        <v>1.0526548180099708</v>
      </c>
      <c r="KE75" s="165">
        <f t="shared" si="392"/>
        <v>1.0541873811426556</v>
      </c>
      <c r="KF75" s="188">
        <f t="shared" si="393"/>
        <v>0.94446821821306282</v>
      </c>
      <c r="KG75" s="165">
        <f t="shared" si="394"/>
        <v>0.94388334062791701</v>
      </c>
      <c r="KH75" s="165">
        <f t="shared" si="395"/>
        <v>0.94279351070730266</v>
      </c>
      <c r="KI75" s="165">
        <f t="shared" si="396"/>
        <v>0.94198852037376846</v>
      </c>
      <c r="KJ75" s="165">
        <f t="shared" si="397"/>
        <v>0.94080728279522552</v>
      </c>
      <c r="KK75" s="165">
        <f t="shared" si="398"/>
        <v>0.94011953299453777</v>
      </c>
      <c r="KL75" s="165">
        <f t="shared" si="399"/>
        <v>0.9391607389624137</v>
      </c>
      <c r="KM75" s="165">
        <f t="shared" si="400"/>
        <v>0.93826663457425608</v>
      </c>
      <c r="KN75" s="165">
        <f t="shared" si="401"/>
        <v>0.93712358043728383</v>
      </c>
      <c r="KO75" s="188">
        <f t="shared" si="304"/>
        <v>0.5778658544643519</v>
      </c>
      <c r="KP75" s="165">
        <f t="shared" si="305"/>
        <v>0.5768134737837245</v>
      </c>
      <c r="KQ75" s="165">
        <f t="shared" si="306"/>
        <v>0.57481795505594968</v>
      </c>
      <c r="KR75" s="165">
        <f t="shared" si="307"/>
        <v>0.57332848934104064</v>
      </c>
      <c r="KS75" s="165">
        <f t="shared" si="308"/>
        <v>0.5711715688006429</v>
      </c>
      <c r="KT75" s="165">
        <f t="shared" si="309"/>
        <v>0.5699033799778267</v>
      </c>
      <c r="KU75" s="165">
        <f t="shared" si="310"/>
        <v>0.56816317874365552</v>
      </c>
      <c r="KV75" s="165">
        <f t="shared" si="311"/>
        <v>0.56651960270665336</v>
      </c>
      <c r="KW75" s="165">
        <f t="shared" si="312"/>
        <v>0.56453700450968458</v>
      </c>
      <c r="KX75" s="188">
        <f>AVERAGE(Sheet3!J75:P75)*KO75^(1/3)/ID75^(1/3)</f>
        <v>327.05012870932956</v>
      </c>
      <c r="KY75" s="165">
        <f>Sheet3!J75*KP75^(1/3)/IE75^(1/3)</f>
        <v>372.75985703708056</v>
      </c>
      <c r="KZ75" s="165">
        <f>Sheet3!K75*KQ75^(1/3)/IF75^(1/3)</f>
        <v>324.74868415889296</v>
      </c>
      <c r="LA75" s="165">
        <f>Sheet3!L75*KR75^(1/3)/IG75^(1/3)</f>
        <v>303.29203827433986</v>
      </c>
      <c r="LB75" s="165">
        <f>Sheet3!M75*KS75^(1/3)/IH75^(1/3)</f>
        <v>297.0586002999359</v>
      </c>
      <c r="LC75" s="165">
        <f>Sheet3!N75*KT75^(1/3)/II75^(1/3)</f>
        <v>304.7089612202015</v>
      </c>
      <c r="LD75" s="165">
        <f>Sheet3!O75*KU75^(1/3)/IJ75^(1/3)</f>
        <v>322.74293017584563</v>
      </c>
      <c r="LE75" s="165">
        <f>Sheet3!P75*KV75^(1/3)/IK75^(1/3)</f>
        <v>347.84935600554974</v>
      </c>
      <c r="LF75" s="165">
        <f>Sheet3!Q75*KW75^(1/3)/IL75^(1/3)</f>
        <v>368.07846259128848</v>
      </c>
      <c r="LG75" s="186">
        <f t="shared" si="402"/>
        <v>25.822332211443282</v>
      </c>
      <c r="LH75" s="183">
        <f t="shared" si="403"/>
        <v>25.827171521668028</v>
      </c>
      <c r="LI75" s="183">
        <f t="shared" si="404"/>
        <v>26.053622626917225</v>
      </c>
      <c r="LJ75" s="183">
        <f t="shared" si="405"/>
        <v>26.058579608766166</v>
      </c>
      <c r="LK75" s="183">
        <f t="shared" si="406"/>
        <v>26.28519272606642</v>
      </c>
      <c r="LL75" s="183">
        <f t="shared" si="407"/>
        <v>26.289372826469965</v>
      </c>
      <c r="LM75" s="183">
        <f t="shared" si="408"/>
        <v>26.514714642114036</v>
      </c>
      <c r="LN75" s="183">
        <f t="shared" si="409"/>
        <v>26.518687317301449</v>
      </c>
      <c r="LO75" s="183">
        <f t="shared" si="410"/>
        <v>26.737779789940205</v>
      </c>
      <c r="LT75" s="165"/>
      <c r="MF75" s="165"/>
      <c r="MJ75"/>
      <c r="MK75"/>
      <c r="ML75"/>
      <c r="MM75"/>
      <c r="MN75"/>
      <c r="MO75"/>
      <c r="MP75"/>
      <c r="MQ75"/>
      <c r="MR75"/>
    </row>
    <row r="76" spans="1:356" x14ac:dyDescent="0.3">
      <c r="A76" s="184" t="str">
        <f>Sheet3!A76</f>
        <v>2023.02.06-1</v>
      </c>
      <c r="B76" s="186">
        <f t="shared" si="313"/>
        <v>0.7781933290651506</v>
      </c>
      <c r="C76" s="183">
        <f t="shared" si="257"/>
        <v>0.77665411909102711</v>
      </c>
      <c r="D76" s="183">
        <f t="shared" si="258"/>
        <v>0.77199564169279078</v>
      </c>
      <c r="E76" s="183">
        <f t="shared" si="259"/>
        <v>0.76688018261337998</v>
      </c>
      <c r="F76" s="183">
        <f t="shared" si="260"/>
        <v>0.76115709428328571</v>
      </c>
      <c r="G76" s="183">
        <f t="shared" si="261"/>
        <v>0.75702942935168238</v>
      </c>
      <c r="H76" s="183">
        <f t="shared" si="262"/>
        <v>0.75277073924993732</v>
      </c>
      <c r="I76" s="183">
        <f t="shared" si="263"/>
        <v>0.7480527491379334</v>
      </c>
      <c r="J76" s="183">
        <f t="shared" si="264"/>
        <v>0.74349207570509646</v>
      </c>
      <c r="K76" s="186">
        <f xml:space="preserve"> (6.057 * (10^(-6)))
+ (4.055 * (10^(-8)) * (Sheet3!DF76 + 273))
+ (1.25 * (10^(-10)) * (Sheet3!DF76 + 273)^2)
- (3.367 * (10^(-14)) * (DD76 + 273)^3)</f>
        <v>3.5902416025588764E-5</v>
      </c>
      <c r="L76" s="183">
        <f xml:space="preserve"> (6.057 * (10^(-6)))
+ (4.055 * (10^(-8)) * (Sheet3!BZ76 + 273))
+ (1.25 * (10^(-10)) * (Sheet3!BZ76 + 273)^2)
- (3.367 * (10^(-14)) * (BX76 + 273)^3)</f>
        <v>3.5810952331253256E-5</v>
      </c>
      <c r="M76" s="183">
        <f xml:space="preserve"> (6.057 * (10^(-6)))
+ (4.055 * (10^(-8)) * (Sheet3!CA76 + 273))
+ (1.25 * (10^(-10)) * (Sheet3!CA76 + 273)^2)
- (3.367 * (10^(-14)) * (BY76 + 273)^3)</f>
        <v>3.5497387556548149E-5</v>
      </c>
      <c r="N76" s="183">
        <f xml:space="preserve"> (6.057 * (10^(-6)))
+ (4.055 * (10^(-8)) * (Sheet3!CB76 + 273))
+ (1.25 * (10^(-10)) * (Sheet3!CB76 + 273)^2)
- (3.367 * (10^(-14)) * (BZ76 + 273)^3)</f>
        <v>3.5216902729313782E-5</v>
      </c>
      <c r="O76" s="183">
        <f xml:space="preserve"> (6.057 * (10^(-6)))
+ (4.055 * (10^(-8)) * (Sheet3!CC76 + 273))
+ (1.25 * (10^(-10)) * (Sheet3!CC76 + 273)^2)
- (3.367 * (10^(-14)) * (CA76 + 273)^3)</f>
        <v>3.4852812378507805E-5</v>
      </c>
      <c r="P76" s="183">
        <f xml:space="preserve"> (6.057 * (10^(-6)))
+ (4.055 * (10^(-8)) * (Sheet3!CD76 + 273))
+ (1.25 * (10^(-10)) * (Sheet3!CD76 + 273)^2)
- (3.367 * (10^(-14)) * (CB76 + 273)^3)</f>
        <v>3.463225228959124E-5</v>
      </c>
      <c r="Q76" s="183">
        <f xml:space="preserve"> (6.057 * (10^(-6)))
+ (4.055 * (10^(-8)) * (Sheet3!CE76 + 273))
+ (1.25 * (10^(-10)) * (Sheet3!CE76 + 273)^2)
- (3.367 * (10^(-14)) * (CC76 + 273)^3)</f>
        <v>3.4358352859168051E-5</v>
      </c>
      <c r="R76" s="183">
        <f xml:space="preserve"> (6.057 * (10^(-6)))
+ (4.055 * (10^(-8)) * (Sheet3!CF76 + 273))
+ (1.25 * (10^(-10)) * (Sheet3!CF76 + 273)^2)
- (3.367 * (10^(-14)) * (CD76 + 273)^3)</f>
        <v>3.411186689762746E-5</v>
      </c>
      <c r="S76" s="183">
        <f xml:space="preserve"> (6.057 * (10^(-6)))
+ (4.055 * (10^(-8)) * (Sheet3!CG76 + 273))
+ (1.25 * (10^(-10)) * (Sheet3!CG76 + 273)^2)
- (3.367 * (10^(-14)) * (CE76 + 273)^3)</f>
        <v>3.3821991137042454E-5</v>
      </c>
      <c r="T76" s="188">
        <f t="shared" si="314"/>
        <v>3.5902416025588764E-5</v>
      </c>
      <c r="U76" s="165">
        <f t="shared" si="315"/>
        <v>3.5810952331253256E-5</v>
      </c>
      <c r="V76" s="165">
        <f t="shared" si="316"/>
        <v>3.5497387556548149E-5</v>
      </c>
      <c r="W76" s="165">
        <f t="shared" si="317"/>
        <v>3.5216902729313782E-5</v>
      </c>
      <c r="X76" s="165">
        <f t="shared" si="318"/>
        <v>3.4852812378507805E-5</v>
      </c>
      <c r="Y76" s="165">
        <f t="shared" si="319"/>
        <v>3.463225228959124E-5</v>
      </c>
      <c r="Z76" s="165">
        <f t="shared" si="320"/>
        <v>3.4358352859168051E-5</v>
      </c>
      <c r="AA76" s="165">
        <f t="shared" si="321"/>
        <v>3.411186689762746E-5</v>
      </c>
      <c r="AB76" s="165">
        <f t="shared" si="322"/>
        <v>3.3821991137042454E-5</v>
      </c>
      <c r="AC76" s="186">
        <f t="shared" si="265"/>
        <v>2.7939020648434932E-5</v>
      </c>
      <c r="AD76" s="183">
        <f t="shared" si="266"/>
        <v>2.7812723636640262E-5</v>
      </c>
      <c r="AE76" s="183">
        <f t="shared" si="267"/>
        <v>2.7403828485135075E-5</v>
      </c>
      <c r="AF76" s="183">
        <f t="shared" si="268"/>
        <v>2.7007144796133794E-5</v>
      </c>
      <c r="AG76" s="183">
        <f t="shared" si="269"/>
        <v>2.6528465397625532E-5</v>
      </c>
      <c r="AH76" s="183">
        <f t="shared" si="270"/>
        <v>2.6217634187952753E-5</v>
      </c>
      <c r="AI76" s="183">
        <f t="shared" si="271"/>
        <v>2.586396268120613E-5</v>
      </c>
      <c r="AJ76" s="183">
        <f t="shared" si="272"/>
        <v>2.5517475810997488E-5</v>
      </c>
      <c r="AK76" s="183">
        <f t="shared" si="273"/>
        <v>2.5146382394959071E-5</v>
      </c>
      <c r="AL76" s="186">
        <f t="shared" si="323"/>
        <v>2.9144772620951425E-2</v>
      </c>
      <c r="AM76" s="183">
        <f t="shared" si="324"/>
        <v>2.9064382157329319E-2</v>
      </c>
      <c r="AN76" s="183">
        <f t="shared" si="325"/>
        <v>2.8783878129216251E-2</v>
      </c>
      <c r="AO76" s="183">
        <f t="shared" si="326"/>
        <v>2.8529604820179688E-2</v>
      </c>
      <c r="AP76" s="183">
        <f t="shared" si="327"/>
        <v>2.8200639037072213E-2</v>
      </c>
      <c r="AQ76" s="183">
        <f t="shared" si="328"/>
        <v>2.7998631781825468E-2</v>
      </c>
      <c r="AR76" s="183">
        <f t="shared" si="329"/>
        <v>2.7749716514668187E-2</v>
      </c>
      <c r="AS76" s="183">
        <f t="shared" si="330"/>
        <v>2.7522008810751397E-2</v>
      </c>
      <c r="AT76" s="183">
        <f t="shared" si="331"/>
        <v>2.7260976282926661E-2</v>
      </c>
      <c r="AU76" s="186">
        <f>_xlfn.FORECAST.LINEAR(Sheet3!DF76,Sheet2!$AH$2:$AH$40,Sheet2!$AG$2:$AG$40)</f>
        <v>2.5653712965492358E-2</v>
      </c>
      <c r="AV76" s="183">
        <f>_xlfn.FORECAST.LINEAR(Sheet3!BZ76,Sheet2!$AH$2:$AH$40,Sheet2!$AG$2:$AG$40)</f>
        <v>2.5478832710834065E-2</v>
      </c>
      <c r="AW76" s="183">
        <f>_xlfn.FORECAST.LINEAR(Sheet3!CA76,Sheet2!$AH$2:$AH$40,Sheet2!$AG$2:$AG$40)</f>
        <v>2.4863809582981629E-2</v>
      </c>
      <c r="AX76" s="183">
        <f>_xlfn.FORECAST.LINEAR(Sheet3!CB76,Sheet2!$AH$2:$AH$40,Sheet2!$AG$2:$AG$40)</f>
        <v>2.4311191800892022E-2</v>
      </c>
      <c r="AY76" s="183">
        <f>_xlfn.FORECAST.LINEAR(Sheet3!CC76,Sheet2!$AH$2:$AH$40,Sheet2!$AG$2:$AG$40)</f>
        <v>2.3590392322515003E-2</v>
      </c>
      <c r="AZ76" s="183">
        <f>_xlfn.FORECAST.LINEAR(Sheet3!CD76,Sheet2!$AH$2:$AH$40,Sheet2!$AG$2:$AG$40)</f>
        <v>2.3151768237254747E-2</v>
      </c>
      <c r="BA76" s="183">
        <f>_xlfn.FORECAST.LINEAR(Sheet3!CE76,Sheet2!$AH$2:$AH$40,Sheet2!$AG$2:$AG$40)</f>
        <v>2.2605027161224398E-2</v>
      </c>
      <c r="BB76" s="183">
        <f>_xlfn.FORECAST.LINEAR(Sheet3!CF76,Sheet2!$AH$2:$AH$40,Sheet2!$AG$2:$AG$40)</f>
        <v>2.2110998332412538E-2</v>
      </c>
      <c r="BC76" s="183">
        <f>_xlfn.FORECAST.LINEAR(Sheet3!CG76,Sheet2!$AH$2:$AH$40,Sheet2!$AG$2:$AG$40)</f>
        <v>2.1538445716586911E-2</v>
      </c>
      <c r="BD76" s="186">
        <f>_xlfn.FORECAST.LINEAR(Sheet3!DF76,Sheet2!$AB$12:$AB$37,Sheet2!$AA$12:$AA$37)/1000</f>
        <v>3.0506351161118033E-2</v>
      </c>
      <c r="BE76" s="183">
        <f>_xlfn.FORECAST.LINEAR(Sheet3!BZ76,Sheet2!$AB$12:$AB$37,Sheet2!$AA$12:$AA$37)/1000</f>
        <v>3.0467251984047421E-2</v>
      </c>
      <c r="BF76" s="183">
        <f>_xlfn.FORECAST.LINEAR(Sheet3!CA76,Sheet2!$AB$12:$AB$37,Sheet2!$AA$12:$AA$37)/1000</f>
        <v>3.0329747048310624E-2</v>
      </c>
      <c r="BG76" s="183">
        <f>_xlfn.FORECAST.LINEAR(Sheet3!CB76,Sheet2!$AB$12:$AB$37,Sheet2!$AA$12:$AA$37)/1000</f>
        <v>3.0206194503419211E-2</v>
      </c>
      <c r="BH76" s="183">
        <f>_xlfn.FORECAST.LINEAR(Sheet3!CC76,Sheet2!$AB$12:$AB$37,Sheet2!$AA$12:$AA$37)/1000</f>
        <v>3.0045040424060542E-2</v>
      </c>
      <c r="BI76" s="183">
        <f>_xlfn.FORECAST.LINEAR(Sheet3!CD76,Sheet2!$AB$12:$AB$37,Sheet2!$AA$12:$AA$37)/1000</f>
        <v>2.9946974231221703E-2</v>
      </c>
      <c r="BJ76" s="183">
        <f>_xlfn.FORECAST.LINEAR(Sheet3!CE76,Sheet2!$AB$12:$AB$37,Sheet2!$AA$12:$AA$37)/1000</f>
        <v>2.9824735581779793E-2</v>
      </c>
      <c r="BK76" s="183">
        <f>_xlfn.FORECAST.LINEAR(Sheet3!CF76,Sheet2!$AB$12:$AB$37,Sheet2!$AA$12:$AA$37)/1000</f>
        <v>2.9714282170710347E-2</v>
      </c>
      <c r="BL76" s="183">
        <f>_xlfn.FORECAST.LINEAR(Sheet3!CG76,Sheet2!$AB$12:$AB$37,Sheet2!$AA$12:$AA$37)/1000</f>
        <v>2.9586272658417782E-2</v>
      </c>
      <c r="BM76" s="186">
        <f t="shared" si="332"/>
        <v>0.87906103433412119</v>
      </c>
      <c r="BN76" s="183">
        <f t="shared" si="333"/>
        <v>0.88075727247685842</v>
      </c>
      <c r="BO76" s="183">
        <f t="shared" si="334"/>
        <v>0.88693803825644579</v>
      </c>
      <c r="BP76" s="183">
        <f t="shared" si="335"/>
        <v>0.89240918863322638</v>
      </c>
      <c r="BQ76" s="183">
        <f t="shared" si="336"/>
        <v>0.89982453387362327</v>
      </c>
      <c r="BR76" s="183">
        <f t="shared" si="337"/>
        <v>0.90428834943785263</v>
      </c>
      <c r="BS76" s="183">
        <f t="shared" si="338"/>
        <v>0.91007789493823843</v>
      </c>
      <c r="BT76" s="183">
        <f t="shared" si="339"/>
        <v>0.91522292452874077</v>
      </c>
      <c r="BU76" s="183">
        <f t="shared" si="340"/>
        <v>0.92140723242070488</v>
      </c>
      <c r="BV76" s="186">
        <f t="shared" si="341"/>
        <v>1.1866713658357544</v>
      </c>
      <c r="BW76" s="183">
        <f t="shared" si="342"/>
        <v>1.1864825000270631</v>
      </c>
      <c r="BX76" s="183">
        <f t="shared" si="343"/>
        <v>1.1842537961780646</v>
      </c>
      <c r="BY76" s="183">
        <f t="shared" si="344"/>
        <v>1.1837310780160708</v>
      </c>
      <c r="BZ76" s="183">
        <f t="shared" si="345"/>
        <v>1.181378306477787</v>
      </c>
      <c r="CA76" s="183">
        <f t="shared" si="346"/>
        <v>1.1809632250500606</v>
      </c>
      <c r="CB76" s="183">
        <f t="shared" si="347"/>
        <v>1.17892158691954</v>
      </c>
      <c r="CC76" s="183">
        <f t="shared" si="348"/>
        <v>1.1784618505009468</v>
      </c>
      <c r="CD76" s="183">
        <f t="shared" si="349"/>
        <v>1.1765605233986856</v>
      </c>
      <c r="CE76" s="187">
        <f xml:space="preserve"> -0.0000000019505*Sheet3!DF76^3 + 0.0000015497*Sheet3!DF76^2  + 0.00016911*Sheet3!DF76 + 1.8585</f>
        <v>1.8828730816875001</v>
      </c>
      <c r="CF76" s="185">
        <f xml:space="preserve"> -0.0000000019505*Sheet3!BZ76^3 + 0.0000015497*Sheet3!BZ76^2  + 0.00016911*Sheet3!BZ76 + 1.8585</f>
        <v>1.882605022834533</v>
      </c>
      <c r="CG76" s="185">
        <f xml:space="preserve"> -0.0000000019505*Sheet3!CA76^3 + 0.0000015497*Sheet3!CA76^2  + 0.00016911*Sheet3!CA76 + 1.8585</f>
        <v>1.8816702776479068</v>
      </c>
      <c r="CH76" s="185">
        <f xml:space="preserve"> -0.0000000019505*Sheet3!CB76^3 + 0.0000015497*Sheet3!CB76^2  + 0.00016911*Sheet3!CB76 + 1.8585</f>
        <v>1.8808410692025304</v>
      </c>
      <c r="CI76" s="185">
        <f xml:space="preserve"> -0.0000000019505*Sheet3!CC76^3 + 0.0000015497*Sheet3!CC76^2  + 0.00016911*Sheet3!CC76 + 1.8585</f>
        <v>1.8797749145408413</v>
      </c>
      <c r="CJ76" s="185">
        <f xml:space="preserve"> -0.0000000019505*Sheet3!CD76^3 + 0.0000015497*Sheet3!CD76^2  + 0.00016911*Sheet3!CD76 + 1.8585</f>
        <v>1.8791347759198835</v>
      </c>
      <c r="CK76" s="185">
        <f xml:space="preserve"> -0.0000000019505*Sheet3!CE76^3 + 0.0000015497*Sheet3!CE76^2  + 0.00016911*Sheet3!CE76 + 1.8585</f>
        <v>1.8783461135252018</v>
      </c>
      <c r="CL76" s="185">
        <f xml:space="preserve"> -0.0000000019505*Sheet3!CF76^3 + 0.0000015497*Sheet3!CF76^2  + 0.00016911*Sheet3!CF76 + 1.8585</f>
        <v>1.8776424200739177</v>
      </c>
      <c r="CM76" s="185">
        <f xml:space="preserve"> -0.0000000019505*Sheet3!CG76^3 + 0.0000015497*Sheet3!CG76^2  + 0.00016911*Sheet3!CG76 + 1.8585</f>
        <v>1.8768376037967938</v>
      </c>
      <c r="CN76" s="186">
        <f>_xlfn.FORECAST.LINEAR(Sheet3!DF76,New!$LU$2:$LU$14,New!$LT$2:$LT$14)</f>
        <v>1.0126209368728181</v>
      </c>
      <c r="CO76" s="183">
        <f>_xlfn.FORECAST.LINEAR(Sheet3!BZ76,New!$LU$2:$LU$14,New!$LT$2:$LT$14)</f>
        <v>1.0124922227110866</v>
      </c>
      <c r="CP76" s="183">
        <f>_xlfn.FORECAST.LINEAR(Sheet3!CA76,New!$LU$2:$LU$14,New!$LT$2:$LT$14)</f>
        <v>1.0120395576203274</v>
      </c>
      <c r="CQ76" s="183">
        <f>_xlfn.FORECAST.LINEAR(Sheet3!CB76,New!$LU$2:$LU$14,New!$LT$2:$LT$14)</f>
        <v>1.0116328236827627</v>
      </c>
      <c r="CR76" s="183">
        <f>_xlfn.FORECAST.LINEAR(Sheet3!CC76,New!$LU$2:$LU$14,New!$LT$2:$LT$14)</f>
        <v>1.0111023058103079</v>
      </c>
      <c r="CS76" s="183">
        <f>_xlfn.FORECAST.LINEAR(Sheet3!CD76,New!$LU$2:$LU$14,New!$LT$2:$LT$14)</f>
        <v>1.0107794727291246</v>
      </c>
      <c r="CT76" s="183">
        <f>_xlfn.FORECAST.LINEAR(Sheet3!CE76,New!$LU$2:$LU$14,New!$LT$2:$LT$14)</f>
        <v>1.0103770641243177</v>
      </c>
      <c r="CU76" s="183">
        <f>_xlfn.FORECAST.LINEAR(Sheet3!CF76,New!$LU$2:$LU$14,New!$LT$2:$LT$14)</f>
        <v>1.0100134524250102</v>
      </c>
      <c r="CV76" s="183">
        <f>_xlfn.FORECAST.LINEAR(Sheet3!CG76,New!$LU$2:$LU$14,New!$LT$2:$LT$14)</f>
        <v>1.009592046188285</v>
      </c>
      <c r="CW76" s="186">
        <f>EXP((17.625*Sheet3!BA76)/(243.04+Sheet3!BA76)) / EXP((17.625*Sheet3!DF76)/(243.04+Sheet3!DF76))</f>
        <v>0.42008314077038528</v>
      </c>
      <c r="CX76" s="183">
        <f>EXP((17.625*(Sheet3!BC76+273))/(243.04+(Sheet3!BC76+273)))/EXP((17.625*(Sheet3!BZ76+273))/(243.04+(Sheet3!BZ76+273)))</f>
        <v>0.78453910880672595</v>
      </c>
      <c r="CY76" s="183">
        <f>EXP((17.625*(Sheet3!BE76+273))/(243.04+(Sheet3!BE76+273))) / EXP((17.625*(Sheet3!CA76+273))/(243.04+(Sheet3!CA76+273)))</f>
        <v>0.80593555550729801</v>
      </c>
      <c r="CZ76" s="183">
        <f>EXP((17.625*(Sheet3!BG76+273))/(243.04+(Sheet3!BG76+273))) / EXP((17.625*(Sheet3!CB76+273))/(243.04+(Sheet3!CB76+273)))</f>
        <v>0.82725506594417619</v>
      </c>
      <c r="DA76" s="183">
        <f>EXP((17.625*(Sheet3!BI76+273))/(243.04+(Sheet3!BI76+273))) / EXP((17.625*(Sheet3!CC76+273))/(243.04+(Sheet3!CC76+273)))</f>
        <v>0.85447244387310251</v>
      </c>
      <c r="DB76" s="183">
        <f>EXP((17.625*(Sheet3!BK76+273))/(243.04+(Sheet3!BK76+273)))/EXP((17.625*(Sheet3!CD76+273))/(243.04+(Sheet3!CD76+273)))</f>
        <v>0.87265189348771277</v>
      </c>
      <c r="DC76" s="183">
        <f>EXP((17.625*(Sheet3!BM76+273))/(243.04+(Sheet3!BM76+273))) / EXP((17.625*(Sheet3!CE76+273))/(243.04+(Sheet3!CE76+273)))</f>
        <v>0.89438946615391324</v>
      </c>
      <c r="DD76" s="183">
        <f>EXP((17.625*(Sheet3!BO76+273))/(243.04+(Sheet3!BO76+273))) / EXP((17.625*(Sheet3!CF76+273))/(243.04+(Sheet3!CF76+273)))</f>
        <v>0.9161508041739953</v>
      </c>
      <c r="DE76" s="183">
        <f>EXP((17.625*(Sheet3!BQ76+273))/(243.04+(Sheet3!BQ76+273))) / EXP((17.625*(Sheet3!CG76+273))/(243.04+(Sheet3!CG76+273)))</f>
        <v>0.94067055901276153</v>
      </c>
      <c r="DF76" s="186">
        <f>((Sheet3!DA76-Sheet3!DB76)/New!$LQ$3)/(((Sheet3!DA76-Sheet3!DB76)/New!$LQ$3)+(Sheet3!DB76/New!$LP$3))</f>
        <v>0.71332409423876464</v>
      </c>
      <c r="DG76" s="183">
        <f>((Sheet3!DA76-Sheet3!DB76)/New!$LQ$3)/(((Sheet3!DA76-Sheet3!DB76)/New!$LQ$3)+((Sheet3!DB76-(Sheet3!B76*0.004))/New!$LP$3))</f>
        <v>0.71346726795145432</v>
      </c>
      <c r="DH76" s="183" cm="1">
        <f t="array" ref="DH76">((Sheet3!DA76-Sheet3!DB76)/New!$LQ$3)/(((Sheet3!DA76-Sheet3!DB76)/New!$LQ$3)+((Sheet3!DB76-(SUM(Sheet3!B76:C76*0.004)))/New!$LP$3))</f>
        <v>0.72099233518911654</v>
      </c>
      <c r="DI76" s="183" cm="1">
        <f t="array" ref="DI76">((Sheet3!DA76-Sheet3!DB76)/New!$LQ$3)/(((Sheet3!DA76-Sheet3!DB76)/New!$LQ$3)+((Sheet3!DB76-(SUM(Sheet3!B76:D76*0.004)))/New!$LP$3))</f>
        <v>0.72113860400055596</v>
      </c>
      <c r="DJ76" s="183" cm="1">
        <f t="array" ref="DJ76">((Sheet3!DA76-Sheet3!DB76)/New!$LQ$3)/(((Sheet3!DA76-Sheet3!DB76)/New!$LQ$3)+((Sheet3!DB76-(SUM(Sheet3!B76:E76*0.004)))/New!$LP$3))</f>
        <v>0.72898737886730536</v>
      </c>
      <c r="DK76" s="183" cm="1">
        <f t="array" ref="DK76">((Sheet3!DA76-Sheet3!DB76)/New!$LQ$3)/(((Sheet3!DA76-Sheet3!DB76)/New!$LQ$3)+((Sheet3!DB76-(SUM(Sheet3!B76:F76*0.004)))/New!$LP$3))</f>
        <v>0.72912622710952424</v>
      </c>
      <c r="DL76" s="183" cm="1">
        <f t="array" ref="DL76">((Sheet3!DA76-Sheet3!DB76)/New!$LQ$3)/(((Sheet3!DA76-Sheet3!DB76)/New!$LQ$3)+((Sheet3!DB76-(SUM(Sheet3!B76:G76*0.004)))/New!$LP$3))</f>
        <v>0.73641995010903016</v>
      </c>
      <c r="DM76" s="183" cm="1">
        <f t="array" ref="DM76">((Sheet3!DA76-Sheet3!DB76)/New!$LQ$3)/(((Sheet3!DA76-Sheet3!DB76)/New!$LQ$3)+((Sheet3!DB76-(SUM(Sheet3!B76:H76*0.004)))/New!$LP$3))</f>
        <v>0.73656164438337712</v>
      </c>
      <c r="DN76" s="183" cm="1">
        <f t="array" ref="DN76">((Sheet3!DA76-Sheet3!DB76)/New!$LQ$3)/(((Sheet3!DA76-Sheet3!DB76)/New!$LQ$3)+((Sheet3!DB76-(SUM(Sheet3!B76:I76*0.004)))/New!$LP$3))</f>
        <v>0.74323893916885297</v>
      </c>
      <c r="DO76" s="186">
        <f>(Sheet3!DB76/$LP$3) / ((Sheet3!DB76/$LP$3) + ((Sheet3!DA76-Sheet3!DB76)/$LQ$3))</f>
        <v>0.28667590576123542</v>
      </c>
      <c r="DP76" s="183">
        <f>((Sheet3!$DB76-(Sheet3!B76/4000)) / $LP$3) / (((Sheet3!$DA76-Sheet3!DB76) / $LQ$3) + (Sheet3!$DB76-((Sheet3!B76/4000)))/$LP$3)</f>
        <v>0.28666695908767731</v>
      </c>
      <c r="DQ76" s="183">
        <f>((Sheet3!$DB76-(SUM(Sheet3!B76:C76)/4000))/$LP$3)/(((Sheet3!$DA76-Sheet3!$DB76)/$LQ$3)+(Sheet3!$DB76-(SUM(Sheet3!B76:C76)/4000))/$LP$3)</f>
        <v>0.28620142260670622</v>
      </c>
      <c r="DR76" s="183">
        <f>((Sheet3!$DB76-(SUM(Sheet3!B76:D76)/4000))/$LP$3)/(((Sheet3!$DA76-Sheet3!$DB76)/$LQ$3)+(Sheet3!$DB76-(SUM(Sheet3!B76:D76)/4000))/$LP$3)</f>
        <v>0.28619246402696297</v>
      </c>
      <c r="DS76" s="183">
        <f>((Sheet3!$DB76-(SUM(Sheet3!B76:E76)/4000))/$LP$3)/(((Sheet3!$DA76-Sheet3!$DB76)/$LQ$3)+(Sheet3!$DB76-(SUM(Sheet3!B76:E76)/4000))/$LP$3)</f>
        <v>0.2857166965372589</v>
      </c>
      <c r="DT76" s="183">
        <f>((Sheet3!$DB76-(SUM(Sheet3!B76:F76)/4000))/$LP$3)/(((Sheet3!$DA76-Sheet3!$DB76)/$LQ$3)+(Sheet3!$DB76-(SUM(Sheet3!B76:F76)/4000))/$LP$3)</f>
        <v>0.28570836656154042</v>
      </c>
      <c r="DU76" s="183">
        <f>((Sheet3!$DB76-(SUM(Sheet3!B76:G76)/4000))/$LP$3)/(((Sheet3!$DA76-Sheet3!$DB76)/$LQ$3)+(Sheet3!$DB76-(SUM(Sheet3!B76:G76)/4000))/$LP$3)</f>
        <v>0.28527493993224851</v>
      </c>
      <c r="DV76" s="183">
        <f>((Sheet3!$DB76-(SUM(Sheet3!B76:H76)/4000))/$LP$3)/(((Sheet3!$DA76-Sheet3!$DB76)/$LQ$3)+(Sheet3!$DB76-(SUM(Sheet3!B76:H76)/4000))/$LP$3)</f>
        <v>0.28526659964974788</v>
      </c>
      <c r="DW76" s="183">
        <f>((Sheet3!$DB76-(SUM(Sheet3!B76:I76)/4000))/$LP$3)/(((Sheet3!$DA76-Sheet3!$DB76)/$LQ$3)+(Sheet3!$DB76-(SUM(Sheet3!B76:I76)/4000))/$LP$3)</f>
        <v>0.2848769557662556</v>
      </c>
      <c r="DX76" s="186">
        <f>($LR$2*($LP$3/1000))/($LP$2*(Sheet3!DF76+273))*DO76</f>
        <v>0.17581220686682425</v>
      </c>
      <c r="DY76" s="183">
        <f>(($LR$2*($LP$3/1000))/($LP$2*(Sheet3!BZ76+273)))*(DP76)</f>
        <v>0.17614528914051747</v>
      </c>
      <c r="DZ76" s="183">
        <f>(($LR$2*($LP$3/1000))/($LP$2*(Sheet3!CA76+273)))*(DQ76)</f>
        <v>0.17705840096949732</v>
      </c>
      <c r="EA76" s="183">
        <f>(($LR$2*($LP$3/1000))/($LP$2*(Sheet3!CB76+273)))*(DR76)</f>
        <v>0.17814434758925204</v>
      </c>
      <c r="EB76" s="183">
        <f>(($LR$2*($LP$3/1000))/($LP$2*(Sheet3!CC76+273)))*(DS76)</f>
        <v>0.17928985584824961</v>
      </c>
      <c r="EC76" s="183">
        <f>(($LR$2*($LP$3/1000))/($LP$2*(Sheet3!CD76+273)))*(DT76)</f>
        <v>0.180173381242626</v>
      </c>
      <c r="ED76" s="183">
        <f>(($LR$2*($LP$3/1000))/($LP$2*(Sheet3!CE76+273)))*(DU76)</f>
        <v>0.18101859038867613</v>
      </c>
      <c r="EE76" s="183">
        <f>(($LR$2*($LP$3/1000))/($LP$2*(Sheet3!CF76+273)))*(DV76)</f>
        <v>0.1820359946353135</v>
      </c>
      <c r="EF76" s="183">
        <f>(($LR$2*($LP$3/1000))/($LP$2*(Sheet3!CG76+273)))*(DW76)</f>
        <v>0.18298551637247629</v>
      </c>
      <c r="EG76" s="186">
        <f>(($LR$2*($LQ$3/1000))/($LQ$2*(Sheet3!DF76+273)))*(1-DO76)</f>
        <v>0.703248827467297</v>
      </c>
      <c r="EH76" s="183">
        <f>(($LR$2*($LQ$3/1000))/($LQ$2*(Sheet3!BZ76+273)))*(1-DP76)</f>
        <v>0.7046119833363409</v>
      </c>
      <c r="EI76" s="183">
        <f>(($LR$2*($LQ$3/1000))/($LQ$2*(Sheet3!CA76+273)))*(1-DQ76)</f>
        <v>0.70987963728694847</v>
      </c>
      <c r="EJ76" s="183">
        <f>(($LR$2*($LQ$3/1000))/($LQ$2*(Sheet3!CB76+273)))*(1-DR76)</f>
        <v>0.71426484104397436</v>
      </c>
      <c r="EK76" s="183">
        <f>(($LR$2*($LQ$3/1000))/($LQ$2*(Sheet3!CC76+273)))*(1-DS76)</f>
        <v>0.72053467802537363</v>
      </c>
      <c r="EL76" s="183">
        <f>(($LR$2*($LQ$3/1000))/($LQ$2*(Sheet3!CD76+273)))*(1-DT76)</f>
        <v>0.72411496819522658</v>
      </c>
      <c r="EM76" s="183">
        <f>(($LR$2*($LQ$3/1000))/($LQ$2*(Sheet3!CE76+273)))*(1-DU76)</f>
        <v>0.72905930454956225</v>
      </c>
      <c r="EN76" s="183">
        <f>(($LR$2*($LQ$3/1000))/($LQ$2*(Sheet3!CF76+273)))*(1-DV76)</f>
        <v>0.73318692989342726</v>
      </c>
      <c r="EO76" s="183">
        <f>(($LR$2*($LQ$3/1000))/($LQ$2*(Sheet3!CG76+273)))*(1-DW76)</f>
        <v>0.73842171604822859</v>
      </c>
      <c r="EP76" s="186">
        <f t="shared" si="350"/>
        <v>9969.3627347426354</v>
      </c>
      <c r="EQ76" s="183">
        <f xml:space="preserve"> (($FV76-(Sheet3!B76/4000))*0.018)/(0.011*JO76*3600)</f>
        <v>9984.5572655641045</v>
      </c>
      <c r="ER76" s="183">
        <f>((($FV76-(SUM(Sheet3!B76:C76)/4000))*0.018)/(0.011*JP76*3600))</f>
        <v>10031.896222198578</v>
      </c>
      <c r="ES76" s="183">
        <f>((($FV76-(SUM(Sheet3!B76:D76)/4000))*0.018)/(0.011*JQ76*3600))</f>
        <v>10081.017459984596</v>
      </c>
      <c r="ET76" s="183">
        <f>((($FV76-(SUM(Sheet3!B76:E76)/4000))*0.018)/(0.011*JR76))/3600</f>
        <v>10138.817004101837</v>
      </c>
      <c r="EU76" s="183">
        <f>((($FV76-(SUM(Sheet3!B76:F76)/4000))*0.018)/(0.011*JS76))/3600</f>
        <v>10178.628866442252</v>
      </c>
      <c r="EV76" s="183">
        <f>((($FV76-(SUM(Sheet3!B76:G76)/4000))*0.018)/(0.011*JT76))/3600</f>
        <v>10222.243057012813</v>
      </c>
      <c r="EW76" s="183">
        <f>((($FV76-(SUM(Sheet3!B76:H76)/4000))*0.018)/(0.011*JU76))/3600</f>
        <v>10267.910684407849</v>
      </c>
      <c r="EX76" s="183">
        <f>((($FV76-(SUM(Sheet3!B76:I76)/4000))*0.018)/(0.011*JV76))/3600</f>
        <v>10315.493659252432</v>
      </c>
      <c r="EY76" s="186">
        <f t="shared" si="351"/>
        <v>80.166056119196895</v>
      </c>
      <c r="EZ76" s="183">
        <f t="shared" si="352"/>
        <v>80.273961201329726</v>
      </c>
      <c r="FA76" s="183">
        <f t="shared" si="353"/>
        <v>80.589871666126342</v>
      </c>
      <c r="FB76" s="183">
        <f t="shared" si="354"/>
        <v>80.941287794464372</v>
      </c>
      <c r="FC76" s="183">
        <f t="shared" si="355"/>
        <v>81.333606932219524</v>
      </c>
      <c r="FD76" s="183">
        <f t="shared" si="356"/>
        <v>81.620138599463601</v>
      </c>
      <c r="FE76" s="183">
        <f t="shared" si="357"/>
        <v>81.914015164867038</v>
      </c>
      <c r="FF76" s="183">
        <f t="shared" si="358"/>
        <v>82.244502909768585</v>
      </c>
      <c r="FG76" s="183">
        <f t="shared" si="359"/>
        <v>82.570916374042298</v>
      </c>
      <c r="FH76" s="186">
        <f t="shared" si="274"/>
        <v>129.80119319513474</v>
      </c>
      <c r="FI76" s="183">
        <f t="shared" si="275"/>
        <v>129.61739364655966</v>
      </c>
      <c r="FJ76" s="183">
        <f t="shared" si="276"/>
        <v>128.8716135826088</v>
      </c>
      <c r="FK76" s="183">
        <f t="shared" si="277"/>
        <v>128.29016413402789</v>
      </c>
      <c r="FL76" s="183">
        <f t="shared" si="278"/>
        <v>127.42553837103542</v>
      </c>
      <c r="FM76" s="183">
        <f t="shared" si="279"/>
        <v>126.95845592377452</v>
      </c>
      <c r="FN76" s="183">
        <f t="shared" si="280"/>
        <v>126.28281663351618</v>
      </c>
      <c r="FO76" s="183">
        <f t="shared" si="281"/>
        <v>125.75188520658446</v>
      </c>
      <c r="FP76" s="183">
        <f t="shared" si="282"/>
        <v>125.05354405179378</v>
      </c>
      <c r="FQ76" s="314">
        <f>Sheet3!CV76</f>
        <v>3</v>
      </c>
      <c r="FR76" s="183">
        <v>10000</v>
      </c>
      <c r="FS76" s="183">
        <v>20</v>
      </c>
      <c r="FT76" s="183">
        <v>0.30913761467889916</v>
      </c>
      <c r="FU76" s="183">
        <v>23.3</v>
      </c>
      <c r="FV76" s="183">
        <v>400</v>
      </c>
      <c r="FW76" s="183">
        <v>80</v>
      </c>
      <c r="FX76" s="183">
        <v>1200</v>
      </c>
      <c r="FY76" s="183">
        <v>6.5</v>
      </c>
      <c r="FZ76" s="183">
        <v>9.8000000000000007</v>
      </c>
      <c r="GA76" s="183">
        <v>85</v>
      </c>
      <c r="GB76" s="186">
        <f>EXP($LP$6-($LQ$6/('Trial and Error method'!T76+$LP$8))) / ($LR$2/1000)</f>
        <v>3.4629141268286284E-2</v>
      </c>
      <c r="GC76" s="183">
        <f>EXP($LP$6-($LQ$6/('Trial and Error method'!U76+$LP$8))) / ($LR$2/1000)</f>
        <v>5.029660411044122E-2</v>
      </c>
      <c r="GD76" s="183">
        <f>EXP($LP$6-($LQ$6/('Trial and Error method'!V76+$LP$8))) / ($LR$2/1000)</f>
        <v>4.7735829711648269E-2</v>
      </c>
      <c r="GE76" s="183">
        <f>EXP($LP$6-($LQ$6/('Trial and Error method'!W76+$LP$8))) / ($LR$2/1000)</f>
        <v>4.5629271334306297E-2</v>
      </c>
      <c r="GF76" s="183">
        <f>EXP($LP$6-($LQ$6/('Trial and Error method'!X76+$LP$8))) / ($LR$2/1000)</f>
        <v>4.3637781668253869E-2</v>
      </c>
      <c r="GG76" s="183">
        <f>EXP($LP$6-($LQ$6/('Trial and Error method'!Y76+$LP$8))) / ($LR$2/1000)</f>
        <v>4.1974979135512569E-2</v>
      </c>
      <c r="GH76" s="183">
        <f>EXP($LP$6-($LQ$6/('Trial and Error method'!Z76+$LP$8))) / ($LR$2/1000)</f>
        <v>4.0298075063180651E-2</v>
      </c>
      <c r="GI76" s="183">
        <f>EXP($LP$6-($LQ$6/('Trial and Error method'!AA76+$LP$8))) / ($LR$2/1000)</f>
        <v>3.8756209449105974E-2</v>
      </c>
      <c r="GJ76" s="183">
        <f>EXP($LP$6-($LQ$6/('Trial and Error method'!AB76+$LP$8))) / ($LR$2/1000)</f>
        <v>3.7113962628018103E-2</v>
      </c>
      <c r="GK76" s="188">
        <f t="shared" si="411"/>
        <v>0.83300186774856577</v>
      </c>
      <c r="GL76" s="165">
        <f t="shared" si="360"/>
        <v>0.82588844080362256</v>
      </c>
      <c r="GM76" s="165">
        <f t="shared" si="361"/>
        <v>0.82731131314370354</v>
      </c>
      <c r="GN76" s="165">
        <f t="shared" si="362"/>
        <v>0.82827489398218834</v>
      </c>
      <c r="GO76" s="165">
        <f t="shared" si="363"/>
        <v>0.8294433991740281</v>
      </c>
      <c r="GP76" s="165">
        <f t="shared" si="364"/>
        <v>0.8302038860690435</v>
      </c>
      <c r="GQ76" s="165">
        <f t="shared" si="365"/>
        <v>0.83120545514364574</v>
      </c>
      <c r="GR76" s="165">
        <f t="shared" si="366"/>
        <v>0.83191035335307517</v>
      </c>
      <c r="GS76" s="165">
        <f t="shared" si="367"/>
        <v>0.83287152693117039</v>
      </c>
      <c r="GT76" s="188">
        <f t="shared" si="283"/>
        <v>9.6548667961982013E-2</v>
      </c>
      <c r="GU76" s="165">
        <f t="shared" si="284"/>
        <v>9.738629312020454E-2</v>
      </c>
      <c r="GV76" s="165">
        <f t="shared" si="285"/>
        <v>9.723053173187643E-2</v>
      </c>
      <c r="GW76" s="165">
        <f t="shared" si="286"/>
        <v>9.7151574976646185E-2</v>
      </c>
      <c r="GX76" s="165">
        <f t="shared" si="287"/>
        <v>9.7036153476407982E-2</v>
      </c>
      <c r="GY76" s="165">
        <f t="shared" si="288"/>
        <v>9.6976765819001137E-2</v>
      </c>
      <c r="GZ76" s="165">
        <f t="shared" si="289"/>
        <v>9.6874954398166624E-2</v>
      </c>
      <c r="HA76" s="165">
        <f t="shared" si="290"/>
        <v>9.6828530438717336E-2</v>
      </c>
      <c r="HB76" s="165">
        <f t="shared" si="291"/>
        <v>9.6728665450962439E-2</v>
      </c>
      <c r="HC76" s="188">
        <f>BV76*Sheet3!DF76</f>
        <v>100.86706609603912</v>
      </c>
      <c r="HD76" s="165">
        <f>BW76*Sheet3!BZ76</f>
        <v>100.0345793699147</v>
      </c>
      <c r="HE76" s="165">
        <f>BX76*Sheet3!CA76</f>
        <v>96.980814664124921</v>
      </c>
      <c r="HF76" s="165">
        <f>BY76*Sheet3!CB76</f>
        <v>94.364080165088353</v>
      </c>
      <c r="HG76" s="165">
        <f>BZ76*Sheet3!CC76</f>
        <v>90.825927902106272</v>
      </c>
      <c r="HH76" s="165">
        <f>CA76*Sheet3!CD76</f>
        <v>88.755813268522274</v>
      </c>
      <c r="HI76" s="165">
        <f>CB76*Sheet3!CE76</f>
        <v>86.066163522538815</v>
      </c>
      <c r="HJ76" s="165">
        <f>CC76*Sheet3!CF76</f>
        <v>83.741805325040758</v>
      </c>
      <c r="HK76" s="165">
        <f>CD76*Sheet3!CG76</f>
        <v>80.956072181035665</v>
      </c>
      <c r="HL76" s="188">
        <f>(CE76*Sheet3!DF76)+2501</f>
        <v>2661.0442119434374</v>
      </c>
      <c r="HM76" s="165">
        <f>(CF76*Sheet3!BZ76)+2501</f>
        <v>2659.7259833791441</v>
      </c>
      <c r="HN76" s="165">
        <f>(CG76*Sheet3!CA76)+2501</f>
        <v>2655.0935879154449</v>
      </c>
      <c r="HO76" s="165">
        <f>(CH76*Sheet3!CB76)+2501</f>
        <v>2650.9359446821995</v>
      </c>
      <c r="HP76" s="165">
        <f>(CI76*Sheet3!CC76)+2501</f>
        <v>2645.5195835441596</v>
      </c>
      <c r="HQ76" s="165">
        <f>(CJ76*Sheet3!CD76)+2501</f>
        <v>2642.2272048275354</v>
      </c>
      <c r="HR76" s="165">
        <f>(CK76*Sheet3!CE76)+2501</f>
        <v>2638.1270537008313</v>
      </c>
      <c r="HS76" s="165">
        <f>(CL76*Sheet3!CF76)+2501</f>
        <v>2634.4257582840119</v>
      </c>
      <c r="HT76" s="165">
        <f>(CM76*Sheet3!CG76)+2501</f>
        <v>2630.1403183290122</v>
      </c>
      <c r="HU76" s="188">
        <f>-0.0021*(Sheet3!DF76^2) - 2.2115*(Sheet3!DF76) + 2499</f>
        <v>2295.85</v>
      </c>
      <c r="HV76" s="165">
        <f>-0.0021*(Sheet3!BZ76^2) - 2.2115*(Sheet3!BZ76) + 2499</f>
        <v>2297.6164219450825</v>
      </c>
      <c r="HW76" s="165">
        <f>-0.0021*(Sheet3!CA76^2) - 2.2115*(Sheet3!CA76) + 2499</f>
        <v>2303.8128224759121</v>
      </c>
      <c r="HX76" s="165">
        <f>-0.0021*(Sheet3!CB76^2) - 2.2115*(Sheet3!CB76) + 2499</f>
        <v>2309.3595055594224</v>
      </c>
      <c r="HY76" s="165">
        <f>-0.0021*(Sheet3!CC76^2) - 2.2115*(Sheet3!CC76) + 2499</f>
        <v>2316.5644031702059</v>
      </c>
      <c r="HZ76" s="165">
        <f>-0.0021*(Sheet3!CD76^2) - 2.2115*(Sheet3!CD76) + 2499</f>
        <v>2320.9322248234989</v>
      </c>
      <c r="IA76" s="165">
        <f>-0.0021*(Sheet3!CE76^2) - 2.2115*(Sheet3!CE76) + 2499</f>
        <v>2326.359160202152</v>
      </c>
      <c r="IB76" s="165">
        <f>-0.0021*(Sheet3!CF76^2) - 2.2115*(Sheet3!CF76) + 2499</f>
        <v>2331.2461582179012</v>
      </c>
      <c r="IC76" s="165">
        <f>-0.0021*(Sheet3!CG76^2) - 2.2115*(Sheet3!CG76) + 2499</f>
        <v>2336.8900690310074</v>
      </c>
      <c r="ID76" s="188">
        <f t="shared" si="292"/>
        <v>0.74257394015488154</v>
      </c>
      <c r="IE76" s="165">
        <f t="shared" si="293"/>
        <v>0.74336984517423144</v>
      </c>
      <c r="IF76" s="165">
        <f t="shared" si="294"/>
        <v>0.74532949379018798</v>
      </c>
      <c r="IG76" s="165">
        <f t="shared" si="295"/>
        <v>0.74797138723360901</v>
      </c>
      <c r="IH76" s="165">
        <f t="shared" si="296"/>
        <v>0.7505385391697551</v>
      </c>
      <c r="II76" s="165">
        <f t="shared" si="297"/>
        <v>0.75272613243322173</v>
      </c>
      <c r="IJ76" s="165">
        <f t="shared" si="298"/>
        <v>0.75461107095540902</v>
      </c>
      <c r="IK76" s="165">
        <f t="shared" si="299"/>
        <v>0.75716893762652571</v>
      </c>
      <c r="IL76" s="165">
        <f t="shared" si="300"/>
        <v>0.75937676608064508</v>
      </c>
      <c r="IM76" s="188">
        <f t="shared" si="301"/>
        <v>55.869003230209657</v>
      </c>
      <c r="IN76" s="165">
        <f t="shared" si="368"/>
        <v>52.889367014057242</v>
      </c>
      <c r="IO76" s="165">
        <f t="shared" si="369"/>
        <v>53.41651833495424</v>
      </c>
      <c r="IP76" s="165">
        <f t="shared" si="370"/>
        <v>53.972255893799947</v>
      </c>
      <c r="IQ76" s="165">
        <f t="shared" si="371"/>
        <v>54.417040062069141</v>
      </c>
      <c r="IR76" s="165">
        <f t="shared" si="372"/>
        <v>54.858657981797684</v>
      </c>
      <c r="IS76" s="165">
        <f t="shared" si="373"/>
        <v>55.209440831320407</v>
      </c>
      <c r="IT76" s="165">
        <f t="shared" si="374"/>
        <v>55.645071301048702</v>
      </c>
      <c r="IU76" s="165">
        <f t="shared" si="375"/>
        <v>56.005401865245382</v>
      </c>
      <c r="IV76" s="188">
        <f>_xlfn.FORECAST.LINEAR(Sheet3!DF76,Sheet2!$AK$2:$AK$69,Sheet2!$AJ$2:$AJ$69)</f>
        <v>1.1761434736095797E-5</v>
      </c>
      <c r="IW76" s="165">
        <f>_xlfn.FORECAST.LINEAR(Sheet3!BZ76,Sheet2!$AK$2:$AK$69,Sheet2!$AJ$2:$AJ$69)</f>
        <v>1.1737342335834007E-5</v>
      </c>
      <c r="IX76" s="165">
        <f>_xlfn.FORECAST.LINEAR(Sheet3!CA76,Sheet2!$AK$2:$AK$69,Sheet2!$AJ$2:$AJ$69)</f>
        <v>1.165261359732987E-5</v>
      </c>
      <c r="IY76" s="165">
        <f>_xlfn.FORECAST.LINEAR(Sheet3!CB76,Sheet2!$AK$2:$AK$69,Sheet2!$AJ$2:$AJ$69)</f>
        <v>1.1576482139127795E-5</v>
      </c>
      <c r="IZ76" s="165">
        <f>_xlfn.FORECAST.LINEAR(Sheet3!CC76,Sheet2!$AK$2:$AK$69,Sheet2!$AJ$2:$AJ$69)</f>
        <v>1.1477181108399764E-5</v>
      </c>
      <c r="JA76" s="165">
        <f>_xlfn.FORECAST.LINEAR(Sheet3!CD76,Sheet2!$AK$2:$AK$69,Sheet2!$AJ$2:$AJ$69)</f>
        <v>1.1416754006168009E-5</v>
      </c>
      <c r="JB76" s="165">
        <f>_xlfn.FORECAST.LINEAR(Sheet3!CE76,Sheet2!$AK$2:$AK$69,Sheet2!$AJ$2:$AJ$69)</f>
        <v>1.1341432153114768E-5</v>
      </c>
      <c r="JC76" s="165">
        <f>_xlfn.FORECAST.LINEAR(Sheet3!CF76,Sheet2!$AK$2:$AK$69,Sheet2!$AJ$2:$AJ$69)</f>
        <v>1.127337220942441E-5</v>
      </c>
      <c r="JD76" s="165">
        <f>_xlfn.FORECAST.LINEAR(Sheet3!CG76,Sheet2!$AK$2:$AK$69,Sheet2!$AJ$2:$AJ$69)</f>
        <v>1.1194494426347301E-5</v>
      </c>
      <c r="JE76" s="188">
        <f>_xlfn.FORECAST.LINEAR(Sheet3!DF76,New!$MC$2:$MC$18,New!$MB$2:$MB$18)</f>
        <v>2.0908514659214704E-5</v>
      </c>
      <c r="JF76" s="165">
        <f>_xlfn.FORECAST.LINEAR(Sheet3!BZ76,New!$MC$2:$MC$18,New!$MB$2:$MB$18)</f>
        <v>2.0880193461195363E-5</v>
      </c>
      <c r="JG76" s="165">
        <f>_xlfn.FORECAST.LINEAR(Sheet3!CA76,New!$MC$2:$MC$18,New!$MB$2:$MB$18)</f>
        <v>2.0780592784009603E-5</v>
      </c>
      <c r="JH76" s="165">
        <f>_xlfn.FORECAST.LINEAR(Sheet3!CB76,New!$MC$2:$MC$18,New!$MB$2:$MB$18)</f>
        <v>2.0691098417329102E-5</v>
      </c>
      <c r="JI76" s="165">
        <f>_xlfn.FORECAST.LINEAR(Sheet3!CC76,New!$MC$2:$MC$18,New!$MB$2:$MB$18)</f>
        <v>2.0574367658906764E-5</v>
      </c>
      <c r="JJ76" s="165">
        <f>_xlfn.FORECAST.LINEAR(Sheet3!CD76,New!$MC$2:$MC$18,New!$MB$2:$MB$18)</f>
        <v>2.0503334141721071E-5</v>
      </c>
      <c r="JK76" s="165">
        <f>_xlfn.FORECAST.LINEAR(Sheet3!CE76,New!$MC$2:$MC$18,New!$MB$2:$MB$18)</f>
        <v>2.0414791485434235E-5</v>
      </c>
      <c r="JL76" s="165">
        <f>_xlfn.FORECAST.LINEAR(Sheet3!CF76,New!$MC$2:$MC$18,New!$MB$2:$MB$18)</f>
        <v>2.0334785378882167E-5</v>
      </c>
      <c r="JM76" s="165">
        <f>_xlfn.FORECAST.LINEAR(Sheet3!CG76,New!$MC$2:$MC$18,New!$MB$2:$MB$18)</f>
        <v>2.0242062641023777E-5</v>
      </c>
      <c r="JN76" s="188">
        <f t="shared" si="376"/>
        <v>1.8237693487122933E-5</v>
      </c>
      <c r="JO76" s="165">
        <f t="shared" si="377"/>
        <v>1.8209779970531194E-5</v>
      </c>
      <c r="JP76" s="165">
        <f t="shared" si="378"/>
        <v>1.8115604429222759E-5</v>
      </c>
      <c r="JQ76" s="165">
        <f t="shared" si="379"/>
        <v>1.8027175674344126E-5</v>
      </c>
      <c r="JR76" s="165">
        <f t="shared" si="380"/>
        <v>1.7916078457240334E-5</v>
      </c>
      <c r="JS76" s="165">
        <f t="shared" si="381"/>
        <v>1.7845857828182582E-5</v>
      </c>
      <c r="JT76" s="165">
        <f t="shared" si="382"/>
        <v>1.7762201939620526E-5</v>
      </c>
      <c r="JU76" s="165">
        <f t="shared" si="383"/>
        <v>1.7683058780160125E-5</v>
      </c>
      <c r="JV76" s="165">
        <f t="shared" si="384"/>
        <v>1.7594804175590395E-5</v>
      </c>
      <c r="JW76" s="188">
        <f t="shared" si="302"/>
        <v>1.0444458673781256</v>
      </c>
      <c r="JX76" s="165">
        <f t="shared" si="385"/>
        <v>1.0448395551484735</v>
      </c>
      <c r="JY76" s="165">
        <f t="shared" si="386"/>
        <v>1.046236510596134</v>
      </c>
      <c r="JZ76" s="165">
        <f t="shared" si="387"/>
        <v>1.047508476810346</v>
      </c>
      <c r="KA76" s="165">
        <f t="shared" si="388"/>
        <v>1.0491919079461054</v>
      </c>
      <c r="KB76" s="165">
        <f t="shared" si="389"/>
        <v>1.0502300825056692</v>
      </c>
      <c r="KC76" s="165">
        <f t="shared" si="390"/>
        <v>1.0515390326237799</v>
      </c>
      <c r="KD76" s="165">
        <f t="shared" si="391"/>
        <v>1.052736228729211</v>
      </c>
      <c r="KE76" s="165">
        <f t="shared" si="392"/>
        <v>1.0541411980610911</v>
      </c>
      <c r="KF76" s="188">
        <f t="shared" si="393"/>
        <v>0.94446821821306282</v>
      </c>
      <c r="KG76" s="165">
        <f t="shared" si="394"/>
        <v>0.94416772368482094</v>
      </c>
      <c r="KH76" s="165">
        <f t="shared" si="395"/>
        <v>0.94310397652746947</v>
      </c>
      <c r="KI76" s="165">
        <f t="shared" si="396"/>
        <v>0.94213881547444411</v>
      </c>
      <c r="KJ76" s="165">
        <f t="shared" si="397"/>
        <v>0.94086640552141021</v>
      </c>
      <c r="KK76" s="165">
        <f t="shared" si="398"/>
        <v>0.94008451506602198</v>
      </c>
      <c r="KL76" s="165">
        <f t="shared" si="399"/>
        <v>0.9391017283383043</v>
      </c>
      <c r="KM76" s="165">
        <f t="shared" si="400"/>
        <v>0.9382057994156503</v>
      </c>
      <c r="KN76" s="165">
        <f t="shared" si="401"/>
        <v>0.93715795891426157</v>
      </c>
      <c r="KO76" s="188">
        <f t="shared" si="304"/>
        <v>0.57786608656615301</v>
      </c>
      <c r="KP76" s="165">
        <f t="shared" si="305"/>
        <v>0.577341252262626</v>
      </c>
      <c r="KQ76" s="165">
        <f t="shared" si="306"/>
        <v>0.57539112083111932</v>
      </c>
      <c r="KR76" s="165">
        <f t="shared" si="307"/>
        <v>0.57360443403129324</v>
      </c>
      <c r="KS76" s="165">
        <f t="shared" si="308"/>
        <v>0.57127773362207279</v>
      </c>
      <c r="KT76" s="165">
        <f t="shared" si="309"/>
        <v>0.56983583449402098</v>
      </c>
      <c r="KU76" s="165">
        <f t="shared" si="310"/>
        <v>0.56804913372929</v>
      </c>
      <c r="KV76" s="165">
        <f t="shared" si="311"/>
        <v>0.56640230535337099</v>
      </c>
      <c r="KW76" s="165">
        <f t="shared" si="312"/>
        <v>0.5645906080555223</v>
      </c>
      <c r="KX76" s="188">
        <f>AVERAGE(Sheet3!J76:P76)*KO76^(1/3)/ID76^(1/3)</f>
        <v>302.61772294302466</v>
      </c>
      <c r="KY76" s="165">
        <f>Sheet3!J76*KP76^(1/3)/IE76^(1/3)</f>
        <v>331.36829283532785</v>
      </c>
      <c r="KZ76" s="165">
        <f>Sheet3!K76*KQ76^(1/3)/IF76^(1/3)</f>
        <v>293.23911017127085</v>
      </c>
      <c r="LA76" s="165">
        <f>Sheet3!L76*KR76^(1/3)/IG76^(1/3)</f>
        <v>279.1870842558684</v>
      </c>
      <c r="LB76" s="165">
        <f>Sheet3!M76*KS76^(1/3)/IH76^(1/3)</f>
        <v>278.17227111916537</v>
      </c>
      <c r="LC76" s="165">
        <f>Sheet3!N76*KT76^(1/3)/II76^(1/3)</f>
        <v>288.49587097010448</v>
      </c>
      <c r="LD76" s="165">
        <f>Sheet3!O76*KU76^(1/3)/IJ76^(1/3)</f>
        <v>306.25896173279472</v>
      </c>
      <c r="LE76" s="165">
        <f>Sheet3!P76*KV76^(1/3)/IK76^(1/3)</f>
        <v>326.77041384987444</v>
      </c>
      <c r="LF76" s="165">
        <f>Sheet3!Q76*KW76^(1/3)/IL76^(1/3)</f>
        <v>339.77323102377903</v>
      </c>
      <c r="LG76" s="186">
        <f t="shared" si="402"/>
        <v>25.822332211443282</v>
      </c>
      <c r="LH76" s="183">
        <f t="shared" si="403"/>
        <v>25.826317347838625</v>
      </c>
      <c r="LI76" s="183">
        <f t="shared" si="404"/>
        <v>26.035856655336627</v>
      </c>
      <c r="LJ76" s="183">
        <f t="shared" si="405"/>
        <v>26.039931211301838</v>
      </c>
      <c r="LK76" s="183">
        <f t="shared" si="406"/>
        <v>26.258660780115882</v>
      </c>
      <c r="LL76" s="183">
        <f t="shared" si="407"/>
        <v>26.262531760697971</v>
      </c>
      <c r="LM76" s="183">
        <f t="shared" si="408"/>
        <v>26.46594979803697</v>
      </c>
      <c r="LN76" s="183">
        <f t="shared" si="409"/>
        <v>26.469903014032813</v>
      </c>
      <c r="LO76" s="183">
        <f t="shared" si="410"/>
        <v>26.656258036459079</v>
      </c>
      <c r="LT76" s="165"/>
      <c r="MF76" s="165"/>
      <c r="MJ76"/>
      <c r="MK76"/>
      <c r="ML76"/>
      <c r="MM76"/>
      <c r="MN76"/>
      <c r="MO76"/>
      <c r="MP76"/>
      <c r="MQ76"/>
      <c r="MR76"/>
    </row>
    <row r="77" spans="1:356" x14ac:dyDescent="0.3">
      <c r="A77" s="184" t="str">
        <f>Sheet3!A77</f>
        <v>2023.02.06-2</v>
      </c>
      <c r="B77" s="186">
        <f t="shared" si="313"/>
        <v>0.90386841785609773</v>
      </c>
      <c r="C77" s="183">
        <f t="shared" si="257"/>
        <v>0.9010482960700098</v>
      </c>
      <c r="D77" s="183">
        <f t="shared" si="258"/>
        <v>0.89318836103998356</v>
      </c>
      <c r="E77" s="183">
        <f t="shared" si="259"/>
        <v>0.88392844496138967</v>
      </c>
      <c r="F77" s="183">
        <f t="shared" si="260"/>
        <v>0.87382257325476043</v>
      </c>
      <c r="G77" s="183">
        <f t="shared" si="261"/>
        <v>0.86649869887554554</v>
      </c>
      <c r="H77" s="183">
        <f t="shared" si="262"/>
        <v>0.85868524669173674</v>
      </c>
      <c r="I77" s="183">
        <f t="shared" si="263"/>
        <v>0.85007637862115015</v>
      </c>
      <c r="J77" s="183">
        <f t="shared" si="264"/>
        <v>0.84302990021192181</v>
      </c>
      <c r="K77" s="186">
        <f xml:space="preserve"> (6.057 * (10^(-6)))
+ (4.055 * (10^(-8)) * (Sheet3!DF77 + 273))
+ (1.25 * (10^(-10)) * (Sheet3!DF77 + 273)^2)
- (3.367 * (10^(-14)) * (DD77 + 273)^3)</f>
        <v>4.4158233981925279E-5</v>
      </c>
      <c r="L77" s="183">
        <f xml:space="preserve"> (6.057 * (10^(-6)))
+ (4.055 * (10^(-8)) * (Sheet3!BZ77 + 273))
+ (1.25 * (10^(-10)) * (Sheet3!BZ77 + 273)^2)
- (3.367 * (10^(-14)) * (BX77 + 273)^3)</f>
        <v>4.3928381591495181E-5</v>
      </c>
      <c r="M77" s="183">
        <f xml:space="preserve"> (6.057 * (10^(-6)))
+ (4.055 * (10^(-8)) * (Sheet3!CA77 + 273))
+ (1.25 * (10^(-10)) * (Sheet3!CA77 + 273)^2)
- (3.367 * (10^(-14)) * (BY77 + 273)^3)</f>
        <v>4.3265045393617135E-5</v>
      </c>
      <c r="N77" s="183">
        <f xml:space="preserve"> (6.057 * (10^(-6)))
+ (4.055 * (10^(-8)) * (Sheet3!CB77 + 273))
+ (1.25 * (10^(-10)) * (Sheet3!CB77 + 273)^2)
- (3.367 * (10^(-14)) * (BZ77 + 273)^3)</f>
        <v>4.2581920658077963E-5</v>
      </c>
      <c r="O77" s="183">
        <f xml:space="preserve"> (6.057 * (10^(-6)))
+ (4.055 * (10^(-8)) * (Sheet3!CC77 + 273))
+ (1.25 * (10^(-10)) * (Sheet3!CC77 + 273)^2)
- (3.367 * (10^(-14)) * (CA77 + 273)^3)</f>
        <v>4.1782760856901016E-5</v>
      </c>
      <c r="P77" s="183">
        <f xml:space="preserve"> (6.057 * (10^(-6)))
+ (4.055 * (10^(-8)) * (Sheet3!CD77 + 273))
+ (1.25 * (10^(-10)) * (Sheet3!CD77 + 273)^2)
- (3.367 * (10^(-14)) * (CB77 + 273)^3)</f>
        <v>4.1270137912125401E-5</v>
      </c>
      <c r="Q77" s="183">
        <f xml:space="preserve"> (6.057 * (10^(-6)))
+ (4.055 * (10^(-8)) * (Sheet3!CE77 + 273))
+ (1.25 * (10^(-10)) * (Sheet3!CE77 + 273)^2)
- (3.367 * (10^(-14)) * (CC77 + 273)^3)</f>
        <v>4.0668280361297557E-5</v>
      </c>
      <c r="R77" s="183">
        <f xml:space="preserve"> (6.057 * (10^(-6)))
+ (4.055 * (10^(-8)) * (Sheet3!CF77 + 273))
+ (1.25 * (10^(-10)) * (Sheet3!CF77 + 273)^2)
- (3.367 * (10^(-14)) * (CD77 + 273)^3)</f>
        <v>4.0091549390423047E-5</v>
      </c>
      <c r="S77" s="183">
        <f xml:space="preserve"> (6.057 * (10^(-6)))
+ (4.055 * (10^(-8)) * (Sheet3!CG77 + 273))
+ (1.25 * (10^(-10)) * (Sheet3!CG77 + 273)^2)
- (3.367 * (10^(-14)) * (CE77 + 273)^3)</f>
        <v>3.955798501762938E-5</v>
      </c>
      <c r="T77" s="188">
        <f t="shared" si="314"/>
        <v>4.4158233981925279E-5</v>
      </c>
      <c r="U77" s="165">
        <f t="shared" si="315"/>
        <v>4.3928381591495181E-5</v>
      </c>
      <c r="V77" s="165">
        <f t="shared" si="316"/>
        <v>4.3265045393617135E-5</v>
      </c>
      <c r="W77" s="165">
        <f t="shared" si="317"/>
        <v>4.2581920658077963E-5</v>
      </c>
      <c r="X77" s="165">
        <f t="shared" si="318"/>
        <v>4.1782760856901016E-5</v>
      </c>
      <c r="Y77" s="165">
        <f t="shared" si="319"/>
        <v>4.1270137912125401E-5</v>
      </c>
      <c r="Z77" s="165">
        <f t="shared" si="320"/>
        <v>4.0668280361297557E-5</v>
      </c>
      <c r="AA77" s="165">
        <f t="shared" si="321"/>
        <v>4.0091549390423047E-5</v>
      </c>
      <c r="AB77" s="165">
        <f t="shared" si="322"/>
        <v>3.955798501762938E-5</v>
      </c>
      <c r="AC77" s="186">
        <f t="shared" si="265"/>
        <v>3.9913233084562172E-5</v>
      </c>
      <c r="AD77" s="183">
        <f t="shared" si="266"/>
        <v>3.9581593382129917E-5</v>
      </c>
      <c r="AE77" s="183">
        <f t="shared" si="267"/>
        <v>3.8643834985445379E-5</v>
      </c>
      <c r="AF77" s="183">
        <f t="shared" si="268"/>
        <v>3.7639370910764128E-5</v>
      </c>
      <c r="AG77" s="183">
        <f t="shared" si="269"/>
        <v>3.6510719609665524E-5</v>
      </c>
      <c r="AH77" s="183">
        <f t="shared" si="270"/>
        <v>3.5760520803270982E-5</v>
      </c>
      <c r="AI77" s="183">
        <f t="shared" si="271"/>
        <v>3.4921252354569505E-5</v>
      </c>
      <c r="AJ77" s="183">
        <f t="shared" si="272"/>
        <v>3.4080879119121804E-5</v>
      </c>
      <c r="AK77" s="183">
        <f t="shared" si="273"/>
        <v>3.3348564161996795E-5</v>
      </c>
      <c r="AL77" s="186">
        <f t="shared" si="323"/>
        <v>3.6090103873590219E-2</v>
      </c>
      <c r="AM77" s="183">
        <f t="shared" si="324"/>
        <v>3.5911849998248618E-2</v>
      </c>
      <c r="AN77" s="183">
        <f t="shared" si="325"/>
        <v>3.5380378660118124E-2</v>
      </c>
      <c r="AO77" s="183">
        <f t="shared" si="326"/>
        <v>3.4830912562317365E-2</v>
      </c>
      <c r="AP77" s="183">
        <f t="shared" si="327"/>
        <v>3.4179452783472619E-2</v>
      </c>
      <c r="AQ77" s="183">
        <f t="shared" si="328"/>
        <v>3.3759131929003469E-2</v>
      </c>
      <c r="AR77" s="183">
        <f t="shared" si="329"/>
        <v>3.3260523936730318E-2</v>
      </c>
      <c r="AS77" s="183">
        <f t="shared" si="330"/>
        <v>3.2779866565750972E-2</v>
      </c>
      <c r="AT77" s="183">
        <f t="shared" si="331"/>
        <v>3.2335740709228789E-2</v>
      </c>
      <c r="AU77" s="186">
        <f>_xlfn.FORECAST.LINEAR(Sheet3!DF77,Sheet2!$AH$2:$AH$40,Sheet2!$AG$2:$AG$40)</f>
        <v>4.0902410270024961E-2</v>
      </c>
      <c r="AV77" s="183">
        <f>_xlfn.FORECAST.LINEAR(Sheet3!BZ77,Sheet2!$AH$2:$AH$40,Sheet2!$AG$2:$AG$40)</f>
        <v>4.0507836577997891E-2</v>
      </c>
      <c r="AW77" s="183">
        <f>_xlfn.FORECAST.LINEAR(Sheet3!CA77,Sheet2!$AH$2:$AH$40,Sheet2!$AG$2:$AG$40)</f>
        <v>3.9337803489719346E-2</v>
      </c>
      <c r="AX77" s="183">
        <f>_xlfn.FORECAST.LINEAR(Sheet3!CB77,Sheet2!$AH$2:$AH$40,Sheet2!$AG$2:$AG$40)</f>
        <v>3.812295096238779E-2</v>
      </c>
      <c r="AY77" s="183">
        <f>_xlfn.FORECAST.LINEAR(Sheet3!CC77,Sheet2!$AH$2:$AH$40,Sheet2!$AG$2:$AG$40)</f>
        <v>3.6688705392048687E-2</v>
      </c>
      <c r="AZ77" s="183">
        <f>_xlfn.FORECAST.LINEAR(Sheet3!CD77,Sheet2!$AH$2:$AH$40,Sheet2!$AG$2:$AG$40)</f>
        <v>3.5761067053985164E-2</v>
      </c>
      <c r="BA77" s="183">
        <f>_xlfn.FORECAST.LINEAR(Sheet3!CE77,Sheet2!$AH$2:$AH$40,Sheet2!$AG$2:$AG$40)</f>
        <v>3.4664203003033002E-2</v>
      </c>
      <c r="BB77" s="183">
        <f>_xlfn.FORECAST.LINEAR(Sheet3!CF77,Sheet2!$AH$2:$AH$40,Sheet2!$AG$2:$AG$40)</f>
        <v>3.3605057611657239E-2</v>
      </c>
      <c r="BC77" s="183">
        <f>_xlfn.FORECAST.LINEAR(Sheet3!CG77,Sheet2!$AH$2:$AH$40,Sheet2!$AG$2:$AG$40)</f>
        <v>3.2628257472681707E-2</v>
      </c>
      <c r="BD77" s="186">
        <f>_xlfn.FORECAST.LINEAR(Sheet3!DF77,Sheet2!$AB$12:$AB$37,Sheet2!$AA$12:$AA$37)/1000</f>
        <v>3.3915606923988664E-2</v>
      </c>
      <c r="BE77" s="183">
        <f>_xlfn.FORECAST.LINEAR(Sheet3!BZ77,Sheet2!$AB$12:$AB$37,Sheet2!$AA$12:$AA$37)/1000</f>
        <v>3.3827389379463037E-2</v>
      </c>
      <c r="BF77" s="183">
        <f>_xlfn.FORECAST.LINEAR(Sheet3!CA77,Sheet2!$AB$12:$AB$37,Sheet2!$AA$12:$AA$37)/1000</f>
        <v>3.3565797063129413E-2</v>
      </c>
      <c r="BG77" s="183">
        <f>_xlfn.FORECAST.LINEAR(Sheet3!CB77,Sheet2!$AB$12:$AB$37,Sheet2!$AA$12:$AA$37)/1000</f>
        <v>3.3294184157638004E-2</v>
      </c>
      <c r="BH77" s="183">
        <f>_xlfn.FORECAST.LINEAR(Sheet3!CC77,Sheet2!$AB$12:$AB$37,Sheet2!$AA$12:$AA$37)/1000</f>
        <v>3.2973520045917665E-2</v>
      </c>
      <c r="BI77" s="183">
        <f>_xlfn.FORECAST.LINEAR(Sheet3!CD77,Sheet2!$AB$12:$AB$37,Sheet2!$AA$12:$AA$37)/1000</f>
        <v>3.2766121585134873E-2</v>
      </c>
      <c r="BJ77" s="183">
        <f>_xlfn.FORECAST.LINEAR(Sheet3!CE77,Sheet2!$AB$12:$AB$37,Sheet2!$AA$12:$AA$37)/1000</f>
        <v>3.2520888171938149E-2</v>
      </c>
      <c r="BK77" s="183">
        <f>_xlfn.FORECAST.LINEAR(Sheet3!CF77,Sheet2!$AB$12:$AB$37,Sheet2!$AA$12:$AA$37)/1000</f>
        <v>3.2284087777966632E-2</v>
      </c>
      <c r="BL77" s="183">
        <f>_xlfn.FORECAST.LINEAR(Sheet3!CG77,Sheet2!$AB$12:$AB$37,Sheet2!$AA$12:$AA$37)/1000</f>
        <v>3.2065697876424992E-2</v>
      </c>
      <c r="BM77" s="186">
        <f t="shared" si="332"/>
        <v>0.75288002462108938</v>
      </c>
      <c r="BN77" s="183">
        <f t="shared" si="333"/>
        <v>0.75568773910072307</v>
      </c>
      <c r="BO77" s="183">
        <f t="shared" si="334"/>
        <v>0.76427032891334834</v>
      </c>
      <c r="BP77" s="183">
        <f t="shared" si="335"/>
        <v>0.77324629126150324</v>
      </c>
      <c r="BQ77" s="183">
        <f t="shared" si="336"/>
        <v>0.7842738406278752</v>
      </c>
      <c r="BR77" s="183">
        <f t="shared" si="337"/>
        <v>0.79147129556618689</v>
      </c>
      <c r="BS77" s="183">
        <f t="shared" si="338"/>
        <v>0.80030305583839423</v>
      </c>
      <c r="BT77" s="183">
        <f t="shared" si="339"/>
        <v>0.80887182547098069</v>
      </c>
      <c r="BU77" s="183">
        <f t="shared" si="340"/>
        <v>0.81707792765511145</v>
      </c>
      <c r="BV77" s="186">
        <f t="shared" si="341"/>
        <v>1.2010067524001928</v>
      </c>
      <c r="BW77" s="183">
        <f t="shared" si="342"/>
        <v>1.2006104785671559</v>
      </c>
      <c r="BX77" s="183">
        <f t="shared" si="343"/>
        <v>1.1979405289943394</v>
      </c>
      <c r="BY77" s="183">
        <f t="shared" si="344"/>
        <v>1.1967533481277386</v>
      </c>
      <c r="BZ77" s="183">
        <f t="shared" si="345"/>
        <v>1.1936499471683497</v>
      </c>
      <c r="CA77" s="183">
        <f t="shared" si="346"/>
        <v>1.1927578043275184</v>
      </c>
      <c r="CB77" s="183">
        <f t="shared" si="347"/>
        <v>1.190103687627569</v>
      </c>
      <c r="CC77" s="183">
        <f t="shared" si="348"/>
        <v>1.1890953590756528</v>
      </c>
      <c r="CD77" s="183">
        <f t="shared" si="349"/>
        <v>1.1867034229957034</v>
      </c>
      <c r="CE77" s="187">
        <f xml:space="preserve"> -0.0000000019505*Sheet3!DF77^3 + 0.0000015497*Sheet3!DF77^2  + 0.00016911*Sheet3!DF77 + 1.8585</f>
        <v>1.9096570494375</v>
      </c>
      <c r="CF77" s="185">
        <f xml:space="preserve"> -0.0000000019505*Sheet3!BZ77^3 + 0.0000015497*Sheet3!BZ77^2  + 0.00016911*Sheet3!BZ77 + 1.8585</f>
        <v>1.9088894640750422</v>
      </c>
      <c r="CG77" s="185">
        <f xml:space="preserve"> -0.0000000019505*Sheet3!CA77^3 + 0.0000015497*Sheet3!CA77^2  + 0.00016911*Sheet3!CA77 + 1.8585</f>
        <v>1.9066336369141055</v>
      </c>
      <c r="CH77" s="185">
        <f xml:space="preserve"> -0.0000000019505*Sheet3!CB77^3 + 0.0000015497*Sheet3!CB77^2  + 0.00016911*Sheet3!CB77 + 1.8585</f>
        <v>1.9043244841269522</v>
      </c>
      <c r="CI77" s="185">
        <f xml:space="preserve"> -0.0000000019505*Sheet3!CC77^3 + 0.0000015497*Sheet3!CC77^2  + 0.00016911*Sheet3!CC77 + 1.8585</f>
        <v>1.901643429275095</v>
      </c>
      <c r="CJ77" s="185">
        <f xml:space="preserve"> -0.0000000019505*Sheet3!CD77^3 + 0.0000015497*Sheet3!CD77^2  + 0.00016911*Sheet3!CD77 + 1.8585</f>
        <v>1.899936328144501</v>
      </c>
      <c r="CK77" s="185">
        <f xml:space="preserve"> -0.0000000019505*Sheet3!CE77^3 + 0.0000015497*Sheet3!CE77^2  + 0.00016911*Sheet3!CE77 + 1.8585</f>
        <v>1.897946029642531</v>
      </c>
      <c r="CL77" s="185">
        <f xml:space="preserve"> -0.0000000019505*Sheet3!CF77^3 + 0.0000015497*Sheet3!CF77^2  + 0.00016911*Sheet3!CF77 + 1.8585</f>
        <v>1.8960540323400255</v>
      </c>
      <c r="CM77" s="185">
        <f xml:space="preserve"> -0.0000000019505*Sheet3!CG77^3 + 0.0000015497*Sheet3!CG77^2  + 0.00016911*Sheet3!CG77 + 1.8585</f>
        <v>1.8943358765874856</v>
      </c>
      <c r="CN77" s="186">
        <f>_xlfn.FORECAST.LINEAR(Sheet3!DF77,New!$LU$2:$LU$14,New!$LT$2:$LT$14)</f>
        <v>1.023844178140866</v>
      </c>
      <c r="CO77" s="183">
        <f>_xlfn.FORECAST.LINEAR(Sheet3!BZ77,New!$LU$2:$LU$14,New!$LT$2:$LT$14)</f>
        <v>1.0235537667270118</v>
      </c>
      <c r="CP77" s="183">
        <f>_xlfn.FORECAST.LINEAR(Sheet3!CA77,New!$LU$2:$LU$14,New!$LT$2:$LT$14)</f>
        <v>1.0226926070240483</v>
      </c>
      <c r="CQ77" s="183">
        <f>_xlfn.FORECAST.LINEAR(Sheet3!CB77,New!$LU$2:$LU$14,New!$LT$2:$LT$14)</f>
        <v>1.0217984596259433</v>
      </c>
      <c r="CR77" s="183">
        <f>_xlfn.FORECAST.LINEAR(Sheet3!CC77,New!$LU$2:$LU$14,New!$LT$2:$LT$14)</f>
        <v>1.0207428360699062</v>
      </c>
      <c r="CS77" s="183">
        <f>_xlfn.FORECAST.LINEAR(Sheet3!CD77,New!$LU$2:$LU$14,New!$LT$2:$LT$14)</f>
        <v>1.0200600820831454</v>
      </c>
      <c r="CT77" s="183">
        <f>_xlfn.FORECAST.LINEAR(Sheet3!CE77,New!$LU$2:$LU$14,New!$LT$2:$LT$14)</f>
        <v>1.0192527757515792</v>
      </c>
      <c r="CU77" s="183">
        <f>_xlfn.FORECAST.LINEAR(Sheet3!CF77,New!$LU$2:$LU$14,New!$LT$2:$LT$14)</f>
        <v>1.0184732308483029</v>
      </c>
      <c r="CV77" s="183">
        <f>_xlfn.FORECAST.LINEAR(Sheet3!CG77,New!$LU$2:$LU$14,New!$LT$2:$LT$14)</f>
        <v>1.0177542931311037</v>
      </c>
      <c r="CW77" s="186">
        <f>EXP((17.625*Sheet3!BA77)/(243.04+Sheet3!BA77)) / EXP((17.625*Sheet3!DF77)/(243.04+Sheet3!DF77))</f>
        <v>5.5777277418098327E-2</v>
      </c>
      <c r="CX77" s="183">
        <f>EXP((17.625*(Sheet3!BC77+273))/(243.04+(Sheet3!BC77+273)))/EXP((17.625*(Sheet3!BZ77+273))/(243.04+(Sheet3!BZ77+273)))</f>
        <v>0.41377543712169329</v>
      </c>
      <c r="CY77" s="183">
        <f>EXP((17.625*(Sheet3!BE77+273))/(243.04+(Sheet3!BE77+273))) / EXP((17.625*(Sheet3!CA77+273))/(243.04+(Sheet3!CA77+273)))</f>
        <v>0.43292007430638219</v>
      </c>
      <c r="CZ77" s="183">
        <f>EXP((17.625*(Sheet3!BG77+273))/(243.04+(Sheet3!BG77+273))) / EXP((17.625*(Sheet3!CB77+273))/(243.04+(Sheet3!CB77+273)))</f>
        <v>0.4536386925315713</v>
      </c>
      <c r="DA77" s="183">
        <f>EXP((17.625*(Sheet3!BI77+273))/(243.04+(Sheet3!BI77+273))) / EXP((17.625*(Sheet3!CC77+273))/(243.04+(Sheet3!CC77+273)))</f>
        <v>0.47962465937443305</v>
      </c>
      <c r="DB77" s="183">
        <f>EXP((17.625*(Sheet3!BK77+273))/(243.04+(Sheet3!BK77+273)))/EXP((17.625*(Sheet3!CD77+273))/(243.04+(Sheet3!CD77+273)))</f>
        <v>0.49812495386356409</v>
      </c>
      <c r="DC77" s="183">
        <f>EXP((17.625*(Sheet3!BM77+273))/(243.04+(Sheet3!BM77+273))) / EXP((17.625*(Sheet3!CE77+273))/(243.04+(Sheet3!CE77+273)))</f>
        <v>0.52023567554261052</v>
      </c>
      <c r="DD77" s="183">
        <f>EXP((17.625*(Sheet3!BO77+273))/(243.04+(Sheet3!BO77+273))) / EXP((17.625*(Sheet3!CF77+273))/(243.04+(Sheet3!CF77+273)))</f>
        <v>0.54382334411929345</v>
      </c>
      <c r="DE77" s="183">
        <f>EXP((17.625*(Sheet3!BQ77+273))/(243.04+(Sheet3!BQ77+273))) / EXP((17.625*(Sheet3!CG77+273))/(243.04+(Sheet3!CG77+273)))</f>
        <v>0.56583129290764622</v>
      </c>
      <c r="DF77" s="186">
        <f>((Sheet3!DA77-Sheet3!DB77)/New!$LQ$3)/(((Sheet3!DA77-Sheet3!DB77)/New!$LQ$3)+(Sheet3!DB77/New!$LP$3))</f>
        <v>0.71332409423876453</v>
      </c>
      <c r="DG77" s="183">
        <f>((Sheet3!DA77-Sheet3!DB77)/New!$LQ$3)/(((Sheet3!DA77-Sheet3!DB77)/New!$LQ$3)+((Sheet3!DB77-(Sheet3!B77*0.004))/New!$LP$3))</f>
        <v>0.71336953998521302</v>
      </c>
      <c r="DH77" s="183" cm="1">
        <f t="array" ref="DH77">((Sheet3!DA77-Sheet3!DB77)/New!$LQ$3)/(((Sheet3!DA77-Sheet3!DB77)/New!$LQ$3)+((Sheet3!DB77-(SUM(Sheet3!B77:C77*0.004)))/New!$LP$3))</f>
        <v>0.7201043889544182</v>
      </c>
      <c r="DI77" s="183" cm="1">
        <f t="array" ref="DI77">((Sheet3!DA77-Sheet3!DB77)/New!$LQ$3)/(((Sheet3!DA77-Sheet3!DB77)/New!$LQ$3)+((Sheet3!DB77-(SUM(Sheet3!B77:D77*0.004)))/New!$LP$3))</f>
        <v>0.72015996625706213</v>
      </c>
      <c r="DJ77" s="183" cm="1">
        <f t="array" ref="DJ77">((Sheet3!DA77-Sheet3!DB77)/New!$LQ$3)/(((Sheet3!DA77-Sheet3!DB77)/New!$LQ$3)+((Sheet3!DB77-(SUM(Sheet3!B77:E77*0.004)))/New!$LP$3))</f>
        <v>0.7279222638733942</v>
      </c>
      <c r="DK77" s="183" cm="1">
        <f t="array" ref="DK77">((Sheet3!DA77-Sheet3!DB77)/New!$LQ$3)/(((Sheet3!DA77-Sheet3!DB77)/New!$LQ$3)+((Sheet3!DB77-(SUM(Sheet3!B77:F77*0.004)))/New!$LP$3))</f>
        <v>0.72796012332906579</v>
      </c>
      <c r="DL77" s="183" cm="1">
        <f t="array" ref="DL77">((Sheet3!DA77-Sheet3!DB77)/New!$LQ$3)/(((Sheet3!DA77-Sheet3!DB77)/New!$LQ$3)+((Sheet3!DB77-(SUM(Sheet3!B77:G77*0.004)))/New!$LP$3))</f>
        <v>0.73538010735737702</v>
      </c>
      <c r="DM77" s="183" cm="1">
        <f t="array" ref="DM77">((Sheet3!DA77-Sheet3!DB77)/New!$LQ$3)/(((Sheet3!DA77-Sheet3!DB77)/New!$LQ$3)+((Sheet3!DB77-(SUM(Sheet3!B77:H77*0.004)))/New!$LP$3))</f>
        <v>0.73543806770956277</v>
      </c>
      <c r="DN77" s="183" cm="1">
        <f t="array" ref="DN77">((Sheet3!DA77-Sheet3!DB77)/New!$LQ$3)/(((Sheet3!DA77-Sheet3!DB77)/New!$LQ$3)+((Sheet3!DB77-(SUM(Sheet3!B77:I77*0.004)))/New!$LP$3))</f>
        <v>0.74237166921982511</v>
      </c>
      <c r="DO77" s="186">
        <f>(Sheet3!DB77/$LP$3) / ((Sheet3!DB77/$LP$3) + ((Sheet3!DA77-Sheet3!DB77)/$LQ$3))</f>
        <v>0.28667590576123536</v>
      </c>
      <c r="DP77" s="183">
        <f>((Sheet3!$DB77-(Sheet3!B77/4000)) / $LP$3) / (((Sheet3!$DA77-Sheet3!DB77) / $LQ$3) + (Sheet3!$DB77-((Sheet3!B77/4000)))/$LP$3)</f>
        <v>0.28667306557172112</v>
      </c>
      <c r="DQ77" s="183">
        <f>((Sheet3!$DB77-(SUM(Sheet3!B77:C77)/4000))/$LP$3)/(((Sheet3!$DA77-Sheet3!$DB77)/$LQ$3)+(Sheet3!$DB77-(SUM(Sheet3!B77:C77)/4000))/$LP$3)</f>
        <v>0.2862558802449931</v>
      </c>
      <c r="DR77" s="183">
        <f>((Sheet3!$DB77-(SUM(Sheet3!B77:D77)/4000))/$LP$3)/(((Sheet3!$DA77-Sheet3!$DB77)/$LQ$3)+(Sheet3!$DB77-(SUM(Sheet3!B77:D77)/4000))/$LP$3)</f>
        <v>0.2862524679999448</v>
      </c>
      <c r="DS77" s="183">
        <f>((Sheet3!$DB77-(SUM(Sheet3!B77:E77)/4000))/$LP$3)/(((Sheet3!$DA77-Sheet3!$DB77)/$LQ$3)+(Sheet3!$DB77-(SUM(Sheet3!B77:E77)/4000))/$LP$3)</f>
        <v>0.28578069559599251</v>
      </c>
      <c r="DT77" s="183">
        <f>((Sheet3!$DB77-(SUM(Sheet3!B77:F77)/4000))/$LP$3)/(((Sheet3!$DA77-Sheet3!$DB77)/$LQ$3)+(Sheet3!$DB77-(SUM(Sheet3!B77:F77)/4000))/$LP$3)</f>
        <v>0.28577841773958046</v>
      </c>
      <c r="DU77" s="183">
        <f>((Sheet3!$DB77-(SUM(Sheet3!B77:G77)/4000))/$LP$3)/(((Sheet3!$DA77-Sheet3!$DB77)/$LQ$3)+(Sheet3!$DB77-(SUM(Sheet3!B77:G77)/4000))/$LP$3)</f>
        <v>0.28533623859972784</v>
      </c>
      <c r="DV77" s="183">
        <f>((Sheet3!$DB77-(SUM(Sheet3!B77:H77)/4000))/$LP$3)/(((Sheet3!$DA77-Sheet3!$DB77)/$LQ$3)+(Sheet3!$DB77-(SUM(Sheet3!B77:H77)/4000))/$LP$3)</f>
        <v>0.28533281755580697</v>
      </c>
      <c r="DW77" s="183">
        <f>((Sheet3!$DB77-(SUM(Sheet3!B77:I77)/4000))/$LP$3)/(((Sheet3!$DA77-Sheet3!$DB77)/$LQ$3)+(Sheet3!$DB77-(SUM(Sheet3!B77:I77)/4000))/$LP$3)</f>
        <v>0.28492719181900078</v>
      </c>
      <c r="DX77" s="186">
        <f>($LR$2*($LP$3/1000))/($LP$2*(Sheet3!DF77+273))*DO77</f>
        <v>0.15057600492421785</v>
      </c>
      <c r="DY77" s="183">
        <f>(($LR$2*($LP$3/1000))/($LP$2*(Sheet3!BZ77+273)))*(DP77)</f>
        <v>0.15113586850939301</v>
      </c>
      <c r="DZ77" s="183">
        <f>(($LR$2*($LP$3/1000))/($LP$2*(Sheet3!CA77+273)))*(DQ77)</f>
        <v>0.15260294233895944</v>
      </c>
      <c r="EA77" s="183">
        <f>(($LR$2*($LP$3/1000))/($LP$2*(Sheet3!CB77+273)))*(DR77)</f>
        <v>0.15439312180160752</v>
      </c>
      <c r="EB77" s="183">
        <f>(($LR$2*($LP$3/1000))/($LP$2*(Sheet3!CC77+273)))*(DS77)</f>
        <v>0.1563056448254678</v>
      </c>
      <c r="EC77" s="183">
        <f>(($LR$2*($LP$3/1000))/($LP$2*(Sheet3!CD77+273)))*(DT77)</f>
        <v>0.1577386868596046</v>
      </c>
      <c r="ED77" s="183">
        <f>(($LR$2*($LP$3/1000))/($LP$2*(Sheet3!CE77+273)))*(DU77)</f>
        <v>0.15922221989667507</v>
      </c>
      <c r="EE77" s="183">
        <f>(($LR$2*($LP$3/1000))/($LP$2*(Sheet3!CF77+273)))*(DV77)</f>
        <v>0.16092483459504769</v>
      </c>
      <c r="EF77" s="183">
        <f>(($LR$2*($LP$3/1000))/($LP$2*(Sheet3!CG77+273)))*(DW77)</f>
        <v>0.16229845900422959</v>
      </c>
      <c r="EG77" s="186">
        <f>(($LR$2*($LQ$3/1000))/($LQ$2*(Sheet3!DF77+273)))*(1-DO77)</f>
        <v>0.60230401969687153</v>
      </c>
      <c r="EH77" s="183">
        <f>(($LR$2*($LQ$3/1000))/($LQ$2*(Sheet3!BZ77+273)))*(1-DP77)</f>
        <v>0.60455187059133009</v>
      </c>
      <c r="EI77" s="183">
        <f>(($LR$2*($LQ$3/1000))/($LQ$2*(Sheet3!CA77+273)))*(1-DQ77)</f>
        <v>0.6116673865743889</v>
      </c>
      <c r="EJ77" s="183">
        <f>(($LR$2*($LQ$3/1000))/($LQ$2*(Sheet3!CB77+273)))*(1-DR77)</f>
        <v>0.61885316945989577</v>
      </c>
      <c r="EK77" s="183">
        <f>(($LR$2*($LQ$3/1000))/($LQ$2*(Sheet3!CC77+273)))*(1-DS77)</f>
        <v>0.62796819580240737</v>
      </c>
      <c r="EL77" s="183">
        <f>(($LR$2*($LQ$3/1000))/($LQ$2*(Sheet3!CD77+273)))*(1-DT77)</f>
        <v>0.63373260870658232</v>
      </c>
      <c r="EM77" s="183">
        <f>(($LR$2*($LQ$3/1000))/($LQ$2*(Sheet3!CE77+273)))*(1-DU77)</f>
        <v>0.64108083594171916</v>
      </c>
      <c r="EN77" s="183">
        <f>(($LR$2*($LQ$3/1000))/($LQ$2*(Sheet3!CF77+273)))*(1-DV77)</f>
        <v>0.64794699087593299</v>
      </c>
      <c r="EO77" s="183">
        <f>(($LR$2*($LQ$3/1000))/($LQ$2*(Sheet3!CG77+273)))*(1-DW77)</f>
        <v>0.65477946865088188</v>
      </c>
      <c r="EP77" s="186">
        <f t="shared" si="350"/>
        <v>9895.1011305421125</v>
      </c>
      <c r="EQ77" s="183">
        <f xml:space="preserve"> (($FV77-(Sheet3!B77/4000))*0.018)/(0.011*JO77*3600)</f>
        <v>9925.2202567041495</v>
      </c>
      <c r="ER77" s="183">
        <f>((($FV77-(SUM(Sheet3!B77:C77)/4000))*0.018)/(0.011*JP77*3600))</f>
        <v>10009.748363352815</v>
      </c>
      <c r="ES77" s="183">
        <f>((($FV77-(SUM(Sheet3!B77:D77)/4000))*0.018)/(0.011*JQ77*3600))</f>
        <v>10105.439563464124</v>
      </c>
      <c r="ET77" s="183">
        <f>((($FV77-(SUM(Sheet3!B77:E77)/4000))*0.018)/(0.011*JR77))/3600</f>
        <v>10213.927994259615</v>
      </c>
      <c r="EU77" s="183">
        <f>((($FV77-(SUM(Sheet3!B77:F77)/4000))*0.018)/(0.011*JS77))/3600</f>
        <v>10289.953572456676</v>
      </c>
      <c r="EV77" s="183">
        <f>((($FV77-(SUM(Sheet3!B77:G77)/4000))*0.018)/(0.011*JT77))/3600</f>
        <v>10374.729369971586</v>
      </c>
      <c r="EW77" s="183">
        <f>((($FV77-(SUM(Sheet3!B77:H77)/4000))*0.018)/(0.011*JU77))/3600</f>
        <v>10464.490380958639</v>
      </c>
      <c r="EX77" s="183">
        <f>((($FV77-(SUM(Sheet3!B77:I77)/4000))*0.018)/(0.011*JV77))/3600</f>
        <v>10542.504254335503</v>
      </c>
      <c r="EY77" s="186">
        <f t="shared" si="351"/>
        <v>77.622602984658897</v>
      </c>
      <c r="EZ77" s="183">
        <f t="shared" si="352"/>
        <v>77.815601260846577</v>
      </c>
      <c r="FA77" s="183">
        <f t="shared" si="353"/>
        <v>78.339420869194029</v>
      </c>
      <c r="FB77" s="183">
        <f t="shared" si="354"/>
        <v>78.95645017451227</v>
      </c>
      <c r="FC77" s="183">
        <f t="shared" si="355"/>
        <v>79.636773855973232</v>
      </c>
      <c r="FD77" s="183">
        <f t="shared" si="356"/>
        <v>80.130999759366119</v>
      </c>
      <c r="FE77" s="183">
        <f t="shared" si="357"/>
        <v>80.662799637166202</v>
      </c>
      <c r="FF77" s="183">
        <f t="shared" si="358"/>
        <v>81.250545597198851</v>
      </c>
      <c r="FG77" s="183">
        <f t="shared" si="359"/>
        <v>81.743519362569131</v>
      </c>
      <c r="FH77" s="186">
        <f t="shared" si="274"/>
        <v>155.63376692526631</v>
      </c>
      <c r="FI77" s="183">
        <f t="shared" si="275"/>
        <v>155.25012222239158</v>
      </c>
      <c r="FJ77" s="183">
        <f t="shared" si="276"/>
        <v>153.98213190924696</v>
      </c>
      <c r="FK77" s="183">
        <f t="shared" si="277"/>
        <v>152.78473401441136</v>
      </c>
      <c r="FL77" s="183">
        <f t="shared" si="278"/>
        <v>151.218963991018</v>
      </c>
      <c r="FM77" s="183">
        <f t="shared" si="279"/>
        <v>150.28627735996591</v>
      </c>
      <c r="FN77" s="183">
        <f t="shared" si="280"/>
        <v>149.04927656309155</v>
      </c>
      <c r="FO77" s="183">
        <f t="shared" si="281"/>
        <v>147.96566905948021</v>
      </c>
      <c r="FP77" s="183">
        <f t="shared" si="282"/>
        <v>146.84651370932548</v>
      </c>
      <c r="FQ77" s="314">
        <f>Sheet3!CV77</f>
        <v>3</v>
      </c>
      <c r="FR77" s="183">
        <v>10000</v>
      </c>
      <c r="FS77" s="183">
        <v>20</v>
      </c>
      <c r="FT77" s="183">
        <v>0.33809174311926593</v>
      </c>
      <c r="FU77" s="183">
        <v>23.3</v>
      </c>
      <c r="FV77" s="183">
        <v>450</v>
      </c>
      <c r="FW77" s="183">
        <v>90</v>
      </c>
      <c r="FX77" s="183">
        <v>1350</v>
      </c>
      <c r="FY77" s="183">
        <v>7</v>
      </c>
      <c r="FZ77" s="183">
        <v>19</v>
      </c>
      <c r="GA77" s="183">
        <v>145</v>
      </c>
      <c r="GB77" s="186">
        <f>EXP($LP$6-($LQ$6/('Trial and Error method'!T77+$LP$8))) / ($LR$2/1000)</f>
        <v>3.6674490623465124E-2</v>
      </c>
      <c r="GC77" s="183">
        <f>EXP($LP$6-($LQ$6/('Trial and Error method'!U77+$LP$8))) / ($LR$2/1000)</f>
        <v>5.6526813992540038E-2</v>
      </c>
      <c r="GD77" s="183">
        <f>EXP($LP$6-($LQ$6/('Trial and Error method'!V77+$LP$8))) / ($LR$2/1000)</f>
        <v>5.2992941984317497E-2</v>
      </c>
      <c r="GE77" s="183">
        <f>EXP($LP$6-($LQ$6/('Trial and Error method'!W77+$LP$8))) / ($LR$2/1000)</f>
        <v>4.9996960444549994E-2</v>
      </c>
      <c r="GF77" s="183">
        <f>EXP($LP$6-($LQ$6/('Trial and Error method'!X77+$LP$8))) / ($LR$2/1000)</f>
        <v>4.7180307394905557E-2</v>
      </c>
      <c r="GG77" s="183">
        <f>EXP($LP$6-($LQ$6/('Trial and Error method'!Y77+$LP$8))) / ($LR$2/1000)</f>
        <v>4.4819501702855313E-2</v>
      </c>
      <c r="GH77" s="183">
        <f>EXP($LP$6-($LQ$6/('Trial and Error method'!Z77+$LP$8))) / ($LR$2/1000)</f>
        <v>4.2467189097230511E-2</v>
      </c>
      <c r="GI77" s="183">
        <f>EXP($LP$6-($LQ$6/('Trial and Error method'!AA77+$LP$8))) / ($LR$2/1000)</f>
        <v>4.0289203924162138E-2</v>
      </c>
      <c r="GJ77" s="183">
        <f>EXP($LP$6-($LQ$6/('Trial and Error method'!AB77+$LP$8))) / ($LR$2/1000)</f>
        <v>3.8075124203310634E-2</v>
      </c>
      <c r="GK77" s="188">
        <f t="shared" si="411"/>
        <v>0.83207467434638394</v>
      </c>
      <c r="GL77" s="165">
        <f t="shared" si="360"/>
        <v>0.82304408970482312</v>
      </c>
      <c r="GM77" s="165">
        <f t="shared" si="361"/>
        <v>0.82488602051460869</v>
      </c>
      <c r="GN77" s="165">
        <f t="shared" si="362"/>
        <v>0.82625344804577316</v>
      </c>
      <c r="GO77" s="165">
        <f t="shared" si="363"/>
        <v>0.82779632420273375</v>
      </c>
      <c r="GP77" s="165">
        <f t="shared" si="364"/>
        <v>0.82887187400865325</v>
      </c>
      <c r="GQ77" s="165">
        <f t="shared" si="365"/>
        <v>0.83018581367088273</v>
      </c>
      <c r="GR77" s="165">
        <f t="shared" si="366"/>
        <v>0.8311774804335913</v>
      </c>
      <c r="GS77" s="165">
        <f t="shared" si="367"/>
        <v>0.8324073921013242</v>
      </c>
      <c r="GT77" s="188">
        <f t="shared" si="283"/>
        <v>0.10363226190644773</v>
      </c>
      <c r="GU77" s="165">
        <f t="shared" si="284"/>
        <v>0.10476359263748512</v>
      </c>
      <c r="GV77" s="165">
        <f t="shared" si="285"/>
        <v>0.10451568350664345</v>
      </c>
      <c r="GW77" s="165">
        <f t="shared" si="286"/>
        <v>0.10435653778474606</v>
      </c>
      <c r="GX77" s="165">
        <f t="shared" si="287"/>
        <v>0.10415800448109813</v>
      </c>
      <c r="GY77" s="165">
        <f t="shared" si="288"/>
        <v>0.10404073765745078</v>
      </c>
      <c r="GZ77" s="165">
        <f t="shared" si="289"/>
        <v>0.10387622024287312</v>
      </c>
      <c r="HA77" s="165">
        <f t="shared" si="290"/>
        <v>0.1037801402597302</v>
      </c>
      <c r="HB77" s="165">
        <f t="shared" si="291"/>
        <v>0.10362373466160457</v>
      </c>
      <c r="HC77" s="188">
        <f>BV77*Sheet3!DF77</f>
        <v>174.14597909802796</v>
      </c>
      <c r="HD77" s="165">
        <f>BW77*Sheet3!BZ77</f>
        <v>172.22450714350413</v>
      </c>
      <c r="HE77" s="165">
        <f>BX77*Sheet3!CA77</f>
        <v>166.32642852348326</v>
      </c>
      <c r="HF77" s="165">
        <f>BY77*Sheet3!CB77</f>
        <v>160.44092832951392</v>
      </c>
      <c r="HG77" s="165">
        <f>BZ77*Sheet3!CC77</f>
        <v>153.28861299764648</v>
      </c>
      <c r="HH77" s="165">
        <f>CA77*Sheet3!CD77</f>
        <v>148.82043454153487</v>
      </c>
      <c r="HI77" s="165">
        <f>CB77*Sheet3!CE77</f>
        <v>143.35291255143636</v>
      </c>
      <c r="HJ77" s="165">
        <f>CC77*Sheet3!CF77</f>
        <v>138.27591765026173</v>
      </c>
      <c r="HK77" s="165">
        <f>CD77*Sheet3!CG77</f>
        <v>133.43670080361159</v>
      </c>
      <c r="HL77" s="188">
        <f>(CE77*Sheet3!DF77)+2501</f>
        <v>2777.9002721684374</v>
      </c>
      <c r="HM77" s="165">
        <f>(CF77*Sheet3!BZ77)+2501</f>
        <v>2774.8253188778604</v>
      </c>
      <c r="HN77" s="165">
        <f>(CG77*Sheet3!CA77)+2501</f>
        <v>2765.7239622127863</v>
      </c>
      <c r="HO77" s="165">
        <f>(CH77*Sheet3!CB77)+2501</f>
        <v>2756.3003829502045</v>
      </c>
      <c r="HP77" s="165">
        <f>(CI77*Sheet3!CC77)+2501</f>
        <v>2745.2091874432554</v>
      </c>
      <c r="HQ77" s="165">
        <f>(CJ77*Sheet3!CD77)+2501</f>
        <v>2738.0551246278601</v>
      </c>
      <c r="HR77" s="165">
        <f>(CK77*Sheet3!CE77)+2501</f>
        <v>2729.6154509419812</v>
      </c>
      <c r="HS77" s="165">
        <f>(CL77*Sheet3!CF77)+2501</f>
        <v>2721.4857745303971</v>
      </c>
      <c r="HT77" s="165">
        <f>(CM77*Sheet3!CG77)+2501</f>
        <v>2714.0051407011629</v>
      </c>
      <c r="HU77" s="188">
        <f>-0.0021*(Sheet3!DF77^2) - 2.2115*(Sheet3!DF77) + 2499</f>
        <v>2134.1799999999998</v>
      </c>
      <c r="HV77" s="165">
        <f>-0.0021*(Sheet3!BZ77^2) - 2.2115*(Sheet3!BZ77) + 2499</f>
        <v>2138.5539158412603</v>
      </c>
      <c r="HW77" s="165">
        <f>-0.0021*(Sheet3!CA77^2) - 2.2115*(Sheet3!CA77) + 2499</f>
        <v>2151.46441016165</v>
      </c>
      <c r="HX77" s="165">
        <f>-0.0021*(Sheet3!CB77^2) - 2.2115*(Sheet3!CB77) + 2499</f>
        <v>2164.775256304511</v>
      </c>
      <c r="HY77" s="165">
        <f>-0.0021*(Sheet3!CC77^2) - 2.2115*(Sheet3!CC77) + 2499</f>
        <v>2180.3664075631054</v>
      </c>
      <c r="HZ77" s="165">
        <f>-0.0021*(Sheet3!CD77^2) - 2.2115*(Sheet3!CD77) + 2499</f>
        <v>2190.3791846135941</v>
      </c>
      <c r="IA77" s="165">
        <f>-0.0021*(Sheet3!CE77^2) - 2.2115*(Sheet3!CE77) + 2499</f>
        <v>2202.1463580594564</v>
      </c>
      <c r="IB77" s="165">
        <f>-0.0021*(Sheet3!CF77^2) - 2.2115*(Sheet3!CF77) + 2499</f>
        <v>2213.4346409756586</v>
      </c>
      <c r="IC77" s="165">
        <f>-0.0021*(Sheet3!CG77^2) - 2.2115*(Sheet3!CG77) + 2499</f>
        <v>2223.780636205468</v>
      </c>
      <c r="ID77" s="188">
        <f t="shared" si="292"/>
        <v>0.68790253976190729</v>
      </c>
      <c r="IE77" s="165">
        <f t="shared" si="293"/>
        <v>0.68898985053720851</v>
      </c>
      <c r="IF77" s="165">
        <f t="shared" si="294"/>
        <v>0.69160976438906174</v>
      </c>
      <c r="IG77" s="165">
        <f t="shared" si="295"/>
        <v>0.6951757837021455</v>
      </c>
      <c r="IH77" s="165">
        <f t="shared" si="296"/>
        <v>0.69876152885858445</v>
      </c>
      <c r="II77" s="165">
        <f t="shared" si="297"/>
        <v>0.70170814129008241</v>
      </c>
      <c r="IJ77" s="165">
        <f t="shared" si="298"/>
        <v>0.70453153751637387</v>
      </c>
      <c r="IK77" s="165">
        <f t="shared" si="299"/>
        <v>0.70812751657292905</v>
      </c>
      <c r="IL77" s="165">
        <f t="shared" si="300"/>
        <v>0.71082687934489064</v>
      </c>
      <c r="IM77" s="188">
        <f t="shared" si="301"/>
        <v>55.292788164755791</v>
      </c>
      <c r="IN77" s="165">
        <f t="shared" si="368"/>
        <v>51.562562575450684</v>
      </c>
      <c r="IO77" s="165">
        <f t="shared" si="369"/>
        <v>52.451917958387007</v>
      </c>
      <c r="IP77" s="165">
        <f t="shared" si="370"/>
        <v>53.37211571190052</v>
      </c>
      <c r="IQ77" s="165">
        <f t="shared" si="371"/>
        <v>54.186771873666977</v>
      </c>
      <c r="IR77" s="165">
        <f t="shared" si="372"/>
        <v>54.911805964540967</v>
      </c>
      <c r="IS77" s="165">
        <f t="shared" si="373"/>
        <v>55.556450533403741</v>
      </c>
      <c r="IT77" s="165">
        <f t="shared" si="374"/>
        <v>56.289105098208424</v>
      </c>
      <c r="IU77" s="165">
        <f t="shared" si="375"/>
        <v>56.883715270007428</v>
      </c>
      <c r="IV77" s="188">
        <f>_xlfn.FORECAST.LINEAR(Sheet3!DF77,Sheet2!$AK$2:$AK$69,Sheet2!$AJ$2:$AJ$69)</f>
        <v>1.386217343669711E-5</v>
      </c>
      <c r="IW77" s="165">
        <f>_xlfn.FORECAST.LINEAR(Sheet3!BZ77,Sheet2!$AK$2:$AK$69,Sheet2!$AJ$2:$AJ$69)</f>
        <v>1.3807814942425339E-5</v>
      </c>
      <c r="IX77" s="165">
        <f>_xlfn.FORECAST.LINEAR(Sheet3!CA77,Sheet2!$AK$2:$AK$69,Sheet2!$AJ$2:$AJ$69)</f>
        <v>1.3646625186969952E-5</v>
      </c>
      <c r="IY77" s="165">
        <f>_xlfn.FORECAST.LINEAR(Sheet3!CB77,Sheet2!$AK$2:$AK$69,Sheet2!$AJ$2:$AJ$69)</f>
        <v>1.3479260875860562E-5</v>
      </c>
      <c r="IZ77" s="165">
        <f>_xlfn.FORECAST.LINEAR(Sheet3!CC77,Sheet2!$AK$2:$AK$69,Sheet2!$AJ$2:$AJ$69)</f>
        <v>1.328167185460812E-5</v>
      </c>
      <c r="JA77" s="165">
        <f>_xlfn.FORECAST.LINEAR(Sheet3!CD77,Sheet2!$AK$2:$AK$69,Sheet2!$AJ$2:$AJ$69)</f>
        <v>1.3153875642380058E-5</v>
      </c>
      <c r="JB77" s="165">
        <f>_xlfn.FORECAST.LINEAR(Sheet3!CE77,Sheet2!$AK$2:$AK$69,Sheet2!$AJ$2:$AJ$69)</f>
        <v>1.3002766028547759E-5</v>
      </c>
      <c r="JC77" s="165">
        <f>_xlfn.FORECAST.LINEAR(Sheet3!CF77,Sheet2!$AK$2:$AK$69,Sheet2!$AJ$2:$AJ$69)</f>
        <v>1.285685273059245E-5</v>
      </c>
      <c r="JD77" s="165">
        <f>_xlfn.FORECAST.LINEAR(Sheet3!CG77,Sheet2!$AK$2:$AK$69,Sheet2!$AJ$2:$AJ$69)</f>
        <v>1.2722283736683133E-5</v>
      </c>
      <c r="JE77" s="188">
        <f>_xlfn.FORECAST.LINEAR(Sheet3!DF77,New!$MC$2:$MC$18,New!$MB$2:$MB$18)</f>
        <v>2.337798370672098E-5</v>
      </c>
      <c r="JF77" s="165">
        <f>_xlfn.FORECAST.LINEAR(Sheet3!BZ77,New!$MC$2:$MC$18,New!$MB$2:$MB$18)</f>
        <v>2.3314083984668558E-5</v>
      </c>
      <c r="JG77" s="165">
        <f>_xlfn.FORECAST.LINEAR(Sheet3!CA77,New!$MC$2:$MC$18,New!$MB$2:$MB$18)</f>
        <v>2.3124601536538175E-5</v>
      </c>
      <c r="JH77" s="165">
        <f>_xlfn.FORECAST.LINEAR(Sheet3!CB77,New!$MC$2:$MC$18,New!$MB$2:$MB$18)</f>
        <v>2.2927860749202964E-5</v>
      </c>
      <c r="JI77" s="165">
        <f>_xlfn.FORECAST.LINEAR(Sheet3!CC77,New!$MC$2:$MC$18,New!$MB$2:$MB$18)</f>
        <v>2.2695590085569118E-5</v>
      </c>
      <c r="JJ77" s="165">
        <f>_xlfn.FORECAST.LINEAR(Sheet3!CD77,New!$MC$2:$MC$18,New!$MB$2:$MB$18)</f>
        <v>2.2545362553513177E-5</v>
      </c>
      <c r="JK77" s="165">
        <f>_xlfn.FORECAST.LINEAR(Sheet3!CE77,New!$MC$2:$MC$18,New!$MB$2:$MB$18)</f>
        <v>2.2367729555162323E-5</v>
      </c>
      <c r="JL77" s="165">
        <f>_xlfn.FORECAST.LINEAR(Sheet3!CF77,New!$MC$2:$MC$18,New!$MB$2:$MB$18)</f>
        <v>2.219620495154691E-5</v>
      </c>
      <c r="JM77" s="165">
        <f>_xlfn.FORECAST.LINEAR(Sheet3!CG77,New!$MC$2:$MC$18,New!$MB$2:$MB$18)</f>
        <v>2.2038015851151895E-5</v>
      </c>
      <c r="JN77" s="188">
        <f t="shared" si="376"/>
        <v>2.0671385956239169E-5</v>
      </c>
      <c r="JO77" s="165">
        <f t="shared" si="377"/>
        <v>2.0608599212241488E-5</v>
      </c>
      <c r="JP77" s="165">
        <f t="shared" si="378"/>
        <v>2.0426235490723351E-5</v>
      </c>
      <c r="JQ77" s="165">
        <f t="shared" si="379"/>
        <v>2.0232746351159883E-5</v>
      </c>
      <c r="JR77" s="165">
        <f t="shared" si="380"/>
        <v>2.0008618723761132E-5</v>
      </c>
      <c r="JS77" s="165">
        <f t="shared" si="381"/>
        <v>1.9860744261341206E-5</v>
      </c>
      <c r="JT77" s="165">
        <f t="shared" si="382"/>
        <v>1.9689955010943482E-5</v>
      </c>
      <c r="JU77" s="165">
        <f t="shared" si="383"/>
        <v>1.9520995795359426E-5</v>
      </c>
      <c r="JV77" s="165">
        <f t="shared" si="384"/>
        <v>1.9368877863032726E-5</v>
      </c>
      <c r="JW77" s="188">
        <f t="shared" si="302"/>
        <v>1.0152024173422087</v>
      </c>
      <c r="JX77" s="165">
        <f t="shared" si="385"/>
        <v>1.015850849343767</v>
      </c>
      <c r="JY77" s="165">
        <f t="shared" si="386"/>
        <v>1.0178029394447592</v>
      </c>
      <c r="JZ77" s="165">
        <f t="shared" si="387"/>
        <v>1.0198774356050122</v>
      </c>
      <c r="KA77" s="165">
        <f t="shared" si="388"/>
        <v>1.0223914252502782</v>
      </c>
      <c r="KB77" s="165">
        <f t="shared" si="389"/>
        <v>1.024056173467349</v>
      </c>
      <c r="KC77" s="165">
        <f t="shared" si="390"/>
        <v>1.0260652881360541</v>
      </c>
      <c r="KD77" s="165">
        <f t="shared" si="391"/>
        <v>1.0280484761133413</v>
      </c>
      <c r="KE77" s="165">
        <f t="shared" si="392"/>
        <v>1.0299163008283776</v>
      </c>
      <c r="KF77" s="188">
        <f t="shared" si="393"/>
        <v>0.9677010468805306</v>
      </c>
      <c r="KG77" s="165">
        <f t="shared" si="394"/>
        <v>0.96716559806655655</v>
      </c>
      <c r="KH77" s="165">
        <f t="shared" si="395"/>
        <v>0.96555940252714789</v>
      </c>
      <c r="KI77" s="165">
        <f t="shared" si="396"/>
        <v>0.96386190892361756</v>
      </c>
      <c r="KJ77" s="165">
        <f t="shared" si="397"/>
        <v>0.9618176816174776</v>
      </c>
      <c r="KK77" s="165">
        <f t="shared" si="398"/>
        <v>0.96047171358762939</v>
      </c>
      <c r="KL77" s="165">
        <f t="shared" si="399"/>
        <v>0.95885542897135401</v>
      </c>
      <c r="KM77" s="165">
        <f t="shared" si="400"/>
        <v>0.95726863123494377</v>
      </c>
      <c r="KN77" s="165">
        <f t="shared" si="401"/>
        <v>0.95578191574485438</v>
      </c>
      <c r="KO77" s="188">
        <f t="shared" si="304"/>
        <v>0.62177338025378648</v>
      </c>
      <c r="KP77" s="165">
        <f t="shared" si="305"/>
        <v>0.62081313083608236</v>
      </c>
      <c r="KQ77" s="165">
        <f t="shared" si="306"/>
        <v>0.6177377919339152</v>
      </c>
      <c r="KR77" s="165">
        <f t="shared" si="307"/>
        <v>0.61448564946265283</v>
      </c>
      <c r="KS77" s="165">
        <f t="shared" si="308"/>
        <v>0.61059359723863882</v>
      </c>
      <c r="KT77" s="165">
        <f t="shared" si="309"/>
        <v>0.60802919141823386</v>
      </c>
      <c r="KU77" s="165">
        <f t="shared" si="310"/>
        <v>0.60497083709435617</v>
      </c>
      <c r="KV77" s="165">
        <f t="shared" si="311"/>
        <v>0.60196247489030408</v>
      </c>
      <c r="KW77" s="165">
        <f t="shared" si="312"/>
        <v>0.59924831316207505</v>
      </c>
      <c r="KX77" s="188">
        <f>AVERAGE(Sheet3!J77:P77)*KO77^(1/3)/ID77^(1/3)</f>
        <v>196.42861146308866</v>
      </c>
      <c r="KY77" s="165">
        <f>Sheet3!J77*KP77^(1/3)/IE77^(1/3)</f>
        <v>194.13282008088029</v>
      </c>
      <c r="KZ77" s="165">
        <f>Sheet3!K77*KQ77^(1/3)/IF77^(1/3)</f>
        <v>181.76768604668786</v>
      </c>
      <c r="LA77" s="165">
        <f>Sheet3!L77*KR77^(1/3)/IG77^(1/3)</f>
        <v>179.3507494090947</v>
      </c>
      <c r="LB77" s="165">
        <f>Sheet3!M77*KS77^(1/3)/IH77^(1/3)</f>
        <v>182.40245368027752</v>
      </c>
      <c r="LC77" s="165">
        <f>Sheet3!N77*KT77^(1/3)/II77^(1/3)</f>
        <v>191.55622643492057</v>
      </c>
      <c r="LD77" s="165">
        <f>Sheet3!O77*KU77^(1/3)/IJ77^(1/3)</f>
        <v>206.40645914941362</v>
      </c>
      <c r="LE77" s="165">
        <f>Sheet3!P77*KV77^(1/3)/IK77^(1/3)</f>
        <v>224.1489517320887</v>
      </c>
      <c r="LF77" s="165">
        <f>Sheet3!Q77*KW77^(1/3)/IL77^(1/3)</f>
        <v>240.80283249354571</v>
      </c>
      <c r="LG77" s="186">
        <f t="shared" si="402"/>
        <v>25.822332211443278</v>
      </c>
      <c r="LH77" s="183">
        <f t="shared" si="403"/>
        <v>25.823597154246325</v>
      </c>
      <c r="LI77" s="183">
        <f t="shared" si="404"/>
        <v>26.011122786733502</v>
      </c>
      <c r="LJ77" s="183">
        <f t="shared" si="405"/>
        <v>26.012670833823528</v>
      </c>
      <c r="LK77" s="183">
        <f t="shared" si="406"/>
        <v>26.228967992935303</v>
      </c>
      <c r="LL77" s="183">
        <f t="shared" si="407"/>
        <v>26.230023367188288</v>
      </c>
      <c r="LM77" s="183">
        <f t="shared" si="408"/>
        <v>26.436940247443736</v>
      </c>
      <c r="LN77" s="183">
        <f t="shared" si="409"/>
        <v>26.438557149136802</v>
      </c>
      <c r="LO77" s="183">
        <f t="shared" si="410"/>
        <v>26.632046901225436</v>
      </c>
      <c r="LT77" s="165"/>
      <c r="MF77" s="165"/>
      <c r="MJ77"/>
      <c r="MK77"/>
      <c r="ML77"/>
      <c r="MM77"/>
      <c r="MN77"/>
      <c r="MO77"/>
      <c r="MP77"/>
      <c r="MQ77"/>
      <c r="MR77"/>
    </row>
    <row r="78" spans="1:356" x14ac:dyDescent="0.3">
      <c r="A78" s="184" t="str">
        <f>Sheet3!A78</f>
        <v>2023.02.08</v>
      </c>
      <c r="B78" s="186">
        <f t="shared" si="313"/>
        <v>0.80967062800882461</v>
      </c>
      <c r="C78" s="183">
        <f t="shared" si="257"/>
        <v>0.80962309128540744</v>
      </c>
      <c r="D78" s="183">
        <f t="shared" si="258"/>
        <v>0.80354466740758435</v>
      </c>
      <c r="E78" s="183">
        <f t="shared" si="259"/>
        <v>0.79813415418119749</v>
      </c>
      <c r="F78" s="183">
        <f t="shared" si="260"/>
        <v>0.79205049713611186</v>
      </c>
      <c r="G78" s="183">
        <f t="shared" si="261"/>
        <v>0.78922499639821309</v>
      </c>
      <c r="H78" s="183">
        <f t="shared" si="262"/>
        <v>0.78490856984067858</v>
      </c>
      <c r="I78" s="183">
        <f t="shared" si="263"/>
        <v>0.7799314752952059</v>
      </c>
      <c r="J78" s="183">
        <f t="shared" si="264"/>
        <v>0.77537892996912539</v>
      </c>
      <c r="K78" s="186">
        <f xml:space="preserve"> (6.057 * (10^(-6)))
+ (4.055 * (10^(-8)) * (Sheet3!DF78 + 273))
+ (1.25 * (10^(-10)) * (Sheet3!DF78 + 273)^2)
- (3.367 * (10^(-14)) * (DD78 + 273)^3)</f>
        <v>3.590298572453424E-5</v>
      </c>
      <c r="L78" s="183">
        <f xml:space="preserve"> (6.057 * (10^(-6)))
+ (4.055 * (10^(-8)) * (Sheet3!BZ78 + 273))
+ (1.25 * (10^(-10)) * (Sheet3!BZ78 + 273)^2)
- (3.367 * (10^(-14)) * (BX78 + 273)^3)</f>
        <v>3.5833756685122954E-5</v>
      </c>
      <c r="M78" s="183">
        <f xml:space="preserve"> (6.057 * (10^(-6)))
+ (4.055 * (10^(-8)) * (Sheet3!CA78 + 273))
+ (1.25 * (10^(-10)) * (Sheet3!CA78 + 273)^2)
- (3.367 * (10^(-14)) * (BY78 + 273)^3)</f>
        <v>3.5338627230213724E-5</v>
      </c>
      <c r="N78" s="183">
        <f xml:space="preserve"> (6.057 * (10^(-6)))
+ (4.055 * (10^(-8)) * (Sheet3!CB78 + 273))
+ (1.25 * (10^(-10)) * (Sheet3!CB78 + 273)^2)
- (3.367 * (10^(-14)) * (BZ78 + 273)^3)</f>
        <v>3.4917375310142134E-5</v>
      </c>
      <c r="O78" s="183">
        <f xml:space="preserve"> (6.057 * (10^(-6)))
+ (4.055 * (10^(-8)) * (Sheet3!CC78 + 273))
+ (1.25 * (10^(-10)) * (Sheet3!CC78 + 273)^2)
- (3.367 * (10^(-14)) * (CA78 + 273)^3)</f>
        <v>3.439371572845569E-5</v>
      </c>
      <c r="P78" s="183">
        <f xml:space="preserve"> (6.057 * (10^(-6)))
+ (4.055 * (10^(-8)) * (Sheet3!CD78 + 273))
+ (1.25 * (10^(-10)) * (Sheet3!CD78 + 273)^2)
- (3.367 * (10^(-14)) * (CB78 + 273)^3)</f>
        <v>3.4182497277570432E-5</v>
      </c>
      <c r="Q78" s="183">
        <f xml:space="preserve"> (6.057 * (10^(-6)))
+ (4.055 * (10^(-8)) * (Sheet3!CE78 + 273))
+ (1.25 * (10^(-10)) * (Sheet3!CE78 + 273)^2)
- (3.367 * (10^(-14)) * (CC78 + 273)^3)</f>
        <v>3.3788385849045994E-5</v>
      </c>
      <c r="R78" s="183">
        <f xml:space="preserve"> (6.057 * (10^(-6)))
+ (4.055 * (10^(-8)) * (Sheet3!CF78 + 273))
+ (1.25 * (10^(-10)) * (Sheet3!CF78 + 273)^2)
- (3.367 * (10^(-14)) * (CD78 + 273)^3)</f>
        <v>3.3429392239186065E-5</v>
      </c>
      <c r="S78" s="183">
        <f xml:space="preserve"> (6.057 * (10^(-6)))
+ (4.055 * (10^(-8)) * (Sheet3!CG78 + 273))
+ (1.25 * (10^(-10)) * (Sheet3!CG78 + 273)^2)
- (3.367 * (10^(-14)) * (CE78 + 273)^3)</f>
        <v>3.3020261768822078E-5</v>
      </c>
      <c r="T78" s="188">
        <f t="shared" si="314"/>
        <v>3.590298572453424E-5</v>
      </c>
      <c r="U78" s="165">
        <f t="shared" si="315"/>
        <v>3.5833756685122954E-5</v>
      </c>
      <c r="V78" s="165">
        <f t="shared" si="316"/>
        <v>3.5338627230213724E-5</v>
      </c>
      <c r="W78" s="165">
        <f t="shared" si="317"/>
        <v>3.4917375310142134E-5</v>
      </c>
      <c r="X78" s="165">
        <f t="shared" si="318"/>
        <v>3.439371572845569E-5</v>
      </c>
      <c r="Y78" s="165">
        <f t="shared" si="319"/>
        <v>3.4182497277570432E-5</v>
      </c>
      <c r="Z78" s="165">
        <f t="shared" si="320"/>
        <v>3.3788385849045994E-5</v>
      </c>
      <c r="AA78" s="165">
        <f t="shared" si="321"/>
        <v>3.3429392239186065E-5</v>
      </c>
      <c r="AB78" s="165">
        <f t="shared" si="322"/>
        <v>3.3020261768822078E-5</v>
      </c>
      <c r="AC78" s="186">
        <f t="shared" si="265"/>
        <v>2.9069592998975505E-5</v>
      </c>
      <c r="AD78" s="183">
        <f t="shared" si="266"/>
        <v>2.9011836859778382E-5</v>
      </c>
      <c r="AE78" s="183">
        <f t="shared" si="267"/>
        <v>2.8396165464342691E-5</v>
      </c>
      <c r="AF78" s="183">
        <f t="shared" si="268"/>
        <v>2.786874980938772E-5</v>
      </c>
      <c r="AG78" s="183">
        <f t="shared" si="269"/>
        <v>2.7241559641081441E-5</v>
      </c>
      <c r="AH78" s="183">
        <f t="shared" si="270"/>
        <v>2.6977681290772454E-5</v>
      </c>
      <c r="AI78" s="183">
        <f t="shared" si="271"/>
        <v>2.6520793613999712E-5</v>
      </c>
      <c r="AJ78" s="183">
        <f t="shared" si="272"/>
        <v>2.6072635207330495E-5</v>
      </c>
      <c r="AK78" s="183">
        <f t="shared" si="273"/>
        <v>2.5603215237609682E-5</v>
      </c>
      <c r="AL78" s="186">
        <f t="shared" si="323"/>
        <v>2.9748980645433836E-2</v>
      </c>
      <c r="AM78" s="183">
        <f t="shared" si="324"/>
        <v>2.9704806118439214E-2</v>
      </c>
      <c r="AN78" s="183">
        <f t="shared" si="325"/>
        <v>2.9359044254595221E-2</v>
      </c>
      <c r="AO78" s="183">
        <f t="shared" si="326"/>
        <v>2.9062131083464567E-2</v>
      </c>
      <c r="AP78" s="183">
        <f t="shared" si="327"/>
        <v>2.8694223936557444E-2</v>
      </c>
      <c r="AQ78" s="183">
        <f t="shared" si="328"/>
        <v>2.8543336590846635E-2</v>
      </c>
      <c r="AR78" s="183">
        <f t="shared" si="329"/>
        <v>2.8266431568993378E-2</v>
      </c>
      <c r="AS78" s="183">
        <f t="shared" si="330"/>
        <v>2.8007142065890438E-2</v>
      </c>
      <c r="AT78" s="183">
        <f t="shared" si="331"/>
        <v>2.7720708081643362E-2</v>
      </c>
      <c r="AU78" s="186">
        <f>_xlfn.FORECAST.LINEAR(Sheet3!DF78,Sheet2!$AH$2:$AH$40,Sheet2!$AG$2:$AG$40)</f>
        <v>2.5653712965492358E-2</v>
      </c>
      <c r="AV78" s="183">
        <f>_xlfn.FORECAST.LINEAR(Sheet3!BZ78,Sheet2!$AH$2:$AH$40,Sheet2!$AG$2:$AG$40)</f>
        <v>2.5522233411655923E-2</v>
      </c>
      <c r="AW78" s="183">
        <f>_xlfn.FORECAST.LINEAR(Sheet3!CA78,Sheet2!$AH$2:$AH$40,Sheet2!$AG$2:$AG$40)</f>
        <v>2.4550093368929396E-2</v>
      </c>
      <c r="AX78" s="183">
        <f>_xlfn.FORECAST.LINEAR(Sheet3!CB78,Sheet2!$AH$2:$AH$40,Sheet2!$AG$2:$AG$40)</f>
        <v>2.3717270446764676E-2</v>
      </c>
      <c r="AY78" s="183">
        <f>_xlfn.FORECAST.LINEAR(Sheet3!CC78,Sheet2!$AH$2:$AH$40,Sheet2!$AG$2:$AG$40)</f>
        <v>2.2674538726144732E-2</v>
      </c>
      <c r="AZ78" s="183">
        <f>_xlfn.FORECAST.LINEAR(Sheet3!CD78,Sheet2!$AH$2:$AH$40,Sheet2!$AG$2:$AG$40)</f>
        <v>2.2251530725463868E-2</v>
      </c>
      <c r="BA78" s="183">
        <f>_xlfn.FORECAST.LINEAR(Sheet3!CE78,Sheet2!$AH$2:$AH$40,Sheet2!$AG$2:$AG$40)</f>
        <v>2.1458560407522663E-2</v>
      </c>
      <c r="BB78" s="183">
        <f>_xlfn.FORECAST.LINEAR(Sheet3!CF78,Sheet2!$AH$2:$AH$40,Sheet2!$AG$2:$AG$40)</f>
        <v>2.0731924836772754E-2</v>
      </c>
      <c r="BC78" s="183">
        <f>_xlfn.FORECAST.LINEAR(Sheet3!CG78,Sheet2!$AH$2:$AH$40,Sheet2!$AG$2:$AG$40)</f>
        <v>1.9911024163525318E-2</v>
      </c>
      <c r="BD78" s="186">
        <f>_xlfn.FORECAST.LINEAR(Sheet3!DF78,Sheet2!$AB$12:$AB$37,Sheet2!$AA$12:$AA$37)/1000</f>
        <v>3.0506351161118033E-2</v>
      </c>
      <c r="BE78" s="183">
        <f>_xlfn.FORECAST.LINEAR(Sheet3!BZ78,Sheet2!$AB$12:$AB$37,Sheet2!$AA$12:$AA$37)/1000</f>
        <v>3.0476955376175584E-2</v>
      </c>
      <c r="BF78" s="183">
        <f>_xlfn.FORECAST.LINEAR(Sheet3!CA78,Sheet2!$AB$12:$AB$37,Sheet2!$AA$12:$AA$37)/1000</f>
        <v>3.0259607364290165E-2</v>
      </c>
      <c r="BG78" s="183">
        <f>_xlfn.FORECAST.LINEAR(Sheet3!CB78,Sheet2!$AB$12:$AB$37,Sheet2!$AA$12:$AA$37)/1000</f>
        <v>3.0073407435854516E-2</v>
      </c>
      <c r="BH78" s="183">
        <f>_xlfn.FORECAST.LINEAR(Sheet3!CC78,Sheet2!$AB$12:$AB$37,Sheet2!$AA$12:$AA$37)/1000</f>
        <v>2.9840276758744486E-2</v>
      </c>
      <c r="BI78" s="183">
        <f>_xlfn.FORECAST.LINEAR(Sheet3!CD78,Sheet2!$AB$12:$AB$37,Sheet2!$AA$12:$AA$37)/1000</f>
        <v>2.9745701960959436E-2</v>
      </c>
      <c r="BJ78" s="183">
        <f>_xlfn.FORECAST.LINEAR(Sheet3!CE78,Sheet2!$AB$12:$AB$37,Sheet2!$AA$12:$AA$37)/1000</f>
        <v>2.9568412152378685E-2</v>
      </c>
      <c r="BK78" s="183">
        <f>_xlfn.FORECAST.LINEAR(Sheet3!CF78,Sheet2!$AB$12:$AB$37,Sheet2!$AA$12:$AA$37)/1000</f>
        <v>2.9405953257850722E-2</v>
      </c>
      <c r="BL78" s="183">
        <f>_xlfn.FORECAST.LINEAR(Sheet3!CG78,Sheet2!$AB$12:$AB$37,Sheet2!$AA$12:$AA$37)/1000</f>
        <v>2.9222418868314289E-2</v>
      </c>
      <c r="BM78" s="186">
        <f t="shared" si="332"/>
        <v>0.92619438378270835</v>
      </c>
      <c r="BN78" s="183">
        <f t="shared" si="333"/>
        <v>0.92774732459088061</v>
      </c>
      <c r="BO78" s="183">
        <f t="shared" si="334"/>
        <v>0.937857107638148</v>
      </c>
      <c r="BP78" s="183">
        <f t="shared" si="335"/>
        <v>0.94665688989724284</v>
      </c>
      <c r="BQ78" s="183">
        <f t="shared" si="336"/>
        <v>0.95813140216554127</v>
      </c>
      <c r="BR78" s="183">
        <f t="shared" si="337"/>
        <v>0.96277118065106004</v>
      </c>
      <c r="BS78" s="183">
        <f t="shared" si="338"/>
        <v>0.97188171880658569</v>
      </c>
      <c r="BT78" s="183">
        <f t="shared" si="339"/>
        <v>0.98010078711196813</v>
      </c>
      <c r="BU78" s="183">
        <f t="shared" si="340"/>
        <v>0.98983757770076797</v>
      </c>
      <c r="BV78" s="186">
        <f t="shared" si="341"/>
        <v>1.1049204067774057</v>
      </c>
      <c r="BW78" s="183">
        <f t="shared" si="342"/>
        <v>1.1036256480113058</v>
      </c>
      <c r="BX78" s="183">
        <f t="shared" si="343"/>
        <v>1.1024160851981162</v>
      </c>
      <c r="BY78" s="183">
        <f t="shared" si="344"/>
        <v>1.1015833687196079</v>
      </c>
      <c r="BZ78" s="183">
        <f t="shared" si="345"/>
        <v>1.0993536961348191</v>
      </c>
      <c r="CA78" s="183">
        <f t="shared" si="346"/>
        <v>1.0989477329563544</v>
      </c>
      <c r="CB78" s="183">
        <f t="shared" si="347"/>
        <v>1.0966576096249319</v>
      </c>
      <c r="CC78" s="183">
        <f t="shared" si="348"/>
        <v>1.0960064956801785</v>
      </c>
      <c r="CD78" s="183">
        <f t="shared" si="349"/>
        <v>1.0938200381175489</v>
      </c>
      <c r="CE78" s="187">
        <f xml:space="preserve"> -0.0000000019505*Sheet3!DF78^3 + 0.0000015497*Sheet3!DF78^2  + 0.00016911*Sheet3!DF78 + 1.8585</f>
        <v>1.8828730816875001</v>
      </c>
      <c r="CF78" s="185">
        <f xml:space="preserve"> -0.0000000019505*Sheet3!BZ78^3 + 0.0000015497*Sheet3!BZ78^2  + 0.00016911*Sheet3!BZ78 + 1.8585</f>
        <v>1.8826714548467318</v>
      </c>
      <c r="CG78" s="185">
        <f xml:space="preserve"> -0.0000000019505*Sheet3!CA78^3 + 0.0000015497*Sheet3!CA78^2  + 0.00016911*Sheet3!CA78 + 1.8585</f>
        <v>1.8811982934751093</v>
      </c>
      <c r="CH78" s="185">
        <f xml:space="preserve"> -0.0000000019505*Sheet3!CB78^3 + 0.0000015497*Sheet3!CB78^2  + 0.00016911*Sheet3!CB78 + 1.8585</f>
        <v>1.8799613079607491</v>
      </c>
      <c r="CI78" s="185">
        <f xml:space="preserve"> -0.0000000019505*Sheet3!CC78^3 + 0.0000015497*Sheet3!CC78^2  + 0.00016911*Sheet3!CC78 + 1.8585</f>
        <v>1.8784458083914375</v>
      </c>
      <c r="CJ78" s="185">
        <f xml:space="preserve"> -0.0000000019505*Sheet3!CD78^3 + 0.0000015497*Sheet3!CD78^2  + 0.00016911*Sheet3!CD78 + 1.8585</f>
        <v>1.8778417257084308</v>
      </c>
      <c r="CK78" s="185">
        <f xml:space="preserve"> -0.0000000019505*Sheet3!CE78^3 + 0.0000015497*Sheet3!CE78^2  + 0.00016911*Sheet3!CE78 + 1.8585</f>
        <v>1.8767262345111573</v>
      </c>
      <c r="CL78" s="185">
        <f xml:space="preserve"> -0.0000000019505*Sheet3!CF78^3 + 0.0000015497*Sheet3!CF78^2  + 0.00016911*Sheet3!CF78 + 1.8585</f>
        <v>1.8757236907264674</v>
      </c>
      <c r="CM78" s="185">
        <f xml:space="preserve"> -0.0000000019505*Sheet3!CG78^3 + 0.0000015497*Sheet3!CG78^2  + 0.00016911*Sheet3!CG78 + 1.8585</f>
        <v>1.8746140293041127</v>
      </c>
      <c r="CN78" s="186">
        <f>_xlfn.FORECAST.LINEAR(Sheet3!DF78,New!$LU$2:$LU$14,New!$LT$2:$LT$14)</f>
        <v>1.0126209368728181</v>
      </c>
      <c r="CO78" s="183">
        <f>_xlfn.FORECAST.LINEAR(Sheet3!BZ78,New!$LU$2:$LU$14,New!$LT$2:$LT$14)</f>
        <v>1.0125241661962774</v>
      </c>
      <c r="CP78" s="183">
        <f>_xlfn.FORECAST.LINEAR(Sheet3!CA78,New!$LU$2:$LU$14,New!$LT$2:$LT$14)</f>
        <v>1.0118086583710544</v>
      </c>
      <c r="CQ78" s="183">
        <f>_xlfn.FORECAST.LINEAR(Sheet3!CB78,New!$LU$2:$LU$14,New!$LT$2:$LT$14)</f>
        <v>1.0111956897743051</v>
      </c>
      <c r="CR78" s="183">
        <f>_xlfn.FORECAST.LINEAR(Sheet3!CC78,New!$LU$2:$LU$14,New!$LT$2:$LT$14)</f>
        <v>1.0104282255480406</v>
      </c>
      <c r="CS78" s="183">
        <f>_xlfn.FORECAST.LINEAR(Sheet3!CD78,New!$LU$2:$LU$14,New!$LT$2:$LT$14)</f>
        <v>1.0101168861099796</v>
      </c>
      <c r="CT78" s="183">
        <f>_xlfn.FORECAST.LINEAR(Sheet3!CE78,New!$LU$2:$LU$14,New!$LT$2:$LT$14)</f>
        <v>1.0095332495527762</v>
      </c>
      <c r="CU78" s="183">
        <f>_xlfn.FORECAST.LINEAR(Sheet3!CF78,New!$LU$2:$LU$14,New!$LT$2:$LT$14)</f>
        <v>1.0089984362397695</v>
      </c>
      <c r="CV78" s="183">
        <f>_xlfn.FORECAST.LINEAR(Sheet3!CG78,New!$LU$2:$LU$14,New!$LT$2:$LT$14)</f>
        <v>1.0083942425746346</v>
      </c>
      <c r="CW78" s="186">
        <f>EXP((17.625*Sheet3!BA78)/(243.04+Sheet3!BA78)) / EXP((17.625*Sheet3!DF78)/(243.04+Sheet3!DF78))</f>
        <v>0.25054222724360542</v>
      </c>
      <c r="CX78" s="183">
        <f>EXP((17.625*(Sheet3!BC78+273))/(243.04+(Sheet3!BC78+273)))/EXP((17.625*(Sheet3!BZ78+273))/(243.04+(Sheet3!BZ78+273)))</f>
        <v>0.67826255661824864</v>
      </c>
      <c r="CY78" s="183">
        <f>EXP((17.625*(Sheet3!BE78+273))/(243.04+(Sheet3!BE78+273))) / EXP((17.625*(Sheet3!CA78+273))/(243.04+(Sheet3!CA78+273)))</f>
        <v>0.70975359681961447</v>
      </c>
      <c r="CZ78" s="183">
        <f>EXP((17.625*(Sheet3!BG78+273))/(243.04+(Sheet3!BG78+273))) / EXP((17.625*(Sheet3!CB78+273))/(243.04+(Sheet3!CB78+273)))</f>
        <v>0.73506679601435099</v>
      </c>
      <c r="DA78" s="183">
        <f>EXP((17.625*(Sheet3!BI78+273))/(243.04+(Sheet3!BI78+273))) / EXP((17.625*(Sheet3!CC78+273))/(243.04+(Sheet3!CC78+273)))</f>
        <v>0.76924837881309449</v>
      </c>
      <c r="DB78" s="183">
        <f>EXP((17.625*(Sheet3!BK78+273))/(243.04+(Sheet3!BK78+273)))/EXP((17.625*(Sheet3!CD78+273))/(243.04+(Sheet3!CD78+273)))</f>
        <v>0.78507268131200292</v>
      </c>
      <c r="DC78" s="183">
        <f>EXP((17.625*(Sheet3!BM78+273))/(243.04+(Sheet3!BM78+273))) / EXP((17.625*(Sheet3!CE78+273))/(243.04+(Sheet3!CE78+273)))</f>
        <v>0.81141142559452739</v>
      </c>
      <c r="DD78" s="183">
        <f>EXP((17.625*(Sheet3!BO78+273))/(243.04+(Sheet3!BO78+273))) / EXP((17.625*(Sheet3!CF78+273))/(243.04+(Sheet3!CF78+273)))</f>
        <v>0.84095995582063854</v>
      </c>
      <c r="DE78" s="183">
        <f>EXP((17.625*(Sheet3!BQ78+273))/(243.04+(Sheet3!BQ78+273))) / EXP((17.625*(Sheet3!CG78+273))/(243.04+(Sheet3!CG78+273)))</f>
        <v>0.87131066100157795</v>
      </c>
      <c r="DF78" s="186">
        <f>((Sheet3!DA78-Sheet3!DB78)/New!$LQ$3)/(((Sheet3!DA78-Sheet3!DB78)/New!$LQ$3)+(Sheet3!DB78/New!$LP$3))</f>
        <v>0.83982364165754719</v>
      </c>
      <c r="DG78" s="183">
        <f>((Sheet3!DA78-Sheet3!DB78)/New!$LQ$3)/(((Sheet3!DA78-Sheet3!DB78)/New!$LQ$3)+((Sheet3!DB78-(Sheet3!B78*0.004))/New!$LP$3))</f>
        <v>0.84903244082993523</v>
      </c>
      <c r="DH78" s="183" cm="1">
        <f t="array" ref="DH78">((Sheet3!DA78-Sheet3!DB78)/New!$LQ$3)/(((Sheet3!DA78-Sheet3!DB78)/New!$LQ$3)+((Sheet3!DB78-(SUM(Sheet3!B78:C78*0.004)))/New!$LP$3))</f>
        <v>0.85230539473867806</v>
      </c>
      <c r="DI78" s="183" cm="1">
        <f t="array" ref="DI78">((Sheet3!DA78-Sheet3!DB78)/New!$LQ$3)/(((Sheet3!DA78-Sheet3!DB78)/New!$LQ$3)+((Sheet3!DB78-(SUM(Sheet3!B78:D78*0.004)))/New!$LP$3))</f>
        <v>0.85353430504688177</v>
      </c>
      <c r="DJ78" s="183" cm="1">
        <f t="array" ref="DJ78">((Sheet3!DA78-Sheet3!DB78)/New!$LQ$3)/(((Sheet3!DA78-Sheet3!DB78)/New!$LQ$3)+((Sheet3!DB78-(SUM(Sheet3!B78:E78*0.004)))/New!$LP$3))</f>
        <v>0.86471531939856938</v>
      </c>
      <c r="DK78" s="183" cm="1">
        <f t="array" ref="DK78">((Sheet3!DA78-Sheet3!DB78)/New!$LQ$3)/(((Sheet3!DA78-Sheet3!DB78)/New!$LQ$3)+((Sheet3!DB78-(SUM(Sheet3!B78:F78*0.004)))/New!$LP$3))</f>
        <v>0.8652453464708123</v>
      </c>
      <c r="DL78" s="183" cm="1">
        <f t="array" ref="DL78">((Sheet3!DA78-Sheet3!DB78)/New!$LQ$3)/(((Sheet3!DA78-Sheet3!DB78)/New!$LQ$3)+((Sheet3!DB78-(SUM(Sheet3!B78:G78*0.004)))/New!$LP$3))</f>
        <v>0.8790472181306771</v>
      </c>
      <c r="DM78" s="183" cm="1">
        <f t="array" ref="DM78">((Sheet3!DA78-Sheet3!DB78)/New!$LQ$3)/(((Sheet3!DA78-Sheet3!DB78)/New!$LQ$3)+((Sheet3!DB78-(SUM(Sheet3!B78:H78*0.004)))/New!$LP$3))</f>
        <v>0.87963712854979437</v>
      </c>
      <c r="DN78" s="183" cm="1">
        <f t="array" ref="DN78">((Sheet3!DA78-Sheet3!DB78)/New!$LQ$3)/(((Sheet3!DA78-Sheet3!DB78)/New!$LQ$3)+((Sheet3!DB78-(SUM(Sheet3!B78:I78*0.004)))/New!$LP$3))</f>
        <v>0.89290535728261</v>
      </c>
      <c r="DO78" s="186">
        <f>(Sheet3!DB78/$LP$3) / ((Sheet3!DB78/$LP$3) + ((Sheet3!DA78-Sheet3!DB78)/$LQ$3))</f>
        <v>0.16017635834245281</v>
      </c>
      <c r="DP78" s="183">
        <f>((Sheet3!$DB78-(Sheet3!B78/4000)) / $LP$3) / (((Sheet3!$DA78-Sheet3!DB78) / $LQ$3) + (Sheet3!$DB78-((Sheet3!B78/4000)))/$LP$3)</f>
        <v>0.15960666475081584</v>
      </c>
      <c r="DQ78" s="183">
        <f>((Sheet3!$DB78-(SUM(Sheet3!B78:C78)/4000))/$LP$3)/(((Sheet3!$DA78-Sheet3!$DB78)/$LQ$3)+(Sheet3!$DB78-(SUM(Sheet3!B78:C78)/4000))/$LP$3)</f>
        <v>0.15940696902502643</v>
      </c>
      <c r="DR78" s="183">
        <f>((Sheet3!$DB78-(SUM(Sheet3!B78:D78)/4000))/$LP$3)/(((Sheet3!$DA78-Sheet3!$DB78)/$LQ$3)+(Sheet3!$DB78-(SUM(Sheet3!B78:D78)/4000))/$LP$3)</f>
        <v>0.15933235952976299</v>
      </c>
      <c r="DS78" s="183">
        <f>((Sheet3!$DB78-(SUM(Sheet3!B78:E78)/4000))/$LP$3)/(((Sheet3!$DA78-Sheet3!$DB78)/$LQ$3)+(Sheet3!$DB78-(SUM(Sheet3!B78:E78)/4000))/$LP$3)</f>
        <v>0.15866268841246789</v>
      </c>
      <c r="DT78" s="183">
        <f>((Sheet3!$DB78-(SUM(Sheet3!B78:F78)/4000))/$LP$3)/(((Sheet3!$DA78-Sheet3!$DB78)/$LQ$3)+(Sheet3!$DB78-(SUM(Sheet3!B78:F78)/4000))/$LP$3)</f>
        <v>0.1586313467433246</v>
      </c>
      <c r="DU78" s="183">
        <f>((Sheet3!$DB78-(SUM(Sheet3!B78:G78)/4000))/$LP$3)/(((Sheet3!$DA78-Sheet3!$DB78)/$LQ$3)+(Sheet3!$DB78-(SUM(Sheet3!B78:G78)/4000))/$LP$3)</f>
        <v>0.15782772108324739</v>
      </c>
      <c r="DV78" s="183">
        <f>((Sheet3!$DB78-(SUM(Sheet3!B78:H78)/4000))/$LP$3)/(((Sheet3!$DA78-Sheet3!$DB78)/$LQ$3)+(Sheet3!$DB78-(SUM(Sheet3!B78:H78)/4000))/$LP$3)</f>
        <v>0.15779390139094093</v>
      </c>
      <c r="DW78" s="183">
        <f>((Sheet3!$DB78-(SUM(Sheet3!B78:I78)/4000))/$LP$3)/(((Sheet3!$DA78-Sheet3!$DB78)/$LQ$3)+(Sheet3!$DB78-(SUM(Sheet3!B78:I78)/4000))/$LP$3)</f>
        <v>0.15704434018861821</v>
      </c>
      <c r="DX78" s="186">
        <f>($LR$2*($LP$3/1000))/($LP$2*(Sheet3!DF78+273))*DO78</f>
        <v>9.8232737673923612E-2</v>
      </c>
      <c r="DY78" s="183">
        <f>(($LR$2*($LP$3/1000))/($LP$2*(Sheet3!BZ78+273)))*(DP78)</f>
        <v>9.8025011342517884E-2</v>
      </c>
      <c r="DZ78" s="183">
        <f>(($LR$2*($LP$3/1000))/($LP$2*(Sheet3!CA78+273)))*(DQ78)</f>
        <v>9.8961271515486796E-2</v>
      </c>
      <c r="EA78" s="183">
        <f>(($LR$2*($LP$3/1000))/($LP$2*(Sheet3!CB78+273)))*(DR78)</f>
        <v>9.9840062742261731E-2</v>
      </c>
      <c r="EB78" s="183">
        <f>(($LR$2*($LP$3/1000))/($LP$2*(Sheet3!CC78+273)))*(DS78)</f>
        <v>0.10059842856226107</v>
      </c>
      <c r="EC78" s="183">
        <f>(($LR$2*($LP$3/1000))/($LP$2*(Sheet3!CD78+273)))*(DT78)</f>
        <v>0.10106433773353467</v>
      </c>
      <c r="ED78" s="183">
        <f>(($LR$2*($LP$3/1000))/($LP$2*(Sheet3!CE78+273)))*(DU78)</f>
        <v>0.10147107172777832</v>
      </c>
      <c r="EE78" s="183">
        <f>(($LR$2*($LP$3/1000))/($LP$2*(Sheet3!CF78+273)))*(DV78)</f>
        <v>0.10230588052206969</v>
      </c>
      <c r="EF78" s="183">
        <f>(($LR$2*($LP$3/1000))/($LP$2*(Sheet3!CG78+273)))*(DW78)</f>
        <v>0.10280046048480961</v>
      </c>
      <c r="EG78" s="186">
        <f>(($LR$2*($LQ$3/1000))/($LQ$2*(Sheet3!DF78+273)))*(1-DO78)</f>
        <v>0.82796164610878475</v>
      </c>
      <c r="EH78" s="183">
        <f>(($LR$2*($LQ$3/1000))/($LQ$2*(Sheet3!BZ78+273)))*(1-DP78)</f>
        <v>0.82972231324836276</v>
      </c>
      <c r="EI78" s="183">
        <f>(($LR$2*($LQ$3/1000))/($LQ$2*(Sheet3!CA78+273)))*(1-DQ78)</f>
        <v>0.83889583612266116</v>
      </c>
      <c r="EJ78" s="183">
        <f>(($LR$2*($LQ$3/1000))/($LQ$2*(Sheet3!CB78+273)))*(1-DR78)</f>
        <v>0.84681682715498108</v>
      </c>
      <c r="EK78" s="183">
        <f>(($LR$2*($LQ$3/1000))/($LQ$2*(Sheet3!CC78+273)))*(1-DS78)</f>
        <v>0.85753297360328018</v>
      </c>
      <c r="EL78" s="183">
        <f>(($LR$2*($LQ$3/1000))/($LQ$2*(Sheet3!CD78+273)))*(1-DT78)</f>
        <v>0.86170684291752542</v>
      </c>
      <c r="EM78" s="183">
        <f>(($LR$2*($LQ$3/1000))/($LQ$2*(Sheet3!CE78+273)))*(1-DU78)</f>
        <v>0.87041064707880733</v>
      </c>
      <c r="EN78" s="183">
        <f>(($LR$2*($LQ$3/1000))/($LQ$2*(Sheet3!CF78+273)))*(1-DV78)</f>
        <v>0.87779490658989845</v>
      </c>
      <c r="EO78" s="183">
        <f>(($LR$2*($LQ$3/1000))/($LQ$2*(Sheet3!CG78+273)))*(1-DW78)</f>
        <v>0.88703711721595835</v>
      </c>
      <c r="EP78" s="186">
        <f t="shared" si="350"/>
        <v>3090.9670348924938</v>
      </c>
      <c r="EQ78" s="183">
        <f xml:space="preserve"> (($FV78-(Sheet3!B78/4000))*0.018)/(0.011*JO78*3600)</f>
        <v>3092.1160909207683</v>
      </c>
      <c r="ER78" s="183">
        <f>((($FV78-(SUM(Sheet3!B78:C78)/4000))*0.018)/(0.011*JP78*3600))</f>
        <v>3116.5543145119914</v>
      </c>
      <c r="ES78" s="183">
        <f>((($FV78-(SUM(Sheet3!B78:D78)/4000))*0.018)/(0.011*JQ78*3600))</f>
        <v>3138.1984720562177</v>
      </c>
      <c r="ET78" s="183">
        <f>((($FV78-(SUM(Sheet3!B78:E78)/4000))*0.018)/(0.011*JR78))/3600</f>
        <v>3163.4090141074348</v>
      </c>
      <c r="EU78" s="183">
        <f>((($FV78-(SUM(Sheet3!B78:F78)/4000))*0.018)/(0.011*JS78))/3600</f>
        <v>3174.7389971435605</v>
      </c>
      <c r="EV78" s="183">
        <f>((($FV78-(SUM(Sheet3!B78:G78)/4000))*0.018)/(0.011*JT78))/3600</f>
        <v>3193.1565504718146</v>
      </c>
      <c r="EW78" s="183">
        <f>((($FV78-(SUM(Sheet3!B78:H78)/4000))*0.018)/(0.011*JU78))/3600</f>
        <v>3213.1471464917004</v>
      </c>
      <c r="EX78" s="183">
        <f>((($FV78-(SUM(Sheet3!B78:I78)/4000))*0.018)/(0.011*JV78))/3600</f>
        <v>3233.0835048284339</v>
      </c>
      <c r="EY78" s="186">
        <f t="shared" si="351"/>
        <v>37.929131737905465</v>
      </c>
      <c r="EZ78" s="183">
        <f t="shared" si="352"/>
        <v>37.931088574984003</v>
      </c>
      <c r="FA78" s="183">
        <f t="shared" si="353"/>
        <v>38.155127173324288</v>
      </c>
      <c r="FB78" s="183">
        <f t="shared" si="354"/>
        <v>38.355382993245456</v>
      </c>
      <c r="FC78" s="183">
        <f t="shared" si="355"/>
        <v>38.579558985956041</v>
      </c>
      <c r="FD78" s="183">
        <f t="shared" si="356"/>
        <v>38.684696217657198</v>
      </c>
      <c r="FE78" s="183">
        <f t="shared" si="357"/>
        <v>38.84335400687177</v>
      </c>
      <c r="FF78" s="183">
        <f t="shared" si="358"/>
        <v>39.029439378894473</v>
      </c>
      <c r="FG78" s="183">
        <f t="shared" si="359"/>
        <v>39.203119153880465</v>
      </c>
      <c r="FH78" s="186">
        <f t="shared" si="274"/>
        <v>62.686278109392219</v>
      </c>
      <c r="FI78" s="183">
        <f t="shared" si="275"/>
        <v>62.596423998958031</v>
      </c>
      <c r="FJ78" s="183">
        <f t="shared" si="276"/>
        <v>62.233225956740924</v>
      </c>
      <c r="FK78" s="183">
        <f t="shared" si="277"/>
        <v>61.927176017010396</v>
      </c>
      <c r="FL78" s="183">
        <f t="shared" si="278"/>
        <v>61.500583606480539</v>
      </c>
      <c r="FM78" s="183">
        <f t="shared" si="279"/>
        <v>61.343905836402286</v>
      </c>
      <c r="FN78" s="183">
        <f t="shared" si="280"/>
        <v>60.997944885856988</v>
      </c>
      <c r="FO78" s="183">
        <f t="shared" si="281"/>
        <v>60.727947413153117</v>
      </c>
      <c r="FP78" s="183">
        <f t="shared" si="282"/>
        <v>60.374345664144549</v>
      </c>
      <c r="FQ78" s="314">
        <f>Sheet3!CV78</f>
        <v>1</v>
      </c>
      <c r="FR78" s="183">
        <v>3000</v>
      </c>
      <c r="FS78" s="183">
        <v>10</v>
      </c>
      <c r="FT78" s="183">
        <v>8.5648351648351662E-2</v>
      </c>
      <c r="FU78" s="183">
        <v>36.71</v>
      </c>
      <c r="FV78" s="183">
        <v>132</v>
      </c>
      <c r="FW78" s="183">
        <v>14</v>
      </c>
      <c r="FX78" s="183">
        <v>138</v>
      </c>
      <c r="FY78" s="183">
        <v>8.11</v>
      </c>
      <c r="FZ78" s="183">
        <v>27.15</v>
      </c>
      <c r="GA78" s="183">
        <v>85</v>
      </c>
      <c r="GB78" s="186">
        <f>EXP($LP$6-($LQ$6/('Trial and Error method'!T78+$LP$8))) / ($LR$2/1000)</f>
        <v>4.8230900701902925E-2</v>
      </c>
      <c r="GC78" s="183">
        <f>EXP($LP$6-($LQ$6/('Trial and Error method'!U78+$LP$8))) / ($LR$2/1000)</f>
        <v>0.12121446111836182</v>
      </c>
      <c r="GD78" s="183">
        <f>EXP($LP$6-($LQ$6/('Trial and Error method'!V78+$LP$8))) / ($LR$2/1000)</f>
        <v>0.111065472158414</v>
      </c>
      <c r="GE78" s="183">
        <f>EXP($LP$6-($LQ$6/('Trial and Error method'!W78+$LP$8))) / ($LR$2/1000)</f>
        <v>0.10268599674831393</v>
      </c>
      <c r="GF78" s="183">
        <f>EXP($LP$6-($LQ$6/('Trial and Error method'!X78+$LP$8))) / ($LR$2/1000)</f>
        <v>9.4111881320601401E-2</v>
      </c>
      <c r="GG78" s="183">
        <f>EXP($LP$6-($LQ$6/('Trial and Error method'!Y78+$LP$8))) / ($LR$2/1000)</f>
        <v>8.7880799181167243E-2</v>
      </c>
      <c r="GH78" s="183">
        <f>EXP($LP$6-($LQ$6/('Trial and Error method'!Z78+$LP$8))) / ($LR$2/1000)</f>
        <v>8.0678294650568194E-2</v>
      </c>
      <c r="GI78" s="183">
        <f>EXP($LP$6-($LQ$6/('Trial and Error method'!AA78+$LP$8))) / ($LR$2/1000)</f>
        <v>7.4393203214635481E-2</v>
      </c>
      <c r="GJ78" s="183">
        <f>EXP($LP$6-($LQ$6/('Trial and Error method'!AB78+$LP$8))) / ($LR$2/1000)</f>
        <v>6.7253943299509567E-2</v>
      </c>
      <c r="GK78" s="188">
        <f t="shared" si="411"/>
        <v>0.89462935866095672</v>
      </c>
      <c r="GL78" s="165">
        <f t="shared" si="360"/>
        <v>0.85944652413253297</v>
      </c>
      <c r="GM78" s="165">
        <f t="shared" si="361"/>
        <v>0.86453853606985553</v>
      </c>
      <c r="GN78" s="165">
        <f t="shared" si="362"/>
        <v>0.8686830203814343</v>
      </c>
      <c r="GO78" s="165">
        <f t="shared" si="363"/>
        <v>0.87321510145294223</v>
      </c>
      <c r="GP78" s="165">
        <f t="shared" si="364"/>
        <v>0.87626794094928306</v>
      </c>
      <c r="GQ78" s="165">
        <f t="shared" si="365"/>
        <v>0.88018354222788109</v>
      </c>
      <c r="GR78" s="165">
        <f t="shared" si="366"/>
        <v>0.88325028760725799</v>
      </c>
      <c r="GS78" s="165">
        <f t="shared" si="367"/>
        <v>0.88709361583183954</v>
      </c>
      <c r="GT78" s="188">
        <f t="shared" si="283"/>
        <v>4.5411076440289105E-2</v>
      </c>
      <c r="GU78" s="165">
        <f t="shared" si="284"/>
        <v>4.7259522655533015E-2</v>
      </c>
      <c r="GV78" s="165">
        <f t="shared" si="285"/>
        <v>4.6995337869014227E-2</v>
      </c>
      <c r="GW78" s="165">
        <f t="shared" si="286"/>
        <v>4.6786549561476827E-2</v>
      </c>
      <c r="GX78" s="165">
        <f t="shared" si="287"/>
        <v>4.6553716047247208E-2</v>
      </c>
      <c r="GY78" s="165">
        <f t="shared" si="288"/>
        <v>4.6400851667128457E-2</v>
      </c>
      <c r="GZ78" s="165">
        <f t="shared" si="289"/>
        <v>4.6198431536181583E-2</v>
      </c>
      <c r="HA78" s="165">
        <f t="shared" si="290"/>
        <v>4.6056376227167246E-2</v>
      </c>
      <c r="HB78" s="165">
        <f t="shared" si="291"/>
        <v>4.5859588490318938E-2</v>
      </c>
      <c r="HC78" s="188">
        <f>BV78*Sheet3!DF78</f>
        <v>93.918234576079485</v>
      </c>
      <c r="HD78" s="165">
        <f>BW78*Sheet3!BZ78</f>
        <v>93.237229507655911</v>
      </c>
      <c r="HE78" s="165">
        <f>BX78*Sheet3!CA78</f>
        <v>88.918146520384965</v>
      </c>
      <c r="HF78" s="165">
        <f>BY78*Sheet3!CB78</f>
        <v>85.241136734906121</v>
      </c>
      <c r="HG78" s="165">
        <f>BZ78*Sheet3!CC78</f>
        <v>80.558063481310469</v>
      </c>
      <c r="HH78" s="165">
        <f>CA78*Sheet3!CD78</f>
        <v>78.699187332634494</v>
      </c>
      <c r="HI78" s="165">
        <f>CB78*Sheet3!CE78</f>
        <v>75.113448257346292</v>
      </c>
      <c r="HJ78" s="165">
        <f>CC78*Sheet3!CF78</f>
        <v>71.935217331914458</v>
      </c>
      <c r="HK78" s="165">
        <f>CD78*Sheet3!CG78</f>
        <v>68.258619135950809</v>
      </c>
      <c r="HL78" s="188">
        <f>(CE78*Sheet3!DF78)+2501</f>
        <v>2661.0442119434374</v>
      </c>
      <c r="HM78" s="165">
        <f>(CF78*Sheet3!BZ78)+2501</f>
        <v>2660.0530909093723</v>
      </c>
      <c r="HN78" s="165">
        <f>(CG78*Sheet3!CA78)+2501</f>
        <v>2652.7327874103516</v>
      </c>
      <c r="HO78" s="165">
        <f>(CH78*Sheet3!CB78)+2501</f>
        <v>2646.472456700646</v>
      </c>
      <c r="HP78" s="165">
        <f>(CI78*Sheet3!CC78)+2501</f>
        <v>2638.6481083482358</v>
      </c>
      <c r="HQ78" s="165">
        <f>(CJ78*Sheet3!CD78)+2501</f>
        <v>2635.4782953007239</v>
      </c>
      <c r="HR78" s="165">
        <f>(CK78*Sheet3!CE78)+2501</f>
        <v>2629.5427444919392</v>
      </c>
      <c r="HS78" s="165">
        <f>(CL78*Sheet3!CF78)+2501</f>
        <v>2624.111123774218</v>
      </c>
      <c r="HT78" s="165">
        <f>(CM78*Sheet3!CG78)+2501</f>
        <v>2617.9831970471073</v>
      </c>
      <c r="HU78" s="188">
        <f>-0.0021*(Sheet3!DF78^2) - 2.2115*(Sheet3!DF78) + 2499</f>
        <v>2295.85</v>
      </c>
      <c r="HV78" s="165">
        <f>-0.0021*(Sheet3!BZ78^2) - 2.2115*(Sheet3!BZ78) + 2499</f>
        <v>2297.1782277922071</v>
      </c>
      <c r="HW78" s="165">
        <f>-0.0021*(Sheet3!CA78^2) - 2.2115*(Sheet3!CA78) + 2499</f>
        <v>2306.9640620294617</v>
      </c>
      <c r="HX78" s="165">
        <f>-0.0021*(Sheet3!CB78^2) - 2.2115*(Sheet3!CB78) + 2499</f>
        <v>2315.2986171383518</v>
      </c>
      <c r="HY78" s="165">
        <f>-0.0021*(Sheet3!CC78^2) - 2.2115*(Sheet3!CC78) + 2499</f>
        <v>2325.670269062824</v>
      </c>
      <c r="HZ78" s="165">
        <f>-0.0021*(Sheet3!CD78^2) - 2.2115*(Sheet3!CD78) + 2499</f>
        <v>2329.8576085093273</v>
      </c>
      <c r="IA78" s="165">
        <f>-0.0021*(Sheet3!CE78^2) - 2.2115*(Sheet3!CE78) + 2499</f>
        <v>2337.675840172747</v>
      </c>
      <c r="IB78" s="165">
        <f>-0.0021*(Sheet3!CF78^2) - 2.2115*(Sheet3!CF78) + 2499</f>
        <v>2344.8041485635886</v>
      </c>
      <c r="IC78" s="165">
        <f>-0.0021*(Sheet3!CG78^2) - 2.2115*(Sheet3!CG78) + 2499</f>
        <v>2352.8158957686092</v>
      </c>
      <c r="ID78" s="188">
        <f t="shared" si="292"/>
        <v>0.72096765711138067</v>
      </c>
      <c r="IE78" s="165">
        <f t="shared" si="293"/>
        <v>0.72060212678721947</v>
      </c>
      <c r="IF78" s="165">
        <f t="shared" si="294"/>
        <v>0.72246512821054276</v>
      </c>
      <c r="IG78" s="165">
        <f t="shared" si="295"/>
        <v>0.72422240086372047</v>
      </c>
      <c r="IH78" s="165">
        <f t="shared" si="296"/>
        <v>0.72580704941952767</v>
      </c>
      <c r="II78" s="165">
        <f t="shared" si="297"/>
        <v>0.72675351063361249</v>
      </c>
      <c r="IJ78" s="165">
        <f t="shared" si="298"/>
        <v>0.7276598367987861</v>
      </c>
      <c r="IK78" s="165">
        <f t="shared" si="299"/>
        <v>0.72937475429257559</v>
      </c>
      <c r="IL78" s="165">
        <f t="shared" si="300"/>
        <v>0.73047625732731869</v>
      </c>
      <c r="IM78" s="188">
        <f t="shared" si="301"/>
        <v>11.671099798837419</v>
      </c>
      <c r="IN78" s="165">
        <f t="shared" si="368"/>
        <v>4.1679937842948807</v>
      </c>
      <c r="IO78" s="165">
        <f t="shared" si="369"/>
        <v>5.2410185802520335</v>
      </c>
      <c r="IP78" s="165">
        <f t="shared" si="370"/>
        <v>6.1362078167015879</v>
      </c>
      <c r="IQ78" s="165">
        <f t="shared" si="371"/>
        <v>6.9888250818605266</v>
      </c>
      <c r="IR78" s="165">
        <f t="shared" si="372"/>
        <v>7.6486561393402539</v>
      </c>
      <c r="IS78" s="165">
        <f t="shared" si="373"/>
        <v>8.3319033087754661</v>
      </c>
      <c r="IT78" s="165">
        <f t="shared" si="374"/>
        <v>9.0067067808561383</v>
      </c>
      <c r="IU78" s="165">
        <f t="shared" si="375"/>
        <v>9.6883091881711572</v>
      </c>
      <c r="IV78" s="188">
        <f>_xlfn.FORECAST.LINEAR(Sheet3!DF78,Sheet2!$AK$2:$AK$69,Sheet2!$AJ$2:$AJ$69)</f>
        <v>1.1761434736095797E-5</v>
      </c>
      <c r="IW78" s="165">
        <f>_xlfn.FORECAST.LINEAR(Sheet3!BZ78,Sheet2!$AK$2:$AK$69,Sheet2!$AJ$2:$AJ$69)</f>
        <v>1.1743321438837291E-5</v>
      </c>
      <c r="IX78" s="165">
        <f>_xlfn.FORECAST.LINEAR(Sheet3!CA78,Sheet2!$AK$2:$AK$69,Sheet2!$AJ$2:$AJ$69)</f>
        <v>1.1609394443673396E-5</v>
      </c>
      <c r="IY78" s="165">
        <f>_xlfn.FORECAST.LINEAR(Sheet3!CB78,Sheet2!$AK$2:$AK$69,Sheet2!$AJ$2:$AJ$69)</f>
        <v>1.1494660489132947E-5</v>
      </c>
      <c r="IZ78" s="165">
        <f>_xlfn.FORECAST.LINEAR(Sheet3!CC78,Sheet2!$AK$2:$AK$69,Sheet2!$AJ$2:$AJ$69)</f>
        <v>1.1351008422592168E-5</v>
      </c>
      <c r="JA78" s="165">
        <f>_xlfn.FORECAST.LINEAR(Sheet3!CD78,Sheet2!$AK$2:$AK$69,Sheet2!$AJ$2:$AJ$69)</f>
        <v>1.129273267221511E-5</v>
      </c>
      <c r="JB78" s="165">
        <f>_xlfn.FORECAST.LINEAR(Sheet3!CE78,Sheet2!$AK$2:$AK$69,Sheet2!$AJ$2:$AJ$69)</f>
        <v>1.1183489016704153E-5</v>
      </c>
      <c r="JC78" s="165">
        <f>_xlfn.FORECAST.LINEAR(Sheet3!CF78,Sheet2!$AK$2:$AK$69,Sheet2!$AJ$2:$AJ$69)</f>
        <v>1.1083383975976895E-5</v>
      </c>
      <c r="JD78" s="165">
        <f>_xlfn.FORECAST.LINEAR(Sheet3!CG78,Sheet2!$AK$2:$AK$69,Sheet2!$AJ$2:$AJ$69)</f>
        <v>1.0970292491556913E-5</v>
      </c>
      <c r="JE78" s="188">
        <f>_xlfn.FORECAST.LINEAR(Sheet3!DF78,New!$MC$2:$MC$18,New!$MB$2:$MB$18)</f>
        <v>2.0908514659214704E-5</v>
      </c>
      <c r="JF78" s="165">
        <f>_xlfn.FORECAST.LINEAR(Sheet3!BZ78,New!$MC$2:$MC$18,New!$MB$2:$MB$18)</f>
        <v>2.0887222041091678E-5</v>
      </c>
      <c r="JG78" s="165">
        <f>_xlfn.FORECAST.LINEAR(Sheet3!CA78,New!$MC$2:$MC$18,New!$MB$2:$MB$18)</f>
        <v>2.0729787625717652E-5</v>
      </c>
      <c r="JH78" s="165">
        <f>_xlfn.FORECAST.LINEAR(Sheet3!CB78,New!$MC$2:$MC$18,New!$MB$2:$MB$18)</f>
        <v>2.0594915092853604E-5</v>
      </c>
      <c r="JI78" s="165">
        <f>_xlfn.FORECAST.LINEAR(Sheet3!CC78,New!$MC$2:$MC$18,New!$MB$2:$MB$18)</f>
        <v>2.042604862134469E-5</v>
      </c>
      <c r="JJ78" s="165">
        <f>_xlfn.FORECAST.LINEAR(Sheet3!CD78,New!$MC$2:$MC$18,New!$MB$2:$MB$18)</f>
        <v>2.0357544070190774E-5</v>
      </c>
      <c r="JK78" s="165">
        <f>_xlfn.FORECAST.LINEAR(Sheet3!CE78,New!$MC$2:$MC$18,New!$MB$2:$MB$18)</f>
        <v>2.0229125516353725E-5</v>
      </c>
      <c r="JL78" s="165">
        <f>_xlfn.FORECAST.LINEAR(Sheet3!CF78,New!$MC$2:$MC$18,New!$MB$2:$MB$18)</f>
        <v>2.0111449624771132E-5</v>
      </c>
      <c r="JM78" s="165">
        <f>_xlfn.FORECAST.LINEAR(Sheet3!CG78,New!$MC$2:$MC$18,New!$MB$2:$MB$18)</f>
        <v>1.9978507855177539E-5</v>
      </c>
      <c r="JN78" s="188">
        <f t="shared" si="376"/>
        <v>1.9411400808448559E-5</v>
      </c>
      <c r="JO78" s="165">
        <f t="shared" si="377"/>
        <v>1.9395477536536942E-5</v>
      </c>
      <c r="JP78" s="165">
        <f t="shared" si="378"/>
        <v>1.9240363013864505E-5</v>
      </c>
      <c r="JQ78" s="165">
        <f t="shared" si="379"/>
        <v>1.9106539682009476E-5</v>
      </c>
      <c r="JR78" s="165">
        <f t="shared" si="380"/>
        <v>1.8944285250505847E-5</v>
      </c>
      <c r="JS78" s="165">
        <f t="shared" si="381"/>
        <v>1.8876211716447938E-5</v>
      </c>
      <c r="JT78" s="165">
        <f t="shared" si="382"/>
        <v>1.8755486490822201E-5</v>
      </c>
      <c r="JU78" s="165">
        <f t="shared" si="383"/>
        <v>1.8638304100623711E-5</v>
      </c>
      <c r="JV78" s="165">
        <f t="shared" si="384"/>
        <v>1.8512477724206654E-5</v>
      </c>
      <c r="JW78" s="188">
        <f t="shared" si="302"/>
        <v>1.0444458673781256</v>
      </c>
      <c r="JX78" s="165">
        <f t="shared" si="385"/>
        <v>1.0447417072994098</v>
      </c>
      <c r="JY78" s="165">
        <f t="shared" si="386"/>
        <v>1.0469566274191804</v>
      </c>
      <c r="JZ78" s="165">
        <f t="shared" si="387"/>
        <v>1.0488935570005453</v>
      </c>
      <c r="KA78" s="165">
        <f t="shared" si="388"/>
        <v>1.0513716895872764</v>
      </c>
      <c r="KB78" s="165">
        <f t="shared" si="389"/>
        <v>1.0523942616641357</v>
      </c>
      <c r="KC78" s="165">
        <f t="shared" si="390"/>
        <v>1.0543387387595267</v>
      </c>
      <c r="KD78" s="165">
        <f t="shared" si="391"/>
        <v>1.0561528551568531</v>
      </c>
      <c r="KE78" s="165">
        <f t="shared" si="392"/>
        <v>1.0582405305866791</v>
      </c>
      <c r="KF78" s="188">
        <f t="shared" si="393"/>
        <v>0.94446821821306282</v>
      </c>
      <c r="KG78" s="165">
        <f t="shared" si="394"/>
        <v>0.94424237986853743</v>
      </c>
      <c r="KH78" s="165">
        <f t="shared" si="395"/>
        <v>0.94255715775629556</v>
      </c>
      <c r="KI78" s="165">
        <f t="shared" si="396"/>
        <v>0.94109150082961335</v>
      </c>
      <c r="KJ78" s="165">
        <f t="shared" si="397"/>
        <v>0.93922718472793476</v>
      </c>
      <c r="KK78" s="165">
        <f t="shared" si="398"/>
        <v>0.93846142574401437</v>
      </c>
      <c r="KL78" s="165">
        <f t="shared" si="399"/>
        <v>0.93701093959975823</v>
      </c>
      <c r="KM78" s="165">
        <f t="shared" si="400"/>
        <v>0.93566432782273778</v>
      </c>
      <c r="KN78" s="165">
        <f t="shared" si="401"/>
        <v>0.93412251572388671</v>
      </c>
      <c r="KO78" s="188">
        <f t="shared" si="304"/>
        <v>0.58374633570742263</v>
      </c>
      <c r="KP78" s="165">
        <f t="shared" si="305"/>
        <v>0.58341612147630784</v>
      </c>
      <c r="KQ78" s="165">
        <f t="shared" si="306"/>
        <v>0.58053300116151829</v>
      </c>
      <c r="KR78" s="165">
        <f t="shared" si="307"/>
        <v>0.57802663335244175</v>
      </c>
      <c r="KS78" s="165">
        <f t="shared" si="308"/>
        <v>0.57487583431763145</v>
      </c>
      <c r="KT78" s="165">
        <f t="shared" si="309"/>
        <v>0.57357203681220148</v>
      </c>
      <c r="KU78" s="165">
        <f t="shared" si="310"/>
        <v>0.57114644183223673</v>
      </c>
      <c r="KV78" s="165">
        <f t="shared" si="311"/>
        <v>0.56886232815848681</v>
      </c>
      <c r="KW78" s="165">
        <f t="shared" si="312"/>
        <v>0.56639589877430774</v>
      </c>
      <c r="KX78" s="188">
        <f>AVERAGE(Sheet3!J78:P78)*KO78^(1/3)/ID78^(1/3)</f>
        <v>123.79097587722221</v>
      </c>
      <c r="KY78" s="165">
        <f>Sheet3!J78*KP78^(1/3)/IE78^(1/3)</f>
        <v>137.6230878623077</v>
      </c>
      <c r="KZ78" s="165">
        <f>Sheet3!K78*KQ78^(1/3)/IF78^(1/3)</f>
        <v>117.2636928245571</v>
      </c>
      <c r="LA78" s="165">
        <f>Sheet3!L78*KR78^(1/3)/IG78^(1/3)</f>
        <v>110.95087253592709</v>
      </c>
      <c r="LB78" s="165">
        <f>Sheet3!M78*KS78^(1/3)/IH78^(1/3)</f>
        <v>110.43024001924847</v>
      </c>
      <c r="LC78" s="165">
        <f>Sheet3!N78*KT78^(1/3)/II78^(1/3)</f>
        <v>115.92042954848678</v>
      </c>
      <c r="LD78" s="165">
        <f>Sheet3!O78*KU78^(1/3)/IJ78^(1/3)</f>
        <v>127.45586276016304</v>
      </c>
      <c r="LE78" s="165">
        <f>Sheet3!P78*KV78^(1/3)/IK78^(1/3)</f>
        <v>141.15706428947956</v>
      </c>
      <c r="LF78" s="165">
        <f>Sheet3!Q78*KW78^(1/3)/IL78^(1/3)</f>
        <v>149.86016685754112</v>
      </c>
      <c r="LG78" s="186">
        <f t="shared" si="402"/>
        <v>27.206869757941853</v>
      </c>
      <c r="LH78" s="183">
        <f t="shared" si="403"/>
        <v>27.463293551920874</v>
      </c>
      <c r="LI78" s="183">
        <f t="shared" si="404"/>
        <v>27.554480778617968</v>
      </c>
      <c r="LJ78" s="183">
        <f t="shared" si="405"/>
        <v>27.58872593108638</v>
      </c>
      <c r="LK78" s="183">
        <f t="shared" si="406"/>
        <v>27.900463981533179</v>
      </c>
      <c r="LL78" s="183">
        <f t="shared" si="407"/>
        <v>27.915248945375719</v>
      </c>
      <c r="LM78" s="183">
        <f t="shared" si="408"/>
        <v>28.300473832379112</v>
      </c>
      <c r="LN78" s="183">
        <f t="shared" si="409"/>
        <v>28.316948376359846</v>
      </c>
      <c r="LO78" s="183">
        <f t="shared" si="410"/>
        <v>28.687692935402346</v>
      </c>
      <c r="LT78" s="165"/>
      <c r="MF78" s="165"/>
      <c r="MJ78"/>
      <c r="MK78"/>
      <c r="ML78"/>
      <c r="MM78"/>
      <c r="MN78"/>
      <c r="MO78"/>
      <c r="MP78"/>
      <c r="MQ78"/>
      <c r="MR78"/>
    </row>
    <row r="79" spans="1:356" x14ac:dyDescent="0.3">
      <c r="A79" s="184" t="str">
        <f>Sheet3!A79</f>
        <v>2023.02.09-1</v>
      </c>
      <c r="B79" s="186">
        <f t="shared" si="313"/>
        <v>0.89732614077968165</v>
      </c>
      <c r="C79" s="183">
        <f t="shared" si="257"/>
        <v>0.89713686139487803</v>
      </c>
      <c r="D79" s="183">
        <f t="shared" si="258"/>
        <v>0.88535409389390074</v>
      </c>
      <c r="E79" s="183">
        <f t="shared" si="259"/>
        <v>0.87567718972318653</v>
      </c>
      <c r="F79" s="183">
        <f t="shared" si="260"/>
        <v>0.86497062328694785</v>
      </c>
      <c r="G79" s="183">
        <f t="shared" si="261"/>
        <v>0.85781326485041343</v>
      </c>
      <c r="H79" s="183">
        <f t="shared" si="262"/>
        <v>0.849525928456902</v>
      </c>
      <c r="I79" s="183">
        <f t="shared" si="263"/>
        <v>0.84200898007340863</v>
      </c>
      <c r="J79" s="183">
        <f t="shared" si="264"/>
        <v>0.83279571059621316</v>
      </c>
      <c r="K79" s="186">
        <f xml:space="preserve"> (6.057 * (10^(-6)))
+ (4.055 * (10^(-8)) * (Sheet3!DF79 + 273))
+ (1.25 * (10^(-10)) * (Sheet3!DF79 + 273)^2)
- (3.367 * (10^(-14)) * (DD79 + 273)^3)</f>
        <v>4.4158310091583677E-5</v>
      </c>
      <c r="L79" s="183">
        <f xml:space="preserve"> (6.057 * (10^(-6)))
+ (4.055 * (10^(-8)) * (Sheet3!BZ79 + 273))
+ (1.25 * (10^(-10)) * (Sheet3!BZ79 + 273)^2)
- (3.367 * (10^(-14)) * (BX79 + 273)^3)</f>
        <v>4.4121153401397724E-5</v>
      </c>
      <c r="M79" s="183">
        <f xml:space="preserve"> (6.057 * (10^(-6)))
+ (4.055 * (10^(-8)) * (Sheet3!CA79 + 273))
+ (1.25 * (10^(-10)) * (Sheet3!CA79 + 273)^2)
- (3.367 * (10^(-14)) * (BY79 + 273)^3)</f>
        <v>4.2753864339037072E-5</v>
      </c>
      <c r="N79" s="183">
        <f xml:space="preserve"> (6.057 * (10^(-6)))
+ (4.055 * (10^(-8)) * (Sheet3!CB79 + 273))
+ (1.25 * (10^(-10)) * (Sheet3!CB79 + 273)^2)
- (3.367 * (10^(-14)) * (BZ79 + 273)^3)</f>
        <v>4.1728364274697447E-5</v>
      </c>
      <c r="O79" s="183">
        <f xml:space="preserve"> (6.057 * (10^(-6)))
+ (4.055 * (10^(-8)) * (Sheet3!CC79 + 273))
+ (1.25 * (10^(-10)) * (Sheet3!CC79 + 273)^2)
- (3.367 * (10^(-14)) * (CA79 + 273)^3)</f>
        <v>4.0572769272756231E-5</v>
      </c>
      <c r="P79" s="183">
        <f xml:space="preserve"> (6.057 * (10^(-6)))
+ (4.055 * (10^(-8)) * (Sheet3!CD79 + 273))
+ (1.25 * (10^(-10)) * (Sheet3!CD79 + 273)^2)
- (3.367 * (10^(-14)) * (CB79 + 273)^3)</f>
        <v>3.9872577944997612E-5</v>
      </c>
      <c r="Q79" s="183">
        <f xml:space="preserve"> (6.057 * (10^(-6)))
+ (4.055 * (10^(-8)) * (Sheet3!CE79 + 273))
+ (1.25 * (10^(-10)) * (Sheet3!CE79 + 273)^2)
- (3.367 * (10^(-14)) * (CC79 + 273)^3)</f>
        <v>3.9012449753739275E-5</v>
      </c>
      <c r="R79" s="183">
        <f xml:space="preserve"> (6.057 * (10^(-6)))
+ (4.055 * (10^(-8)) * (Sheet3!CF79 + 273))
+ (1.25 * (10^(-10)) * (Sheet3!CF79 + 273)^2)
- (3.367 * (10^(-14)) * (CD79 + 273)^3)</f>
        <v>3.8321536513251972E-5</v>
      </c>
      <c r="S79" s="183">
        <f xml:space="preserve"> (6.057 * (10^(-6)))
+ (4.055 * (10^(-8)) * (Sheet3!CG79 + 273))
+ (1.25 * (10^(-10)) * (Sheet3!CG79 + 273)^2)
- (3.367 * (10^(-14)) * (CE79 + 273)^3)</f>
        <v>3.7416959147915052E-5</v>
      </c>
      <c r="T79" s="188">
        <f t="shared" si="314"/>
        <v>4.4158310091583677E-5</v>
      </c>
      <c r="U79" s="165">
        <f t="shared" si="315"/>
        <v>4.4121153401397724E-5</v>
      </c>
      <c r="V79" s="165">
        <f t="shared" si="316"/>
        <v>4.2753864339037072E-5</v>
      </c>
      <c r="W79" s="165">
        <f t="shared" si="317"/>
        <v>4.1728364274697447E-5</v>
      </c>
      <c r="X79" s="165">
        <f t="shared" si="318"/>
        <v>4.0572769272756231E-5</v>
      </c>
      <c r="Y79" s="165">
        <f t="shared" si="319"/>
        <v>3.9872577944997612E-5</v>
      </c>
      <c r="Z79" s="165">
        <f t="shared" si="320"/>
        <v>3.9012449753739275E-5</v>
      </c>
      <c r="AA79" s="165">
        <f t="shared" si="321"/>
        <v>3.8321536513251972E-5</v>
      </c>
      <c r="AB79" s="165">
        <f t="shared" si="322"/>
        <v>3.7416959147915052E-5</v>
      </c>
      <c r="AC79" s="186">
        <f t="shared" si="265"/>
        <v>3.9624405977833252E-5</v>
      </c>
      <c r="AD79" s="183">
        <f t="shared" si="266"/>
        <v>3.9582713083651902E-5</v>
      </c>
      <c r="AE79" s="183">
        <f t="shared" si="267"/>
        <v>3.7852308822350921E-5</v>
      </c>
      <c r="AF79" s="183">
        <f t="shared" si="268"/>
        <v>3.6540576759812475E-5</v>
      </c>
      <c r="AG79" s="183">
        <f t="shared" si="269"/>
        <v>3.5094253526333485E-5</v>
      </c>
      <c r="AH79" s="183">
        <f t="shared" si="270"/>
        <v>3.4203226265000989E-5</v>
      </c>
      <c r="AI79" s="183">
        <f t="shared" si="271"/>
        <v>3.3142087598423594E-5</v>
      </c>
      <c r="AJ79" s="183">
        <f t="shared" si="272"/>
        <v>3.2267077874369179E-5</v>
      </c>
      <c r="AK79" s="183">
        <f t="shared" si="273"/>
        <v>3.1160683081937395E-5</v>
      </c>
      <c r="AL79" s="186">
        <f t="shared" si="323"/>
        <v>3.5098062689579719E-2</v>
      </c>
      <c r="AM79" s="183">
        <f t="shared" si="324"/>
        <v>3.5078099266450759E-2</v>
      </c>
      <c r="AN79" s="183">
        <f t="shared" si="325"/>
        <v>3.4237798624854751E-2</v>
      </c>
      <c r="AO79" s="183">
        <f t="shared" si="326"/>
        <v>3.3599845024621371E-2</v>
      </c>
      <c r="AP79" s="183">
        <f t="shared" si="327"/>
        <v>3.2868307819035714E-2</v>
      </c>
      <c r="AQ79" s="183">
        <f t="shared" si="328"/>
        <v>3.2420478272936017E-2</v>
      </c>
      <c r="AR79" s="183">
        <f t="shared" si="329"/>
        <v>3.1863816648778784E-2</v>
      </c>
      <c r="AS79" s="183">
        <f t="shared" si="330"/>
        <v>3.1412059699315729E-2</v>
      </c>
      <c r="AT79" s="183">
        <f t="shared" si="331"/>
        <v>3.0818709957883855E-2</v>
      </c>
      <c r="AU79" s="186">
        <f>_xlfn.FORECAST.LINEAR(Sheet3!DF79,Sheet2!$AH$2:$AH$40,Sheet2!$AG$2:$AG$40)</f>
        <v>4.0902410270024961E-2</v>
      </c>
      <c r="AV79" s="183">
        <f>_xlfn.FORECAST.LINEAR(Sheet3!BZ79,Sheet2!$AH$2:$AH$40,Sheet2!$AG$2:$AG$40)</f>
        <v>4.0844949716908614E-2</v>
      </c>
      <c r="AW79" s="183">
        <f>_xlfn.FORECAST.LINEAR(Sheet3!CA79,Sheet2!$AH$2:$AH$40,Sheet2!$AG$2:$AG$40)</f>
        <v>3.8428533459764623E-2</v>
      </c>
      <c r="AX79" s="183">
        <f>_xlfn.FORECAST.LINEAR(Sheet3!CB79,Sheet2!$AH$2:$AH$40,Sheet2!$AG$2:$AG$40)</f>
        <v>3.6589369231612136E-2</v>
      </c>
      <c r="AY79" s="183">
        <f>_xlfn.FORECAST.LINEAR(Sheet3!CC79,Sheet2!$AH$2:$AH$40,Sheet2!$AG$2:$AG$40)</f>
        <v>3.4488183769864122E-2</v>
      </c>
      <c r="AZ79" s="183">
        <f>_xlfn.FORECAST.LINEAR(Sheet3!CD79,Sheet2!$AH$2:$AH$40,Sheet2!$AG$2:$AG$40)</f>
        <v>3.3199648319616498E-2</v>
      </c>
      <c r="BA79" s="183">
        <f>_xlfn.FORECAST.LINEAR(Sheet3!CE79,Sheet2!$AH$2:$AH$40,Sheet2!$AG$2:$AG$40)</f>
        <v>3.1600369920429222E-2</v>
      </c>
      <c r="BB79" s="183">
        <f>_xlfn.FORECAST.LINEAR(Sheet3!CF79,Sheet2!$AH$2:$AH$40,Sheet2!$AG$2:$AG$40)</f>
        <v>3.0302160525248006E-2</v>
      </c>
      <c r="BC79" s="183">
        <f>_xlfn.FORECAST.LINEAR(Sheet3!CG79,Sheet2!$AH$2:$AH$40,Sheet2!$AG$2:$AG$40)</f>
        <v>2.8595486143689019E-2</v>
      </c>
      <c r="BD79" s="186">
        <f>_xlfn.FORECAST.LINEAR(Sheet3!DF79,Sheet2!$AB$12:$AB$37,Sheet2!$AA$12:$AA$37)/1000</f>
        <v>3.3915606923988664E-2</v>
      </c>
      <c r="BE79" s="183">
        <f>_xlfn.FORECAST.LINEAR(Sheet3!BZ79,Sheet2!$AB$12:$AB$37,Sheet2!$AA$12:$AA$37)/1000</f>
        <v>3.3902760074324238E-2</v>
      </c>
      <c r="BF79" s="183">
        <f>_xlfn.FORECAST.LINEAR(Sheet3!CA79,Sheet2!$AB$12:$AB$37,Sheet2!$AA$12:$AA$37)/1000</f>
        <v>3.336250533087716E-2</v>
      </c>
      <c r="BG79" s="183">
        <f>_xlfn.FORECAST.LINEAR(Sheet3!CB79,Sheet2!$AB$12:$AB$37,Sheet2!$AA$12:$AA$37)/1000</f>
        <v>3.295131077973143E-2</v>
      </c>
      <c r="BH79" s="183">
        <f>_xlfn.FORECAST.LINEAR(Sheet3!CC79,Sheet2!$AB$12:$AB$37,Sheet2!$AA$12:$AA$37)/1000</f>
        <v>3.2481534345635971E-2</v>
      </c>
      <c r="BI79" s="183">
        <f>_xlfn.FORECAST.LINEAR(Sheet3!CD79,Sheet2!$AB$12:$AB$37,Sheet2!$AA$12:$AA$37)/1000</f>
        <v>3.2193447644084487E-2</v>
      </c>
      <c r="BJ79" s="183">
        <f>_xlfn.FORECAST.LINEAR(Sheet3!CE79,Sheet2!$AB$12:$AB$37,Sheet2!$AA$12:$AA$37)/1000</f>
        <v>3.1835886011770946E-2</v>
      </c>
      <c r="BK79" s="183">
        <f>_xlfn.FORECAST.LINEAR(Sheet3!CF79,Sheet2!$AB$12:$AB$37,Sheet2!$AA$12:$AA$37)/1000</f>
        <v>3.154563644005056E-2</v>
      </c>
      <c r="BL79" s="183">
        <f>_xlfn.FORECAST.LINEAR(Sheet3!CG79,Sheet2!$AB$12:$AB$37,Sheet2!$AA$12:$AA$37)/1000</f>
        <v>3.1164063551922985E-2</v>
      </c>
      <c r="BM79" s="186">
        <f t="shared" si="332"/>
        <v>0.79536423383554733</v>
      </c>
      <c r="BN79" s="183">
        <f t="shared" si="333"/>
        <v>0.7957975361706775</v>
      </c>
      <c r="BO79" s="183">
        <f t="shared" si="334"/>
        <v>0.81449187437348214</v>
      </c>
      <c r="BP79" s="183">
        <f t="shared" si="335"/>
        <v>0.82919331877468228</v>
      </c>
      <c r="BQ79" s="183">
        <f t="shared" si="336"/>
        <v>0.84685149816303051</v>
      </c>
      <c r="BR79" s="183">
        <f t="shared" si="337"/>
        <v>0.85793016351824447</v>
      </c>
      <c r="BS79" s="183">
        <f t="shared" si="338"/>
        <v>0.8723212654586191</v>
      </c>
      <c r="BT79" s="183">
        <f t="shared" si="339"/>
        <v>0.8841702096039713</v>
      </c>
      <c r="BU79" s="183">
        <f t="shared" si="340"/>
        <v>0.90046767462592869</v>
      </c>
      <c r="BV79" s="186">
        <f t="shared" si="341"/>
        <v>1.1136643643912241</v>
      </c>
      <c r="BW79" s="183">
        <f t="shared" si="342"/>
        <v>1.1135966202161871</v>
      </c>
      <c r="BX79" s="183">
        <f t="shared" si="343"/>
        <v>1.110520813483016</v>
      </c>
      <c r="BY79" s="183">
        <f t="shared" si="344"/>
        <v>1.1089349778537776</v>
      </c>
      <c r="BZ79" s="183">
        <f t="shared" si="345"/>
        <v>1.1059463922751034</v>
      </c>
      <c r="CA79" s="183">
        <f t="shared" si="346"/>
        <v>1.1048425885896722</v>
      </c>
      <c r="CB79" s="183">
        <f t="shared" si="347"/>
        <v>1.1021519507705464</v>
      </c>
      <c r="CC79" s="183">
        <f t="shared" si="348"/>
        <v>1.1010344274875623</v>
      </c>
      <c r="CD79" s="183">
        <f t="shared" si="349"/>
        <v>1.0983464717370945</v>
      </c>
      <c r="CE79" s="187">
        <f xml:space="preserve"> -0.0000000019505*Sheet3!DF79^3 + 0.0000015497*Sheet3!DF79^2  + 0.00016911*Sheet3!DF79 + 1.8585</f>
        <v>1.9096570494375</v>
      </c>
      <c r="CF79" s="185">
        <f xml:space="preserve"> -0.0000000019505*Sheet3!BZ79^3 + 0.0000015497*Sheet3!BZ79^2  + 0.00016911*Sheet3!BZ79 + 1.8585</f>
        <v>1.9095450569991612</v>
      </c>
      <c r="CG79" s="185">
        <f xml:space="preserve"> -0.0000000019505*Sheet3!CA79^3 + 0.0000015497*Sheet3!CA79^2  + 0.00016911*Sheet3!CA79 + 1.8585</f>
        <v>1.9049020838349691</v>
      </c>
      <c r="CH79" s="185">
        <f xml:space="preserve"> -0.0000000019505*Sheet3!CB79^3 + 0.0000015497*Sheet3!CB79^2  + 0.00016911*Sheet3!CB79 + 1.8585</f>
        <v>1.9014595974078408</v>
      </c>
      <c r="CI79" s="185">
        <f xml:space="preserve"> -0.0000000019505*Sheet3!CC79^3 + 0.0000015497*Sheet3!CC79^2  + 0.00016911*Sheet3!CC79 + 1.8585</f>
        <v>1.8976295427243124</v>
      </c>
      <c r="CJ79" s="185">
        <f xml:space="preserve"> -0.0000000019505*Sheet3!CD79^3 + 0.0000015497*Sheet3!CD79^2  + 0.00016911*Sheet3!CD79 + 1.8585</f>
        <v>1.8953377766522317</v>
      </c>
      <c r="CK79" s="185">
        <f xml:space="preserve"> -0.0000000019505*Sheet3!CE79^3 + 0.0000015497*Sheet3!CE79^2  + 0.00016911*Sheet3!CE79 + 1.8585</f>
        <v>1.8925563214491903</v>
      </c>
      <c r="CL79" s="185">
        <f xml:space="preserve"> -0.0000000019505*Sheet3!CF79^3 + 0.0000015497*Sheet3!CF79^2  + 0.00016911*Sheet3!CF79 + 1.8585</f>
        <v>1.8903516600350516</v>
      </c>
      <c r="CM79" s="185">
        <f xml:space="preserve"> -0.0000000019505*Sheet3!CG79^3 + 0.0000015497*Sheet3!CG79^2  + 0.00016911*Sheet3!CG79 + 1.8585</f>
        <v>1.8875286345713722</v>
      </c>
      <c r="CN79" s="186">
        <f>_xlfn.FORECAST.LINEAR(Sheet3!DF79,New!$LU$2:$LU$14,New!$LT$2:$LT$14)</f>
        <v>1.023844178140866</v>
      </c>
      <c r="CO79" s="183">
        <f>_xlfn.FORECAST.LINEAR(Sheet3!BZ79,New!$LU$2:$LU$14,New!$LT$2:$LT$14)</f>
        <v>1.0238018864199312</v>
      </c>
      <c r="CP79" s="183">
        <f>_xlfn.FORECAST.LINEAR(Sheet3!CA79,New!$LU$2:$LU$14,New!$LT$2:$LT$14)</f>
        <v>1.0220233723530345</v>
      </c>
      <c r="CQ79" s="183">
        <f>_xlfn.FORECAST.LINEAR(Sheet3!CB79,New!$LU$2:$LU$14,New!$LT$2:$LT$14)</f>
        <v>1.0206697233526061</v>
      </c>
      <c r="CR79" s="183">
        <f>_xlfn.FORECAST.LINEAR(Sheet3!CC79,New!$LU$2:$LU$14,New!$LT$2:$LT$14)</f>
        <v>1.0191232232867216</v>
      </c>
      <c r="CS79" s="183">
        <f>_xlfn.FORECAST.LINEAR(Sheet3!CD79,New!$LU$2:$LU$14,New!$LT$2:$LT$14)</f>
        <v>1.0181748442906835</v>
      </c>
      <c r="CT79" s="183">
        <f>_xlfn.FORECAST.LINEAR(Sheet3!CE79,New!$LU$2:$LU$14,New!$LT$2:$LT$14)</f>
        <v>1.0169977544075024</v>
      </c>
      <c r="CU79" s="183">
        <f>_xlfn.FORECAST.LINEAR(Sheet3!CF79,New!$LU$2:$LU$14,New!$LT$2:$LT$14)</f>
        <v>1.0160422552610779</v>
      </c>
      <c r="CV79" s="183">
        <f>_xlfn.FORECAST.LINEAR(Sheet3!CG79,New!$LU$2:$LU$14,New!$LT$2:$LT$14)</f>
        <v>1.0147861205259134</v>
      </c>
      <c r="CW79" s="186">
        <f>EXP((17.625*Sheet3!BA79)/(243.04+Sheet3!BA79)) / EXP((17.625*Sheet3!DF79)/(243.04+Sheet3!DF79))</f>
        <v>3.2001277387079183E-2</v>
      </c>
      <c r="CX79" s="183">
        <f>EXP((17.625*(Sheet3!BC79+273))/(243.04+(Sheet3!BC79+273)))/EXP((17.625*(Sheet3!BZ79+273))/(243.04+(Sheet3!BZ79+273)))</f>
        <v>0.35044591320527219</v>
      </c>
      <c r="CY79" s="183">
        <f>EXP((17.625*(Sheet3!BE79+273))/(243.04+(Sheet3!BE79+273))) / EXP((17.625*(Sheet3!CA79+273))/(243.04+(Sheet3!CA79+273)))</f>
        <v>0.38488202997194643</v>
      </c>
      <c r="CZ79" s="183">
        <f>EXP((17.625*(Sheet3!BG79+273))/(243.04+(Sheet3!BG79+273))) / EXP((17.625*(Sheet3!CB79+273))/(243.04+(Sheet3!CB79+273)))</f>
        <v>0.41323878555316262</v>
      </c>
      <c r="DA79" s="183">
        <f>EXP((17.625*(Sheet3!BI79+273))/(243.04+(Sheet3!BI79+273))) / EXP((17.625*(Sheet3!CC79+273))/(243.04+(Sheet3!CC79+273)))</f>
        <v>0.4485770920081858</v>
      </c>
      <c r="DB79" s="183">
        <f>EXP((17.625*(Sheet3!BK79+273))/(243.04+(Sheet3!BK79+273)))/EXP((17.625*(Sheet3!CD79+273))/(243.04+(Sheet3!CD79+273)))</f>
        <v>0.4734966376344602</v>
      </c>
      <c r="DC79" s="183">
        <f>EXP((17.625*(Sheet3!BM79+273))/(243.04+(Sheet3!BM79+273))) / EXP((17.625*(Sheet3!CE79+273))/(243.04+(Sheet3!CE79+273)))</f>
        <v>0.50447262877324506</v>
      </c>
      <c r="DD79" s="183">
        <f>EXP((17.625*(Sheet3!BO79+273))/(243.04+(Sheet3!BO79+273))) / EXP((17.625*(Sheet3!CF79+273))/(243.04+(Sheet3!CF79+273)))</f>
        <v>0.53375315645148547</v>
      </c>
      <c r="DE79" s="183">
        <f>EXP((17.625*(Sheet3!BQ79+273))/(243.04+(Sheet3!BQ79+273))) / EXP((17.625*(Sheet3!CG79+273))/(243.04+(Sheet3!CG79+273)))</f>
        <v>0.57295335211162102</v>
      </c>
      <c r="DF79" s="186">
        <f>((Sheet3!DA79-Sheet3!DB79)/New!$LQ$3)/(((Sheet3!DA79-Sheet3!DB79)/New!$LQ$3)+(Sheet3!DB79/New!$LP$3))</f>
        <v>0.84645578958241718</v>
      </c>
      <c r="DG79" s="183">
        <f>((Sheet3!DA79-Sheet3!DB79)/New!$LQ$3)/(((Sheet3!DA79-Sheet3!DB79)/New!$LQ$3)+((Sheet3!DB79-(Sheet3!B79*0.004))/New!$LP$3))</f>
        <v>0.84659922727609149</v>
      </c>
      <c r="DH79" s="183" cm="1">
        <f t="array" ref="DH79">((Sheet3!DA79-Sheet3!DB79)/New!$LQ$3)/(((Sheet3!DA79-Sheet3!DB79)/New!$LQ$3)+((Sheet3!DB79-(SUM(Sheet3!B79:C79*0.004)))/New!$LP$3))</f>
        <v>0.85456386873349088</v>
      </c>
      <c r="DI79" s="183" cm="1">
        <f t="array" ref="DI79">((Sheet3!DA79-Sheet3!DB79)/New!$LQ$3)/(((Sheet3!DA79-Sheet3!DB79)/New!$LQ$3)+((Sheet3!DB79-(SUM(Sheet3!B79:D79*0.004)))/New!$LP$3))</f>
        <v>0.85474662533802226</v>
      </c>
      <c r="DJ79" s="183" cm="1">
        <f t="array" ref="DJ79">((Sheet3!DA79-Sheet3!DB79)/New!$LQ$3)/(((Sheet3!DA79-Sheet3!DB79)/New!$LQ$3)+((Sheet3!DB79-(SUM(Sheet3!B79:E79*0.004)))/New!$LP$3))</f>
        <v>0.86462067775939144</v>
      </c>
      <c r="DK79" s="183" cm="1">
        <f t="array" ref="DK79">((Sheet3!DA79-Sheet3!DB79)/New!$LQ$3)/(((Sheet3!DA79-Sheet3!DB79)/New!$LQ$3)+((Sheet3!DB79-(SUM(Sheet3!B79:F79*0.004)))/New!$LP$3))</f>
        <v>0.86480776163385364</v>
      </c>
      <c r="DL79" s="183" cm="1">
        <f t="array" ref="DL79">((Sheet3!DA79-Sheet3!DB79)/New!$LQ$3)/(((Sheet3!DA79-Sheet3!DB79)/New!$LQ$3)+((Sheet3!DB79-(SUM(Sheet3!B79:G79*0.004)))/New!$LP$3))</f>
        <v>0.87618290194098047</v>
      </c>
      <c r="DM79" s="183" cm="1">
        <f t="array" ref="DM79">((Sheet3!DA79-Sheet3!DB79)/New!$LQ$3)/(((Sheet3!DA79-Sheet3!DB79)/New!$LQ$3)+((Sheet3!DB79-(SUM(Sheet3!B79:H79*0.004)))/New!$LP$3))</f>
        <v>0.87652878127900036</v>
      </c>
      <c r="DN79" s="183" cm="1">
        <f t="array" ref="DN79">((Sheet3!DA79-Sheet3!DB79)/New!$LQ$3)/(((Sheet3!DA79-Sheet3!DB79)/New!$LQ$3)+((Sheet3!DB79-(SUM(Sheet3!B79:I79*0.004)))/New!$LP$3))</f>
        <v>0.88762465621680531</v>
      </c>
      <c r="DO79" s="186">
        <f>(Sheet3!DB79/$LP$3) / ((Sheet3!DB79/$LP$3) + ((Sheet3!DA79-Sheet3!DB79)/$LQ$3))</f>
        <v>0.15354421041758268</v>
      </c>
      <c r="DP79" s="183">
        <f>((Sheet3!$DB79-(Sheet3!B79/4000)) / $LP$3) / (((Sheet3!$DA79-Sheet3!DB79) / $LQ$3) + (Sheet3!$DB79-((Sheet3!B79/4000)))/$LP$3)</f>
        <v>0.15353524698571044</v>
      </c>
      <c r="DQ79" s="183">
        <f>((Sheet3!$DB79-(SUM(Sheet3!B79:C79)/4000))/$LP$3)/(((Sheet3!$DA79-Sheet3!$DB79)/$LQ$3)+(Sheet3!$DB79-(SUM(Sheet3!B79:C79)/4000))/$LP$3)</f>
        <v>0.1530419657177676</v>
      </c>
      <c r="DR79" s="183">
        <f>((Sheet3!$DB79-(SUM(Sheet3!B79:D79)/4000))/$LP$3)/(((Sheet3!$DA79-Sheet3!$DB79)/$LQ$3)+(Sheet3!$DB79-(SUM(Sheet3!B79:D79)/4000))/$LP$3)</f>
        <v>0.15303074809806275</v>
      </c>
      <c r="DS79" s="183">
        <f>((Sheet3!$DB79-(SUM(Sheet3!B79:E79)/4000))/$LP$3)/(((Sheet3!$DA79-Sheet3!$DB79)/$LQ$3)+(Sheet3!$DB79-(SUM(Sheet3!B79:E79)/4000))/$LP$3)</f>
        <v>0.15243129530208963</v>
      </c>
      <c r="DT79" s="183">
        <f>((Sheet3!$DB79-(SUM(Sheet3!B79:F79)/4000))/$LP$3)/(((Sheet3!$DA79-Sheet3!$DB79)/$LQ$3)+(Sheet3!$DB79-(SUM(Sheet3!B79:F79)/4000))/$LP$3)</f>
        <v>0.15242006150027609</v>
      </c>
      <c r="DU79" s="183">
        <f>((Sheet3!$DB79-(SUM(Sheet3!B79:G79)/4000))/$LP$3)/(((Sheet3!$DA79-Sheet3!$DB79)/$LQ$3)+(Sheet3!$DB79-(SUM(Sheet3!B79:G79)/4000))/$LP$3)</f>
        <v>0.15174548800393878</v>
      </c>
      <c r="DV79" s="183">
        <f>((Sheet3!$DB79-(SUM(Sheet3!B79:H79)/4000))/$LP$3)/(((Sheet3!$DA79-Sheet3!$DB79)/$LQ$3)+(Sheet3!$DB79-(SUM(Sheet3!B79:H79)/4000))/$LP$3)</f>
        <v>0.15172523420903558</v>
      </c>
      <c r="DW79" s="183">
        <f>((Sheet3!$DB79-(SUM(Sheet3!B79:I79)/4000))/$LP$3)/(((Sheet3!$DA79-Sheet3!$DB79)/$LQ$3)+(Sheet3!$DB79-(SUM(Sheet3!B79:I79)/4000))/$LP$3)</f>
        <v>0.15108336340083647</v>
      </c>
      <c r="DX79" s="186">
        <f>($LR$2*($LP$3/1000))/($LP$2*(Sheet3!DF79+273))*DO79</f>
        <v>8.0648820913394648E-2</v>
      </c>
      <c r="DY79" s="183">
        <f>(($LR$2*($LP$3/1000))/($LP$2*(Sheet3!BZ79+273)))*(DP79)</f>
        <v>8.0687756396468885E-2</v>
      </c>
      <c r="DZ79" s="183">
        <f>(($LR$2*($LP$3/1000))/($LP$2*(Sheet3!CA79+273)))*(DQ79)</f>
        <v>8.2301605058278604E-2</v>
      </c>
      <c r="EA79" s="183">
        <f>(($LR$2*($LP$3/1000))/($LP$2*(Sheet3!CB79+273)))*(DR79)</f>
        <v>8.3780617098335119E-2</v>
      </c>
      <c r="EB79" s="183">
        <f>(($LR$2*($LP$3/1000))/($LP$2*(Sheet3!CC79+273)))*(DS79)</f>
        <v>8.5209112360310521E-2</v>
      </c>
      <c r="EC79" s="183">
        <f>(($LR$2*($LP$3/1000))/($LP$2*(Sheet3!CD79+273)))*(DT79)</f>
        <v>8.6317082745788781E-2</v>
      </c>
      <c r="ED79" s="183">
        <f>(($LR$2*($LP$3/1000))/($LP$2*(Sheet3!CE79+273)))*(DU79)</f>
        <v>8.7352926148273294E-2</v>
      </c>
      <c r="EE79" s="183">
        <f>(($LR$2*($LP$3/1000))/($LP$2*(Sheet3!CF79+273)))*(DV79)</f>
        <v>8.8526924993874392E-2</v>
      </c>
      <c r="EF79" s="183">
        <f>(($LR$2*($LP$3/1000))/($LP$2*(Sheet3!CG79+273)))*(DW79)</f>
        <v>8.9754185065095707E-2</v>
      </c>
      <c r="EG79" s="186">
        <f>(($LR$2*($LQ$3/1000))/($LQ$2*(Sheet3!DF79+273)))*(1-DO79)</f>
        <v>0.71471541292215268</v>
      </c>
      <c r="EH79" s="183">
        <f>(($LR$2*($LQ$3/1000))/($LQ$2*(Sheet3!BZ79+273)))*(1-DP79)</f>
        <v>0.71510977977420864</v>
      </c>
      <c r="EI79" s="183">
        <f>(($LR$2*($LQ$3/1000))/($LQ$2*(Sheet3!CA79+273)))*(1-DQ79)</f>
        <v>0.73219026931520359</v>
      </c>
      <c r="EJ79" s="183">
        <f>(($LR$2*($LQ$3/1000))/($LQ$2*(Sheet3!CB79+273)))*(1-DR79)</f>
        <v>0.74541270167634721</v>
      </c>
      <c r="EK79" s="183">
        <f>(($LR$2*($LQ$3/1000))/($LQ$2*(Sheet3!CC79+273)))*(1-DS79)</f>
        <v>0.76164238580272003</v>
      </c>
      <c r="EL79" s="183">
        <f>(($LR$2*($LQ$3/1000))/($LQ$2*(Sheet3!CD79+273)))*(1-DT79)</f>
        <v>0.77161308077245572</v>
      </c>
      <c r="EM79" s="183">
        <f>(($LR$2*($LQ$3/1000))/($LQ$2*(Sheet3!CE79+273)))*(1-DU79)</f>
        <v>0.78496833931034582</v>
      </c>
      <c r="EN79" s="183">
        <f>(($LR$2*($LQ$3/1000))/($LQ$2*(Sheet3!CF79+273)))*(1-DV79)</f>
        <v>0.79564328461009692</v>
      </c>
      <c r="EO79" s="183">
        <f>(($LR$2*($LQ$3/1000))/($LQ$2*(Sheet3!CG79+273)))*(1-DW79)</f>
        <v>0.810713489560833</v>
      </c>
      <c r="EP79" s="186">
        <f t="shared" si="350"/>
        <v>2963.8912009451919</v>
      </c>
      <c r="EQ79" s="183">
        <f xml:space="preserve"> (($FV79-(Sheet3!B79/4000))*0.018)/(0.011*JO79*3600)</f>
        <v>2965.1089214555386</v>
      </c>
      <c r="ER79" s="183">
        <f>((($FV79-(SUM(Sheet3!B79:C79)/4000))*0.018)/(0.011*JP79*3600))</f>
        <v>3016.8439551987281</v>
      </c>
      <c r="ES79" s="183">
        <f>((($FV79-(SUM(Sheet3!B79:D79)/4000))*0.018)/(0.011*JQ79*3600))</f>
        <v>3058.8571471967507</v>
      </c>
      <c r="ET79" s="183">
        <f>((($FV79-(SUM(Sheet3!B79:E79)/4000))*0.018)/(0.011*JR79))/3600</f>
        <v>3106.095475097447</v>
      </c>
      <c r="EU79" s="183">
        <f>((($FV79-(SUM(Sheet3!B79:F79)/4000))*0.018)/(0.011*JS79))/3600</f>
        <v>3137.2064421471614</v>
      </c>
      <c r="EV79" s="183">
        <f>((($FV79-(SUM(Sheet3!B79:G79)/4000))*0.018)/(0.011*JT79))/3600</f>
        <v>3174.1196392190668</v>
      </c>
      <c r="EW79" s="183">
        <f>((($FV79-(SUM(Sheet3!B79:H79)/4000))*0.018)/(0.011*JU79))/3600</f>
        <v>3206.8694435086391</v>
      </c>
      <c r="EX79" s="183">
        <f>((($FV79-(SUM(Sheet3!B79:I79)/4000))*0.018)/(0.011*JV79))/3600</f>
        <v>3248.4961152047877</v>
      </c>
      <c r="EY79" s="186">
        <f t="shared" si="351"/>
        <v>36.470776169874924</v>
      </c>
      <c r="EZ79" s="183">
        <f t="shared" si="352"/>
        <v>36.481402125654164</v>
      </c>
      <c r="FA79" s="183">
        <f t="shared" si="353"/>
        <v>36.931599376822582</v>
      </c>
      <c r="FB79" s="183">
        <f t="shared" si="354"/>
        <v>37.302309446420132</v>
      </c>
      <c r="FC79" s="183">
        <f t="shared" si="355"/>
        <v>37.71198220555582</v>
      </c>
      <c r="FD79" s="183">
        <f t="shared" si="356"/>
        <v>37.987032277865296</v>
      </c>
      <c r="FE79" s="183">
        <f t="shared" si="357"/>
        <v>38.304649562174276</v>
      </c>
      <c r="FF79" s="183">
        <f t="shared" si="358"/>
        <v>38.594602871918575</v>
      </c>
      <c r="FG79" s="183">
        <f t="shared" si="359"/>
        <v>38.954728986031647</v>
      </c>
      <c r="FH79" s="186">
        <f t="shared" si="274"/>
        <v>71.114088241550022</v>
      </c>
      <c r="FI79" s="183">
        <f t="shared" si="275"/>
        <v>71.094346952389145</v>
      </c>
      <c r="FJ79" s="183">
        <f t="shared" si="276"/>
        <v>70.247592353192388</v>
      </c>
      <c r="FK79" s="183">
        <f t="shared" si="277"/>
        <v>69.630656470010351</v>
      </c>
      <c r="FL79" s="183">
        <f t="shared" si="278"/>
        <v>68.862724422122568</v>
      </c>
      <c r="FM79" s="183">
        <f t="shared" si="279"/>
        <v>68.419875256547286</v>
      </c>
      <c r="FN79" s="183">
        <f t="shared" si="280"/>
        <v>67.807351691380319</v>
      </c>
      <c r="FO79" s="183">
        <f t="shared" si="281"/>
        <v>67.351998304671582</v>
      </c>
      <c r="FP79" s="183">
        <f t="shared" si="282"/>
        <v>66.696360783804465</v>
      </c>
      <c r="FQ79" s="314">
        <f>Sheet3!CV79</f>
        <v>1</v>
      </c>
      <c r="FR79" s="183">
        <v>3000</v>
      </c>
      <c r="FS79" s="183">
        <v>10</v>
      </c>
      <c r="FT79" s="183">
        <v>7.2596685082872939E-2</v>
      </c>
      <c r="FU79" s="183">
        <v>30.04</v>
      </c>
      <c r="FV79" s="183">
        <v>143</v>
      </c>
      <c r="FW79" s="183">
        <v>14.5</v>
      </c>
      <c r="FX79" s="183">
        <v>144</v>
      </c>
      <c r="FY79" s="183">
        <v>7.89</v>
      </c>
      <c r="FZ79" s="183">
        <v>29.93</v>
      </c>
      <c r="GA79" s="183">
        <v>145</v>
      </c>
      <c r="GB79" s="186">
        <f>EXP($LP$6-($LQ$6/('Trial and Error method'!T79+$LP$8))) / ($LR$2/1000)</f>
        <v>6.1523827948955979E-2</v>
      </c>
      <c r="GC79" s="183">
        <f>EXP($LP$6-($LQ$6/('Trial and Error method'!U79+$LP$8))) / ($LR$2/1000)</f>
        <v>0.15257119752585277</v>
      </c>
      <c r="GD79" s="183">
        <f>EXP($LP$6-($LQ$6/('Trial and Error method'!V79+$LP$8))) / ($LR$2/1000)</f>
        <v>0.13494690375710583</v>
      </c>
      <c r="GE79" s="183">
        <f>EXP($LP$6-($LQ$6/('Trial and Error method'!W79+$LP$8))) / ($LR$2/1000)</f>
        <v>0.12239601649702564</v>
      </c>
      <c r="GF79" s="183">
        <f>EXP($LP$6-($LQ$6/('Trial and Error method'!X79+$LP$8))) / ($LR$2/1000)</f>
        <v>0.10987876962210558</v>
      </c>
      <c r="GG79" s="183">
        <f>EXP($LP$6-($LQ$6/('Trial and Error method'!Y79+$LP$8))) / ($LR$2/1000)</f>
        <v>0.10116295642464328</v>
      </c>
      <c r="GH79" s="183">
        <f>EXP($LP$6-($LQ$6/('Trial and Error method'!Z79+$LP$8))) / ($LR$2/1000)</f>
        <v>9.1623531799608637E-2</v>
      </c>
      <c r="GI79" s="183">
        <f>EXP($LP$6-($LQ$6/('Trial and Error method'!AA79+$LP$8))) / ($LR$2/1000)</f>
        <v>8.3743104592480744E-2</v>
      </c>
      <c r="GJ79" s="183">
        <f>EXP($LP$6-($LQ$6/('Trial and Error method'!AB79+$LP$8))) / ($LR$2/1000)</f>
        <v>7.4491131984615738E-2</v>
      </c>
      <c r="GK79" s="188">
        <f t="shared" si="411"/>
        <v>0.89167474984683548</v>
      </c>
      <c r="GL79" s="165">
        <f t="shared" si="360"/>
        <v>0.84694668629898384</v>
      </c>
      <c r="GM79" s="165">
        <f t="shared" si="361"/>
        <v>0.85597368842325738</v>
      </c>
      <c r="GN79" s="165">
        <f t="shared" si="362"/>
        <v>0.86219591257958716</v>
      </c>
      <c r="GO79" s="165">
        <f t="shared" si="363"/>
        <v>0.8686712688199012</v>
      </c>
      <c r="GP79" s="165">
        <f t="shared" si="364"/>
        <v>0.87295770188498256</v>
      </c>
      <c r="GQ79" s="165">
        <f t="shared" si="365"/>
        <v>0.87797243005204806</v>
      </c>
      <c r="GR79" s="165">
        <f t="shared" si="366"/>
        <v>0.88182913297675325</v>
      </c>
      <c r="GS79" s="165">
        <f t="shared" si="367"/>
        <v>0.88666146707588367</v>
      </c>
      <c r="GT79" s="188">
        <f t="shared" si="283"/>
        <v>4.7884727138184126E-2</v>
      </c>
      <c r="GU79" s="165">
        <f t="shared" si="284"/>
        <v>5.0409725596443723E-2</v>
      </c>
      <c r="GV79" s="165">
        <f t="shared" si="285"/>
        <v>4.9858059159722683E-2</v>
      </c>
      <c r="GW79" s="165">
        <f t="shared" si="286"/>
        <v>4.9495015597937765E-2</v>
      </c>
      <c r="GX79" s="165">
        <f t="shared" si="287"/>
        <v>4.9116732846341854E-2</v>
      </c>
      <c r="GY79" s="165">
        <f t="shared" si="288"/>
        <v>4.8879776049495824E-2</v>
      </c>
      <c r="GZ79" s="165">
        <f t="shared" si="289"/>
        <v>4.8596580795287288E-2</v>
      </c>
      <c r="HA79" s="165">
        <f t="shared" si="290"/>
        <v>4.8393797658040277E-2</v>
      </c>
      <c r="HB79" s="165">
        <f t="shared" si="291"/>
        <v>4.8129904418936859E-2</v>
      </c>
      <c r="HC79" s="188">
        <f>BV79*Sheet3!DF79</f>
        <v>161.48133283672749</v>
      </c>
      <c r="HD79" s="165">
        <f>BW79*Sheet3!BZ79</f>
        <v>161.21973283930495</v>
      </c>
      <c r="HE79" s="165">
        <f>BX79*Sheet3!CA79</f>
        <v>150.21557806474732</v>
      </c>
      <c r="HF79" s="165">
        <f>BY79*Sheet3!CB79</f>
        <v>141.97606751418775</v>
      </c>
      <c r="HG79" s="165">
        <f>BZ79*Sheet3!CC79</f>
        <v>132.4498465024017</v>
      </c>
      <c r="HH79" s="165">
        <f>CA79*Sheet3!CD79</f>
        <v>126.71601210433306</v>
      </c>
      <c r="HI79" s="165">
        <f>CB79*Sheet3!CE79</f>
        <v>119.47181869377204</v>
      </c>
      <c r="HJ79" s="165">
        <f>CC79*Sheet3!CF79</f>
        <v>113.72643664501919</v>
      </c>
      <c r="HK79" s="165">
        <f>CD79*Sheet3!CG79</f>
        <v>106.07300638273725</v>
      </c>
      <c r="HL79" s="188">
        <f>(CE79*Sheet3!DF79)+2501</f>
        <v>2777.9002721684374</v>
      </c>
      <c r="HM79" s="165">
        <f>(CF79*Sheet3!BZ79)+2501</f>
        <v>2777.452297308746</v>
      </c>
      <c r="HN79" s="165">
        <f>(CG79*Sheet3!CA79)+2501</f>
        <v>2758.6682617793977</v>
      </c>
      <c r="HO79" s="165">
        <f>(CH79*Sheet3!CB79)+2501</f>
        <v>2744.4423672878975</v>
      </c>
      <c r="HP79" s="165">
        <f>(CI79*Sheet3!CC79)+2501</f>
        <v>2728.2630422304746</v>
      </c>
      <c r="HQ79" s="165">
        <f>(CJ79*Sheet3!CD79)+2501</f>
        <v>2718.3790611698264</v>
      </c>
      <c r="HR79" s="165">
        <f>(CK79*Sheet3!CE79)+2501</f>
        <v>2706.1506106266488</v>
      </c>
      <c r="HS79" s="165">
        <f>(CL79*Sheet3!CF79)+2501</f>
        <v>2696.2554370096768</v>
      </c>
      <c r="HT79" s="165">
        <f>(CM79*Sheet3!CG79)+2501</f>
        <v>2683.2884144980558</v>
      </c>
      <c r="HU79" s="188">
        <f>-0.0021*(Sheet3!DF79^2) - 2.2115*(Sheet3!DF79) + 2499</f>
        <v>2134.1799999999998</v>
      </c>
      <c r="HV79" s="165">
        <f>-0.0021*(Sheet3!BZ79^2) - 2.2115*(Sheet3!BZ79) + 2499</f>
        <v>2134.8175897091523</v>
      </c>
      <c r="HW79" s="165">
        <f>-0.0021*(Sheet3!CA79^2) - 2.2115*(Sheet3!CA79) + 2499</f>
        <v>2161.4360965309388</v>
      </c>
      <c r="HX79" s="165">
        <f>-0.0021*(Sheet3!CB79^2) - 2.2115*(Sheet3!CB79) + 2499</f>
        <v>2181.4413010675048</v>
      </c>
      <c r="HY79" s="165">
        <f>-0.0021*(Sheet3!CC79^2) - 2.2115*(Sheet3!CC79) + 2499</f>
        <v>2204.0274103572333</v>
      </c>
      <c r="HZ79" s="165">
        <f>-0.0021*(Sheet3!CD79^2) - 2.2115*(Sheet3!CD79) + 2499</f>
        <v>2217.7361549033867</v>
      </c>
      <c r="IA79" s="165">
        <f>-0.0021*(Sheet3!CE79^2) - 2.2115*(Sheet3!CE79) + 2499</f>
        <v>2234.600739135371</v>
      </c>
      <c r="IB79" s="165">
        <f>-0.0021*(Sheet3!CF79^2) - 2.2115*(Sheet3!CF79) + 2499</f>
        <v>2248.1682153568217</v>
      </c>
      <c r="IC79" s="165">
        <f>-0.0021*(Sheet3!CG79^2) - 2.2115*(Sheet3!CG79) + 2499</f>
        <v>2265.8377864615863</v>
      </c>
      <c r="ID79" s="188">
        <f t="shared" si="292"/>
        <v>0.69586064768391054</v>
      </c>
      <c r="IE79" s="165">
        <f t="shared" si="293"/>
        <v>0.69592352798470924</v>
      </c>
      <c r="IF79" s="165">
        <f t="shared" si="294"/>
        <v>0.69857215738401435</v>
      </c>
      <c r="IG79" s="165">
        <f t="shared" si="295"/>
        <v>0.70105011478054058</v>
      </c>
      <c r="IH79" s="165">
        <f t="shared" si="296"/>
        <v>0.70352337542570853</v>
      </c>
      <c r="II79" s="165">
        <f t="shared" si="297"/>
        <v>0.70545723832153751</v>
      </c>
      <c r="IJ79" s="165">
        <f t="shared" si="298"/>
        <v>0.70733500852076148</v>
      </c>
      <c r="IK79" s="165">
        <f t="shared" si="299"/>
        <v>0.70944891446201253</v>
      </c>
      <c r="IL79" s="165">
        <f t="shared" si="300"/>
        <v>0.71174385516116523</v>
      </c>
      <c r="IM79" s="188">
        <f t="shared" si="301"/>
        <v>9.4039886594447282</v>
      </c>
      <c r="IN79" s="165">
        <f t="shared" si="368"/>
        <v>0.10374673106617568</v>
      </c>
      <c r="IO79" s="165">
        <f t="shared" si="369"/>
        <v>1.9500145108988778</v>
      </c>
      <c r="IP79" s="165">
        <f t="shared" si="370"/>
        <v>3.3076464067333293</v>
      </c>
      <c r="IQ79" s="165">
        <f t="shared" si="371"/>
        <v>4.6065077315883967</v>
      </c>
      <c r="IR79" s="165">
        <f t="shared" si="372"/>
        <v>5.5563955952448545</v>
      </c>
      <c r="IS79" s="165">
        <f t="shared" si="373"/>
        <v>6.5288810284855083</v>
      </c>
      <c r="IT79" s="165">
        <f t="shared" si="374"/>
        <v>7.3962787934196506</v>
      </c>
      <c r="IU79" s="165">
        <f t="shared" si="375"/>
        <v>8.3527317971313035</v>
      </c>
      <c r="IV79" s="188">
        <f>_xlfn.FORECAST.LINEAR(Sheet3!DF79,Sheet2!$AK$2:$AK$69,Sheet2!$AJ$2:$AJ$69)</f>
        <v>1.386217343669711E-5</v>
      </c>
      <c r="IW79" s="165">
        <f>_xlfn.FORECAST.LINEAR(Sheet3!BZ79,Sheet2!$AK$2:$AK$69,Sheet2!$AJ$2:$AJ$69)</f>
        <v>1.3854257376375447E-5</v>
      </c>
      <c r="IX79" s="165">
        <f>_xlfn.FORECAST.LINEAR(Sheet3!CA79,Sheet2!$AK$2:$AK$69,Sheet2!$AJ$2:$AJ$69)</f>
        <v>1.3521359487017013E-5</v>
      </c>
      <c r="IY79" s="165">
        <f>_xlfn.FORECAST.LINEAR(Sheet3!CB79,Sheet2!$AK$2:$AK$69,Sheet2!$AJ$2:$AJ$69)</f>
        <v>1.32679867959811E-5</v>
      </c>
      <c r="IZ79" s="165">
        <f>_xlfn.FORECAST.LINEAR(Sheet3!CC79,Sheet2!$AK$2:$AK$69,Sheet2!$AJ$2:$AJ$69)</f>
        <v>1.2978516716768311E-5</v>
      </c>
      <c r="JA79" s="165">
        <f>_xlfn.FORECAST.LINEAR(Sheet3!CD79,Sheet2!$AK$2:$AK$69,Sheet2!$AJ$2:$AJ$69)</f>
        <v>1.2801001468522988E-5</v>
      </c>
      <c r="JB79" s="165">
        <f>_xlfn.FORECAST.LINEAR(Sheet3!CE79,Sheet2!$AK$2:$AK$69,Sheet2!$AJ$2:$AJ$69)</f>
        <v>1.2580676678863101E-5</v>
      </c>
      <c r="JC79" s="165">
        <f>_xlfn.FORECAST.LINEAR(Sheet3!CF79,Sheet2!$AK$2:$AK$69,Sheet2!$AJ$2:$AJ$69)</f>
        <v>1.2401828698378186E-5</v>
      </c>
      <c r="JD79" s="165">
        <f>_xlfn.FORECAST.LINEAR(Sheet3!CG79,Sheet2!$AK$2:$AK$69,Sheet2!$AJ$2:$AJ$69)</f>
        <v>1.2166708487709431E-5</v>
      </c>
      <c r="JE79" s="188">
        <f>_xlfn.FORECAST.LINEAR(Sheet3!DF79,New!$MC$2:$MC$18,New!$MB$2:$MB$18)</f>
        <v>2.337798370672098E-5</v>
      </c>
      <c r="JF79" s="165">
        <f>_xlfn.FORECAST.LINEAR(Sheet3!BZ79,New!$MC$2:$MC$18,New!$MB$2:$MB$18)</f>
        <v>2.3368678186745105E-5</v>
      </c>
      <c r="JG79" s="165">
        <f>_xlfn.FORECAST.LINEAR(Sheet3!CA79,New!$MC$2:$MC$18,New!$MB$2:$MB$18)</f>
        <v>2.2977348682739912E-5</v>
      </c>
      <c r="JH79" s="165">
        <f>_xlfn.FORECAST.LINEAR(Sheet3!CB79,New!$MC$2:$MC$18,New!$MB$2:$MB$18)</f>
        <v>2.2679502968840579E-5</v>
      </c>
      <c r="JI79" s="165">
        <f>_xlfn.FORECAST.LINEAR(Sheet3!CC79,New!$MC$2:$MC$18,New!$MB$2:$MB$18)</f>
        <v>2.2339223903866646E-5</v>
      </c>
      <c r="JJ79" s="165">
        <f>_xlfn.FORECAST.LINEAR(Sheet3!CD79,New!$MC$2:$MC$18,New!$MB$2:$MB$18)</f>
        <v>2.2130550444917782E-5</v>
      </c>
      <c r="JK79" s="165">
        <f>_xlfn.FORECAST.LINEAR(Sheet3!CE79,New!$MC$2:$MC$18,New!$MB$2:$MB$18)</f>
        <v>2.1871553336754025E-5</v>
      </c>
      <c r="JL79" s="165">
        <f>_xlfn.FORECAST.LINEAR(Sheet3!CF79,New!$MC$2:$MC$18,New!$MB$2:$MB$18)</f>
        <v>2.1661313218889733E-5</v>
      </c>
      <c r="JM79" s="165">
        <f>_xlfn.FORECAST.LINEAR(Sheet3!CG79,New!$MC$2:$MC$18,New!$MB$2:$MB$18)</f>
        <v>2.1384923736217069E-5</v>
      </c>
      <c r="JN79" s="188">
        <f t="shared" si="376"/>
        <v>2.1930629565373837E-5</v>
      </c>
      <c r="JO79" s="165">
        <f t="shared" si="377"/>
        <v>2.1921469725516153E-5</v>
      </c>
      <c r="JP79" s="165">
        <f t="shared" si="378"/>
        <v>2.153725761737829E-5</v>
      </c>
      <c r="JQ79" s="165">
        <f t="shared" si="379"/>
        <v>2.1241259119364829E-5</v>
      </c>
      <c r="JR79" s="165">
        <f t="shared" si="380"/>
        <v>2.0908448205893898E-5</v>
      </c>
      <c r="JS79" s="165">
        <f t="shared" si="381"/>
        <v>2.0700922741115489E-5</v>
      </c>
      <c r="JT79" s="165">
        <f t="shared" si="382"/>
        <v>2.0449442570065478E-5</v>
      </c>
      <c r="JU79" s="165">
        <f t="shared" si="383"/>
        <v>2.0240285951410197E-5</v>
      </c>
      <c r="JV79" s="165">
        <f t="shared" si="384"/>
        <v>1.9970954522052236E-5</v>
      </c>
      <c r="JW79" s="188">
        <f t="shared" si="302"/>
        <v>1.0152024173422087</v>
      </c>
      <c r="JX79" s="165">
        <f t="shared" si="385"/>
        <v>1.015296541087914</v>
      </c>
      <c r="JY79" s="165">
        <f t="shared" si="386"/>
        <v>1.0193509579388493</v>
      </c>
      <c r="JZ79" s="165">
        <f t="shared" si="387"/>
        <v>1.0225682169626491</v>
      </c>
      <c r="KA79" s="165">
        <f t="shared" si="388"/>
        <v>1.0263918972642383</v>
      </c>
      <c r="KB79" s="165">
        <f t="shared" si="389"/>
        <v>1.0288191033993535</v>
      </c>
      <c r="KC79" s="165">
        <f t="shared" si="390"/>
        <v>1.0319233463939077</v>
      </c>
      <c r="KD79" s="165">
        <f t="shared" si="391"/>
        <v>1.0345212444160845</v>
      </c>
      <c r="KE79" s="165">
        <f t="shared" si="392"/>
        <v>1.0380482937414104</v>
      </c>
      <c r="KF79" s="188">
        <f t="shared" si="393"/>
        <v>0.9677010468805306</v>
      </c>
      <c r="KG79" s="165">
        <f t="shared" si="394"/>
        <v>0.96762326389640074</v>
      </c>
      <c r="KH79" s="165">
        <f t="shared" si="395"/>
        <v>0.96429179418583688</v>
      </c>
      <c r="KI79" s="165">
        <f t="shared" si="396"/>
        <v>0.96167445315166733</v>
      </c>
      <c r="KJ79" s="165">
        <f t="shared" si="397"/>
        <v>0.95859351310959395</v>
      </c>
      <c r="KK79" s="165">
        <f t="shared" si="398"/>
        <v>0.95665433125692267</v>
      </c>
      <c r="KL79" s="165">
        <f t="shared" si="399"/>
        <v>0.95419272765486984</v>
      </c>
      <c r="KM79" s="165">
        <f t="shared" si="400"/>
        <v>0.95214841917958315</v>
      </c>
      <c r="KN79" s="165">
        <f t="shared" si="401"/>
        <v>0.94939567019710747</v>
      </c>
      <c r="KO79" s="188">
        <f t="shared" si="304"/>
        <v>0.6244139495066533</v>
      </c>
      <c r="KP79" s="165">
        <f t="shared" si="305"/>
        <v>0.62433864966705266</v>
      </c>
      <c r="KQ79" s="165">
        <f t="shared" si="306"/>
        <v>0.61848371942023139</v>
      </c>
      <c r="KR79" s="165">
        <f t="shared" si="307"/>
        <v>0.61389359436614099</v>
      </c>
      <c r="KS79" s="165">
        <f t="shared" si="308"/>
        <v>0.60852705253891248</v>
      </c>
      <c r="KT79" s="165">
        <f t="shared" si="309"/>
        <v>0.60515057681695428</v>
      </c>
      <c r="KU79" s="165">
        <f t="shared" si="310"/>
        <v>0.60089942984367051</v>
      </c>
      <c r="KV79" s="165">
        <f t="shared" si="311"/>
        <v>0.59736235688034611</v>
      </c>
      <c r="KW79" s="165">
        <f t="shared" si="312"/>
        <v>0.59273722962143083</v>
      </c>
      <c r="KX79" s="188">
        <f>AVERAGE(Sheet3!J79:P79)*KO79^(1/3)/ID79^(1/3)</f>
        <v>64.693401500490964</v>
      </c>
      <c r="KY79" s="165">
        <f>Sheet3!J79*KP79^(1/3)/IE79^(1/3)</f>
        <v>65.220807179250812</v>
      </c>
      <c r="KZ79" s="165">
        <f>Sheet3!K79*KQ79^(1/3)/IF79^(1/3)</f>
        <v>59.675179790920204</v>
      </c>
      <c r="LA79" s="165">
        <f>Sheet3!L79*KR79^(1/3)/IG79^(1/3)</f>
        <v>57.73815384514775</v>
      </c>
      <c r="LB79" s="165">
        <f>Sheet3!M79*KS79^(1/3)/IH79^(1/3)</f>
        <v>58.108344699972093</v>
      </c>
      <c r="LC79" s="165">
        <f>Sheet3!N79*KT79^(1/3)/II79^(1/3)</f>
        <v>61.47930659230969</v>
      </c>
      <c r="LD79" s="165">
        <f>Sheet3!O79*KU79^(1/3)/IJ79^(1/3)</f>
        <v>67.818108524493113</v>
      </c>
      <c r="LE79" s="165">
        <f>Sheet3!P79*KV79^(1/3)/IK79^(1/3)</f>
        <v>77.513658980309586</v>
      </c>
      <c r="LF79" s="165">
        <f>Sheet3!Q79*KW79^(1/3)/IL79^(1/3)</f>
        <v>87.888092269367675</v>
      </c>
      <c r="LG79" s="186">
        <f t="shared" si="402"/>
        <v>27.279458616979554</v>
      </c>
      <c r="LH79" s="183">
        <f t="shared" si="403"/>
        <v>27.283451096363187</v>
      </c>
      <c r="LI79" s="183">
        <f t="shared" si="404"/>
        <v>27.50522065092748</v>
      </c>
      <c r="LJ79" s="183">
        <f t="shared" si="405"/>
        <v>27.510311196775724</v>
      </c>
      <c r="LK79" s="183">
        <f t="shared" si="406"/>
        <v>27.785464612779123</v>
      </c>
      <c r="LL79" s="183">
        <f t="shared" si="407"/>
        <v>27.790680184843875</v>
      </c>
      <c r="LM79" s="183">
        <f t="shared" si="408"/>
        <v>28.107951806601751</v>
      </c>
      <c r="LN79" s="183">
        <f t="shared" si="409"/>
        <v>28.117603600115626</v>
      </c>
      <c r="LO79" s="183">
        <f t="shared" si="410"/>
        <v>28.427376835704752</v>
      </c>
      <c r="LT79" s="165"/>
      <c r="MF79" s="165"/>
      <c r="MJ79"/>
      <c r="MK79"/>
      <c r="ML79"/>
      <c r="MM79"/>
      <c r="MN79"/>
      <c r="MO79"/>
      <c r="MP79"/>
      <c r="MQ79"/>
      <c r="MR79"/>
    </row>
    <row r="80" spans="1:356" x14ac:dyDescent="0.3">
      <c r="A80" s="184" t="str">
        <f>Sheet3!A80</f>
        <v>2023.02.09-2</v>
      </c>
      <c r="B80" s="186">
        <f t="shared" si="313"/>
        <v>0.96605992582330413</v>
      </c>
      <c r="C80" s="183">
        <f t="shared" si="257"/>
        <v>0.96354740360801094</v>
      </c>
      <c r="D80" s="183">
        <f t="shared" si="258"/>
        <v>0.94805660758941934</v>
      </c>
      <c r="E80" s="183">
        <f t="shared" si="259"/>
        <v>0.93648667477015568</v>
      </c>
      <c r="F80" s="183">
        <f t="shared" si="260"/>
        <v>0.92123317900136736</v>
      </c>
      <c r="G80" s="183">
        <f t="shared" si="261"/>
        <v>0.91524862305913668</v>
      </c>
      <c r="H80" s="183">
        <f t="shared" si="262"/>
        <v>0.90347107003273053</v>
      </c>
      <c r="I80" s="183">
        <f t="shared" si="263"/>
        <v>0.89392358520333803</v>
      </c>
      <c r="J80" s="183">
        <f t="shared" si="264"/>
        <v>0.88135976015270978</v>
      </c>
      <c r="K80" s="186">
        <f xml:space="preserve"> (6.057 * (10^(-6)))
+ (4.055 * (10^(-8)) * (Sheet3!DF80 + 273))
+ (1.25 * (10^(-10)) * (Sheet3!DF80 + 273)^2)
- (3.367 * (10^(-14)) * (DD80 + 273)^3)</f>
        <v>5.331261507411851E-5</v>
      </c>
      <c r="L80" s="183">
        <f xml:space="preserve"> (6.057 * (10^(-6)))
+ (4.055 * (10^(-8)) * (Sheet3!BZ80 + 273))
+ (1.25 * (10^(-10)) * (Sheet3!BZ80 + 273)^2)
- (3.367 * (10^(-14)) * (BX80 + 273)^3)</f>
        <v>5.2897682490239933E-5</v>
      </c>
      <c r="M80" s="183">
        <f xml:space="preserve"> (6.057 * (10^(-6)))
+ (4.055 * (10^(-8)) * (Sheet3!CA80 + 273))
+ (1.25 * (10^(-10)) * (Sheet3!CA80 + 273)^2)
- (3.367 * (10^(-14)) * (BY80 + 273)^3)</f>
        <v>5.054655423687261E-5</v>
      </c>
      <c r="N80" s="183">
        <f xml:space="preserve"> (6.057 * (10^(-6)))
+ (4.055 * (10^(-8)) * (Sheet3!CB80 + 273))
+ (1.25 * (10^(-10)) * (Sheet3!CB80 + 273)^2)
- (3.367 * (10^(-14)) * (BZ80 + 273)^3)</f>
        <v>4.8935559168961071E-5</v>
      </c>
      <c r="O80" s="183">
        <f xml:space="preserve"> (6.057 * (10^(-6)))
+ (4.055 * (10^(-8)) * (Sheet3!CC80 + 273))
+ (1.25 * (10^(-10)) * (Sheet3!CC80 + 273)^2)
- (3.367 * (10^(-14)) * (CA80 + 273)^3)</f>
        <v>4.6885609683752746E-5</v>
      </c>
      <c r="P80" s="183">
        <f xml:space="preserve"> (6.057 * (10^(-6)))
+ (4.055 * (10^(-8)) * (Sheet3!CD80 + 273))
+ (1.25 * (10^(-10)) * (Sheet3!CD80 + 273)^2)
- (3.367 * (10^(-14)) * (CB80 + 273)^3)</f>
        <v>4.6142198551563279E-5</v>
      </c>
      <c r="Q80" s="183">
        <f xml:space="preserve"> (6.057 * (10^(-6)))
+ (4.055 * (10^(-8)) * (Sheet3!CE80 + 273))
+ (1.25 * (10^(-10)) * (Sheet3!CE80 + 273)^2)
- (3.367 * (10^(-14)) * (CC80 + 273)^3)</f>
        <v>4.4663494090536188E-5</v>
      </c>
      <c r="R80" s="183">
        <f xml:space="preserve"> (6.057 * (10^(-6)))
+ (4.055 * (10^(-8)) * (Sheet3!CF80 + 273))
+ (1.25 * (10^(-10)) * (Sheet3!CF80 + 273)^2)
- (3.367 * (10^(-14)) * (CD80 + 273)^3)</f>
        <v>4.3578285831517033E-5</v>
      </c>
      <c r="S80" s="183">
        <f xml:space="preserve"> (6.057 * (10^(-6)))
+ (4.055 * (10^(-8)) * (Sheet3!CG80 + 273))
+ (1.25 * (10^(-10)) * (Sheet3!CG80 + 273)^2)
- (3.367 * (10^(-14)) * (CE80 + 273)^3)</f>
        <v>4.2124795849331984E-5</v>
      </c>
      <c r="T80" s="188">
        <f t="shared" si="314"/>
        <v>5.331261507411851E-5</v>
      </c>
      <c r="U80" s="165">
        <f t="shared" si="315"/>
        <v>5.2897682490239933E-5</v>
      </c>
      <c r="V80" s="165">
        <f t="shared" si="316"/>
        <v>5.054655423687261E-5</v>
      </c>
      <c r="W80" s="165">
        <f t="shared" si="317"/>
        <v>4.8935559168961071E-5</v>
      </c>
      <c r="X80" s="165">
        <f t="shared" si="318"/>
        <v>4.6885609683752746E-5</v>
      </c>
      <c r="Y80" s="165">
        <f t="shared" si="319"/>
        <v>4.6142198551563279E-5</v>
      </c>
      <c r="Z80" s="165">
        <f t="shared" si="320"/>
        <v>4.4663494090536188E-5</v>
      </c>
      <c r="AA80" s="165">
        <f t="shared" si="321"/>
        <v>4.3578285831517033E-5</v>
      </c>
      <c r="AB80" s="165">
        <f t="shared" si="322"/>
        <v>4.2124795849331984E-5</v>
      </c>
      <c r="AC80" s="186">
        <f t="shared" si="265"/>
        <v>5.1503180963949295E-5</v>
      </c>
      <c r="AD80" s="183">
        <f t="shared" si="266"/>
        <v>5.0969424620351629E-5</v>
      </c>
      <c r="AE80" s="183">
        <f t="shared" si="267"/>
        <v>4.7920994735144036E-5</v>
      </c>
      <c r="AF80" s="183">
        <f t="shared" si="268"/>
        <v>4.5827499084158556E-5</v>
      </c>
      <c r="AG80" s="183">
        <f t="shared" si="269"/>
        <v>4.3192579258380834E-5</v>
      </c>
      <c r="AH80" s="183">
        <f t="shared" si="270"/>
        <v>4.2231583689239584E-5</v>
      </c>
      <c r="AI80" s="183">
        <f t="shared" si="271"/>
        <v>4.0352174797377266E-5</v>
      </c>
      <c r="AJ80" s="183">
        <f t="shared" si="272"/>
        <v>3.8955657507525533E-5</v>
      </c>
      <c r="AK80" s="183">
        <f t="shared" si="273"/>
        <v>3.7127099966249104E-5</v>
      </c>
      <c r="AL80" s="186">
        <f t="shared" si="323"/>
        <v>4.0381368922127014E-2</v>
      </c>
      <c r="AM80" s="183">
        <f t="shared" si="324"/>
        <v>4.0157288911503365E-2</v>
      </c>
      <c r="AN80" s="183">
        <f t="shared" si="325"/>
        <v>3.8845873154168001E-2</v>
      </c>
      <c r="AO80" s="183">
        <f t="shared" si="326"/>
        <v>3.7930905465105053E-2</v>
      </c>
      <c r="AP80" s="183">
        <f t="shared" si="327"/>
        <v>3.6736292377005139E-2</v>
      </c>
      <c r="AQ80" s="183">
        <f t="shared" si="328"/>
        <v>3.6297796096793795E-2</v>
      </c>
      <c r="AR80" s="183">
        <f t="shared" si="329"/>
        <v>3.5408505012977813E-2</v>
      </c>
      <c r="AS80" s="183">
        <f t="shared" si="330"/>
        <v>3.4749281317661987E-2</v>
      </c>
      <c r="AT80" s="183">
        <f t="shared" si="331"/>
        <v>3.38522677116413E-2</v>
      </c>
      <c r="AU80" s="186">
        <f>_xlfn.FORECAST.LINEAR(Sheet3!DF80,Sheet2!$AH$2:$AH$40,Sheet2!$AG$2:$AG$40)</f>
        <v>5.615110757455756E-2</v>
      </c>
      <c r="AV80" s="183">
        <f>_xlfn.FORECAST.LINEAR(Sheet3!BZ80,Sheet2!$AH$2:$AH$40,Sheet2!$AG$2:$AG$40)</f>
        <v>5.5500094034405409E-2</v>
      </c>
      <c r="AW80" s="183">
        <f>_xlfn.FORECAST.LINEAR(Sheet3!CA80,Sheet2!$AH$2:$AH$40,Sheet2!$AG$2:$AG$40)</f>
        <v>5.1707303507283101E-2</v>
      </c>
      <c r="AX80" s="183">
        <f>_xlfn.FORECAST.LINEAR(Sheet3!CB80,Sheet2!$AH$2:$AH$40,Sheet2!$AG$2:$AG$40)</f>
        <v>4.9055086476500233E-2</v>
      </c>
      <c r="AY80" s="183">
        <f>_xlfn.FORECAST.LINEAR(Sheet3!CC80,Sheet2!$AH$2:$AH$40,Sheet2!$AG$2:$AG$40)</f>
        <v>4.5613436512507009E-2</v>
      </c>
      <c r="AZ80" s="183">
        <f>_xlfn.FORECAST.LINEAR(Sheet3!CD80,Sheet2!$AH$2:$AH$40,Sheet2!$AG$2:$AG$40)</f>
        <v>4.4345894295007689E-2</v>
      </c>
      <c r="BA80" s="183">
        <f>_xlfn.FORECAST.LINEAR(Sheet3!CE80,Sheet2!$AH$2:$AH$40,Sheet2!$AG$2:$AG$40)</f>
        <v>4.1792525924065724E-2</v>
      </c>
      <c r="BB80" s="183">
        <f>_xlfn.FORECAST.LINEAR(Sheet3!CF80,Sheet2!$AH$2:$AH$40,Sheet2!$AG$2:$AG$40)</f>
        <v>3.9890278345247082E-2</v>
      </c>
      <c r="BC80" s="183">
        <f>_xlfn.FORECAST.LINEAR(Sheet3!CG80,Sheet2!$AH$2:$AH$40,Sheet2!$AG$2:$AG$40)</f>
        <v>3.7314537135786072E-2</v>
      </c>
      <c r="BD80" s="186">
        <f>_xlfn.FORECAST.LINEAR(Sheet3!DF80,Sheet2!$AB$12:$AB$37,Sheet2!$AA$12:$AA$37)/1000</f>
        <v>3.7324862686859299E-2</v>
      </c>
      <c r="BE80" s="183">
        <f>_xlfn.FORECAST.LINEAR(Sheet3!BZ80,Sheet2!$AB$12:$AB$37,Sheet2!$AA$12:$AA$37)/1000</f>
        <v>3.717931112798542E-2</v>
      </c>
      <c r="BF80" s="183">
        <f>_xlfn.FORECAST.LINEAR(Sheet3!CA80,Sheet2!$AB$12:$AB$37,Sheet2!$AA$12:$AA$37)/1000</f>
        <v>3.6331330956058915E-2</v>
      </c>
      <c r="BG80" s="183">
        <f>_xlfn.FORECAST.LINEAR(Sheet3!CB80,Sheet2!$AB$12:$AB$37,Sheet2!$AA$12:$AA$37)/1000</f>
        <v>3.5738356617595758E-2</v>
      </c>
      <c r="BH80" s="183">
        <f>_xlfn.FORECAST.LINEAR(Sheet3!CC80,Sheet2!$AB$12:$AB$37,Sheet2!$AA$12:$AA$37)/1000</f>
        <v>3.4968883347899486E-2</v>
      </c>
      <c r="BI80" s="183">
        <f>_xlfn.FORECAST.LINEAR(Sheet3!CD80,Sheet2!$AB$12:$AB$37,Sheet2!$AA$12:$AA$37)/1000</f>
        <v>3.4685490247270037E-2</v>
      </c>
      <c r="BJ80" s="183">
        <f>_xlfn.FORECAST.LINEAR(Sheet3!CE80,Sheet2!$AB$12:$AB$37,Sheet2!$AA$12:$AA$37)/1000</f>
        <v>3.4114616181143885E-2</v>
      </c>
      <c r="BK80" s="183">
        <f>_xlfn.FORECAST.LINEAR(Sheet3!CF80,Sheet2!$AB$12:$AB$37,Sheet2!$AA$12:$AA$37)/1000</f>
        <v>3.3689317652949836E-2</v>
      </c>
      <c r="BL80" s="183">
        <f>_xlfn.FORECAST.LINEAR(Sheet3!CG80,Sheet2!$AB$12:$AB$37,Sheet2!$AA$12:$AA$37)/1000</f>
        <v>3.3113441537984394E-2</v>
      </c>
      <c r="BM80" s="186">
        <f t="shared" si="332"/>
        <v>0.69506410542672858</v>
      </c>
      <c r="BN80" s="183">
        <f t="shared" si="333"/>
        <v>0.69881072025692226</v>
      </c>
      <c r="BO80" s="183">
        <f t="shared" si="334"/>
        <v>0.72154527295864113</v>
      </c>
      <c r="BP80" s="183">
        <f t="shared" si="335"/>
        <v>0.7382785658274198</v>
      </c>
      <c r="BQ80" s="183">
        <f t="shared" si="336"/>
        <v>0.76131843091051743</v>
      </c>
      <c r="BR80" s="183">
        <f t="shared" si="337"/>
        <v>0.7701202698375732</v>
      </c>
      <c r="BS80" s="183">
        <f t="shared" si="338"/>
        <v>0.78866529397783558</v>
      </c>
      <c r="BT80" s="183">
        <f t="shared" si="339"/>
        <v>0.8029286234882107</v>
      </c>
      <c r="BU80" s="183">
        <f t="shared" si="340"/>
        <v>0.82328024127445398</v>
      </c>
      <c r="BV80" s="186">
        <f t="shared" si="341"/>
        <v>1.1280338267708199</v>
      </c>
      <c r="BW80" s="183">
        <f t="shared" si="342"/>
        <v>1.1274443003060322</v>
      </c>
      <c r="BX80" s="183">
        <f t="shared" si="343"/>
        <v>1.123454472125254</v>
      </c>
      <c r="BY80" s="183">
        <f t="shared" si="344"/>
        <v>1.1211062991945475</v>
      </c>
      <c r="BZ80" s="183">
        <f t="shared" si="345"/>
        <v>1.1171714799834787</v>
      </c>
      <c r="CA80" s="183">
        <f t="shared" si="346"/>
        <v>1.1160517544221795</v>
      </c>
      <c r="CB80" s="183">
        <f t="shared" si="347"/>
        <v>1.112622696461824</v>
      </c>
      <c r="CC80" s="183">
        <f t="shared" si="348"/>
        <v>1.1109598088006489</v>
      </c>
      <c r="CD80" s="183">
        <f t="shared" si="349"/>
        <v>1.1075135461971592</v>
      </c>
      <c r="CE80" s="187">
        <f xml:space="preserve"> -0.0000000019505*Sheet3!DF80^3 + 0.0000015497*Sheet3!DF80^2  + 0.00016911*Sheet3!DF80 + 1.8585</f>
        <v>1.9414898911875</v>
      </c>
      <c r="CF80" s="185">
        <f xml:space="preserve"> -0.0000000019505*Sheet3!BZ80^3 + 0.0000015497*Sheet3!BZ80^2  + 0.00016911*Sheet3!BZ80 + 1.8585</f>
        <v>1.9400613780175535</v>
      </c>
      <c r="CG80" s="185">
        <f xml:space="preserve"> -0.0000000019505*Sheet3!CA80^3 + 0.0000015497*Sheet3!CA80^2  + 0.00016911*Sheet3!CA80 + 1.8585</f>
        <v>1.9318404634823401</v>
      </c>
      <c r="CH80" s="185">
        <f xml:space="preserve"> -0.0000000019505*Sheet3!CB80^3 + 0.0000015497*Sheet3!CB80^2  + 0.00016911*Sheet3!CB80 + 1.8585</f>
        <v>1.9262091800162939</v>
      </c>
      <c r="CI80" s="185">
        <f xml:space="preserve"> -0.0000000019505*Sheet3!CC80^3 + 0.0000015497*Sheet3!CC80^2  + 0.00016911*Sheet3!CC80 + 1.8585</f>
        <v>1.9190704577116773</v>
      </c>
      <c r="CJ80" s="185">
        <f xml:space="preserve"> -0.0000000019505*Sheet3!CD80^3 + 0.0000015497*Sheet3!CD80^2  + 0.00016911*Sheet3!CD80 + 1.8585</f>
        <v>1.9164945412549317</v>
      </c>
      <c r="CK80" s="185">
        <f xml:space="preserve"> -0.0000000019505*Sheet3!CE80^3 + 0.0000015497*Sheet3!CE80^2  + 0.00016911*Sheet3!CE80 + 1.8585</f>
        <v>1.9114009867307833</v>
      </c>
      <c r="CL80" s="185">
        <f xml:space="preserve"> -0.0000000019505*Sheet3!CF80^3 + 0.0000015497*Sheet3!CF80^2  + 0.00016911*Sheet3!CF80 + 1.8585</f>
        <v>1.9076949854081993</v>
      </c>
      <c r="CM80" s="185">
        <f xml:space="preserve"> -0.0000000019505*Sheet3!CG80^3 + 0.0000015497*Sheet3!CG80^2  + 0.00016911*Sheet3!CG80 + 1.8585</f>
        <v>1.9028071762588317</v>
      </c>
      <c r="CN80" s="186">
        <f>_xlfn.FORECAST.LINEAR(Sheet3!DF80,New!$LU$2:$LU$14,New!$LT$2:$LT$14)</f>
        <v>1.0350674194089138</v>
      </c>
      <c r="CO80" s="183">
        <f>_xlfn.FORECAST.LINEAR(Sheet3!BZ80,New!$LU$2:$LU$14,New!$LT$2:$LT$14)</f>
        <v>1.0345882649025337</v>
      </c>
      <c r="CP80" s="183">
        <f>_xlfn.FORECAST.LINEAR(Sheet3!CA80,New!$LU$2:$LU$14,New!$LT$2:$LT$14)</f>
        <v>1.0317967213158952</v>
      </c>
      <c r="CQ80" s="183">
        <f>_xlfn.FORECAST.LINEAR(Sheet3!CB80,New!$LU$2:$LU$14,New!$LT$2:$LT$14)</f>
        <v>1.0298446547860642</v>
      </c>
      <c r="CR80" s="183">
        <f>_xlfn.FORECAST.LINEAR(Sheet3!CC80,New!$LU$2:$LU$14,New!$LT$2:$LT$14)</f>
        <v>1.0273115552605996</v>
      </c>
      <c r="CS80" s="183">
        <f>_xlfn.FORECAST.LINEAR(Sheet3!CD80,New!$LU$2:$LU$14,New!$LT$2:$LT$14)</f>
        <v>1.0263786275592803</v>
      </c>
      <c r="CT80" s="183">
        <f>_xlfn.FORECAST.LINEAR(Sheet3!CE80,New!$LU$2:$LU$14,New!$LT$2:$LT$14)</f>
        <v>1.0244993149399153</v>
      </c>
      <c r="CU80" s="183">
        <f>_xlfn.FORECAST.LINEAR(Sheet3!CF80,New!$LU$2:$LU$14,New!$LT$2:$LT$14)</f>
        <v>1.0230992357657884</v>
      </c>
      <c r="CV80" s="183">
        <f>_xlfn.FORECAST.LINEAR(Sheet3!CG80,New!$LU$2:$LU$14,New!$LT$2:$LT$14)</f>
        <v>1.021203456443758</v>
      </c>
      <c r="CW80" s="186">
        <f>EXP((17.625*Sheet3!BA80)/(243.04+Sheet3!BA80)) / EXP((17.625*Sheet3!DF80)/(243.04+Sheet3!DF80))</f>
        <v>7.3695016876361144E-3</v>
      </c>
      <c r="CX80" s="183">
        <f>EXP((17.625*(Sheet3!BC80+273))/(243.04+(Sheet3!BC80+273)))/EXP((17.625*(Sheet3!BZ80+273))/(243.04+(Sheet3!BZ80+273)))</f>
        <v>0.20885020568782886</v>
      </c>
      <c r="CY80" s="183">
        <f>EXP((17.625*(Sheet3!BE80+273))/(243.04+(Sheet3!BE80+273))) / EXP((17.625*(Sheet3!CA80+273))/(243.04+(Sheet3!CA80+273)))</f>
        <v>0.23687686921636053</v>
      </c>
      <c r="CZ80" s="183">
        <f>EXP((17.625*(Sheet3!BG80+273))/(243.04+(Sheet3!BG80+273))) / EXP((17.625*(Sheet3!CB80+273))/(243.04+(Sheet3!CB80+273)))</f>
        <v>0.25916469741648962</v>
      </c>
      <c r="DA80" s="183">
        <f>EXP((17.625*(Sheet3!BI80+273))/(243.04+(Sheet3!BI80+273))) / EXP((17.625*(Sheet3!CC80+273))/(243.04+(Sheet3!CC80+273)))</f>
        <v>0.29217675810570903</v>
      </c>
      <c r="DB80" s="183" t="e">
        <f>EXP((17.625*(Sheet3!#REF!+273))/(243.04+(Sheet3!#REF!+273)))/EXP((17.625*(Sheet3!CD80+273))/(243.04+(Sheet3!CD80+273)))</f>
        <v>#REF!</v>
      </c>
      <c r="DC80" s="183">
        <f>EXP((17.625*(Sheet3!BK80+273))/(243.04+(Sheet3!BK80+273))) / EXP((17.625*(Sheet3!CE80+273))/(243.04+(Sheet3!CE80+273)))</f>
        <v>0.33693271073255665</v>
      </c>
      <c r="DD80" s="183">
        <f>EXP((17.625*(Sheet3!BO80+273))/(243.04+(Sheet3!BO80+273))) / EXP((17.625*(Sheet3!CF80+273))/(243.04+(Sheet3!CF80+273)))</f>
        <v>0.36097340946203132</v>
      </c>
      <c r="DE80" s="183">
        <f>EXP((17.625*(Sheet3!BQ80+273))/(243.04+(Sheet3!BQ80+273))) / EXP((17.625*(Sheet3!CG80+273))/(243.04+(Sheet3!CG80+273)))</f>
        <v>0.39794189677150804</v>
      </c>
      <c r="DF80" s="186">
        <f>((Sheet3!DA80-Sheet3!DB80)/New!$LQ$3)/(((Sheet3!DA80-Sheet3!DB80)/New!$LQ$3)+(Sheet3!DB80/New!$LP$3))</f>
        <v>0.84479443703817836</v>
      </c>
      <c r="DG80" s="183">
        <f>((Sheet3!DA80-Sheet3!DB80)/New!$LQ$3)/(((Sheet3!DA80-Sheet3!DB80)/New!$LQ$3)+((Sheet3!DB80-(Sheet3!B80*0.004))/New!$LP$3))</f>
        <v>0.84489278608355833</v>
      </c>
      <c r="DH80" s="183" cm="1">
        <f t="array" ref="DH80">((Sheet3!DA80-Sheet3!DB80)/New!$LQ$3)/(((Sheet3!DA80-Sheet3!DB80)/New!$LQ$3)+((Sheet3!DB80-(SUM(Sheet3!B80:C80*0.004)))/New!$LP$3))</f>
        <v>0.84980643511264742</v>
      </c>
      <c r="DI80" s="183" cm="1">
        <f t="array" ref="DI80">((Sheet3!DA80-Sheet3!DB80)/New!$LQ$3)/(((Sheet3!DA80-Sheet3!DB80)/New!$LQ$3)+((Sheet3!DB80-(SUM(Sheet3!B80:D80*0.004)))/New!$LP$3))</f>
        <v>0.84997231397425255</v>
      </c>
      <c r="DJ80" s="183" cm="1">
        <f t="array" ref="DJ80">((Sheet3!DA80-Sheet3!DB80)/New!$LQ$3)/(((Sheet3!DA80-Sheet3!DB80)/New!$LQ$3)+((Sheet3!DB80-(SUM(Sheet3!B80:E80*0.004)))/New!$LP$3))</f>
        <v>0.85730189116697797</v>
      </c>
      <c r="DK80" s="183" cm="1">
        <f t="array" ref="DK80">((Sheet3!DA80-Sheet3!DB80)/New!$LQ$3)/(((Sheet3!DA80-Sheet3!DB80)/New!$LQ$3)+((Sheet3!DB80-(SUM(Sheet3!B80:F80*0.004)))/New!$LP$3))</f>
        <v>0.85747070939077741</v>
      </c>
      <c r="DL80" s="183" cm="1">
        <f t="array" ref="DL80">((Sheet3!DA80-Sheet3!DB80)/New!$LQ$3)/(((Sheet3!DA80-Sheet3!DB80)/New!$LQ$3)+((Sheet3!DB80-(SUM(Sheet3!B80:G80*0.004)))/New!$LP$3))</f>
        <v>0.8673772394159549</v>
      </c>
      <c r="DM80" s="183" cm="1">
        <f t="array" ref="DM80">((Sheet3!DA80-Sheet3!DB80)/New!$LQ$3)/(((Sheet3!DA80-Sheet3!DB80)/New!$LQ$3)+((Sheet3!DB80-(SUM(Sheet3!B80:H80*0.004)))/New!$LP$3))</f>
        <v>0.86765376843488184</v>
      </c>
      <c r="DN80" s="183" cm="1">
        <f t="array" ref="DN80">((Sheet3!DA80-Sheet3!DB80)/New!$LQ$3)/(((Sheet3!DA80-Sheet3!DB80)/New!$LQ$3)+((Sheet3!DB80-(SUM(Sheet3!B80:I80*0.004)))/New!$LP$3))</f>
        <v>0.87811701074026127</v>
      </c>
      <c r="DO80" s="186">
        <f>(Sheet3!DB80/$LP$3) / ((Sheet3!DB80/$LP$3) + ((Sheet3!DA80-Sheet3!DB80)/$LQ$3))</f>
        <v>0.15520556296182161</v>
      </c>
      <c r="DP80" s="183">
        <f>((Sheet3!$DB80-(Sheet3!B80/4000)) / $LP$3) / (((Sheet3!$DA80-Sheet3!DB80) / $LQ$3) + (Sheet3!$DB80-((Sheet3!B80/4000)))/$LP$3)</f>
        <v>0.15519941681728552</v>
      </c>
      <c r="DQ80" s="183">
        <f>((Sheet3!$DB80-(SUM(Sheet3!B80:C80)/4000))/$LP$3)/(((Sheet3!$DA80-Sheet3!$DB80)/$LQ$3)+(Sheet3!$DB80-(SUM(Sheet3!B80:C80)/4000))/$LP$3)</f>
        <v>0.15489404574151305</v>
      </c>
      <c r="DR80" s="183">
        <f>((Sheet3!$DB80-(SUM(Sheet3!B80:D80)/4000))/$LP$3)/(((Sheet3!$DA80-Sheet3!$DB80)/$LQ$3)+(Sheet3!$DB80-(SUM(Sheet3!B80:D80)/4000))/$LP$3)</f>
        <v>0.1548837945615088</v>
      </c>
      <c r="DS80" s="183">
        <f>((Sheet3!$DB80-(SUM(Sheet3!B80:E80)/4000))/$LP$3)/(((Sheet3!$DA80-Sheet3!$DB80)/$LQ$3)+(Sheet3!$DB80-(SUM(Sheet3!B80:E80)/4000))/$LP$3)</f>
        <v>0.1544345487482614</v>
      </c>
      <c r="DT80" s="183">
        <f>((Sheet3!$DB80-(SUM(Sheet3!B80:F80)/4000))/$LP$3)/(((Sheet3!$DA80-Sheet3!$DB80)/$LQ$3)+(Sheet3!$DB80-(SUM(Sheet3!B80:F80)/4000))/$LP$3)</f>
        <v>0.15442428641771322</v>
      </c>
      <c r="DU80" s="183">
        <f>((Sheet3!$DB80-(SUM(Sheet3!B80:G80)/4000))/$LP$3)/(((Sheet3!$DA80-Sheet3!$DB80)/$LQ$3)+(Sheet3!$DB80-(SUM(Sheet3!B80:G80)/4000))/$LP$3)</f>
        <v>0.15382864473456898</v>
      </c>
      <c r="DV80" s="183">
        <f>((Sheet3!$DB80-(SUM(Sheet3!B80:H80)/4000))/$LP$3)/(((Sheet3!$DA80-Sheet3!$DB80)/$LQ$3)+(Sheet3!$DB80-(SUM(Sheet3!B80:H80)/4000))/$LP$3)</f>
        <v>0.15381220134563084</v>
      </c>
      <c r="DW80" s="183">
        <f>((Sheet3!$DB80-(SUM(Sheet3!B80:I80)/4000))/$LP$3)/(((Sheet3!$DA80-Sheet3!$DB80)/$LQ$3)+(Sheet3!$DB80-(SUM(Sheet3!B80:I80)/4000))/$LP$3)</f>
        <v>0.153197171046664</v>
      </c>
      <c r="DX80" s="186">
        <f>($LR$2*($LP$3/1000))/($LP$2*(Sheet3!DF80+273))*DO80</f>
        <v>7.128862619761317E-2</v>
      </c>
      <c r="DY80" s="183">
        <f>(($LR$2*($LP$3/1000))/($LP$2*(Sheet3!BZ80+273)))*(DP80)</f>
        <v>7.1669879285128371E-2</v>
      </c>
      <c r="DZ80" s="183">
        <f>(($LR$2*($LP$3/1000))/($LP$2*(Sheet3!CA80+273)))*(DQ80)</f>
        <v>7.3846870692641994E-2</v>
      </c>
      <c r="EA80" s="183">
        <f>(($LR$2*($LP$3/1000))/($LP$2*(Sheet3!CB80+273)))*(DR80)</f>
        <v>7.555413538040813E-2</v>
      </c>
      <c r="EB80" s="183">
        <f>(($LR$2*($LP$3/1000))/($LP$2*(Sheet3!CC80+273)))*(DS80)</f>
        <v>7.7672000834237892E-2</v>
      </c>
      <c r="EC80" s="183">
        <f>(($LR$2*($LP$3/1000))/($LP$2*(Sheet3!CD80+273)))*(DT80)</f>
        <v>7.8564446315453132E-2</v>
      </c>
      <c r="ED80" s="183">
        <f>(($LR$2*($LP$3/1000))/($LP$2*(Sheet3!CE80+273)))*(DU80)</f>
        <v>8.0126842168938617E-2</v>
      </c>
      <c r="EE80" s="183">
        <f>(($LR$2*($LP$3/1000))/($LP$2*(Sheet3!CF80+273)))*(DV80)</f>
        <v>8.1566710198913539E-2</v>
      </c>
      <c r="EF80" s="183">
        <f>(($LR$2*($LP$3/1000))/($LP$2*(Sheet3!CG80+273)))*(DW80)</f>
        <v>8.3279189764725203E-2</v>
      </c>
      <c r="EG80" s="186">
        <f>(($LR$2*($LQ$3/1000))/($LQ$2*(Sheet3!DF80+273)))*(1-DO80)</f>
        <v>0.62377547922911536</v>
      </c>
      <c r="EH80" s="183">
        <f>(($LR$2*($LQ$3/1000))/($LQ$2*(Sheet3!BZ80+273)))*(1-DP80)</f>
        <v>0.6271408409717939</v>
      </c>
      <c r="EI80" s="183">
        <f>(($LR$2*($LQ$3/1000))/($LQ$2*(Sheet3!CA80+273)))*(1-DQ80)</f>
        <v>0.64769840226599917</v>
      </c>
      <c r="EJ80" s="183">
        <f>(($LR$2*($LQ$3/1000))/($LQ$2*(Sheet3!CB80+273)))*(1-DR80)</f>
        <v>0.66272443044701168</v>
      </c>
      <c r="EK80" s="183">
        <f>(($LR$2*($LQ$3/1000))/($LQ$2*(Sheet3!CC80+273)))*(1-DS80)</f>
        <v>0.68364643007627957</v>
      </c>
      <c r="EL80" s="183">
        <f>(($LR$2*($LQ$3/1000))/($LQ$2*(Sheet3!CD80+273)))*(1-DT80)</f>
        <v>0.69155582352212008</v>
      </c>
      <c r="EM80" s="183">
        <f>(($LR$2*($LQ$3/1000))/($LQ$2*(Sheet3!CE80+273)))*(1-DU80)</f>
        <v>0.70853845180889696</v>
      </c>
      <c r="EN80" s="183">
        <f>(($LR$2*($LQ$3/1000))/($LQ$2*(Sheet3!CF80+273)))*(1-DV80)</f>
        <v>0.72136191328929711</v>
      </c>
      <c r="EO80" s="183">
        <f>(($LR$2*($LQ$3/1000))/($LQ$2*(Sheet3!CG80+273)))*(1-DW80)</f>
        <v>0.74000105150972872</v>
      </c>
      <c r="EP80" s="186">
        <f t="shared" si="350"/>
        <v>2910.3171465277269</v>
      </c>
      <c r="EQ80" s="183">
        <f xml:space="preserve"> (($FV80-(Sheet3!B80/4000))*0.018)/(0.011*JO80*3600)</f>
        <v>2922.8288376407681</v>
      </c>
      <c r="ER80" s="183">
        <f>((($FV80-(SUM(Sheet3!B80:C80)/4000))*0.018)/(0.011*JP80*3600))</f>
        <v>2996.9836385710664</v>
      </c>
      <c r="ES80" s="183">
        <f>((($FV80-(SUM(Sheet3!B80:D80)/4000))*0.018)/(0.011*JQ80*3600))</f>
        <v>3051.9050560249902</v>
      </c>
      <c r="ET80" s="183">
        <f>((($FV80-(SUM(Sheet3!B80:E80)/4000))*0.018)/(0.011*JR80))/3600</f>
        <v>3124.65092101346</v>
      </c>
      <c r="EU80" s="183">
        <f>((($FV80-(SUM(Sheet3!B80:F80)/4000))*0.018)/(0.011*JS80))/3600</f>
        <v>3152.9392240782231</v>
      </c>
      <c r="EV80" s="183">
        <f>((($FV80-(SUM(Sheet3!B80:G80)/4000))*0.018)/(0.011*JT80))/3600</f>
        <v>3209.2978852920105</v>
      </c>
      <c r="EW80" s="183">
        <f>((($FV80-(SUM(Sheet3!B80:H80)/4000))*0.018)/(0.011*JU80))/3600</f>
        <v>3254.358703076784</v>
      </c>
      <c r="EX80" s="183">
        <f>((($FV80-(SUM(Sheet3!B80:I80)/4000))*0.018)/(0.011*JV80))/3600</f>
        <v>3315.0605916277568</v>
      </c>
      <c r="EY80" s="186">
        <f t="shared" si="351"/>
        <v>35.767709634359342</v>
      </c>
      <c r="EZ80" s="183">
        <f t="shared" si="352"/>
        <v>35.874154324628144</v>
      </c>
      <c r="FA80" s="183">
        <f t="shared" si="353"/>
        <v>36.502193103584816</v>
      </c>
      <c r="FB80" s="183">
        <f t="shared" si="354"/>
        <v>36.969755407720761</v>
      </c>
      <c r="FC80" s="183">
        <f t="shared" si="355"/>
        <v>37.584385192480184</v>
      </c>
      <c r="FD80" s="183">
        <f t="shared" si="356"/>
        <v>37.825409978280199</v>
      </c>
      <c r="FE80" s="183">
        <f t="shared" si="357"/>
        <v>38.2988264647664</v>
      </c>
      <c r="FF80" s="183">
        <f t="shared" si="358"/>
        <v>38.683236797055535</v>
      </c>
      <c r="FG80" s="183">
        <f t="shared" si="359"/>
        <v>39.193854664529319</v>
      </c>
      <c r="FH80" s="186">
        <f t="shared" si="274"/>
        <v>80.2416154580323</v>
      </c>
      <c r="FI80" s="183">
        <f t="shared" si="275"/>
        <v>80.033821092775014</v>
      </c>
      <c r="FJ80" s="183">
        <f t="shared" si="276"/>
        <v>78.775531286155655</v>
      </c>
      <c r="FK80" s="183">
        <f t="shared" si="277"/>
        <v>77.90534985768403</v>
      </c>
      <c r="FL80" s="183">
        <f t="shared" si="278"/>
        <v>76.706164624496381</v>
      </c>
      <c r="FM80" s="183">
        <f t="shared" si="279"/>
        <v>76.276612148291349</v>
      </c>
      <c r="FN80" s="183">
        <f t="shared" si="280"/>
        <v>75.339121603824907</v>
      </c>
      <c r="FO80" s="183">
        <f t="shared" si="281"/>
        <v>74.678593207700928</v>
      </c>
      <c r="FP80" s="183">
        <f t="shared" si="282"/>
        <v>73.711158930822648</v>
      </c>
      <c r="FQ80" s="314">
        <f>Sheet3!CV80</f>
        <v>1</v>
      </c>
      <c r="FR80" s="183">
        <v>3000</v>
      </c>
      <c r="FS80" s="183">
        <v>10</v>
      </c>
      <c r="FT80" s="183">
        <v>6.5199999999999994E-2</v>
      </c>
      <c r="FU80" s="183">
        <v>24.45</v>
      </c>
      <c r="FV80" s="183">
        <v>156</v>
      </c>
      <c r="FW80" s="183">
        <v>16</v>
      </c>
      <c r="FX80" s="183">
        <v>156</v>
      </c>
      <c r="FY80" s="183">
        <v>7.97</v>
      </c>
      <c r="FZ80" s="183">
        <v>34.33</v>
      </c>
      <c r="GA80" s="183">
        <v>205</v>
      </c>
      <c r="GB80" s="186">
        <f>EXP($LP$6-($LQ$6/('Trial and Error method'!T80+$LP$8))) / ($LR$2/1000)</f>
        <v>8.5126112688734892E-2</v>
      </c>
      <c r="GC80" s="183">
        <f>EXP($LP$6-($LQ$6/('Trial and Error method'!U80+$LP$8))) / ($LR$2/1000)</f>
        <v>0.20507540969409779</v>
      </c>
      <c r="GD80" s="183">
        <f>EXP($LP$6-($LQ$6/('Trial and Error method'!V80+$LP$8))) / ($LR$2/1000)</f>
        <v>0.17831932177744478</v>
      </c>
      <c r="GE80" s="183">
        <f>EXP($LP$6-($LQ$6/('Trial and Error method'!W80+$LP$8))) / ($LR$2/1000)</f>
        <v>0.16078686934440561</v>
      </c>
      <c r="GF80" s="183">
        <f>EXP($LP$6-($LQ$6/('Trial and Error method'!X80+$LP$8))) / ($LR$2/1000)</f>
        <v>0.13998229580537577</v>
      </c>
      <c r="GG80" s="183">
        <f>EXP($LP$6-($LQ$6/('Trial and Error method'!Y80+$LP$8))) / ($LR$2/1000)</f>
        <v>0.12919141960192715</v>
      </c>
      <c r="GH80" s="183">
        <f>EXP($LP$6-($LQ$6/('Trial and Error method'!Z80+$LP$8))) / ($LR$2/1000)</f>
        <v>0.11473400365344544</v>
      </c>
      <c r="GI80" s="183">
        <f>EXP($LP$6-($LQ$6/('Trial and Error method'!AA80+$LP$8))) / ($LR$2/1000)</f>
        <v>0.10365896784652996</v>
      </c>
      <c r="GJ80" s="183">
        <f>EXP($LP$6-($LQ$6/('Trial and Error method'!AB80+$LP$8))) / ($LR$2/1000)</f>
        <v>9.0525810455342054E-2</v>
      </c>
      <c r="GK80" s="188">
        <f t="shared" si="411"/>
        <v>0.87936880854627941</v>
      </c>
      <c r="GL80" s="165">
        <f t="shared" si="360"/>
        <v>0.81960967559033726</v>
      </c>
      <c r="GM80" s="165">
        <f t="shared" si="361"/>
        <v>0.83333844294390758</v>
      </c>
      <c r="GN80" s="165">
        <f t="shared" si="362"/>
        <v>0.84216121994801885</v>
      </c>
      <c r="GO80" s="165">
        <f t="shared" si="363"/>
        <v>0.85277116714652579</v>
      </c>
      <c r="GP80" s="165">
        <f t="shared" si="364"/>
        <v>0.85813031795913397</v>
      </c>
      <c r="GQ80" s="165">
        <f t="shared" si="365"/>
        <v>0.86557153420279653</v>
      </c>
      <c r="GR80" s="165">
        <f t="shared" si="366"/>
        <v>0.87102377828300104</v>
      </c>
      <c r="GS80" s="165">
        <f t="shared" si="367"/>
        <v>0.87776565291801134</v>
      </c>
      <c r="GT80" s="188">
        <f t="shared" si="283"/>
        <v>5.1491966835720424E-2</v>
      </c>
      <c r="GU80" s="165">
        <f t="shared" si="284"/>
        <v>5.5227879082307529E-2</v>
      </c>
      <c r="GV80" s="165">
        <f t="shared" si="285"/>
        <v>5.4236789754530133E-2</v>
      </c>
      <c r="GW80" s="165">
        <f t="shared" si="286"/>
        <v>5.3624084561681162E-2</v>
      </c>
      <c r="GX80" s="165">
        <f t="shared" si="287"/>
        <v>5.2901410067285701E-2</v>
      </c>
      <c r="GY80" s="165">
        <f t="shared" si="288"/>
        <v>5.2556947613091536E-2</v>
      </c>
      <c r="GZ80" s="165">
        <f t="shared" si="289"/>
        <v>5.2070995482022306E-2</v>
      </c>
      <c r="HA80" s="165">
        <f t="shared" si="290"/>
        <v>5.1733264103457993E-2</v>
      </c>
      <c r="HB80" s="165">
        <f t="shared" si="291"/>
        <v>5.1310451937267479E-2</v>
      </c>
      <c r="HC80" s="188">
        <f>BV80*Sheet3!DF80</f>
        <v>231.24693448801807</v>
      </c>
      <c r="HD80" s="165">
        <f>BW80*Sheet3!BZ80</f>
        <v>228.23803877216292</v>
      </c>
      <c r="HE80" s="165">
        <f>BX80*Sheet3!CA80</f>
        <v>210.66421378592574</v>
      </c>
      <c r="HF80" s="165">
        <f>BY80*Sheet3!CB80</f>
        <v>198.52420675324151</v>
      </c>
      <c r="HG80" s="165">
        <f>BZ80*Sheet3!CC80</f>
        <v>182.69861389380929</v>
      </c>
      <c r="HH80" s="165">
        <f>CA80*Sheet3!CD80</f>
        <v>176.9492147012412</v>
      </c>
      <c r="HI80" s="165">
        <f>CB80*Sheet3!CE80</f>
        <v>165.22713355410235</v>
      </c>
      <c r="HJ80" s="165">
        <f>CC80*Sheet3!CF80</f>
        <v>156.66477640603625</v>
      </c>
      <c r="HK80" s="165">
        <f>CD80*Sheet3!CG80</f>
        <v>144.95422132302014</v>
      </c>
      <c r="HL80" s="188">
        <f>(CE80*Sheet3!DF80)+2501</f>
        <v>2899.0054276934375</v>
      </c>
      <c r="HM80" s="165">
        <f>(CF80*Sheet3!BZ80)+2501</f>
        <v>2893.7429531517914</v>
      </c>
      <c r="HN80" s="165">
        <f>(CG80*Sheet3!CA80)+2501</f>
        <v>2863.2484599927539</v>
      </c>
      <c r="HO80" s="165">
        <f>(CH80*Sheet3!CB80)+2501</f>
        <v>2842.0908936808928</v>
      </c>
      <c r="HP80" s="165">
        <f>(CI80*Sheet3!CC80)+2501</f>
        <v>2814.838581516301</v>
      </c>
      <c r="HQ80" s="165">
        <f>(CJ80*Sheet3!CD80)+2501</f>
        <v>2804.8588512679248</v>
      </c>
      <c r="HR80" s="165">
        <f>(CK80*Sheet3!CE80)+2501</f>
        <v>2784.8476215830515</v>
      </c>
      <c r="HS80" s="165">
        <f>(CL80*Sheet3!CF80)+2501</f>
        <v>2770.0183802981492</v>
      </c>
      <c r="HT80" s="165">
        <f>(CM80*Sheet3!CG80)+2501</f>
        <v>2750.0442970287177</v>
      </c>
      <c r="HU80" s="188">
        <f>-0.0021*(Sheet3!DF80^2) - 2.2115*(Sheet3!DF80) + 2499</f>
        <v>1957.3899999999999</v>
      </c>
      <c r="HV80" s="165">
        <f>-0.0021*(Sheet3!BZ80^2) - 2.2115*(Sheet3!BZ80) + 2499</f>
        <v>1965.2466859129461</v>
      </c>
      <c r="HW80" s="165">
        <f>-0.0021*(Sheet3!CA80^2) - 2.2115*(Sheet3!CA80) + 2499</f>
        <v>2010.4715780028118</v>
      </c>
      <c r="HX80" s="165">
        <f>-0.0021*(Sheet3!CB80^2) - 2.2115*(Sheet3!CB80) + 2499</f>
        <v>2041.540612679582</v>
      </c>
      <c r="HY80" s="165">
        <f>-0.0021*(Sheet3!CC80^2) - 2.2115*(Sheet3!CC80) + 2499</f>
        <v>2081.1754591833051</v>
      </c>
      <c r="HZ80" s="165">
        <f>-0.0021*(Sheet3!CD80^2) - 2.2115*(Sheet3!CD80) + 2499</f>
        <v>2095.5786990119964</v>
      </c>
      <c r="IA80" s="165">
        <f>-0.0021*(Sheet3!CE80^2) - 2.2115*(Sheet3!CE80) + 2499</f>
        <v>2124.2757387657903</v>
      </c>
      <c r="IB80" s="165">
        <f>-0.0021*(Sheet3!CF80^2) - 2.2115*(Sheet3!CF80) + 2499</f>
        <v>2145.3793306484122</v>
      </c>
      <c r="IC80" s="165">
        <f>-0.0021*(Sheet3!CG80^2) - 2.2115*(Sheet3!CG80) + 2499</f>
        <v>2173.5796722693817</v>
      </c>
      <c r="ID80" s="188">
        <f t="shared" si="292"/>
        <v>0.68061683218730762</v>
      </c>
      <c r="IE80" s="165">
        <f t="shared" si="293"/>
        <v>0.68112552591385511</v>
      </c>
      <c r="IF80" s="165">
        <f t="shared" si="294"/>
        <v>0.68410431952302231</v>
      </c>
      <c r="IG80" s="165">
        <f t="shared" si="295"/>
        <v>0.68655478473278675</v>
      </c>
      <c r="IH80" s="165">
        <f t="shared" si="296"/>
        <v>0.68970465904112377</v>
      </c>
      <c r="II80" s="165">
        <f t="shared" si="297"/>
        <v>0.6910749401669124</v>
      </c>
      <c r="IJ80" s="165">
        <f t="shared" si="298"/>
        <v>0.69352952512725974</v>
      </c>
      <c r="IK80" s="165">
        <f t="shared" si="299"/>
        <v>0.69585089020862212</v>
      </c>
      <c r="IL80" s="165">
        <f t="shared" si="300"/>
        <v>0.69869964068370116</v>
      </c>
      <c r="IM80" s="188">
        <f t="shared" si="301"/>
        <v>7.0632980494979636</v>
      </c>
      <c r="IN80" s="165">
        <f t="shared" si="368"/>
        <v>-5.4133610293143652</v>
      </c>
      <c r="IO80" s="165">
        <f t="shared" si="369"/>
        <v>-2.5543278057220102</v>
      </c>
      <c r="IP80" s="165">
        <f t="shared" si="370"/>
        <v>-0.64624351821037551</v>
      </c>
      <c r="IQ80" s="165">
        <f t="shared" si="371"/>
        <v>1.5911513743249845</v>
      </c>
      <c r="IR80" s="165">
        <f t="shared" si="372"/>
        <v>2.7790778012754616</v>
      </c>
      <c r="IS80" s="165">
        <f t="shared" si="373"/>
        <v>4.3243814917671042</v>
      </c>
      <c r="IT80" s="165">
        <f t="shared" si="374"/>
        <v>5.5663807749561771</v>
      </c>
      <c r="IU80" s="165">
        <f t="shared" si="375"/>
        <v>6.9895711001662555</v>
      </c>
      <c r="IV80" s="188">
        <f>_xlfn.FORECAST.LINEAR(Sheet3!DF80,Sheet2!$AK$2:$AK$69,Sheet2!$AJ$2:$AJ$69)</f>
        <v>1.5962912137298422E-5</v>
      </c>
      <c r="IW80" s="165">
        <f>_xlfn.FORECAST.LINEAR(Sheet3!BZ80,Sheet2!$AK$2:$AK$69,Sheet2!$AJ$2:$AJ$69)</f>
        <v>1.5873225175120569E-5</v>
      </c>
      <c r="IX80" s="165">
        <f>_xlfn.FORECAST.LINEAR(Sheet3!CA80,Sheet2!$AK$2:$AK$69,Sheet2!$AJ$2:$AJ$69)</f>
        <v>1.535071091147711E-5</v>
      </c>
      <c r="IY80" s="165">
        <f>_xlfn.FORECAST.LINEAR(Sheet3!CB80,Sheet2!$AK$2:$AK$69,Sheet2!$AJ$2:$AJ$69)</f>
        <v>1.4985327898903091E-5</v>
      </c>
      <c r="IZ80" s="165">
        <f>_xlfn.FORECAST.LINEAR(Sheet3!CC80,Sheet2!$AK$2:$AK$69,Sheet2!$AJ$2:$AJ$69)</f>
        <v>1.4511188559070132E-5</v>
      </c>
      <c r="JA80" s="165">
        <f>_xlfn.FORECAST.LINEAR(Sheet3!CD80,Sheet2!$AK$2:$AK$69,Sheet2!$AJ$2:$AJ$69)</f>
        <v>1.4336565446172787E-5</v>
      </c>
      <c r="JB80" s="165">
        <f>_xlfn.FORECAST.LINEAR(Sheet3!CE80,Sheet2!$AK$2:$AK$69,Sheet2!$AJ$2:$AJ$69)</f>
        <v>1.398480033164496E-5</v>
      </c>
      <c r="JC80" s="165">
        <f>_xlfn.FORECAST.LINEAR(Sheet3!CF80,Sheet2!$AK$2:$AK$69,Sheet2!$AJ$2:$AJ$69)</f>
        <v>1.3722736954876266E-5</v>
      </c>
      <c r="JD80" s="165">
        <f>_xlfn.FORECAST.LINEAR(Sheet3!CG80,Sheet2!$AK$2:$AK$69,Sheet2!$AJ$2:$AJ$69)</f>
        <v>1.3367889643438064E-5</v>
      </c>
      <c r="JE80" s="188">
        <f>_xlfn.FORECAST.LINEAR(Sheet3!DF80,New!$MC$2:$MC$18,New!$MB$2:$MB$18)</f>
        <v>2.5847452754227255E-5</v>
      </c>
      <c r="JF80" s="165">
        <f>_xlfn.FORECAST.LINEAR(Sheet3!BZ80,New!$MC$2:$MC$18,New!$MB$2:$MB$18)</f>
        <v>2.5742023565437774E-5</v>
      </c>
      <c r="JG80" s="165">
        <f>_xlfn.FORECAST.LINEAR(Sheet3!CA80,New!$MC$2:$MC$18,New!$MB$2:$MB$18)</f>
        <v>2.5127795436742513E-5</v>
      </c>
      <c r="JH80" s="165">
        <f>_xlfn.FORECAST.LINEAR(Sheet3!CB80,New!$MC$2:$MC$18,New!$MB$2:$MB$18)</f>
        <v>2.4698278886312959E-5</v>
      </c>
      <c r="JI80" s="165">
        <f>_xlfn.FORECAST.LINEAR(Sheet3!CC80,New!$MC$2:$MC$18,New!$MB$2:$MB$18)</f>
        <v>2.4140916648169108E-5</v>
      </c>
      <c r="JJ80" s="165">
        <f>_xlfn.FORECAST.LINEAR(Sheet3!CD80,New!$MC$2:$MC$18,New!$MB$2:$MB$18)</f>
        <v>2.3935642964128466E-5</v>
      </c>
      <c r="JK80" s="165">
        <f>_xlfn.FORECAST.LINEAR(Sheet3!CE80,New!$MC$2:$MC$18,New!$MB$2:$MB$18)</f>
        <v>2.3522134581543652E-5</v>
      </c>
      <c r="JL80" s="165">
        <f>_xlfn.FORECAST.LINEAR(Sheet3!CF80,New!$MC$2:$MC$18,New!$MB$2:$MB$18)</f>
        <v>2.3214072756800755E-5</v>
      </c>
      <c r="JM80" s="165">
        <f>_xlfn.FORECAST.LINEAR(Sheet3!CG80,New!$MC$2:$MC$18,New!$MB$2:$MB$18)</f>
        <v>2.279694117735366E-5</v>
      </c>
      <c r="JN80" s="188">
        <f t="shared" si="376"/>
        <v>2.4364729800562084E-5</v>
      </c>
      <c r="JO80" s="165">
        <f t="shared" si="377"/>
        <v>2.426031558428023E-5</v>
      </c>
      <c r="JP80" s="165">
        <f t="shared" si="378"/>
        <v>2.3654389456600013E-5</v>
      </c>
      <c r="JQ80" s="165">
        <f t="shared" si="379"/>
        <v>2.3228524052558047E-5</v>
      </c>
      <c r="JR80" s="165">
        <f t="shared" si="380"/>
        <v>2.2679769813576038E-5</v>
      </c>
      <c r="JS80" s="165">
        <f t="shared" si="381"/>
        <v>2.2476105759781466E-5</v>
      </c>
      <c r="JT80" s="165">
        <f t="shared" si="382"/>
        <v>2.2071133139031093E-5</v>
      </c>
      <c r="JU80" s="165">
        <f t="shared" si="383"/>
        <v>2.1765250324500138E-5</v>
      </c>
      <c r="JV80" s="165">
        <f t="shared" si="384"/>
        <v>2.135645867959579E-5</v>
      </c>
      <c r="JW80" s="188">
        <f t="shared" si="302"/>
        <v>0.99342087640971777</v>
      </c>
      <c r="JX80" s="165">
        <f t="shared" si="385"/>
        <v>0.9942367294433726</v>
      </c>
      <c r="JY80" s="165">
        <f t="shared" si="386"/>
        <v>0.99917312980146156</v>
      </c>
      <c r="JZ80" s="165">
        <f t="shared" si="387"/>
        <v>1.0028226665851401</v>
      </c>
      <c r="KA80" s="165">
        <f t="shared" si="388"/>
        <v>1.0078230138358042</v>
      </c>
      <c r="KB80" s="165">
        <f t="shared" si="389"/>
        <v>1.0097450642087848</v>
      </c>
      <c r="KC80" s="165">
        <f t="shared" si="390"/>
        <v>1.0137574911850462</v>
      </c>
      <c r="KD80" s="165">
        <f t="shared" si="391"/>
        <v>1.0168756747500236</v>
      </c>
      <c r="KE80" s="165">
        <f t="shared" si="392"/>
        <v>1.0212856377184321</v>
      </c>
      <c r="KF80" s="188">
        <f t="shared" si="393"/>
        <v>0.98626119619886909</v>
      </c>
      <c r="KG80" s="165">
        <f t="shared" si="394"/>
        <v>0.98554529194238771</v>
      </c>
      <c r="KH80" s="165">
        <f t="shared" si="395"/>
        <v>0.98124880877961473</v>
      </c>
      <c r="KI80" s="165">
        <f t="shared" si="396"/>
        <v>0.97811066153734194</v>
      </c>
      <c r="KJ80" s="165">
        <f t="shared" si="397"/>
        <v>0.97386283237679194</v>
      </c>
      <c r="KK80" s="165">
        <f t="shared" si="398"/>
        <v>0.97224575032535421</v>
      </c>
      <c r="KL80" s="165">
        <f t="shared" si="399"/>
        <v>0.96889766030922275</v>
      </c>
      <c r="KM80" s="165">
        <f t="shared" si="400"/>
        <v>0.96632128746460944</v>
      </c>
      <c r="KN80" s="165">
        <f t="shared" si="401"/>
        <v>0.96271511083292527</v>
      </c>
      <c r="KO80" s="188">
        <f t="shared" si="304"/>
        <v>0.65751664641696261</v>
      </c>
      <c r="KP80" s="165">
        <f t="shared" si="305"/>
        <v>0.65629673202543592</v>
      </c>
      <c r="KQ80" s="165">
        <f t="shared" si="306"/>
        <v>0.64856962040426469</v>
      </c>
      <c r="KR80" s="165">
        <f t="shared" si="307"/>
        <v>0.6429494074019475</v>
      </c>
      <c r="KS80" s="165">
        <f t="shared" si="308"/>
        <v>0.63537881562050869</v>
      </c>
      <c r="KT80" s="165">
        <f t="shared" si="309"/>
        <v>0.63250538741844187</v>
      </c>
      <c r="KU80" s="165">
        <f t="shared" si="310"/>
        <v>0.6265838621660168</v>
      </c>
      <c r="KV80" s="165">
        <f t="shared" si="311"/>
        <v>0.62203752254222577</v>
      </c>
      <c r="KW80" s="165">
        <f t="shared" si="312"/>
        <v>0.61580574773177144</v>
      </c>
      <c r="KX80" s="188">
        <f>AVERAGE(Sheet3!J80:P80)*KO80^(1/3)/ID80^(1/3)</f>
        <v>51.265440206345588</v>
      </c>
      <c r="KY80" s="165">
        <f>Sheet3!J80*KP80^(1/3)/IE80^(1/3)</f>
        <v>46.609221083833901</v>
      </c>
      <c r="KZ80" s="165">
        <f>Sheet3!K80*KQ80^(1/3)/IF80^(1/3)</f>
        <v>45.41428050973299</v>
      </c>
      <c r="LA80" s="165">
        <f>Sheet3!L80*KR80^(1/3)/IG80^(1/3)</f>
        <v>46.465638951817752</v>
      </c>
      <c r="LB80" s="165">
        <f>Sheet3!M80*KS80^(1/3)/IH80^(1/3)</f>
        <v>47.590229356386708</v>
      </c>
      <c r="LC80" s="165">
        <f>Sheet3!N80*KT80^(1/3)/II80^(1/3)</f>
        <v>50.529141632301766</v>
      </c>
      <c r="LD80" s="165">
        <f>Sheet3!O80*KU80^(1/3)/IJ80^(1/3)</f>
        <v>55.236896996461425</v>
      </c>
      <c r="LE80" s="165">
        <f>Sheet3!P80*KV80^(1/3)/IK80^(1/3)</f>
        <v>61.661427320904181</v>
      </c>
      <c r="LF80" s="165">
        <f>Sheet3!Q80*KW80^(1/3)/IL80^(1/3)</f>
        <v>67.577686520705214</v>
      </c>
      <c r="LG80" s="186">
        <f t="shared" si="402"/>
        <v>27.261275113382865</v>
      </c>
      <c r="LH80" s="183">
        <f t="shared" si="403"/>
        <v>27.264012578943248</v>
      </c>
      <c r="LI80" s="183">
        <f t="shared" si="404"/>
        <v>27.400810594895628</v>
      </c>
      <c r="LJ80" s="183">
        <f t="shared" si="405"/>
        <v>27.405429771719938</v>
      </c>
      <c r="LK80" s="183">
        <f t="shared" si="406"/>
        <v>27.609601163895611</v>
      </c>
      <c r="LL80" s="183">
        <f t="shared" si="407"/>
        <v>27.614305263772017</v>
      </c>
      <c r="LM80" s="183">
        <f t="shared" si="408"/>
        <v>27.890467888379316</v>
      </c>
      <c r="LN80" s="183">
        <f t="shared" si="409"/>
        <v>27.898179941115721</v>
      </c>
      <c r="LO80" s="183">
        <f t="shared" si="410"/>
        <v>28.190115667443621</v>
      </c>
      <c r="LT80" s="165"/>
      <c r="MF80" s="165"/>
      <c r="MJ80"/>
      <c r="MK80"/>
      <c r="ML80"/>
      <c r="MM80"/>
      <c r="MN80"/>
      <c r="MO80"/>
      <c r="MP80"/>
      <c r="MQ80"/>
      <c r="MR80"/>
    </row>
    <row r="81" spans="1:356" x14ac:dyDescent="0.3">
      <c r="A81" s="184" t="str">
        <f>Sheet3!A81</f>
        <v>2023.02.10</v>
      </c>
      <c r="B81" s="186">
        <f t="shared" si="313"/>
        <v>0.81150515381869692</v>
      </c>
      <c r="C81" s="183">
        <f t="shared" si="257"/>
        <v>0.81051290514367358</v>
      </c>
      <c r="D81" s="183">
        <f t="shared" si="258"/>
        <v>0.80563410376297362</v>
      </c>
      <c r="E81" s="183">
        <f t="shared" si="259"/>
        <v>0.80080725282834786</v>
      </c>
      <c r="F81" s="183">
        <f t="shared" si="260"/>
        <v>0.79574595981585639</v>
      </c>
      <c r="G81" s="183">
        <f t="shared" si="261"/>
        <v>0.79349962408000807</v>
      </c>
      <c r="H81" s="183">
        <f t="shared" si="262"/>
        <v>0.78946107598035498</v>
      </c>
      <c r="I81" s="183">
        <f t="shared" si="263"/>
        <v>0.78476282934165731</v>
      </c>
      <c r="J81" s="183">
        <f t="shared" si="264"/>
        <v>0.78058575822690079</v>
      </c>
      <c r="K81" s="186">
        <f xml:space="preserve"> (6.057 * (10^(-6)))
+ (4.055 * (10^(-8)) * (Sheet3!DF81 + 273))
+ (1.25 * (10^(-10)) * (Sheet3!DF81 + 273)^2)
- (3.367 * (10^(-14)) * (DD81 + 273)^3)</f>
        <v>3.5903176094623446E-5</v>
      </c>
      <c r="L81" s="183">
        <f xml:space="preserve"> (6.057 * (10^(-6)))
+ (4.055 * (10^(-8)) * (Sheet3!BZ81 + 273))
+ (1.25 * (10^(-10)) * (Sheet3!BZ81 + 273)^2)
- (3.367 * (10^(-14)) * (BX81 + 273)^3)</f>
        <v>3.5814949914194314E-5</v>
      </c>
      <c r="M81" s="183">
        <f xml:space="preserve"> (6.057 * (10^(-6)))
+ (4.055 * (10^(-8)) * (Sheet3!CA81 + 273))
+ (1.25 * (10^(-10)) * (Sheet3!CA81 + 273)^2)
- (3.367 * (10^(-14)) * (BY81 + 273)^3)</f>
        <v>3.537118836217211E-5</v>
      </c>
      <c r="N81" s="183">
        <f xml:space="preserve"> (6.057 * (10^(-6)))
+ (4.055 * (10^(-8)) * (Sheet3!CB81 + 273))
+ (1.25 * (10^(-10)) * (Sheet3!CB81 + 273)^2)
- (3.367 * (10^(-14)) * (BZ81 + 273)^3)</f>
        <v>3.499040136912085E-5</v>
      </c>
      <c r="O81" s="183">
        <f xml:space="preserve"> (6.057 * (10^(-6)))
+ (4.055 * (10^(-8)) * (Sheet3!CC81 + 273))
+ (1.25 * (10^(-10)) * (Sheet3!CC81 + 273)^2)
- (3.367 * (10^(-14)) * (CA81 + 273)^3)</f>
        <v>3.4537669370607382E-5</v>
      </c>
      <c r="P81" s="183">
        <f xml:space="preserve"> (6.057 * (10^(-6)))
+ (4.055 * (10^(-8)) * (Sheet3!CD81 + 273))
+ (1.25 * (10^(-10)) * (Sheet3!CD81 + 273)^2)
- (3.367 * (10^(-14)) * (CB81 + 273)^3)</f>
        <v>3.4365715569054484E-5</v>
      </c>
      <c r="Q81" s="183">
        <f xml:space="preserve"> (6.057 * (10^(-6)))
+ (4.055 * (10^(-8)) * (Sheet3!CE81 + 273))
+ (1.25 * (10^(-10)) * (Sheet3!CE81 + 273)^2)
- (3.367 * (10^(-14)) * (CC81 + 273)^3)</f>
        <v>3.4000699848038591E-5</v>
      </c>
      <c r="R81" s="183">
        <f xml:space="preserve"> (6.057 * (10^(-6)))
+ (4.055 * (10^(-8)) * (Sheet3!CF81 + 273))
+ (1.25 * (10^(-10)) * (Sheet3!CF81 + 273)^2)
- (3.367 * (10^(-14)) * (CD81 + 273)^3)</f>
        <v>3.3651922338504163E-5</v>
      </c>
      <c r="S81" s="183">
        <f xml:space="preserve"> (6.057 * (10^(-6)))
+ (4.055 * (10^(-8)) * (Sheet3!CG81 + 273))
+ (1.25 * (10^(-10)) * (Sheet3!CG81 + 273)^2)
- (3.367 * (10^(-14)) * (CE81 + 273)^3)</f>
        <v>3.3276585802957904E-5</v>
      </c>
      <c r="T81" s="188">
        <f t="shared" si="314"/>
        <v>3.5903176094623446E-5</v>
      </c>
      <c r="U81" s="165">
        <f t="shared" si="315"/>
        <v>3.5814949914194314E-5</v>
      </c>
      <c r="V81" s="165">
        <f t="shared" si="316"/>
        <v>3.537118836217211E-5</v>
      </c>
      <c r="W81" s="165">
        <f t="shared" si="317"/>
        <v>3.499040136912085E-5</v>
      </c>
      <c r="X81" s="165">
        <f t="shared" si="318"/>
        <v>3.4537669370607382E-5</v>
      </c>
      <c r="Y81" s="165">
        <f t="shared" si="319"/>
        <v>3.4365715569054484E-5</v>
      </c>
      <c r="Z81" s="165">
        <f t="shared" si="320"/>
        <v>3.4000699848038591E-5</v>
      </c>
      <c r="AA81" s="165">
        <f t="shared" si="321"/>
        <v>3.3651922338504163E-5</v>
      </c>
      <c r="AB81" s="165">
        <f t="shared" si="322"/>
        <v>3.3276585802957904E-5</v>
      </c>
      <c r="AC81" s="186">
        <f t="shared" si="265"/>
        <v>2.9135612439247162E-5</v>
      </c>
      <c r="AD81" s="183">
        <f t="shared" si="266"/>
        <v>2.9028479102528796E-5</v>
      </c>
      <c r="AE81" s="183">
        <f t="shared" si="267"/>
        <v>2.849623563518985E-5</v>
      </c>
      <c r="AF81" s="183">
        <f t="shared" si="268"/>
        <v>2.8020567195766929E-5</v>
      </c>
      <c r="AG81" s="183">
        <f t="shared" si="269"/>
        <v>2.7483210863116675E-5</v>
      </c>
      <c r="AH81" s="183">
        <f t="shared" si="270"/>
        <v>2.7269182385285215E-5</v>
      </c>
      <c r="AI81" s="183">
        <f t="shared" si="271"/>
        <v>2.6842229086117638E-5</v>
      </c>
      <c r="AJ81" s="183">
        <f t="shared" si="272"/>
        <v>2.640877778715025E-5</v>
      </c>
      <c r="AK81" s="183">
        <f t="shared" si="273"/>
        <v>2.5975228960204418E-5</v>
      </c>
      <c r="AL81" s="186">
        <f t="shared" si="323"/>
        <v>2.978347847090497E-2</v>
      </c>
      <c r="AM81" s="183">
        <f t="shared" si="324"/>
        <v>2.9724468928108368E-2</v>
      </c>
      <c r="AN81" s="183">
        <f t="shared" si="325"/>
        <v>2.9421331983667982E-2</v>
      </c>
      <c r="AO81" s="183">
        <f t="shared" si="326"/>
        <v>2.9157241429637958E-2</v>
      </c>
      <c r="AP81" s="183">
        <f t="shared" si="327"/>
        <v>2.8845131485998394E-2</v>
      </c>
      <c r="AQ81" s="183">
        <f t="shared" si="328"/>
        <v>2.8724526910552401E-2</v>
      </c>
      <c r="AR81" s="183">
        <f t="shared" si="329"/>
        <v>2.8471964424026417E-2</v>
      </c>
      <c r="AS81" s="183">
        <f t="shared" si="330"/>
        <v>2.8224849687945051E-2</v>
      </c>
      <c r="AT81" s="183">
        <f t="shared" si="331"/>
        <v>2.7966444159539302E-2</v>
      </c>
      <c r="AU81" s="186">
        <f>_xlfn.FORECAST.LINEAR(Sheet3!DF81,Sheet2!$AH$2:$AH$40,Sheet2!$AG$2:$AG$40)</f>
        <v>2.5653712965492358E-2</v>
      </c>
      <c r="AV81" s="183">
        <f>_xlfn.FORECAST.LINEAR(Sheet3!BZ81,Sheet2!$AH$2:$AH$40,Sheet2!$AG$2:$AG$40)</f>
        <v>2.5485382021027753E-2</v>
      </c>
      <c r="AW81" s="183">
        <f>_xlfn.FORECAST.LINEAR(Sheet3!CA81,Sheet2!$AH$2:$AH$40,Sheet2!$AG$2:$AG$40)</f>
        <v>2.4614189683307523E-2</v>
      </c>
      <c r="AX81" s="183">
        <f>_xlfn.FORECAST.LINEAR(Sheet3!CB81,Sheet2!$AH$2:$AH$40,Sheet2!$AG$2:$AG$40)</f>
        <v>2.386196838099101E-2</v>
      </c>
      <c r="AY81" s="183">
        <f>_xlfn.FORECAST.LINEAR(Sheet3!CC81,Sheet2!$AH$2:$AH$40,Sheet2!$AG$2:$AG$40)</f>
        <v>2.2961969958750696E-2</v>
      </c>
      <c r="AZ81" s="183">
        <f>_xlfn.FORECAST.LINEAR(Sheet3!CD81,Sheet2!$AH$2:$AH$40,Sheet2!$AG$2:$AG$40)</f>
        <v>2.2618469285541357E-2</v>
      </c>
      <c r="BA81" s="183">
        <f>_xlfn.FORECAST.LINEAR(Sheet3!CE81,Sheet2!$AH$2:$AH$40,Sheet2!$AG$2:$AG$40)</f>
        <v>2.1886306610693896E-2</v>
      </c>
      <c r="BB81" s="183">
        <f>_xlfn.FORECAST.LINEAR(Sheet3!CF81,Sheet2!$AH$2:$AH$40,Sheet2!$AG$2:$AG$40)</f>
        <v>2.1182776858429408E-2</v>
      </c>
      <c r="BC81" s="183">
        <f>_xlfn.FORECAST.LINEAR(Sheet3!CG81,Sheet2!$AH$2:$AH$40,Sheet2!$AG$2:$AG$40)</f>
        <v>2.0433601623490304E-2</v>
      </c>
      <c r="BD81" s="186">
        <f>_xlfn.FORECAST.LINEAR(Sheet3!DF81,Sheet2!$AB$12:$AB$37,Sheet2!$AA$12:$AA$37)/1000</f>
        <v>3.0506351161118033E-2</v>
      </c>
      <c r="BE81" s="183">
        <f>_xlfn.FORECAST.LINEAR(Sheet3!BZ81,Sheet2!$AB$12:$AB$37,Sheet2!$AA$12:$AA$37)/1000</f>
        <v>3.046871625821293E-2</v>
      </c>
      <c r="BF81" s="183">
        <f>_xlfn.FORECAST.LINEAR(Sheet3!CA81,Sheet2!$AB$12:$AB$37,Sheet2!$AA$12:$AA$37)/1000</f>
        <v>3.0273937816577879E-2</v>
      </c>
      <c r="BG81" s="183">
        <f>_xlfn.FORECAST.LINEAR(Sheet3!CB81,Sheet2!$AB$12:$AB$37,Sheet2!$AA$12:$AA$37)/1000</f>
        <v>3.0105758544692513E-2</v>
      </c>
      <c r="BH81" s="183">
        <f>_xlfn.FORECAST.LINEAR(Sheet3!CC81,Sheet2!$AB$12:$AB$37,Sheet2!$AA$12:$AA$37)/1000</f>
        <v>2.9904539729319658E-2</v>
      </c>
      <c r="BI81" s="183">
        <f>_xlfn.FORECAST.LINEAR(Sheet3!CD81,Sheet2!$AB$12:$AB$37,Sheet2!$AA$12:$AA$37)/1000</f>
        <v>2.9827740929638538E-2</v>
      </c>
      <c r="BJ81" s="183">
        <f>_xlfn.FORECAST.LINEAR(Sheet3!CE81,Sheet2!$AB$12:$AB$37,Sheet2!$AA$12:$AA$37)/1000</f>
        <v>2.9664046302567637E-2</v>
      </c>
      <c r="BK81" s="183">
        <f>_xlfn.FORECAST.LINEAR(Sheet3!CF81,Sheet2!$AB$12:$AB$37,Sheet2!$AA$12:$AA$37)/1000</f>
        <v>2.9506753334233506E-2</v>
      </c>
      <c r="BL81" s="183">
        <f>_xlfn.FORECAST.LINEAR(Sheet3!CG81,Sheet2!$AB$12:$AB$37,Sheet2!$AA$12:$AA$37)/1000</f>
        <v>2.9339255092507836E-2</v>
      </c>
      <c r="BM81" s="186">
        <f t="shared" si="332"/>
        <v>0.92889784562821387</v>
      </c>
      <c r="BN81" s="183">
        <f t="shared" si="333"/>
        <v>0.93062650963852334</v>
      </c>
      <c r="BO81" s="183">
        <f t="shared" si="334"/>
        <v>0.93983646662948928</v>
      </c>
      <c r="BP81" s="183">
        <f t="shared" si="335"/>
        <v>0.94776982351955019</v>
      </c>
      <c r="BQ81" s="183">
        <f t="shared" si="336"/>
        <v>0.95766875040596589</v>
      </c>
      <c r="BR81" s="183">
        <f t="shared" si="337"/>
        <v>0.96141388177960296</v>
      </c>
      <c r="BS81" s="183">
        <f t="shared" si="338"/>
        <v>0.96972534246587949</v>
      </c>
      <c r="BT81" s="183">
        <f t="shared" si="339"/>
        <v>0.97761728912754142</v>
      </c>
      <c r="BU81" s="183">
        <f t="shared" si="340"/>
        <v>0.98638069646469417</v>
      </c>
      <c r="BV81" s="186">
        <f t="shared" si="341"/>
        <v>1.1004829322627616</v>
      </c>
      <c r="BW81" s="183">
        <f t="shared" si="342"/>
        <v>1.1003083332649499</v>
      </c>
      <c r="BX81" s="183">
        <f t="shared" si="343"/>
        <v>1.0985568719400913</v>
      </c>
      <c r="BY81" s="183">
        <f t="shared" si="344"/>
        <v>1.0979097300662979</v>
      </c>
      <c r="BZ81" s="183">
        <f t="shared" si="345"/>
        <v>1.0959474658086372</v>
      </c>
      <c r="CA81" s="183">
        <f t="shared" si="346"/>
        <v>1.0956463074754004</v>
      </c>
      <c r="CB81" s="183">
        <f t="shared" si="347"/>
        <v>1.0938306999979086</v>
      </c>
      <c r="CC81" s="183">
        <f t="shared" si="348"/>
        <v>1.0932373531756276</v>
      </c>
      <c r="CD81" s="183">
        <f t="shared" si="349"/>
        <v>1.0915240318566499</v>
      </c>
      <c r="CE81" s="187">
        <f xml:space="preserve"> -0.0000000019505*Sheet3!DF81^3 + 0.0000015497*Sheet3!DF81^2  + 0.00016911*Sheet3!DF81 + 1.8585</f>
        <v>1.8828730816875001</v>
      </c>
      <c r="CF81" s="185">
        <f xml:space="preserve"> -0.0000000019505*Sheet3!BZ81^3 + 0.0000015497*Sheet3!BZ81^2  + 0.00016911*Sheet3!BZ81 + 1.8585</f>
        <v>1.8826150437004523</v>
      </c>
      <c r="CG81" s="185">
        <f xml:space="preserve"> -0.0000000019505*Sheet3!CA81^3 + 0.0000015497*Sheet3!CA81^2  + 0.00016911*Sheet3!CA81 + 1.8585</f>
        <v>1.8812944597473951</v>
      </c>
      <c r="CH81" s="185">
        <f xml:space="preserve"> -0.0000000019505*Sheet3!CB81^3 + 0.0000015497*Sheet3!CB81^2  + 0.00016911*Sheet3!CB81 + 1.8585</f>
        <v>1.8801745472874081</v>
      </c>
      <c r="CI81" s="185">
        <f xml:space="preserve"> -0.0000000019505*Sheet3!CC81^3 + 0.0000015497*Sheet3!CC81^2  + 0.00016911*Sheet3!CC81 + 1.8585</f>
        <v>1.8788598258166862</v>
      </c>
      <c r="CJ81" s="185">
        <f xml:space="preserve"> -0.0000000019505*Sheet3!CD81^3 + 0.0000015497*Sheet3!CD81^2  + 0.00016911*Sheet3!CD81 + 1.8585</f>
        <v>1.8783653793955899</v>
      </c>
      <c r="CK81" s="185">
        <f xml:space="preserve"> -0.0000000019505*Sheet3!CE81^3 + 0.0000015497*Sheet3!CE81^2  + 0.00016911*Sheet3!CE81 + 1.8585</f>
        <v>1.8773251995840377</v>
      </c>
      <c r="CL81" s="185">
        <f xml:space="preserve"> -0.0000000019505*Sheet3!CF81^3 + 0.0000015497*Sheet3!CF81^2  + 0.00016911*Sheet3!CF81 + 1.8585</f>
        <v>1.8763435076581687</v>
      </c>
      <c r="CM81" s="185">
        <f xml:space="preserve"> -0.0000000019505*Sheet3!CG81^3 + 0.0000015497*Sheet3!CG81^2  + 0.00016911*Sheet3!CG81 + 1.8585</f>
        <v>1.8753175948851182</v>
      </c>
      <c r="CN81" s="186">
        <f>_xlfn.FORECAST.LINEAR(Sheet3!DF81,New!$LU$2:$LU$14,New!$LT$2:$LT$14)</f>
        <v>1.0126209368728181</v>
      </c>
      <c r="CO81" s="183">
        <f>_xlfn.FORECAST.LINEAR(Sheet3!BZ81,New!$LU$2:$LU$14,New!$LT$2:$LT$14)</f>
        <v>1.0124970430893114</v>
      </c>
      <c r="CP81" s="183">
        <f>_xlfn.FORECAST.LINEAR(Sheet3!CA81,New!$LU$2:$LU$14,New!$LT$2:$LT$14)</f>
        <v>1.0118558340993342</v>
      </c>
      <c r="CQ81" s="183">
        <f>_xlfn.FORECAST.LINEAR(Sheet3!CB81,New!$LU$2:$LU$14,New!$LT$2:$LT$14)</f>
        <v>1.0113021893522283</v>
      </c>
      <c r="CR81" s="183">
        <f>_xlfn.FORECAST.LINEAR(Sheet3!CC81,New!$LU$2:$LU$14,New!$LT$2:$LT$14)</f>
        <v>1.0106397787061292</v>
      </c>
      <c r="CS81" s="183">
        <f>_xlfn.FORECAST.LINEAR(Sheet3!CD81,New!$LU$2:$LU$14,New!$LT$2:$LT$14)</f>
        <v>1.010386957704166</v>
      </c>
      <c r="CT81" s="183">
        <f>_xlfn.FORECAST.LINEAR(Sheet3!CE81,New!$LU$2:$LU$14,New!$LT$2:$LT$14)</f>
        <v>1.0098480763700319</v>
      </c>
      <c r="CU81" s="183">
        <f>_xlfn.FORECAST.LINEAR(Sheet3!CF81,New!$LU$2:$LU$14,New!$LT$2:$LT$14)</f>
        <v>1.0093302692425623</v>
      </c>
      <c r="CV81" s="183">
        <f>_xlfn.FORECAST.LINEAR(Sheet3!CG81,New!$LU$2:$LU$14,New!$LT$2:$LT$14)</f>
        <v>1.0087788664410082</v>
      </c>
      <c r="CW81" s="186">
        <f>EXP((17.625*Sheet3!BA81)/(243.04+Sheet3!BA81)) / EXP((17.625*Sheet3!DF81)/(243.04+Sheet3!DF81))</f>
        <v>0.24012038912584946</v>
      </c>
      <c r="CX81" s="183">
        <f>EXP((17.625*(Sheet3!BC81+273))/(243.04+(Sheet3!BC81+273)))/EXP((17.625*(Sheet3!BZ81+273))/(243.04+(Sheet3!BZ81+273)))</f>
        <v>0.67229944645482942</v>
      </c>
      <c r="CY81" s="183">
        <f>EXP((17.625*(Sheet3!BE81+273))/(243.04+(Sheet3!BE81+273))) / EXP((17.625*(Sheet3!CA81+273))/(243.04+(Sheet3!CA81+273)))</f>
        <v>0.69975796250865185</v>
      </c>
      <c r="CZ81" s="183">
        <f>EXP((17.625*(Sheet3!BG81+273))/(243.04+(Sheet3!BG81+273))) / EXP((17.625*(Sheet3!CB81+273))/(243.04+(Sheet3!CB81+273)))</f>
        <v>0.72299565032870339</v>
      </c>
      <c r="DA81" s="183">
        <f>EXP((17.625*(Sheet3!BI81+273))/(243.04+(Sheet3!BI81+273))) / EXP((17.625*(Sheet3!CC81+273))/(243.04+(Sheet3!CC81+273)))</f>
        <v>0.75148557525363469</v>
      </c>
      <c r="DB81" s="183">
        <f>EXP((17.625*(Sheet3!BK81+273))/(243.04+(Sheet3!BK81+273)))/EXP((17.625*(Sheet3!CD81+273))/(243.04+(Sheet3!CD81+273)))</f>
        <v>0.76402774642774707</v>
      </c>
      <c r="DC81" s="183">
        <f>EXP((17.625*(Sheet3!BM81+273))/(243.04+(Sheet3!BM81+273))) / EXP((17.625*(Sheet3!CE81+273))/(243.04+(Sheet3!CE81+273)))</f>
        <v>0.7881197211792994</v>
      </c>
      <c r="DD81" s="183">
        <f>EXP((17.625*(Sheet3!BO81+273))/(243.04+(Sheet3!BO81+273))) / EXP((17.625*(Sheet3!CF81+273))/(243.04+(Sheet3!CF81+273)))</f>
        <v>0.81582504271352208</v>
      </c>
      <c r="DE81" s="183">
        <f>EXP((17.625*(Sheet3!BQ81+273))/(243.04+(Sheet3!BQ81+273))) / EXP((17.625*(Sheet3!CG81+273))/(243.04+(Sheet3!CG81+273)))</f>
        <v>0.84312936955523732</v>
      </c>
      <c r="DF81" s="186">
        <f>((Sheet3!DA81-Sheet3!DB81)/New!$LQ$3)/(((Sheet3!DA81-Sheet3!DB81)/New!$LQ$3)+(Sheet3!DB81/New!$LP$3))</f>
        <v>0.84707936831226827</v>
      </c>
      <c r="DG81" s="183">
        <f>((Sheet3!DA81-Sheet3!DB81)/New!$LQ$3)/(((Sheet3!DA81-Sheet3!DB81)/New!$LQ$3)+((Sheet3!DB81-(Sheet3!B81*0.004))/New!$LP$3))</f>
        <v>0.84737555392365749</v>
      </c>
      <c r="DH81" s="183" cm="1">
        <f t="array" ref="DH81">((Sheet3!DA81-Sheet3!DB81)/New!$LQ$3)/(((Sheet3!DA81-Sheet3!DB81)/New!$LQ$3)+((Sheet3!DB81-(SUM(Sheet3!B81:C81*0.004)))/New!$LP$3))</f>
        <v>0.85577885764178452</v>
      </c>
      <c r="DI81" s="183" cm="1">
        <f t="array" ref="DI81">((Sheet3!DA81-Sheet3!DB81)/New!$LQ$3)/(((Sheet3!DA81-Sheet3!DB81)/New!$LQ$3)+((Sheet3!DB81-(SUM(Sheet3!B81:D81*0.004)))/New!$LP$3))</f>
        <v>0.8560811592195865</v>
      </c>
      <c r="DJ81" s="183" cm="1">
        <f t="array" ref="DJ81">((Sheet3!DA81-Sheet3!DB81)/New!$LQ$3)/(((Sheet3!DA81-Sheet3!DB81)/New!$LQ$3)+((Sheet3!DB81-(SUM(Sheet3!B81:E81*0.004)))/New!$LP$3))</f>
        <v>0.86630735228774391</v>
      </c>
      <c r="DK81" s="183" cm="1">
        <f t="array" ref="DK81">((Sheet3!DA81-Sheet3!DB81)/New!$LQ$3)/(((Sheet3!DA81-Sheet3!DB81)/New!$LQ$3)+((Sheet3!DB81-(SUM(Sheet3!B81:F81*0.004)))/New!$LP$3))</f>
        <v>0.86651385234335732</v>
      </c>
      <c r="DL81" s="183" cm="1">
        <f t="array" ref="DL81">((Sheet3!DA81-Sheet3!DB81)/New!$LQ$3)/(((Sheet3!DA81-Sheet3!DB81)/New!$LQ$3)+((Sheet3!DB81-(SUM(Sheet3!B81:G81*0.004)))/New!$LP$3))</f>
        <v>0.8769658878790052</v>
      </c>
      <c r="DM81" s="183" cm="1">
        <f t="array" ref="DM81">((Sheet3!DA81-Sheet3!DB81)/New!$LQ$3)/(((Sheet3!DA81-Sheet3!DB81)/New!$LQ$3)+((Sheet3!DB81-(SUM(Sheet3!B81:H81*0.004)))/New!$LP$3))</f>
        <v>0.87723042039346255</v>
      </c>
      <c r="DN81" s="183" cm="1">
        <f t="array" ref="DN81">((Sheet3!DA81-Sheet3!DB81)/New!$LQ$3)/(((Sheet3!DA81-Sheet3!DB81)/New!$LQ$3)+((Sheet3!DB81-(SUM(Sheet3!B81:I81*0.004)))/New!$LP$3))</f>
        <v>0.88699629240944722</v>
      </c>
      <c r="DO81" s="186">
        <f>(Sheet3!DB81/$LP$3) / ((Sheet3!DB81/$LP$3) + ((Sheet3!DA81-Sheet3!DB81)/$LQ$3))</f>
        <v>0.15292063168773171</v>
      </c>
      <c r="DP81" s="183">
        <f>((Sheet3!$DB81-(Sheet3!B81/4000)) / $LP$3) / (((Sheet3!$DA81-Sheet3!DB81) / $LQ$3) + (Sheet3!$DB81-((Sheet3!B81/4000)))/$LP$3)</f>
        <v>0.15290212615316456</v>
      </c>
      <c r="DQ81" s="183">
        <f>((Sheet3!$DB81-(SUM(Sheet3!B81:C81)/4000))/$LP$3)/(((Sheet3!$DA81-Sheet3!$DB81)/$LQ$3)+(Sheet3!$DB81-(SUM(Sheet3!B81:C81)/4000))/$LP$3)</f>
        <v>0.15238209865855154</v>
      </c>
      <c r="DR81" s="183">
        <f>((Sheet3!$DB81-(SUM(Sheet3!B81:D81)/4000))/$LP$3)/(((Sheet3!$DA81-Sheet3!$DB81)/$LQ$3)+(Sheet3!$DB81-(SUM(Sheet3!B81:D81)/4000))/$LP$3)</f>
        <v>0.15236356958635885</v>
      </c>
      <c r="DS81" s="183">
        <f>((Sheet3!$DB81-(SUM(Sheet3!B81:E81)/4000))/$LP$3)/(((Sheet3!$DA81-Sheet3!$DB81)/$LQ$3)+(Sheet3!$DB81-(SUM(Sheet3!B81:E81)/4000))/$LP$3)</f>
        <v>0.15174392357415462</v>
      </c>
      <c r="DT81" s="183">
        <f>((Sheet3!$DB81-(SUM(Sheet3!B81:F81)/4000))/$LP$3)/(((Sheet3!$DA81-Sheet3!$DB81)/$LQ$3)+(Sheet3!$DB81-(SUM(Sheet3!B81:F81)/4000))/$LP$3)</f>
        <v>0.15173155234154528</v>
      </c>
      <c r="DU81" s="183">
        <f>((Sheet3!$DB81-(SUM(Sheet3!B81:G81)/4000))/$LP$3)/(((Sheet3!$DA81-Sheet3!$DB81)/$LQ$3)+(Sheet3!$DB81-(SUM(Sheet3!B81:G81)/4000))/$LP$3)</f>
        <v>0.15111253028919633</v>
      </c>
      <c r="DV81" s="183">
        <f>((Sheet3!$DB81-(SUM(Sheet3!B81:H81)/4000))/$LP$3)/(((Sheet3!$DA81-Sheet3!$DB81)/$LQ$3)+(Sheet3!$DB81-(SUM(Sheet3!B81:H81)/4000))/$LP$3)</f>
        <v>0.1510970431620953</v>
      </c>
      <c r="DW81" s="183">
        <f>((Sheet3!$DB81-(SUM(Sheet3!B81:I81)/4000))/$LP$3)/(((Sheet3!$DA81-Sheet3!$DB81)/$LQ$3)+(Sheet3!$DB81-(SUM(Sheet3!B81:I81)/4000))/$LP$3)</f>
        <v>0.15053137602819641</v>
      </c>
      <c r="DX81" s="186">
        <f>($LR$2*($LP$3/1000))/($LP$2*(Sheet3!DF81+273))*DO81</f>
        <v>9.3782955568233128E-2</v>
      </c>
      <c r="DY81" s="183">
        <f>(($LR$2*($LP$3/1000))/($LP$2*(Sheet3!BZ81+273)))*(DP81)</f>
        <v>9.3945416630432502E-2</v>
      </c>
      <c r="DZ81" s="183">
        <f>(($LR$2*($LP$3/1000))/($LP$2*(Sheet3!CA81+273)))*(DQ81)</f>
        <v>9.4532755049922867E-2</v>
      </c>
      <c r="EA81" s="183">
        <f>(($LR$2*($LP$3/1000))/($LP$2*(Sheet3!CB81+273)))*(DR81)</f>
        <v>9.5318425746449664E-2</v>
      </c>
      <c r="EB81" s="183">
        <f>(($LR$2*($LP$3/1000))/($LP$2*(Sheet3!CC81+273)))*(DS81)</f>
        <v>9.5898444785117845E-2</v>
      </c>
      <c r="EC81" s="183">
        <f>(($LR$2*($LP$3/1000))/($LP$2*(Sheet3!CD81+273)))*(DT81)</f>
        <v>9.626514608533901E-2</v>
      </c>
      <c r="ED81" s="183">
        <f>(($LR$2*($LP$3/1000))/($LP$2*(Sheet3!CE81+273)))*(DU81)</f>
        <v>9.6677238564385967E-2</v>
      </c>
      <c r="EE81" s="183">
        <f>(($LR$2*($LP$3/1000))/($LP$2*(Sheet3!CF81+273)))*(DV81)</f>
        <v>9.74534362263101E-2</v>
      </c>
      <c r="EF81" s="183">
        <f>(($LR$2*($LP$3/1000))/($LP$2*(Sheet3!CG81+273)))*(DW81)</f>
        <v>9.7936697746411727E-2</v>
      </c>
      <c r="EG81" s="186">
        <f>(($LR$2*($LQ$3/1000))/($LQ$2*(Sheet3!DF81+273)))*(1-DO81)</f>
        <v>0.83511489005998074</v>
      </c>
      <c r="EH81" s="183">
        <f>(($LR$2*($LQ$3/1000))/($LQ$2*(Sheet3!BZ81+273)))*(1-DP81)</f>
        <v>0.83668109300809079</v>
      </c>
      <c r="EI81" s="183">
        <f>(($LR$2*($LQ$3/1000))/($LQ$2*(Sheet3!CA81+273)))*(1-DQ81)</f>
        <v>0.84530371157956641</v>
      </c>
      <c r="EJ81" s="183">
        <f>(($LR$2*($LQ$3/1000))/($LQ$2*(Sheet3!CB81+273)))*(1-DR81)</f>
        <v>0.85245139777310053</v>
      </c>
      <c r="EK81" s="183">
        <f>(($LR$2*($LQ$3/1000))/($LQ$2*(Sheet3!CC81+273)))*(1-DS81)</f>
        <v>0.861770305620848</v>
      </c>
      <c r="EL81" s="183">
        <f>(($LR$2*($LQ$3/1000))/($LQ$2*(Sheet3!CD81+273)))*(1-DT81)</f>
        <v>0.86514873569426398</v>
      </c>
      <c r="EM81" s="183">
        <f>(($LR$2*($LQ$3/1000))/($LQ$2*(Sheet3!CE81+273)))*(1-DU81)</f>
        <v>0.87304810390149357</v>
      </c>
      <c r="EN81" s="183">
        <f>(($LR$2*($LQ$3/1000))/($LQ$2*(Sheet3!CF81+273)))*(1-DV81)</f>
        <v>0.88016385290123134</v>
      </c>
      <c r="EO81" s="183">
        <f>(($LR$2*($LQ$3/1000))/($LQ$2*(Sheet3!CG81+273)))*(1-DW81)</f>
        <v>0.88844399871828239</v>
      </c>
      <c r="EP81" s="186">
        <f t="shared" si="350"/>
        <v>4853.7235915297015</v>
      </c>
      <c r="EQ81" s="183">
        <f xml:space="preserve"> (($FV81-(Sheet3!B81/4000))*0.018)/(0.011*JO81*3600)</f>
        <v>4860.3935407666067</v>
      </c>
      <c r="ER81" s="183">
        <f>((($FV81-(SUM(Sheet3!B81:C81)/4000))*0.018)/(0.011*JP81*3600))</f>
        <v>4892.6000915635304</v>
      </c>
      <c r="ES81" s="183">
        <f>((($FV81-(SUM(Sheet3!B81:D81)/4000))*0.018)/(0.011*JQ81*3600))</f>
        <v>4923.4623268276046</v>
      </c>
      <c r="ET81" s="183">
        <f>((($FV81-(SUM(Sheet3!B81:E81)/4000))*0.018)/(0.011*JR81))/3600</f>
        <v>4957.1628531385877</v>
      </c>
      <c r="EU81" s="183">
        <f>((($FV81-(SUM(Sheet3!B81:F81)/4000))*0.018)/(0.011*JS81))/3600</f>
        <v>4971.5717012145788</v>
      </c>
      <c r="EV81" s="183">
        <f>((($FV81-(SUM(Sheet3!B81:G81)/4000))*0.018)/(0.011*JT81))/3600</f>
        <v>4998.8096172215592</v>
      </c>
      <c r="EW81" s="183">
        <f>((($FV81-(SUM(Sheet3!B81:H81)/4000))*0.018)/(0.011*JU81))/3600</f>
        <v>5029.0046629009721</v>
      </c>
      <c r="EX81" s="183">
        <f>((($FV81-(SUM(Sheet3!B81:I81)/4000))*0.018)/(0.011*JV81))/3600</f>
        <v>5058.0307432449599</v>
      </c>
      <c r="EY81" s="186">
        <f t="shared" si="351"/>
        <v>50.370179908636047</v>
      </c>
      <c r="EZ81" s="183">
        <f t="shared" si="352"/>
        <v>50.421706421551683</v>
      </c>
      <c r="FA81" s="183">
        <f t="shared" si="353"/>
        <v>50.66198531175958</v>
      </c>
      <c r="FB81" s="183">
        <f t="shared" si="354"/>
        <v>50.902004714160007</v>
      </c>
      <c r="FC81" s="183">
        <f t="shared" si="355"/>
        <v>51.151962376118149</v>
      </c>
      <c r="FD81" s="183">
        <f t="shared" si="356"/>
        <v>51.264088110231569</v>
      </c>
      <c r="FE81" s="183">
        <f t="shared" si="357"/>
        <v>51.46359584527567</v>
      </c>
      <c r="FF81" s="183">
        <f t="shared" si="358"/>
        <v>51.699038790967172</v>
      </c>
      <c r="FG81" s="183">
        <f t="shared" si="359"/>
        <v>51.913627145033921</v>
      </c>
      <c r="FH81" s="186">
        <f t="shared" si="274"/>
        <v>83.344398271359552</v>
      </c>
      <c r="FI81" s="183">
        <f t="shared" si="275"/>
        <v>83.2643581016453</v>
      </c>
      <c r="FJ81" s="183">
        <f t="shared" si="276"/>
        <v>82.807949378277215</v>
      </c>
      <c r="FK81" s="183">
        <f t="shared" si="277"/>
        <v>82.453446705740717</v>
      </c>
      <c r="FL81" s="183">
        <f t="shared" si="278"/>
        <v>81.971393361442836</v>
      </c>
      <c r="FM81" s="183">
        <f t="shared" si="279"/>
        <v>81.807593248182002</v>
      </c>
      <c r="FN81" s="183">
        <f t="shared" si="280"/>
        <v>81.403870557731253</v>
      </c>
      <c r="FO81" s="183">
        <f t="shared" si="281"/>
        <v>81.0665332714605</v>
      </c>
      <c r="FP81" s="183">
        <f t="shared" si="282"/>
        <v>80.657753037263049</v>
      </c>
      <c r="FQ81" s="314">
        <f>Sheet3!CV81</f>
        <v>1</v>
      </c>
      <c r="FR81" s="183">
        <v>5000</v>
      </c>
      <c r="FS81" s="183">
        <v>10</v>
      </c>
      <c r="FT81" s="183">
        <v>0.10164473684210526</v>
      </c>
      <c r="FU81" s="183">
        <v>29.04</v>
      </c>
      <c r="FV81" s="183">
        <v>208</v>
      </c>
      <c r="FW81" s="183">
        <v>21</v>
      </c>
      <c r="FX81" s="183">
        <v>210</v>
      </c>
      <c r="FY81" s="183">
        <v>7.16</v>
      </c>
      <c r="FZ81" s="183">
        <v>21.62</v>
      </c>
      <c r="GA81" s="183">
        <v>85</v>
      </c>
      <c r="GB81" s="186">
        <f>EXP($LP$6-($LQ$6/('Trial and Error method'!T81+$LP$8))) / ($LR$2/1000)</f>
        <v>6.3523585805819849E-2</v>
      </c>
      <c r="GC81" s="183">
        <f>EXP($LP$6-($LQ$6/('Trial and Error method'!U81+$LP$8))) / ($LR$2/1000)</f>
        <v>0.12052568742574672</v>
      </c>
      <c r="GD81" s="183">
        <f>EXP($LP$6-($LQ$6/('Trial and Error method'!V81+$LP$8))) / ($LR$2/1000)</f>
        <v>0.11400166089998108</v>
      </c>
      <c r="GE81" s="183">
        <f>EXP($LP$6-($LQ$6/('Trial and Error method'!W81+$LP$8))) / ($LR$2/1000)</f>
        <v>0.1090398554429368</v>
      </c>
      <c r="GF81" s="183">
        <f>EXP($LP$6-($LQ$6/('Trial and Error method'!X81+$LP$8))) / ($LR$2/1000)</f>
        <v>0.10294217525555703</v>
      </c>
      <c r="GG81" s="183">
        <f>EXP($LP$6-($LQ$6/('Trial and Error method'!Y81+$LP$8))) / ($LR$2/1000)</f>
        <v>9.916592891092571E-2</v>
      </c>
      <c r="GH81" s="183">
        <f>EXP($LP$6-($LQ$6/('Trial and Error method'!Z81+$LP$8))) / ($LR$2/1000)</f>
        <v>9.3747790761802674E-2</v>
      </c>
      <c r="GI81" s="183">
        <f>EXP($LP$6-($LQ$6/('Trial and Error method'!AA81+$LP$8))) / ($LR$2/1000)</f>
        <v>8.9017989714748433E-2</v>
      </c>
      <c r="GJ81" s="183">
        <f>EXP($LP$6-($LQ$6/('Trial and Error method'!AB81+$LP$8))) / ($LR$2/1000)</f>
        <v>8.3096979753850816E-2</v>
      </c>
      <c r="GK81" s="188">
        <f t="shared" si="411"/>
        <v>0.89103058325692641</v>
      </c>
      <c r="GL81" s="165">
        <f t="shared" si="360"/>
        <v>0.8631848973166959</v>
      </c>
      <c r="GM81" s="165">
        <f t="shared" si="361"/>
        <v>0.86666648462789653</v>
      </c>
      <c r="GN81" s="165">
        <f t="shared" si="362"/>
        <v>0.86911832862943705</v>
      </c>
      <c r="GO81" s="165">
        <f t="shared" si="363"/>
        <v>0.87242947408449589</v>
      </c>
      <c r="GP81" s="165">
        <f t="shared" si="364"/>
        <v>0.87428790425801128</v>
      </c>
      <c r="GQ81" s="165">
        <f t="shared" si="365"/>
        <v>0.877257266890628</v>
      </c>
      <c r="GR81" s="165">
        <f t="shared" si="366"/>
        <v>0.87957739450576566</v>
      </c>
      <c r="GS81" s="165">
        <f t="shared" si="367"/>
        <v>0.88275658377470856</v>
      </c>
      <c r="GT81" s="188">
        <f t="shared" si="283"/>
        <v>6.077272086869033E-2</v>
      </c>
      <c r="GU81" s="165">
        <f t="shared" si="284"/>
        <v>6.2734049546489784E-2</v>
      </c>
      <c r="GV81" s="165">
        <f t="shared" si="285"/>
        <v>6.2489631501609383E-2</v>
      </c>
      <c r="GW81" s="165">
        <f t="shared" si="286"/>
        <v>6.2332371297140872E-2</v>
      </c>
      <c r="GX81" s="165">
        <f t="shared" si="287"/>
        <v>6.2105252526218374E-2</v>
      </c>
      <c r="GY81" s="165">
        <f t="shared" si="288"/>
        <v>6.1983104604720382E-2</v>
      </c>
      <c r="GZ81" s="165">
        <f t="shared" si="289"/>
        <v>6.1780279164495765E-2</v>
      </c>
      <c r="HA81" s="165">
        <f t="shared" si="290"/>
        <v>6.1640077015195686E-2</v>
      </c>
      <c r="HB81" s="165">
        <f t="shared" si="291"/>
        <v>6.1422451410418778E-2</v>
      </c>
      <c r="HC81" s="188">
        <f>BV81*Sheet3!DF81</f>
        <v>93.541049242334736</v>
      </c>
      <c r="HD81" s="165">
        <f>BW81*Sheet3!BZ81</f>
        <v>92.797427616978169</v>
      </c>
      <c r="HE81" s="165">
        <f>BX81*Sheet3!CA81</f>
        <v>88.883932131593056</v>
      </c>
      <c r="HF81" s="165">
        <f>BY81*Sheet3!CB81</f>
        <v>85.58196560508874</v>
      </c>
      <c r="HG81" s="165">
        <f>BZ81*Sheet3!CC81</f>
        <v>81.547950544033966</v>
      </c>
      <c r="HH81" s="165">
        <f>CA81*Sheet3!CD81</f>
        <v>80.044673320580145</v>
      </c>
      <c r="HI81" s="165">
        <f>CB81*Sheet3!CE81</f>
        <v>76.760828730237989</v>
      </c>
      <c r="HJ81" s="165">
        <f>CC81*Sheet3!CF81</f>
        <v>73.692865826735925</v>
      </c>
      <c r="HK81" s="165">
        <f>CD81*Sheet3!CG81</f>
        <v>70.359750911951949</v>
      </c>
      <c r="HL81" s="188">
        <f>(CE81*Sheet3!DF81)+2501</f>
        <v>2661.0442119434374</v>
      </c>
      <c r="HM81" s="165">
        <f>(CF81*Sheet3!BZ81)+2501</f>
        <v>2659.7753432076929</v>
      </c>
      <c r="HN81" s="165">
        <f>(CG81*Sheet3!CA81)+2501</f>
        <v>2653.2150134880303</v>
      </c>
      <c r="HO81" s="165">
        <f>(CH81*Sheet3!CB81)+2501</f>
        <v>2647.5594383864304</v>
      </c>
      <c r="HP81" s="165">
        <f>(CI81*Sheet3!CC81)+2501</f>
        <v>2640.8033874204193</v>
      </c>
      <c r="HQ81" s="165">
        <f>(CJ81*Sheet3!CD81)+2501</f>
        <v>2638.2278098731085</v>
      </c>
      <c r="HR81" s="165">
        <f>(CK81*Sheet3!CE81)+2501</f>
        <v>2632.74345729783</v>
      </c>
      <c r="HS81" s="165">
        <f>(CL81*Sheet3!CF81)+2501</f>
        <v>2627.4804298472473</v>
      </c>
      <c r="HT81" s="165">
        <f>(CM81*Sheet3!CG81)+2501</f>
        <v>2621.8831642785544</v>
      </c>
      <c r="HU81" s="188">
        <f>-0.0021*(Sheet3!DF81^2) - 2.2115*(Sheet3!DF81) + 2499</f>
        <v>2295.85</v>
      </c>
      <c r="HV81" s="165">
        <f>-0.0021*(Sheet3!BZ81^2) - 2.2115*(Sheet3!BZ81) + 2499</f>
        <v>2297.5503048361197</v>
      </c>
      <c r="HW81" s="165">
        <f>-0.0021*(Sheet3!CA81^2) - 2.2115*(Sheet3!CA81) + 2499</f>
        <v>2306.3207428844562</v>
      </c>
      <c r="HX81" s="165">
        <f>-0.0021*(Sheet3!CB81^2) - 2.2115*(Sheet3!CB81) + 2499</f>
        <v>2313.8537760340455</v>
      </c>
      <c r="HY81" s="165">
        <f>-0.0021*(Sheet3!CC81^2) - 2.2115*(Sheet3!CC81) + 2499</f>
        <v>2322.818359452112</v>
      </c>
      <c r="HZ81" s="165">
        <f>-0.0021*(Sheet3!CD81^2) - 2.2115*(Sheet3!CD81) + 2499</f>
        <v>2326.2259671574816</v>
      </c>
      <c r="IA81" s="165">
        <f>-0.0021*(Sheet3!CE81^2) - 2.2115*(Sheet3!CE81) + 2499</f>
        <v>2333.463587686249</v>
      </c>
      <c r="IB81" s="165">
        <f>-0.0021*(Sheet3!CF81^2) - 2.2115*(Sheet3!CF81) + 2499</f>
        <v>2340.385324471566</v>
      </c>
      <c r="IC81" s="165">
        <f>-0.0021*(Sheet3!CG81^2) - 2.2115*(Sheet3!CG81) + 2499</f>
        <v>2347.7207633538769</v>
      </c>
      <c r="ID81" s="188">
        <f t="shared" si="292"/>
        <v>0.71973646477238551</v>
      </c>
      <c r="IE81" s="165">
        <f t="shared" si="293"/>
        <v>0.72005099240361947</v>
      </c>
      <c r="IF81" s="165">
        <f t="shared" si="294"/>
        <v>0.72123855965708494</v>
      </c>
      <c r="IG81" s="165">
        <f t="shared" si="295"/>
        <v>0.7227727281186056</v>
      </c>
      <c r="IH81" s="165">
        <f t="shared" si="296"/>
        <v>0.72398029145537823</v>
      </c>
      <c r="II81" s="165">
        <f t="shared" si="297"/>
        <v>0.72470677990531995</v>
      </c>
      <c r="IJ81" s="165">
        <f t="shared" si="298"/>
        <v>0.72559716465855029</v>
      </c>
      <c r="IK81" s="165">
        <f t="shared" si="299"/>
        <v>0.72715175461067261</v>
      </c>
      <c r="IL81" s="165">
        <f t="shared" si="300"/>
        <v>0.72819554646365425</v>
      </c>
      <c r="IM81" s="188">
        <f t="shared" si="301"/>
        <v>12.473127404373095</v>
      </c>
      <c r="IN81" s="165">
        <f t="shared" si="368"/>
        <v>4.6665661675404619</v>
      </c>
      <c r="IO81" s="165">
        <f t="shared" si="369"/>
        <v>5.5314321881332784</v>
      </c>
      <c r="IP81" s="165">
        <f t="shared" si="370"/>
        <v>6.2484923269997186</v>
      </c>
      <c r="IQ81" s="165">
        <f t="shared" si="371"/>
        <v>7.040102185450487</v>
      </c>
      <c r="IR81" s="165">
        <f t="shared" si="372"/>
        <v>7.5792641678613366</v>
      </c>
      <c r="IS81" s="165">
        <f t="shared" si="373"/>
        <v>8.2698174078156512</v>
      </c>
      <c r="IT81" s="165">
        <f t="shared" si="374"/>
        <v>8.9556193334271157</v>
      </c>
      <c r="IU81" s="165">
        <f t="shared" si="375"/>
        <v>9.7242263659809254</v>
      </c>
      <c r="IV81" s="188">
        <f>_xlfn.FORECAST.LINEAR(Sheet3!DF81,Sheet2!$AK$2:$AK$69,Sheet2!$AJ$2:$AJ$69)</f>
        <v>1.1761434736095797E-5</v>
      </c>
      <c r="IW81" s="165">
        <f>_xlfn.FORECAST.LINEAR(Sheet3!BZ81,Sheet2!$AK$2:$AK$69,Sheet2!$AJ$2:$AJ$69)</f>
        <v>1.1738244602375952E-5</v>
      </c>
      <c r="IX81" s="165">
        <f>_xlfn.FORECAST.LINEAR(Sheet3!CA81,Sheet2!$AK$2:$AK$69,Sheet2!$AJ$2:$AJ$69)</f>
        <v>1.1618224680479265E-5</v>
      </c>
      <c r="IY81" s="165">
        <f>_xlfn.FORECAST.LINEAR(Sheet3!CB81,Sheet2!$AK$2:$AK$69,Sheet2!$AJ$2:$AJ$69)</f>
        <v>1.1514594818227142E-5</v>
      </c>
      <c r="IZ81" s="165">
        <f>_xlfn.FORECAST.LINEAR(Sheet3!CC81,Sheet2!$AK$2:$AK$69,Sheet2!$AJ$2:$AJ$69)</f>
        <v>1.1390606422476224E-5</v>
      </c>
      <c r="JA81" s="165">
        <f>_xlfn.FORECAST.LINEAR(Sheet3!CD81,Sheet2!$AK$2:$AK$69,Sheet2!$AJ$2:$AJ$69)</f>
        <v>1.1343284009060688E-5</v>
      </c>
      <c r="JB81" s="165">
        <f>_xlfn.FORECAST.LINEAR(Sheet3!CE81,Sheet2!$AK$2:$AK$69,Sheet2!$AJ$2:$AJ$69)</f>
        <v>1.1242417526142792E-5</v>
      </c>
      <c r="JC81" s="165">
        <f>_xlfn.FORECAST.LINEAR(Sheet3!CF81,Sheet2!$AK$2:$AK$69,Sheet2!$AJ$2:$AJ$69)</f>
        <v>1.1145495661403095E-5</v>
      </c>
      <c r="JD81" s="165">
        <f>_xlfn.FORECAST.LINEAR(Sheet3!CG81,Sheet2!$AK$2:$AK$69,Sheet2!$AJ$2:$AJ$69)</f>
        <v>1.1042285441006049E-5</v>
      </c>
      <c r="JE81" s="188">
        <f>_xlfn.FORECAST.LINEAR(Sheet3!DF81,New!$MC$2:$MC$18,New!$MB$2:$MB$18)</f>
        <v>2.0908514659214704E-5</v>
      </c>
      <c r="JF81" s="165">
        <f>_xlfn.FORECAST.LINEAR(Sheet3!BZ81,New!$MC$2:$MC$18,New!$MB$2:$MB$18)</f>
        <v>2.0881254097293176E-5</v>
      </c>
      <c r="JG81" s="165">
        <f>_xlfn.FORECAST.LINEAR(Sheet3!CA81,New!$MC$2:$MC$18,New!$MB$2:$MB$18)</f>
        <v>2.0740167782215938E-5</v>
      </c>
      <c r="JH81" s="165">
        <f>_xlfn.FORECAST.LINEAR(Sheet3!CB81,New!$MC$2:$MC$18,New!$MB$2:$MB$18)</f>
        <v>2.0618348377853222E-5</v>
      </c>
      <c r="JI81" s="165">
        <f>_xlfn.FORECAST.LINEAR(Sheet3!CC81,New!$MC$2:$MC$18,New!$MB$2:$MB$18)</f>
        <v>2.0472597025974377E-5</v>
      </c>
      <c r="JJ81" s="165">
        <f>_xlfn.FORECAST.LINEAR(Sheet3!CD81,New!$MC$2:$MC$18,New!$MB$2:$MB$18)</f>
        <v>2.04169683867964E-5</v>
      </c>
      <c r="JK81" s="165">
        <f>_xlfn.FORECAST.LINEAR(Sheet3!CE81,New!$MC$2:$MC$18,New!$MB$2:$MB$18)</f>
        <v>2.0298397401539987E-5</v>
      </c>
      <c r="JL81" s="165">
        <f>_xlfn.FORECAST.LINEAR(Sheet3!CF81,New!$MC$2:$MC$18,New!$MB$2:$MB$18)</f>
        <v>2.0184463410162215E-5</v>
      </c>
      <c r="JM81" s="165">
        <f>_xlfn.FORECAST.LINEAR(Sheet3!CG81,New!$MC$2:$MC$18,New!$MB$2:$MB$18)</f>
        <v>2.0063137304928919E-5</v>
      </c>
      <c r="JN81" s="188">
        <f t="shared" si="376"/>
        <v>1.9478953171220357E-5</v>
      </c>
      <c r="JO81" s="165">
        <f t="shared" si="377"/>
        <v>1.945194151792468E-5</v>
      </c>
      <c r="JP81" s="165">
        <f t="shared" si="378"/>
        <v>1.9316067875137574E-5</v>
      </c>
      <c r="JQ81" s="165">
        <f t="shared" si="379"/>
        <v>1.9194710052564783E-5</v>
      </c>
      <c r="JR81" s="165">
        <f t="shared" si="380"/>
        <v>1.9055025310810149E-5</v>
      </c>
      <c r="JS81" s="165">
        <f t="shared" si="381"/>
        <v>1.8999616262675648E-5</v>
      </c>
      <c r="JT81" s="165">
        <f t="shared" si="382"/>
        <v>1.8886996551086178E-5</v>
      </c>
      <c r="JU81" s="165">
        <f t="shared" si="383"/>
        <v>1.877336967548219E-5</v>
      </c>
      <c r="JV81" s="165">
        <f t="shared" si="384"/>
        <v>1.8657436293693567E-5</v>
      </c>
      <c r="JW81" s="188">
        <f t="shared" si="302"/>
        <v>1.0444458673781256</v>
      </c>
      <c r="JX81" s="165">
        <f t="shared" si="385"/>
        <v>1.0448247834441489</v>
      </c>
      <c r="JY81" s="165">
        <f t="shared" si="386"/>
        <v>1.0468090796784422</v>
      </c>
      <c r="JZ81" s="165">
        <f t="shared" si="387"/>
        <v>1.0485543653986498</v>
      </c>
      <c r="KA81" s="165">
        <f t="shared" si="388"/>
        <v>1.0506825933942161</v>
      </c>
      <c r="KB81" s="165">
        <f t="shared" si="389"/>
        <v>1.051506650716107</v>
      </c>
      <c r="KC81" s="165">
        <f t="shared" si="390"/>
        <v>1.0532853360182832</v>
      </c>
      <c r="KD81" s="165">
        <f t="shared" si="391"/>
        <v>1.0550235755218746</v>
      </c>
      <c r="KE81" s="165">
        <f t="shared" si="392"/>
        <v>1.0569067887218084</v>
      </c>
      <c r="KF81" s="188">
        <f t="shared" si="393"/>
        <v>0.94446821821306282</v>
      </c>
      <c r="KG81" s="165">
        <f t="shared" si="394"/>
        <v>0.94417899299525798</v>
      </c>
      <c r="KH81" s="165">
        <f t="shared" si="395"/>
        <v>0.94266911303941325</v>
      </c>
      <c r="KI81" s="165">
        <f t="shared" si="396"/>
        <v>0.94134762387167847</v>
      </c>
      <c r="KJ81" s="165">
        <f t="shared" si="397"/>
        <v>0.93974437840545566</v>
      </c>
      <c r="KK81" s="165">
        <f t="shared" si="398"/>
        <v>0.93912600062365792</v>
      </c>
      <c r="KL81" s="165">
        <f t="shared" si="399"/>
        <v>0.93779581086297636</v>
      </c>
      <c r="KM81" s="165">
        <f t="shared" si="400"/>
        <v>0.93650183828759437</v>
      </c>
      <c r="KN81" s="165">
        <f t="shared" si="401"/>
        <v>0.93510655765020223</v>
      </c>
      <c r="KO81" s="188">
        <f t="shared" si="304"/>
        <v>0.58406985055403993</v>
      </c>
      <c r="KP81" s="165">
        <f t="shared" si="305"/>
        <v>0.58361062170464295</v>
      </c>
      <c r="KQ81" s="165">
        <f t="shared" si="306"/>
        <v>0.58105438060863368</v>
      </c>
      <c r="KR81" s="165">
        <f t="shared" si="307"/>
        <v>0.57880164282391078</v>
      </c>
      <c r="KS81" s="165">
        <f t="shared" si="308"/>
        <v>0.57610439191192331</v>
      </c>
      <c r="KT81" s="165">
        <f t="shared" si="309"/>
        <v>0.57505455742310452</v>
      </c>
      <c r="KU81" s="165">
        <f t="shared" si="310"/>
        <v>0.57283071833963395</v>
      </c>
      <c r="KV81" s="165">
        <f t="shared" si="311"/>
        <v>0.57064166830902208</v>
      </c>
      <c r="KW81" s="165">
        <f t="shared" si="312"/>
        <v>0.56841907277378401</v>
      </c>
      <c r="KX81" s="188">
        <f>AVERAGE(Sheet3!J81:P81)*KO81^(1/3)/ID81^(1/3)</f>
        <v>144.75946857740863</v>
      </c>
      <c r="KY81" s="165">
        <f>Sheet3!J81*KP81^(1/3)/IE81^(1/3)</f>
        <v>136.33783449154413</v>
      </c>
      <c r="KZ81" s="165">
        <f>Sheet3!K81*KQ81^(1/3)/IF81^(1/3)</f>
        <v>136.49019764249084</v>
      </c>
      <c r="LA81" s="165">
        <f>Sheet3!L81*KR81^(1/3)/IG81^(1/3)</f>
        <v>138.73273268586095</v>
      </c>
      <c r="LB81" s="165">
        <f>Sheet3!M81*KS81^(1/3)/IH81^(1/3)</f>
        <v>139.32649165288348</v>
      </c>
      <c r="LC81" s="165">
        <f>Sheet3!N81*KT81^(1/3)/II81^(1/3)</f>
        <v>142.32346089586449</v>
      </c>
      <c r="LD81" s="165">
        <f>Sheet3!O81*KU81^(1/3)/IJ81^(1/3)</f>
        <v>150.62426404957358</v>
      </c>
      <c r="LE81" s="165">
        <f>Sheet3!P81*KV81^(1/3)/IK81^(1/3)</f>
        <v>163.2746161758019</v>
      </c>
      <c r="LF81" s="165">
        <f>Sheet3!Q81*KW81^(1/3)/IL81^(1/3)</f>
        <v>178.49814533094499</v>
      </c>
      <c r="LG81" s="186">
        <f t="shared" si="402"/>
        <v>27.286283686177779</v>
      </c>
      <c r="LH81" s="183">
        <f t="shared" si="403"/>
        <v>27.294527844278381</v>
      </c>
      <c r="LI81" s="183">
        <f t="shared" si="404"/>
        <v>27.528519224639886</v>
      </c>
      <c r="LJ81" s="183">
        <f t="shared" si="405"/>
        <v>27.53694007709748</v>
      </c>
      <c r="LK81" s="183">
        <f t="shared" si="406"/>
        <v>27.82192770544146</v>
      </c>
      <c r="LL81" s="183">
        <f t="shared" si="407"/>
        <v>27.827685079296568</v>
      </c>
      <c r="LM81" s="183">
        <f t="shared" si="408"/>
        <v>28.119224346135866</v>
      </c>
      <c r="LN81" s="183">
        <f t="shared" si="409"/>
        <v>28.126606207159824</v>
      </c>
      <c r="LO81" s="183">
        <f t="shared" si="410"/>
        <v>28.399235367325552</v>
      </c>
      <c r="LT81" s="165"/>
      <c r="MF81" s="165"/>
      <c r="MJ81"/>
      <c r="MK81"/>
      <c r="ML81"/>
      <c r="MM81"/>
      <c r="MN81"/>
      <c r="MO81"/>
      <c r="MP81"/>
      <c r="MQ81"/>
      <c r="MR81"/>
    </row>
    <row r="82" spans="1:356" x14ac:dyDescent="0.3">
      <c r="A82" s="184" t="str">
        <f>Sheet3!A82</f>
        <v>2023.02.13-1</v>
      </c>
      <c r="B82" s="186">
        <f t="shared" si="313"/>
        <v>0.89721436983817959</v>
      </c>
      <c r="C82" s="183">
        <f t="shared" si="257"/>
        <v>0.89677109920988829</v>
      </c>
      <c r="D82" s="183">
        <f t="shared" si="258"/>
        <v>0.88733533828364319</v>
      </c>
      <c r="E82" s="183">
        <f t="shared" si="259"/>
        <v>0.88000482929345336</v>
      </c>
      <c r="F82" s="183">
        <f t="shared" si="260"/>
        <v>0.87045361215972505</v>
      </c>
      <c r="G82" s="183">
        <f t="shared" si="261"/>
        <v>0.86562665859333354</v>
      </c>
      <c r="H82" s="183">
        <f t="shared" si="262"/>
        <v>0.85769509675742017</v>
      </c>
      <c r="I82" s="183">
        <f t="shared" si="263"/>
        <v>0.85115913235327456</v>
      </c>
      <c r="J82" s="183">
        <f t="shared" si="264"/>
        <v>0.84371479056227427</v>
      </c>
      <c r="K82" s="186">
        <f xml:space="preserve"> (6.057 * (10^(-6)))
+ (4.055 * (10^(-8)) * (Sheet3!DF82 + 273))
+ (1.25 * (10^(-10)) * (Sheet3!DF82 + 273)^2)
- (3.367 * (10^(-14)) * (DD82 + 273)^3)</f>
        <v>4.415858778567886E-5</v>
      </c>
      <c r="L82" s="183">
        <f xml:space="preserve"> (6.057 * (10^(-6)))
+ (4.055 * (10^(-8)) * (Sheet3!BZ82 + 273))
+ (1.25 * (10^(-10)) * (Sheet3!BZ82 + 273)^2)
- (3.367 * (10^(-14)) * (BX82 + 273)^3)</f>
        <v>4.4092129896142288E-5</v>
      </c>
      <c r="M82" s="183">
        <f xml:space="preserve"> (6.057 * (10^(-6)))
+ (4.055 * (10^(-8)) * (Sheet3!CA82 + 273))
+ (1.25 * (10^(-10)) * (Sheet3!CA82 + 273)^2)
- (3.367 * (10^(-14)) * (BY82 + 273)^3)</f>
        <v>4.3010460321398502E-5</v>
      </c>
      <c r="N82" s="183">
        <f xml:space="preserve"> (6.057 * (10^(-6)))
+ (4.055 * (10^(-8)) * (Sheet3!CB82 + 273))
+ (1.25 * (10^(-10)) * (Sheet3!CB82 + 273)^2)
- (3.367 * (10^(-14)) * (BZ82 + 273)^3)</f>
        <v>4.2217348019914738E-5</v>
      </c>
      <c r="O82" s="183">
        <f xml:space="preserve"> (6.057 * (10^(-6)))
+ (4.055 * (10^(-8)) * (Sheet3!CC82 + 273))
+ (1.25 * (10^(-10)) * (Sheet3!CC82 + 273)^2)
- (3.367 * (10^(-14)) * (CA82 + 273)^3)</f>
        <v>4.1166280145185389E-5</v>
      </c>
      <c r="P82" s="183">
        <f xml:space="preserve"> (6.057 * (10^(-6)))
+ (4.055 * (10^(-8)) * (Sheet3!CD82 + 273))
+ (1.25 * (10^(-10)) * (Sheet3!CD82 + 273)^2)
- (3.367 * (10^(-14)) * (CB82 + 273)^3)</f>
        <v>4.0678166797082642E-5</v>
      </c>
      <c r="Q82" s="183">
        <f xml:space="preserve"> (6.057 * (10^(-6)))
+ (4.055 * (10^(-8)) * (Sheet3!CE82 + 273))
+ (1.25 * (10^(-10)) * (Sheet3!CE82 + 273)^2)
- (3.367 * (10^(-14)) * (CC82 + 273)^3)</f>
        <v>3.9840823460961269E-5</v>
      </c>
      <c r="R82" s="183">
        <f xml:space="preserve"> (6.057 * (10^(-6)))
+ (4.055 * (10^(-8)) * (Sheet3!CF82 + 273))
+ (1.25 * (10^(-10)) * (Sheet3!CF82 + 273)^2)
- (3.367 * (10^(-14)) * (CD82 + 273)^3)</f>
        <v>3.9215790412438832E-5</v>
      </c>
      <c r="S82" s="183">
        <f xml:space="preserve"> (6.057 * (10^(-6)))
+ (4.055 * (10^(-8)) * (Sheet3!CG82 + 273))
+ (1.25 * (10^(-10)) * (Sheet3!CG82 + 273)^2)
- (3.367 * (10^(-14)) * (CE82 + 273)^3)</f>
        <v>3.8452424778063761E-5</v>
      </c>
      <c r="T82" s="188">
        <f t="shared" si="314"/>
        <v>4.415858778567886E-5</v>
      </c>
      <c r="U82" s="165">
        <f t="shared" si="315"/>
        <v>4.4092129896142288E-5</v>
      </c>
      <c r="V82" s="165">
        <f t="shared" si="316"/>
        <v>4.3010460321398502E-5</v>
      </c>
      <c r="W82" s="165">
        <f t="shared" si="317"/>
        <v>4.2217348019914738E-5</v>
      </c>
      <c r="X82" s="165">
        <f t="shared" si="318"/>
        <v>4.1166280145185389E-5</v>
      </c>
      <c r="Y82" s="165">
        <f t="shared" si="319"/>
        <v>4.0678166797082642E-5</v>
      </c>
      <c r="Z82" s="165">
        <f t="shared" si="320"/>
        <v>3.9840823460961269E-5</v>
      </c>
      <c r="AA82" s="165">
        <f t="shared" si="321"/>
        <v>3.9215790412438832E-5</v>
      </c>
      <c r="AB82" s="165">
        <f t="shared" si="322"/>
        <v>3.8452424778063761E-5</v>
      </c>
      <c r="AC82" s="186">
        <f t="shared" si="265"/>
        <v>3.9619719513071791E-5</v>
      </c>
      <c r="AD82" s="183">
        <f t="shared" si="266"/>
        <v>3.9540547793468698E-5</v>
      </c>
      <c r="AE82" s="183">
        <f t="shared" si="267"/>
        <v>3.8164701359023351E-5</v>
      </c>
      <c r="AF82" s="183">
        <f t="shared" si="268"/>
        <v>3.7151470137487382E-5</v>
      </c>
      <c r="AG82" s="183">
        <f t="shared" si="269"/>
        <v>3.5833337251555791E-5</v>
      </c>
      <c r="AH82" s="183">
        <f t="shared" si="270"/>
        <v>3.5212105602260932E-5</v>
      </c>
      <c r="AI82" s="183">
        <f t="shared" si="271"/>
        <v>3.4171278933244471E-5</v>
      </c>
      <c r="AJ82" s="183">
        <f t="shared" si="272"/>
        <v>3.33788781419993E-5</v>
      </c>
      <c r="AK82" s="183">
        <f t="shared" si="273"/>
        <v>3.2442879518235672E-5</v>
      </c>
      <c r="AL82" s="186">
        <f t="shared" si="323"/>
        <v>3.5082951997328651E-2</v>
      </c>
      <c r="AM82" s="183">
        <f t="shared" si="324"/>
        <v>3.5045598330210939E-2</v>
      </c>
      <c r="AN82" s="183">
        <f t="shared" si="325"/>
        <v>3.4385938113927102E-2</v>
      </c>
      <c r="AO82" s="183">
        <f t="shared" si="326"/>
        <v>3.3897040349445989E-2</v>
      </c>
      <c r="AP82" s="183">
        <f t="shared" si="327"/>
        <v>3.3239164936597621E-2</v>
      </c>
      <c r="AQ82" s="183">
        <f t="shared" si="328"/>
        <v>3.2931297481018529E-2</v>
      </c>
      <c r="AR82" s="183">
        <f t="shared" si="329"/>
        <v>3.239732215017789E-2</v>
      </c>
      <c r="AS82" s="183">
        <f t="shared" si="330"/>
        <v>3.1995289538080285E-2</v>
      </c>
      <c r="AT82" s="183">
        <f t="shared" si="331"/>
        <v>3.1503409122867913E-2</v>
      </c>
      <c r="AU82" s="186">
        <f>_xlfn.FORECAST.LINEAR(Sheet3!DF82,Sheet2!$AH$2:$AH$40,Sheet2!$AG$2:$AG$40)</f>
        <v>4.0902410270024961E-2</v>
      </c>
      <c r="AV82" s="183">
        <f>_xlfn.FORECAST.LINEAR(Sheet3!BZ82,Sheet2!$AH$2:$AH$40,Sheet2!$AG$2:$AG$40)</f>
        <v>4.0794065689589036E-2</v>
      </c>
      <c r="AW82" s="183">
        <f>_xlfn.FORECAST.LINEAR(Sheet3!CA82,Sheet2!$AH$2:$AH$40,Sheet2!$AG$2:$AG$40)</f>
        <v>3.8885075242936946E-2</v>
      </c>
      <c r="AX82" s="183">
        <f>_xlfn.FORECAST.LINEAR(Sheet3!CB82,Sheet2!$AH$2:$AH$40,Sheet2!$AG$2:$AG$40)</f>
        <v>3.7469246527334139E-2</v>
      </c>
      <c r="AY82" s="183">
        <f>_xlfn.FORECAST.LINEAR(Sheet3!CC82,Sheet2!$AH$2:$AH$40,Sheet2!$AG$2:$AG$40)</f>
        <v>3.5571233372126573E-2</v>
      </c>
      <c r="AZ82" s="183">
        <f>_xlfn.FORECAST.LINEAR(Sheet3!CD82,Sheet2!$AH$2:$AH$40,Sheet2!$AG$2:$AG$40)</f>
        <v>3.4681101010929166E-2</v>
      </c>
      <c r="BA82" s="183">
        <f>_xlfn.FORECAST.LINEAR(Sheet3!CE82,Sheet2!$AH$2:$AH$40,Sheet2!$AG$2:$AG$40)</f>
        <v>3.314093737079115E-2</v>
      </c>
      <c r="BB82" s="183">
        <f>_xlfn.FORECAST.LINEAR(Sheet3!CF82,Sheet2!$AH$2:$AH$40,Sheet2!$AG$2:$AG$40)</f>
        <v>3.1980105154942803E-2</v>
      </c>
      <c r="BC82" s="183">
        <f>_xlfn.FORECAST.LINEAR(Sheet3!CG82,Sheet2!$AH$2:$AH$40,Sheet2!$AG$2:$AG$40)</f>
        <v>3.0560669157736427E-2</v>
      </c>
      <c r="BD82" s="186">
        <f>_xlfn.FORECAST.LINEAR(Sheet3!DF82,Sheet2!$AB$12:$AB$37,Sheet2!$AA$12:$AA$37)/1000</f>
        <v>3.3915606923988664E-2</v>
      </c>
      <c r="BE82" s="183">
        <f>_xlfn.FORECAST.LINEAR(Sheet3!BZ82,Sheet2!$AB$12:$AB$37,Sheet2!$AA$12:$AA$37)/1000</f>
        <v>3.3891383583604225E-2</v>
      </c>
      <c r="BF82" s="183">
        <f>_xlfn.FORECAST.LINEAR(Sheet3!CA82,Sheet2!$AB$12:$AB$37,Sheet2!$AA$12:$AA$37)/1000</f>
        <v>3.3464577506236617E-2</v>
      </c>
      <c r="BG82" s="183">
        <f>_xlfn.FORECAST.LINEAR(Sheet3!CB82,Sheet2!$AB$12:$AB$37,Sheet2!$AA$12:$AA$37)/1000</f>
        <v>3.3148030976949037E-2</v>
      </c>
      <c r="BH82" s="183">
        <f>_xlfn.FORECAST.LINEAR(Sheet3!CC82,Sheet2!$AB$12:$AB$37,Sheet2!$AA$12:$AA$37)/1000</f>
        <v>3.2723679167862223E-2</v>
      </c>
      <c r="BI82" s="183">
        <f>_xlfn.FORECAST.LINEAR(Sheet3!CD82,Sheet2!$AB$12:$AB$37,Sheet2!$AA$12:$AA$37)/1000</f>
        <v>3.2524666175373487E-2</v>
      </c>
      <c r="BJ82" s="183">
        <f>_xlfn.FORECAST.LINEAR(Sheet3!CE82,Sheet2!$AB$12:$AB$37,Sheet2!$AA$12:$AA$37)/1000</f>
        <v>3.2180321234881848E-2</v>
      </c>
      <c r="BK82" s="183">
        <f>_xlfn.FORECAST.LINEAR(Sheet3!CF82,Sheet2!$AB$12:$AB$37,Sheet2!$AA$12:$AA$37)/1000</f>
        <v>3.1920786020655352E-2</v>
      </c>
      <c r="BL82" s="183">
        <f>_xlfn.FORECAST.LINEAR(Sheet3!CG82,Sheet2!$AB$12:$AB$37,Sheet2!$AA$12:$AA$37)/1000</f>
        <v>3.1603432986697273E-2</v>
      </c>
      <c r="BM82" s="186">
        <f t="shared" si="332"/>
        <v>0.79600136149268641</v>
      </c>
      <c r="BN82" s="183">
        <f t="shared" si="333"/>
        <v>0.79681444466574081</v>
      </c>
      <c r="BO82" s="183">
        <f t="shared" si="334"/>
        <v>0.81147218555609713</v>
      </c>
      <c r="BP82" s="183">
        <f t="shared" si="335"/>
        <v>0.82264969820702616</v>
      </c>
      <c r="BQ82" s="183">
        <f t="shared" si="336"/>
        <v>0.83828096643043715</v>
      </c>
      <c r="BR82" s="183">
        <f t="shared" si="337"/>
        <v>0.84574193484673532</v>
      </c>
      <c r="BS82" s="183">
        <f t="shared" si="338"/>
        <v>0.85913957420977172</v>
      </c>
      <c r="BT82" s="183">
        <f t="shared" si="339"/>
        <v>0.86938981109653901</v>
      </c>
      <c r="BU82" s="183">
        <f t="shared" si="340"/>
        <v>0.88242913710928605</v>
      </c>
      <c r="BV82" s="186">
        <f t="shared" si="341"/>
        <v>1.1124254652705292</v>
      </c>
      <c r="BW82" s="183">
        <f t="shared" si="342"/>
        <v>1.1123298680060503</v>
      </c>
      <c r="BX82" s="183">
        <f t="shared" si="343"/>
        <v>1.1103128614673923</v>
      </c>
      <c r="BY82" s="183">
        <f t="shared" si="344"/>
        <v>1.1091003274389593</v>
      </c>
      <c r="BZ82" s="183">
        <f t="shared" si="345"/>
        <v>1.1065556043841844</v>
      </c>
      <c r="CA82" s="183">
        <f t="shared" si="346"/>
        <v>1.1058061003860591</v>
      </c>
      <c r="CB82" s="183">
        <f t="shared" si="347"/>
        <v>1.1035300318115286</v>
      </c>
      <c r="CC82" s="183">
        <f t="shared" si="348"/>
        <v>1.1025537290793384</v>
      </c>
      <c r="CD82" s="183">
        <f t="shared" si="349"/>
        <v>1.1004196066399052</v>
      </c>
      <c r="CE82" s="187">
        <f xml:space="preserve"> -0.0000000019505*Sheet3!DF82^3 + 0.0000015497*Sheet3!DF82^2  + 0.00016911*Sheet3!DF82 + 1.8585</f>
        <v>1.9096570494375</v>
      </c>
      <c r="CF82" s="185">
        <f xml:space="preserve"> -0.0000000019505*Sheet3!BZ82^3 + 0.0000015497*Sheet3!BZ82^2  + 0.00016911*Sheet3!BZ82 + 1.8585</f>
        <v>1.9094459423798025</v>
      </c>
      <c r="CG82" s="185">
        <f xml:space="preserve"> -0.0000000019505*Sheet3!CA82^3 + 0.0000015497*Sheet3!CA82^2  + 0.00016911*Sheet3!CA82 + 1.8585</f>
        <v>1.9057690987979041</v>
      </c>
      <c r="CH82" s="185">
        <f xml:space="preserve"> -0.0000000019505*Sheet3!CB82^3 + 0.0000015497*Sheet3!CB82^2  + 0.00016911*Sheet3!CB82 + 1.8585</f>
        <v>1.9030963337816775</v>
      </c>
      <c r="CI82" s="185">
        <f xml:space="preserve"> -0.0000000019505*Sheet3!CC82^3 + 0.0000015497*Sheet3!CC82^2  + 0.00016911*Sheet3!CC82 + 1.8585</f>
        <v>1.899589656974644</v>
      </c>
      <c r="CJ82" s="185">
        <f xml:space="preserve"> -0.0000000019505*Sheet3!CD82^3 + 0.0000015497*Sheet3!CD82^2  + 0.00016911*Sheet3!CD82 + 1.8585</f>
        <v>1.8979764553799425</v>
      </c>
      <c r="CK82" s="185">
        <f xml:space="preserve"> -0.0000000019505*Sheet3!CE82^3 + 0.0000015497*Sheet3!CE82^2  + 0.00016911*Sheet3!CE82 + 1.8585</f>
        <v>1.8952344187861627</v>
      </c>
      <c r="CL82" s="185">
        <f xml:space="preserve"> -0.0000000019505*Sheet3!CF82^3 + 0.0000015497*Sheet3!CF82^2  + 0.00016911*Sheet3!CF82 + 1.8585</f>
        <v>1.8932103001517391</v>
      </c>
      <c r="CM82" s="185">
        <f xml:space="preserve"> -0.0000000019505*Sheet3!CG82^3 + 0.0000015497*Sheet3!CG82^2  + 0.00016911*Sheet3!CG82 + 1.8585</f>
        <v>1.8907867839376213</v>
      </c>
      <c r="CN82" s="186">
        <f>_xlfn.FORECAST.LINEAR(Sheet3!DF82,New!$LU$2:$LU$14,New!$LT$2:$LT$14)</f>
        <v>1.023844178140866</v>
      </c>
      <c r="CO82" s="183">
        <f>_xlfn.FORECAST.LINEAR(Sheet3!BZ82,New!$LU$2:$LU$14,New!$LT$2:$LT$14)</f>
        <v>1.0237644351082624</v>
      </c>
      <c r="CP82" s="183">
        <f>_xlfn.FORECAST.LINEAR(Sheet3!CA82,New!$LU$2:$LU$14,New!$LT$2:$LT$14)</f>
        <v>1.0223593930949484</v>
      </c>
      <c r="CQ82" s="183">
        <f>_xlfn.FORECAST.LINEAR(Sheet3!CB82,New!$LU$2:$LU$14,New!$LT$2:$LT$14)</f>
        <v>1.0213173245856131</v>
      </c>
      <c r="CR82" s="183">
        <f>_xlfn.FORECAST.LINEAR(Sheet3!CC82,New!$LU$2:$LU$14,New!$LT$2:$LT$14)</f>
        <v>1.0199203620028165</v>
      </c>
      <c r="CS82" s="183">
        <f>_xlfn.FORECAST.LINEAR(Sheet3!CD82,New!$LU$2:$LU$14,New!$LT$2:$LT$14)</f>
        <v>1.0192652129070805</v>
      </c>
      <c r="CT82" s="183">
        <f>_xlfn.FORECAST.LINEAR(Sheet3!CE82,New!$LU$2:$LU$14,New!$LT$2:$LT$14)</f>
        <v>1.0181316322621026</v>
      </c>
      <c r="CU82" s="183">
        <f>_xlfn.FORECAST.LINEAR(Sheet3!CF82,New!$LU$2:$LU$14,New!$LT$2:$LT$14)</f>
        <v>1.0172772445219567</v>
      </c>
      <c r="CV82" s="183">
        <f>_xlfn.FORECAST.LINEAR(Sheet3!CG82,New!$LU$2:$LU$14,New!$LT$2:$LT$14)</f>
        <v>1.0162325210060361</v>
      </c>
      <c r="CW82" s="186">
        <f>EXP((17.625*Sheet3!BA82)/(243.04+Sheet3!BA82)) / EXP((17.625*Sheet3!DF82)/(243.04+Sheet3!DF82))</f>
        <v>3.1617888840053329E-2</v>
      </c>
      <c r="CX82" s="183">
        <f>EXP((17.625*(Sheet3!BC82+273))/(243.04+(Sheet3!BC82+273)))/EXP((17.625*(Sheet3!BZ82+273))/(243.04+(Sheet3!BZ82+273)))</f>
        <v>0.34999745433605156</v>
      </c>
      <c r="CY82" s="183">
        <f>EXP((17.625*(Sheet3!BE82+273))/(243.04+(Sheet3!BE82+273))) / EXP((17.625*(Sheet3!CA82+273))/(243.04+(Sheet3!CA82+273)))</f>
        <v>0.37696696556400544</v>
      </c>
      <c r="CZ82" s="183">
        <f>EXP((17.625*(Sheet3!BG82+273))/(243.04+(Sheet3!BG82+273))) / EXP((17.625*(Sheet3!CB82+273))/(243.04+(Sheet3!CB82+273)))</f>
        <v>0.3984220614491768</v>
      </c>
      <c r="DA82" s="183">
        <f>EXP((17.625*(Sheet3!BI82+273))/(243.04+(Sheet3!BI82+273))) / EXP((17.625*(Sheet3!CC82+273))/(243.04+(Sheet3!CC82+273)))</f>
        <v>0.42891131789690939</v>
      </c>
      <c r="DB82" s="183">
        <f>EXP((17.625*(Sheet3!BK82+273))/(243.04+(Sheet3!BK82+273)))/EXP((17.625*(Sheet3!CD82+273))/(243.04+(Sheet3!CD82+273)))</f>
        <v>0.44499944352479304</v>
      </c>
      <c r="DC82" s="183">
        <f>EXP((17.625*(Sheet3!BM82+273))/(243.04+(Sheet3!BM82+273))) / EXP((17.625*(Sheet3!CE82+273))/(243.04+(Sheet3!CE82+273)))</f>
        <v>0.47298431009436775</v>
      </c>
      <c r="DD82" s="183">
        <f>EXP((17.625*(Sheet3!BO82+273))/(243.04+(Sheet3!BO82+273))) / EXP((17.625*(Sheet3!CF82+273))/(243.04+(Sheet3!CF82+273)))</f>
        <v>0.49700472788710687</v>
      </c>
      <c r="DE82" s="183">
        <f>EXP((17.625*(Sheet3!BQ82+273))/(243.04+(Sheet3!BQ82+273))) / EXP((17.625*(Sheet3!CG82+273))/(243.04+(Sheet3!CG82+273)))</f>
        <v>0.52666213334727674</v>
      </c>
      <c r="DF82" s="186">
        <f>((Sheet3!DA82-Sheet3!DB82)/New!$LQ$3)/(((Sheet3!DA82-Sheet3!DB82)/New!$LQ$3)+(Sheet3!DB82/New!$LP$3))</f>
        <v>0.84845234045893403</v>
      </c>
      <c r="DG82" s="183">
        <f>((Sheet3!DA82-Sheet3!DB82)/New!$LQ$3)/(((Sheet3!DA82-Sheet3!DB82)/New!$LQ$3)+((Sheet3!DB82-(Sheet3!B82*0.004))/New!$LP$3))</f>
        <v>0.84847377116130096</v>
      </c>
      <c r="DH82" s="183" cm="1">
        <f t="array" ref="DH82">((Sheet3!DA82-Sheet3!DB82)/New!$LQ$3)/(((Sheet3!DA82-Sheet3!DB82)/New!$LQ$3)+((Sheet3!DB82-(SUM(Sheet3!B82:C82*0.004)))/New!$LP$3))</f>
        <v>0.8515279622872225</v>
      </c>
      <c r="DI82" s="183" cm="1">
        <f t="array" ref="DI82">((Sheet3!DA82-Sheet3!DB82)/New!$LQ$3)/(((Sheet3!DA82-Sheet3!DB82)/New!$LQ$3)+((Sheet3!DB82-(SUM(Sheet3!B82:D82*0.004)))/New!$LP$3))</f>
        <v>0.85159272464361457</v>
      </c>
      <c r="DJ82" s="183" cm="1">
        <f t="array" ref="DJ82">((Sheet3!DA82-Sheet3!DB82)/New!$LQ$3)/(((Sheet3!DA82-Sheet3!DB82)/New!$LQ$3)+((Sheet3!DB82-(SUM(Sheet3!B82:E82*0.004)))/New!$LP$3))</f>
        <v>0.8591726012673937</v>
      </c>
      <c r="DK82" s="183" cm="1">
        <f t="array" ref="DK82">((Sheet3!DA82-Sheet3!DB82)/New!$LQ$3)/(((Sheet3!DA82-Sheet3!DB82)/New!$LQ$3)+((Sheet3!DB82-(SUM(Sheet3!B82:F82*0.004)))/New!$LP$3))</f>
        <v>0.8591726012673937</v>
      </c>
      <c r="DL82" s="183" cm="1">
        <f t="array" ref="DL82">((Sheet3!DA82-Sheet3!DB82)/New!$LQ$3)/(((Sheet3!DA82-Sheet3!DB82)/New!$LQ$3)+((Sheet3!DB82-(SUM(Sheet3!B82:G82*0.004)))/New!$LP$3))</f>
        <v>0.86731389300609119</v>
      </c>
      <c r="DM82" s="183" cm="1">
        <f t="array" ref="DM82">((Sheet3!DA82-Sheet3!DB82)/New!$LQ$3)/(((Sheet3!DA82-Sheet3!DB82)/New!$LQ$3)+((Sheet3!DB82-(SUM(Sheet3!B82:H82*0.004)))/New!$LP$3))</f>
        <v>0.8673810788897095</v>
      </c>
      <c r="DN82" s="183" cm="1">
        <f t="array" ref="DN82">((Sheet3!DA82-Sheet3!DB82)/New!$LQ$3)/(((Sheet3!DA82-Sheet3!DB82)/New!$LQ$3)+((Sheet3!DB82-(SUM(Sheet3!B82:I82*0.004)))/New!$LP$3))</f>
        <v>0.87547402723488177</v>
      </c>
      <c r="DO82" s="186">
        <f>(Sheet3!DB82/$LP$3) / ((Sheet3!DB82/$LP$3) + ((Sheet3!DA82-Sheet3!DB82)/$LQ$3))</f>
        <v>0.15154765954106597</v>
      </c>
      <c r="DP82" s="183">
        <f>((Sheet3!$DB82-(Sheet3!B82/4000)) / $LP$3) / (((Sheet3!$DA82-Sheet3!DB82) / $LQ$3) + (Sheet3!$DB82-((Sheet3!B82/4000)))/$LP$3)</f>
        <v>0.15154632015388461</v>
      </c>
      <c r="DQ82" s="183">
        <f>((Sheet3!$DB82-(SUM(Sheet3!B82:C82)/4000))/$LP$3)/(((Sheet3!$DA82-Sheet3!$DB82)/$LQ$3)+(Sheet3!$DB82-(SUM(Sheet3!B82:C82)/4000))/$LP$3)</f>
        <v>0.15135608422972971</v>
      </c>
      <c r="DR82" s="183">
        <f>((Sheet3!$DB82-(SUM(Sheet3!B82:D82)/4000))/$LP$3)/(((Sheet3!$DA82-Sheet3!$DB82)/$LQ$3)+(Sheet3!$DB82-(SUM(Sheet3!B82:D82)/4000))/$LP$3)</f>
        <v>0.15135206424073216</v>
      </c>
      <c r="DS82" s="183">
        <f>((Sheet3!$DB82-(SUM(Sheet3!B82:E82)/4000))/$LP$3)/(((Sheet3!$DA82-Sheet3!$DB82)/$LQ$3)+(Sheet3!$DB82-(SUM(Sheet3!B82:E82)/4000))/$LP$3)</f>
        <v>0.1508854869299594</v>
      </c>
      <c r="DT82" s="183">
        <f>((Sheet3!$DB82-(SUM(Sheet3!B82:F82)/4000))/$LP$3)/(((Sheet3!$DA82-Sheet3!$DB82)/$LQ$3)+(Sheet3!$DB82-(SUM(Sheet3!B82:F82)/4000))/$LP$3)</f>
        <v>0.1508854869299594</v>
      </c>
      <c r="DU82" s="183">
        <f>((Sheet3!$DB82-(SUM(Sheet3!B82:G82)/4000))/$LP$3)/(((Sheet3!$DA82-Sheet3!$DB82)/$LQ$3)+(Sheet3!$DB82-(SUM(Sheet3!B82:G82)/4000))/$LP$3)</f>
        <v>0.15039287942928159</v>
      </c>
      <c r="DV82" s="183">
        <f>((Sheet3!$DB82-(SUM(Sheet3!B82:H82)/4000))/$LP$3)/(((Sheet3!$DA82-Sheet3!$DB82)/$LQ$3)+(Sheet3!$DB82-(SUM(Sheet3!B82:H82)/4000))/$LP$3)</f>
        <v>0.15038885030976601</v>
      </c>
      <c r="DW82" s="183">
        <f>((Sheet3!$DB82-(SUM(Sheet3!B82:I82)/4000))/$LP$3)/(((Sheet3!$DA82-Sheet3!$DB82)/$LQ$3)+(Sheet3!$DB82-(SUM(Sheet3!B82:I82)/4000))/$LP$3)</f>
        <v>0.14990776751383908</v>
      </c>
      <c r="DX82" s="186">
        <f>($LR$2*($LP$3/1000))/($LP$2*(Sheet3!DF82+273))*DO82</f>
        <v>7.9600136149268627E-2</v>
      </c>
      <c r="DY82" s="183">
        <f>(($LR$2*($LP$3/1000))/($LP$2*(Sheet3!BZ82+273)))*(DP82)</f>
        <v>7.9680697452254062E-2</v>
      </c>
      <c r="DZ82" s="183">
        <f>(($LR$2*($LP$3/1000))/($LP$2*(Sheet3!CA82+273)))*(DQ82)</f>
        <v>8.1038414358441724E-2</v>
      </c>
      <c r="EA82" s="183">
        <f>(($LR$2*($LP$3/1000))/($LP$2*(Sheet3!CB82+273)))*(DR82)</f>
        <v>8.2152352516045454E-2</v>
      </c>
      <c r="EB82" s="183">
        <f>(($LR$2*($LP$3/1000))/($LP$2*(Sheet3!CC82+273)))*(DS82)</f>
        <v>8.343966789150388E-2</v>
      </c>
      <c r="EC82" s="183">
        <f>(($LR$2*($LP$3/1000))/($LP$2*(Sheet3!CD82+273)))*(DT82)</f>
        <v>8.4182307593149291E-2</v>
      </c>
      <c r="ED82" s="183">
        <f>(($LR$2*($LP$3/1000))/($LP$2*(Sheet3!CE82+273)))*(DU82)</f>
        <v>8.521984816668228E-2</v>
      </c>
      <c r="EE82" s="183">
        <f>(($LR$2*($LP$3/1000))/($LP$2*(Sheet3!CF82+273)))*(DV82)</f>
        <v>8.6234141006572923E-2</v>
      </c>
      <c r="EF82" s="183">
        <f>(($LR$2*($LP$3/1000))/($LP$2*(Sheet3!CG82+273)))*(DW82)</f>
        <v>8.7230692357296399E-2</v>
      </c>
      <c r="EG82" s="186">
        <f>(($LR$2*($LQ$3/1000))/($LQ$2*(Sheet3!DF82+273)))*(1-DO82)</f>
        <v>0.71640122534341777</v>
      </c>
      <c r="EH82" s="183">
        <f>(($LR$2*($LQ$3/1000))/($LQ$2*(Sheet3!BZ82+273)))*(1-DP82)</f>
        <v>0.71713374721348677</v>
      </c>
      <c r="EI82" s="183">
        <f>(($LR$2*($LQ$3/1000))/($LQ$2*(Sheet3!CA82+273)))*(1-DQ82)</f>
        <v>0.7304337711976554</v>
      </c>
      <c r="EJ82" s="183">
        <f>(($LR$2*($LQ$3/1000))/($LQ$2*(Sheet3!CB82+273)))*(1-DR82)</f>
        <v>0.74049734569098069</v>
      </c>
      <c r="EK82" s="183">
        <f>(($LR$2*($LQ$3/1000))/($LQ$2*(Sheet3!CC82+273)))*(1-DS82)</f>
        <v>0.75484129853893323</v>
      </c>
      <c r="EL82" s="183">
        <f>(($LR$2*($LQ$3/1000))/($LQ$2*(Sheet3!CD82+273)))*(1-DT82)</f>
        <v>0.76155962725358606</v>
      </c>
      <c r="EM82" s="183">
        <f>(($LR$2*($LQ$3/1000))/($LQ$2*(Sheet3!CE82+273)))*(1-DU82)</f>
        <v>0.77391972604308945</v>
      </c>
      <c r="EN82" s="183">
        <f>(($LR$2*($LQ$3/1000))/($LQ$2*(Sheet3!CF82+273)))*(1-DV82)</f>
        <v>0.78315567008996612</v>
      </c>
      <c r="EO82" s="183">
        <f>(($LR$2*($LQ$3/1000))/($LQ$2*(Sheet3!CG82+273)))*(1-DW82)</f>
        <v>0.79519844475198964</v>
      </c>
      <c r="EP82" s="186">
        <f t="shared" si="350"/>
        <v>4970.0898715370413</v>
      </c>
      <c r="EQ82" s="183">
        <f xml:space="preserve"> (($FV82-(Sheet3!B82/4000))*0.018)/(0.011*JO82*3600)</f>
        <v>4974.0324040516734</v>
      </c>
      <c r="ER82" s="183">
        <f>((($FV82-(SUM(Sheet3!B82:C82)/4000))*0.018)/(0.011*JP82*3600))</f>
        <v>5043.5347178347838</v>
      </c>
      <c r="ES82" s="183">
        <f>((($FV82-(SUM(Sheet3!B82:D82)/4000))*0.018)/(0.011*JQ82*3600))</f>
        <v>5097.2332739409803</v>
      </c>
      <c r="ET82" s="183">
        <f>((($FV82-(SUM(Sheet3!B82:E82)/4000))*0.018)/(0.011*JR82))/3600</f>
        <v>5168.1521209540952</v>
      </c>
      <c r="EU82" s="183">
        <f>((($FV82-(SUM(Sheet3!B82:F82)/4000))*0.018)/(0.011*JS82))/3600</f>
        <v>5203.5213753443968</v>
      </c>
      <c r="EV82" s="183">
        <f>((($FV82-(SUM(Sheet3!B82:G82)/4000))*0.018)/(0.011*JT82))/3600</f>
        <v>5262.7068742502743</v>
      </c>
      <c r="EW82" s="183">
        <f>((($FV82-(SUM(Sheet3!B82:H82)/4000))*0.018)/(0.011*JU82))/3600</f>
        <v>5310.6656346131203</v>
      </c>
      <c r="EX82" s="183">
        <f>((($FV82-(SUM(Sheet3!B82:I82)/4000))*0.018)/(0.011*JV82))/3600</f>
        <v>5367.3679367749337</v>
      </c>
      <c r="EY82" s="186">
        <f t="shared" si="351"/>
        <v>50.513669312748185</v>
      </c>
      <c r="EZ82" s="183">
        <f t="shared" si="352"/>
        <v>50.542282532963171</v>
      </c>
      <c r="FA82" s="183">
        <f t="shared" si="353"/>
        <v>51.044155952006967</v>
      </c>
      <c r="FB82" s="183">
        <f t="shared" si="354"/>
        <v>51.434609073322093</v>
      </c>
      <c r="FC82" s="183">
        <f t="shared" si="355"/>
        <v>51.942641279192877</v>
      </c>
      <c r="FD82" s="183">
        <f t="shared" si="356"/>
        <v>52.200264680098407</v>
      </c>
      <c r="FE82" s="183">
        <f t="shared" si="357"/>
        <v>52.622666926573821</v>
      </c>
      <c r="FF82" s="183">
        <f t="shared" si="358"/>
        <v>52.972446199491742</v>
      </c>
      <c r="FG82" s="183">
        <f t="shared" si="359"/>
        <v>53.377268914575396</v>
      </c>
      <c r="FH82" s="186">
        <f t="shared" si="274"/>
        <v>98.453813094893221</v>
      </c>
      <c r="FI82" s="183">
        <f t="shared" si="275"/>
        <v>98.404696241236877</v>
      </c>
      <c r="FJ82" s="183">
        <f t="shared" si="276"/>
        <v>97.511177091297526</v>
      </c>
      <c r="FK82" s="183">
        <f t="shared" si="277"/>
        <v>96.86005661757666</v>
      </c>
      <c r="FL82" s="183">
        <f t="shared" si="278"/>
        <v>95.918334484534242</v>
      </c>
      <c r="FM82" s="183">
        <f t="shared" si="279"/>
        <v>95.501246931568076</v>
      </c>
      <c r="FN82" s="183">
        <f t="shared" si="280"/>
        <v>94.712971823429086</v>
      </c>
      <c r="FO82" s="183">
        <f t="shared" si="281"/>
        <v>94.159375205173276</v>
      </c>
      <c r="FP82" s="183">
        <f t="shared" si="282"/>
        <v>93.420330026511579</v>
      </c>
      <c r="FQ82" s="314">
        <f>Sheet3!CV82</f>
        <v>1</v>
      </c>
      <c r="FR82" s="183">
        <v>5000</v>
      </c>
      <c r="FS82" s="183">
        <v>10</v>
      </c>
      <c r="FT82" s="183">
        <v>8.1016574585635354E-2</v>
      </c>
      <c r="FU82" s="183">
        <v>20.25</v>
      </c>
      <c r="FV82" s="183">
        <v>240</v>
      </c>
      <c r="FW82" s="183">
        <v>24</v>
      </c>
      <c r="FX82" s="183">
        <v>240</v>
      </c>
      <c r="FY82" s="183">
        <v>7.01</v>
      </c>
      <c r="FZ82" s="183">
        <v>24.4</v>
      </c>
      <c r="GA82" s="183">
        <v>145</v>
      </c>
      <c r="GB82" s="186">
        <f>EXP($LP$6-($LQ$6/('Trial and Error method'!T82+$LP$8))) / ($LR$2/1000)</f>
        <v>9.2014760111600633E-2</v>
      </c>
      <c r="GC82" s="183">
        <f>EXP($LP$6-($LQ$6/('Trial and Error method'!U82+$LP$8))) / ($LR$2/1000)</f>
        <v>0.16637559066240931</v>
      </c>
      <c r="GD82" s="183">
        <f>EXP($LP$6-($LQ$6/('Trial and Error method'!V82+$LP$8))) / ($LR$2/1000)</f>
        <v>0.15609937892508755</v>
      </c>
      <c r="GE82" s="183">
        <f>EXP($LP$6-($LQ$6/('Trial and Error method'!W82+$LP$8))) / ($LR$2/1000)</f>
        <v>0.14935304801244487</v>
      </c>
      <c r="GF82" s="183">
        <f>EXP($LP$6-($LQ$6/('Trial and Error method'!X82+$LP$8))) / ($LR$2/1000)</f>
        <v>0.13937286004783545</v>
      </c>
      <c r="GG82" s="183">
        <f>EXP($LP$6-($LQ$6/('Trial and Error method'!Y82+$LP$8))) / ($LR$2/1000)</f>
        <v>0.13433265990670817</v>
      </c>
      <c r="GH82" s="183">
        <f>EXP($LP$6-($LQ$6/('Trial and Error method'!Z82+$LP$8))) / ($LR$2/1000)</f>
        <v>0.12583936359724551</v>
      </c>
      <c r="GI82" s="183">
        <f>EXP($LP$6-($LQ$6/('Trial and Error method'!AA82+$LP$8))) / ($LR$2/1000)</f>
        <v>0.11914196829066442</v>
      </c>
      <c r="GJ82" s="183">
        <f>EXP($LP$6-($LQ$6/('Trial and Error method'!AB82+$LP$8))) / ($LR$2/1000)</f>
        <v>0.1099649804673643</v>
      </c>
      <c r="GK82" s="188">
        <f t="shared" si="411"/>
        <v>0.87788238458374168</v>
      </c>
      <c r="GL82" s="165">
        <f t="shared" si="360"/>
        <v>0.84101725489579937</v>
      </c>
      <c r="GM82" s="165">
        <f t="shared" si="361"/>
        <v>0.84627005293271151</v>
      </c>
      <c r="GN82" s="165">
        <f t="shared" si="362"/>
        <v>0.84964705193951184</v>
      </c>
      <c r="GO82" s="165">
        <f t="shared" si="363"/>
        <v>0.85485790621793822</v>
      </c>
      <c r="GP82" s="165">
        <f t="shared" si="364"/>
        <v>0.8573642951192203</v>
      </c>
      <c r="GQ82" s="165">
        <f t="shared" si="365"/>
        <v>0.86182558488740146</v>
      </c>
      <c r="GR82" s="165">
        <f t="shared" si="366"/>
        <v>0.86514054563259368</v>
      </c>
      <c r="GS82" s="165">
        <f t="shared" si="367"/>
        <v>0.86991079710391339</v>
      </c>
      <c r="GT82" s="188">
        <f t="shared" si="283"/>
        <v>6.7416082558558146E-2</v>
      </c>
      <c r="GU82" s="165">
        <f t="shared" si="284"/>
        <v>7.0365313436875687E-2</v>
      </c>
      <c r="GV82" s="165">
        <f t="shared" si="285"/>
        <v>6.9910742207870802E-2</v>
      </c>
      <c r="GW82" s="165">
        <f t="shared" si="286"/>
        <v>6.9627532095139916E-2</v>
      </c>
      <c r="GX82" s="165">
        <f t="shared" si="287"/>
        <v>6.9189428292941155E-2</v>
      </c>
      <c r="GY82" s="165">
        <f t="shared" si="288"/>
        <v>6.898901763720483E-2</v>
      </c>
      <c r="GZ82" s="165">
        <f t="shared" si="289"/>
        <v>6.8625630621234418E-2</v>
      </c>
      <c r="HA82" s="165">
        <f t="shared" si="290"/>
        <v>6.8371064178202767E-2</v>
      </c>
      <c r="HB82" s="165">
        <f t="shared" si="291"/>
        <v>6.7990299894320053E-2</v>
      </c>
      <c r="HC82" s="188">
        <f>BV82*Sheet3!DF82</f>
        <v>161.30169246422673</v>
      </c>
      <c r="HD82" s="165">
        <f>BW82*Sheet3!BZ82</f>
        <v>160.81363331947955</v>
      </c>
      <c r="HE82" s="165">
        <f>BX82*Sheet3!CA82</f>
        <v>152.18199686539631</v>
      </c>
      <c r="HF82" s="165">
        <f>BY82*Sheet3!CB82</f>
        <v>145.83706226646723</v>
      </c>
      <c r="HG82" s="165">
        <f>BZ82*Sheet3!CC82</f>
        <v>137.23844074810353</v>
      </c>
      <c r="HH82" s="165">
        <f>CA82*Sheet3!CD82</f>
        <v>133.27244409019602</v>
      </c>
      <c r="HI82" s="165">
        <f>CB82*Sheet3!CE82</f>
        <v>126.31054256872456</v>
      </c>
      <c r="HJ82" s="165">
        <f>CC82*Sheet3!CF82</f>
        <v>121.16277132587366</v>
      </c>
      <c r="HK82" s="165">
        <f>CD82*Sheet3!CG82</f>
        <v>114.78224531809346</v>
      </c>
      <c r="HL82" s="188">
        <f>(CE82*Sheet3!DF82)+2501</f>
        <v>2777.9002721684374</v>
      </c>
      <c r="HM82" s="165">
        <f>(CF82*Sheet3!BZ82)+2501</f>
        <v>2777.0556454100029</v>
      </c>
      <c r="HN82" s="165">
        <f>(CG82*Sheet3!CA82)+2501</f>
        <v>2762.2090313320659</v>
      </c>
      <c r="HO82" s="165">
        <f>(CH82*Sheet3!CB82)+2501</f>
        <v>2751.240642494156</v>
      </c>
      <c r="HP82" s="165">
        <f>(CI82*Sheet3!CC82)+2501</f>
        <v>2736.5929711544018</v>
      </c>
      <c r="HQ82" s="165">
        <f>(CJ82*Sheet3!CD82)+2501</f>
        <v>2729.7453116290662</v>
      </c>
      <c r="HR82" s="165">
        <f>(CK82*Sheet3!CE82)+2501</f>
        <v>2717.9293819206964</v>
      </c>
      <c r="HS82" s="165">
        <f>(CL82*Sheet3!CF82)+2501</f>
        <v>2709.0502751195786</v>
      </c>
      <c r="HT82" s="165">
        <f>(CM82*Sheet3!CG82)+2501</f>
        <v>2698.2236328474983</v>
      </c>
      <c r="HU82" s="188">
        <f>-0.0021*(Sheet3!DF82^2) - 2.2115*(Sheet3!DF82) + 2499</f>
        <v>2134.1799999999998</v>
      </c>
      <c r="HV82" s="165">
        <f>-0.0021*(Sheet3!BZ82^2) - 2.2115*(Sheet3!BZ82) + 2499</f>
        <v>2135.3820261956203</v>
      </c>
      <c r="HW82" s="165">
        <f>-0.0021*(Sheet3!CA82^2) - 2.2115*(Sheet3!CA82) + 2499</f>
        <v>2156.4360624823935</v>
      </c>
      <c r="HX82" s="165">
        <f>-0.0021*(Sheet3!CB82^2) - 2.2115*(Sheet3!CB82) + 2499</f>
        <v>2171.8980240972655</v>
      </c>
      <c r="HY82" s="165">
        <f>-0.0021*(Sheet3!CC82^2) - 2.2115*(Sheet3!CC82) + 2499</f>
        <v>2192.4213213442763</v>
      </c>
      <c r="HZ82" s="165">
        <f>-0.0021*(Sheet3!CD82^2) - 2.2115*(Sheet3!CD82) + 2499</f>
        <v>2201.9656693233474</v>
      </c>
      <c r="IA82" s="165">
        <f>-0.0021*(Sheet3!CE82^2) - 2.2115*(Sheet3!CE82) + 2499</f>
        <v>2218.3582096993596</v>
      </c>
      <c r="IB82" s="165">
        <f>-0.0021*(Sheet3!CF82^2) - 2.2115*(Sheet3!CF82) + 2499</f>
        <v>2230.6114419984006</v>
      </c>
      <c r="IC82" s="165">
        <f>-0.0021*(Sheet3!CG82^2) - 2.2115*(Sheet3!CG82) + 2499</f>
        <v>2245.4753021329916</v>
      </c>
      <c r="ID82" s="188">
        <f t="shared" si="292"/>
        <v>0.69598376931602923</v>
      </c>
      <c r="IE82" s="165">
        <f t="shared" si="293"/>
        <v>0.6961127977739856</v>
      </c>
      <c r="IF82" s="165">
        <f t="shared" si="294"/>
        <v>0.69831817087465842</v>
      </c>
      <c r="IG82" s="165">
        <f t="shared" si="295"/>
        <v>0.70015960447647352</v>
      </c>
      <c r="IH82" s="165">
        <f t="shared" si="296"/>
        <v>0.70234884393466268</v>
      </c>
      <c r="II82" s="165">
        <f t="shared" si="297"/>
        <v>0.70361942256981314</v>
      </c>
      <c r="IJ82" s="165">
        <f t="shared" si="298"/>
        <v>0.70544756613925108</v>
      </c>
      <c r="IK82" s="165">
        <f t="shared" si="299"/>
        <v>0.70723261261426407</v>
      </c>
      <c r="IL82" s="165">
        <f t="shared" si="300"/>
        <v>0.70904661348253117</v>
      </c>
      <c r="IM82" s="188">
        <f t="shared" si="301"/>
        <v>8.5654777828765489</v>
      </c>
      <c r="IN82" s="165">
        <f t="shared" si="368"/>
        <v>-2.2281991122887925</v>
      </c>
      <c r="IO82" s="165">
        <f t="shared" si="369"/>
        <v>-0.71508983822346861</v>
      </c>
      <c r="IP82" s="165">
        <f t="shared" si="370"/>
        <v>0.30229902896591193</v>
      </c>
      <c r="IQ82" s="165">
        <f t="shared" si="371"/>
        <v>1.7463777464858452</v>
      </c>
      <c r="IR82" s="165">
        <f t="shared" si="372"/>
        <v>2.5145639281748418</v>
      </c>
      <c r="IS82" s="165">
        <f t="shared" si="373"/>
        <v>3.7379347101405918</v>
      </c>
      <c r="IT82" s="165">
        <f t="shared" si="374"/>
        <v>4.7654394182812503</v>
      </c>
      <c r="IU82" s="165">
        <f t="shared" si="375"/>
        <v>6.0980868354286741</v>
      </c>
      <c r="IV82" s="188">
        <f>_xlfn.FORECAST.LINEAR(Sheet3!DF82,Sheet2!$AK$2:$AK$69,Sheet2!$AJ$2:$AJ$69)</f>
        <v>1.386217343669711E-5</v>
      </c>
      <c r="IW82" s="165">
        <f>_xlfn.FORECAST.LINEAR(Sheet3!BZ82,Sheet2!$AK$2:$AK$69,Sheet2!$AJ$2:$AJ$69)</f>
        <v>1.3847247331956707E-5</v>
      </c>
      <c r="IX82" s="165">
        <f>_xlfn.FORECAST.LINEAR(Sheet3!CA82,Sheet2!$AK$2:$AK$69,Sheet2!$AJ$2:$AJ$69)</f>
        <v>1.3584255023153502E-5</v>
      </c>
      <c r="IY82" s="165">
        <f>_xlfn.FORECAST.LINEAR(Sheet3!CB82,Sheet2!$AK$2:$AK$69,Sheet2!$AJ$2:$AJ$69)</f>
        <v>1.3389203202208418E-5</v>
      </c>
      <c r="IZ82" s="165">
        <f>_xlfn.FORECAST.LINEAR(Sheet3!CC82,Sheet2!$AK$2:$AK$69,Sheet2!$AJ$2:$AJ$69)</f>
        <v>1.3127723181340685E-5</v>
      </c>
      <c r="JA82" s="165">
        <f>_xlfn.FORECAST.LINEAR(Sheet3!CD82,Sheet2!$AK$2:$AK$69,Sheet2!$AJ$2:$AJ$69)</f>
        <v>1.3005093984729299E-5</v>
      </c>
      <c r="JB82" s="165">
        <f>_xlfn.FORECAST.LINEAR(Sheet3!CE82,Sheet2!$AK$2:$AK$69,Sheet2!$AJ$2:$AJ$69)</f>
        <v>1.2792913147279324E-5</v>
      </c>
      <c r="JC82" s="165">
        <f>_xlfn.FORECAST.LINEAR(Sheet3!CF82,Sheet2!$AK$2:$AK$69,Sheet2!$AJ$2:$AJ$69)</f>
        <v>1.2632990951170642E-5</v>
      </c>
      <c r="JD82" s="165">
        <f>_xlfn.FORECAST.LINEAR(Sheet3!CG82,Sheet2!$AK$2:$AK$69,Sheet2!$AJ$2:$AJ$69)</f>
        <v>1.2437442172622083E-5</v>
      </c>
      <c r="JE82" s="188">
        <f>_xlfn.FORECAST.LINEAR(Sheet3!DF82,New!$MC$2:$MC$18,New!$MB$2:$MB$18)</f>
        <v>2.337798370672098E-5</v>
      </c>
      <c r="JF82" s="165">
        <f>_xlfn.FORECAST.LINEAR(Sheet3!BZ82,New!$MC$2:$MC$18,New!$MB$2:$MB$18)</f>
        <v>2.3360437710331373E-5</v>
      </c>
      <c r="JG82" s="165">
        <f>_xlfn.FORECAST.LINEAR(Sheet3!CA82,New!$MC$2:$MC$18,New!$MB$2:$MB$18)</f>
        <v>2.3051283903560529E-5</v>
      </c>
      <c r="JH82" s="165">
        <f>_xlfn.FORECAST.LINEAR(Sheet3!CB82,New!$MC$2:$MC$18,New!$MB$2:$MB$18)</f>
        <v>2.2821995780127691E-5</v>
      </c>
      <c r="JI82" s="165">
        <f>_xlfn.FORECAST.LINEAR(Sheet3!CC82,New!$MC$2:$MC$18,New!$MB$2:$MB$18)</f>
        <v>2.2514619704326671E-5</v>
      </c>
      <c r="JJ82" s="165">
        <f>_xlfn.FORECAST.LINEAR(Sheet3!CD82,New!$MC$2:$MC$18,New!$MB$2:$MB$18)</f>
        <v>2.2370466123842958E-5</v>
      </c>
      <c r="JK82" s="165">
        <f>_xlfn.FORECAST.LINEAR(Sheet3!CE82,New!$MC$2:$MC$18,New!$MB$2:$MB$18)</f>
        <v>2.2121042428070281E-5</v>
      </c>
      <c r="JL82" s="165">
        <f>_xlfn.FORECAST.LINEAR(Sheet3!CF82,New!$MC$2:$MC$18,New!$MB$2:$MB$18)</f>
        <v>2.1933050026546675E-5</v>
      </c>
      <c r="JM82" s="165">
        <f>_xlfn.FORECAST.LINEAR(Sheet3!CG82,New!$MC$2:$MC$18,New!$MB$2:$MB$18)</f>
        <v>2.1703177717456018E-5</v>
      </c>
      <c r="JN82" s="188">
        <f t="shared" si="376"/>
        <v>2.1949484196584922E-5</v>
      </c>
      <c r="JO82" s="165">
        <f t="shared" si="377"/>
        <v>2.1932063684523627E-5</v>
      </c>
      <c r="JP82" s="165">
        <f t="shared" si="378"/>
        <v>2.1626629971476714E-5</v>
      </c>
      <c r="JQ82" s="165">
        <f t="shared" si="379"/>
        <v>2.1398729922651981E-5</v>
      </c>
      <c r="JR82" s="165">
        <f t="shared" si="380"/>
        <v>2.1097438731571965E-5</v>
      </c>
      <c r="JS82" s="165">
        <f t="shared" si="381"/>
        <v>2.0954035712028996E-5</v>
      </c>
      <c r="JT82" s="165">
        <f t="shared" si="382"/>
        <v>2.0710457714281373E-5</v>
      </c>
      <c r="JU82" s="165">
        <f t="shared" si="383"/>
        <v>2.0523364634811423E-5</v>
      </c>
      <c r="JV82" s="165">
        <f t="shared" si="384"/>
        <v>2.0298970880690355E-5</v>
      </c>
      <c r="JW82" s="188">
        <f t="shared" si="302"/>
        <v>1.0152024173422087</v>
      </c>
      <c r="JX82" s="165">
        <f t="shared" si="385"/>
        <v>1.0153799787819417</v>
      </c>
      <c r="JY82" s="165">
        <f t="shared" si="386"/>
        <v>1.0185702608817926</v>
      </c>
      <c r="JZ82" s="165">
        <f t="shared" si="387"/>
        <v>1.0210143969554593</v>
      </c>
      <c r="KA82" s="165">
        <f t="shared" si="388"/>
        <v>1.0244007003461086</v>
      </c>
      <c r="KB82" s="165">
        <f t="shared" si="389"/>
        <v>1.0260339950945696</v>
      </c>
      <c r="KC82" s="165">
        <f t="shared" si="390"/>
        <v>1.0289312420146068</v>
      </c>
      <c r="KD82" s="165">
        <f t="shared" si="391"/>
        <v>1.0311768323747903</v>
      </c>
      <c r="KE82" s="165">
        <f t="shared" si="392"/>
        <v>1.0339981989299376</v>
      </c>
      <c r="KF82" s="188">
        <f t="shared" si="393"/>
        <v>0.9677010468805306</v>
      </c>
      <c r="KG82" s="165">
        <f t="shared" si="394"/>
        <v>0.9675543286488516</v>
      </c>
      <c r="KH82" s="165">
        <f t="shared" si="395"/>
        <v>0.96493040132223096</v>
      </c>
      <c r="KI82" s="165">
        <f t="shared" si="396"/>
        <v>0.96293565768312983</v>
      </c>
      <c r="KJ82" s="165">
        <f t="shared" si="397"/>
        <v>0.96019392176951657</v>
      </c>
      <c r="KK82" s="165">
        <f t="shared" si="398"/>
        <v>0.9588805358295438</v>
      </c>
      <c r="KL82" s="165">
        <f t="shared" si="399"/>
        <v>0.95656504754281202</v>
      </c>
      <c r="KM82" s="165">
        <f t="shared" si="400"/>
        <v>0.95478281591797853</v>
      </c>
      <c r="KN82" s="165">
        <f t="shared" si="401"/>
        <v>0.95255886075116214</v>
      </c>
      <c r="KO82" s="188">
        <f t="shared" si="304"/>
        <v>0.62444663900448205</v>
      </c>
      <c r="KP82" s="165">
        <f t="shared" si="305"/>
        <v>0.62425383883384777</v>
      </c>
      <c r="KQ82" s="165">
        <f t="shared" si="306"/>
        <v>0.6196423903826801</v>
      </c>
      <c r="KR82" s="165">
        <f t="shared" si="307"/>
        <v>0.61614383321549093</v>
      </c>
      <c r="KS82" s="165">
        <f t="shared" si="308"/>
        <v>0.61136208819913429</v>
      </c>
      <c r="KT82" s="165">
        <f t="shared" si="309"/>
        <v>0.60907172968047818</v>
      </c>
      <c r="KU82" s="165">
        <f t="shared" si="310"/>
        <v>0.6050589184970917</v>
      </c>
      <c r="KV82" s="165">
        <f t="shared" si="311"/>
        <v>0.60196749692469642</v>
      </c>
      <c r="KW82" s="165">
        <f t="shared" si="312"/>
        <v>0.59823311499330367</v>
      </c>
      <c r="KX82" s="188">
        <f>AVERAGE(Sheet3!J82:P82)*KO82^(1/3)/ID82^(1/3)</f>
        <v>81.683043611182228</v>
      </c>
      <c r="KY82" s="165">
        <f>Sheet3!J82*KP82^(1/3)/IE82^(1/3)</f>
        <v>65.828628788493958</v>
      </c>
      <c r="KZ82" s="165">
        <f>Sheet3!K82*KQ82^(1/3)/IF82^(1/3)</f>
        <v>66.400963583962735</v>
      </c>
      <c r="LA82" s="165">
        <f>Sheet3!L82*KR82^(1/3)/IG82^(1/3)</f>
        <v>70.188514958823546</v>
      </c>
      <c r="LB82" s="165">
        <f>Sheet3!M82*KS82^(1/3)/IH82^(1/3)</f>
        <v>75.383104114070491</v>
      </c>
      <c r="LC82" s="165">
        <f>Sheet3!N82*KT82^(1/3)/II82^(1/3)</f>
        <v>83.620785021042295</v>
      </c>
      <c r="LD82" s="165">
        <f>Sheet3!O82*KU82^(1/3)/IJ82^(1/3)</f>
        <v>95.009036150237733</v>
      </c>
      <c r="LE82" s="165">
        <f>Sheet3!P82*KV82^(1/3)/IK82^(1/3)</f>
        <v>109.49198042790165</v>
      </c>
      <c r="LF82" s="165">
        <f>Sheet3!Q82*KW82^(1/3)/IL82^(1/3)</f>
        <v>126.02219243033106</v>
      </c>
      <c r="LG82" s="186">
        <f t="shared" si="402"/>
        <v>27.301310866323035</v>
      </c>
      <c r="LH82" s="183">
        <f t="shared" si="403"/>
        <v>27.301907370403509</v>
      </c>
      <c r="LI82" s="183">
        <f t="shared" si="404"/>
        <v>27.386929645236545</v>
      </c>
      <c r="LJ82" s="183">
        <f t="shared" si="405"/>
        <v>27.388732742975868</v>
      </c>
      <c r="LK82" s="183">
        <f t="shared" si="406"/>
        <v>27.599840579746939</v>
      </c>
      <c r="LL82" s="183">
        <f t="shared" si="407"/>
        <v>27.599840579746939</v>
      </c>
      <c r="LM82" s="183">
        <f t="shared" si="408"/>
        <v>27.826738064374911</v>
      </c>
      <c r="LN82" s="183">
        <f t="shared" si="409"/>
        <v>27.82861118297642</v>
      </c>
      <c r="LO82" s="183">
        <f t="shared" si="410"/>
        <v>28.05431626048399</v>
      </c>
      <c r="LT82" s="165"/>
      <c r="MF82" s="165"/>
      <c r="MJ82"/>
      <c r="MK82"/>
      <c r="ML82"/>
      <c r="MM82"/>
      <c r="MN82"/>
      <c r="MO82"/>
      <c r="MP82"/>
      <c r="MQ82"/>
      <c r="MR82"/>
    </row>
    <row r="83" spans="1:356" x14ac:dyDescent="0.3">
      <c r="A83" s="184" t="str">
        <f>Sheet3!A83</f>
        <v>2023.02.13-2</v>
      </c>
      <c r="B83" s="186">
        <f t="shared" si="313"/>
        <v>0.96491862605738221</v>
      </c>
      <c r="C83" s="183">
        <f t="shared" si="257"/>
        <v>0.96513810297148728</v>
      </c>
      <c r="D83" s="183">
        <f t="shared" si="258"/>
        <v>0.95332412855415016</v>
      </c>
      <c r="E83" s="183">
        <f t="shared" si="259"/>
        <v>0.94434333917856805</v>
      </c>
      <c r="F83" s="183">
        <f t="shared" si="260"/>
        <v>0.93233025224962618</v>
      </c>
      <c r="G83" s="183">
        <f t="shared" si="261"/>
        <v>0.92627188293314755</v>
      </c>
      <c r="H83" s="183">
        <f t="shared" si="262"/>
        <v>0.91678197841655351</v>
      </c>
      <c r="I83" s="183">
        <f t="shared" si="263"/>
        <v>0.90837227700877632</v>
      </c>
      <c r="J83" s="183">
        <f t="shared" si="264"/>
        <v>0.89880900597765057</v>
      </c>
      <c r="K83" s="186">
        <f xml:space="preserve"> (6.057 * (10^(-6)))
+ (4.055 * (10^(-8)) * (Sheet3!DF83 + 273))
+ (1.25 * (10^(-10)) * (Sheet3!DF83 + 273)^2)
- (3.367 * (10^(-14)) * (DD83 + 273)^3)</f>
        <v>5.3312924369842891E-5</v>
      </c>
      <c r="L83" s="183">
        <f xml:space="preserve"> (6.057 * (10^(-6)))
+ (4.055 * (10^(-8)) * (Sheet3!BZ83 + 273))
+ (1.25 * (10^(-10)) * (Sheet3!BZ83 + 273)^2)
- (3.367 * (10^(-14)) * (BX83 + 273)^3)</f>
        <v>5.3324286415211175E-5</v>
      </c>
      <c r="M83" s="183">
        <f xml:space="preserve"> (6.057 * (10^(-6)))
+ (4.055 * (10^(-8)) * (Sheet3!CA83 + 273))
+ (1.25 * (10^(-10)) * (Sheet3!CA83 + 273)^2)
- (3.367 * (10^(-14)) * (BY83 + 273)^3)</f>
        <v>5.1498136881382165E-5</v>
      </c>
      <c r="N83" s="183">
        <f xml:space="preserve"> (6.057 * (10^(-6)))
+ (4.055 * (10^(-8)) * (Sheet3!CB83 + 273))
+ (1.25 * (10^(-10)) * (Sheet3!CB83 + 273)^2)
- (3.367 * (10^(-14)) * (BZ83 + 273)^3)</f>
        <v>5.0182622989197612E-5</v>
      </c>
      <c r="O83" s="183">
        <f xml:space="preserve"> (6.057 * (10^(-6)))
+ (4.055 * (10^(-8)) * (Sheet3!CC83 + 273))
+ (1.25 * (10^(-10)) * (Sheet3!CC83 + 273)^2)
- (3.367 * (10^(-14)) * (CA83 + 273)^3)</f>
        <v>4.8465194296269758E-5</v>
      </c>
      <c r="P83" s="183">
        <f xml:space="preserve"> (6.057 * (10^(-6)))
+ (4.055 * (10^(-8)) * (Sheet3!CD83 + 273))
+ (1.25 * (10^(-10)) * (Sheet3!CD83 + 273)^2)
- (3.367 * (10^(-14)) * (CB83 + 273)^3)</f>
        <v>4.7660005775253649E-5</v>
      </c>
      <c r="Q83" s="183">
        <f xml:space="preserve"> (6.057 * (10^(-6)))
+ (4.055 * (10^(-8)) * (Sheet3!CE83 + 273))
+ (1.25 * (10^(-10)) * (Sheet3!CE83 + 273)^2)
- (3.367 * (10^(-14)) * (CC83 + 273)^3)</f>
        <v>4.6387931087677229E-5</v>
      </c>
      <c r="R83" s="183">
        <f xml:space="preserve"> (6.057 * (10^(-6)))
+ (4.055 * (10^(-8)) * (Sheet3!CF83 + 273))
+ (1.25 * (10^(-10)) * (Sheet3!CF83 + 273)^2)
- (3.367 * (10^(-14)) * (CD83 + 273)^3)</f>
        <v>4.5355541397187751E-5</v>
      </c>
      <c r="S83" s="183">
        <f xml:space="preserve"> (6.057 * (10^(-6)))
+ (4.055 * (10^(-8)) * (Sheet3!CG83 + 273))
+ (1.25 * (10^(-10)) * (Sheet3!CG83 + 273)^2)
- (3.367 * (10^(-14)) * (CE83 + 273)^3)</f>
        <v>4.415036171206214E-5</v>
      </c>
      <c r="T83" s="188">
        <f t="shared" si="314"/>
        <v>5.3312924369842891E-5</v>
      </c>
      <c r="U83" s="165">
        <f t="shared" si="315"/>
        <v>5.3324286415211175E-5</v>
      </c>
      <c r="V83" s="165">
        <f t="shared" si="316"/>
        <v>5.1498136881382165E-5</v>
      </c>
      <c r="W83" s="165">
        <f t="shared" si="317"/>
        <v>5.0182622989197612E-5</v>
      </c>
      <c r="X83" s="165">
        <f t="shared" si="318"/>
        <v>4.8465194296269758E-5</v>
      </c>
      <c r="Y83" s="165">
        <f t="shared" si="319"/>
        <v>4.7660005775253649E-5</v>
      </c>
      <c r="Z83" s="165">
        <f t="shared" si="320"/>
        <v>4.6387931087677229E-5</v>
      </c>
      <c r="AA83" s="165">
        <f t="shared" si="321"/>
        <v>4.5355541397187751E-5</v>
      </c>
      <c r="AB83" s="165">
        <f t="shared" si="322"/>
        <v>4.415036171206214E-5</v>
      </c>
      <c r="AC83" s="186">
        <f t="shared" si="265"/>
        <v>5.1442633734049931E-5</v>
      </c>
      <c r="AD83" s="183">
        <f t="shared" si="266"/>
        <v>5.1465300633085161E-5</v>
      </c>
      <c r="AE83" s="183">
        <f t="shared" si="267"/>
        <v>4.9094416464605994E-5</v>
      </c>
      <c r="AF83" s="183">
        <f t="shared" si="268"/>
        <v>4.7389625762358045E-5</v>
      </c>
      <c r="AG83" s="183">
        <f t="shared" si="269"/>
        <v>4.5185566823568329E-5</v>
      </c>
      <c r="AH83" s="183">
        <f t="shared" si="270"/>
        <v>4.4146123290048886E-5</v>
      </c>
      <c r="AI83" s="183">
        <f t="shared" si="271"/>
        <v>4.2527619237211476E-5</v>
      </c>
      <c r="AJ83" s="183">
        <f t="shared" si="272"/>
        <v>4.1199716413929255E-5</v>
      </c>
      <c r="AK83" s="183">
        <f t="shared" si="273"/>
        <v>3.9682742723972294E-5</v>
      </c>
      <c r="AL83" s="186">
        <f t="shared" si="323"/>
        <v>4.0309906095523387E-2</v>
      </c>
      <c r="AM83" s="183">
        <f t="shared" si="324"/>
        <v>4.0319352097638476E-2</v>
      </c>
      <c r="AN83" s="183">
        <f t="shared" si="325"/>
        <v>3.9320508275905094E-2</v>
      </c>
      <c r="AO83" s="183">
        <f t="shared" si="326"/>
        <v>3.858839856232664E-2</v>
      </c>
      <c r="AP83" s="183">
        <f t="shared" si="327"/>
        <v>3.7611164582797507E-2</v>
      </c>
      <c r="AQ83" s="183">
        <f t="shared" si="328"/>
        <v>3.7148719989292353E-2</v>
      </c>
      <c r="AR83" s="183">
        <f t="shared" si="329"/>
        <v>3.6404205938273024E-2</v>
      </c>
      <c r="AS83" s="183">
        <f t="shared" si="330"/>
        <v>3.5795595166143862E-2</v>
      </c>
      <c r="AT83" s="183">
        <f t="shared" si="331"/>
        <v>3.5075155756827237E-2</v>
      </c>
      <c r="AU83" s="186">
        <f>_xlfn.FORECAST.LINEAR(Sheet3!DF83,Sheet2!$AH$2:$AH$40,Sheet2!$AG$2:$AG$40)</f>
        <v>5.615110757455756E-2</v>
      </c>
      <c r="AV83" s="183">
        <f>_xlfn.FORECAST.LINEAR(Sheet3!BZ83,Sheet2!$AH$2:$AH$40,Sheet2!$AG$2:$AG$40)</f>
        <v>5.6178798999129503E-2</v>
      </c>
      <c r="AW83" s="183">
        <f>_xlfn.FORECAST.LINEAR(Sheet3!CA83,Sheet2!$AH$2:$AH$40,Sheet2!$AG$2:$AG$40)</f>
        <v>5.3253211005817674E-2</v>
      </c>
      <c r="AX83" s="183">
        <f>_xlfn.FORECAST.LINEAR(Sheet3!CB83,Sheet2!$AH$2:$AH$40,Sheet2!$AG$2:$AG$40)</f>
        <v>5.1112029790541684E-2</v>
      </c>
      <c r="AY83" s="183">
        <f>_xlfn.FORECAST.LINEAR(Sheet3!CC83,Sheet2!$AH$2:$AH$40,Sheet2!$AG$2:$AG$40)</f>
        <v>4.8272156479143118E-2</v>
      </c>
      <c r="AZ83" s="183">
        <f>_xlfn.FORECAST.LINEAR(Sheet3!CD83,Sheet2!$AH$2:$AH$40,Sheet2!$AG$2:$AG$40)</f>
        <v>4.6922607534947897E-2</v>
      </c>
      <c r="BA83" s="183">
        <f>_xlfn.FORECAST.LINEAR(Sheet3!CE83,Sheet2!$AH$2:$AH$40,Sheet2!$AG$2:$AG$40)</f>
        <v>4.4766037029135959E-2</v>
      </c>
      <c r="BB83" s="183">
        <f>_xlfn.FORECAST.LINEAR(Sheet3!CF83,Sheet2!$AH$2:$AH$40,Sheet2!$AG$2:$AG$40)</f>
        <v>4.2992929206811331E-2</v>
      </c>
      <c r="BC83" s="183">
        <f>_xlfn.FORECAST.LINEAR(Sheet3!CG83,Sheet2!$AH$2:$AH$40,Sheet2!$AG$2:$AG$40)</f>
        <v>4.0907220875437619E-2</v>
      </c>
      <c r="BD83" s="186">
        <f>_xlfn.FORECAST.LINEAR(Sheet3!DF83,Sheet2!$AB$12:$AB$37,Sheet2!$AA$12:$AA$37)/1000</f>
        <v>3.7324862686859299E-2</v>
      </c>
      <c r="BE83" s="183">
        <f>_xlfn.FORECAST.LINEAR(Sheet3!BZ83,Sheet2!$AB$12:$AB$37,Sheet2!$AA$12:$AA$37)/1000</f>
        <v>3.7331053848433209E-2</v>
      </c>
      <c r="BF83" s="183">
        <f>_xlfn.FORECAST.LINEAR(Sheet3!CA83,Sheet2!$AB$12:$AB$37,Sheet2!$AA$12:$AA$37)/1000</f>
        <v>3.6676960090337635E-2</v>
      </c>
      <c r="BG83" s="183">
        <f>_xlfn.FORECAST.LINEAR(Sheet3!CB83,Sheet2!$AB$12:$AB$37,Sheet2!$AA$12:$AA$37)/1000</f>
        <v>3.6198241531516212E-2</v>
      </c>
      <c r="BH83" s="183">
        <f>_xlfn.FORECAST.LINEAR(Sheet3!CC83,Sheet2!$AB$12:$AB$37,Sheet2!$AA$12:$AA$37)/1000</f>
        <v>3.5563311592299029E-2</v>
      </c>
      <c r="BI83" s="183">
        <f>_xlfn.FORECAST.LINEAR(Sheet3!CD83,Sheet2!$AB$12:$AB$37,Sheet2!$AA$12:$AA$37)/1000</f>
        <v>3.5261583685751503E-2</v>
      </c>
      <c r="BJ83" s="183">
        <f>_xlfn.FORECAST.LINEAR(Sheet3!CE83,Sheet2!$AB$12:$AB$37,Sheet2!$AA$12:$AA$37)/1000</f>
        <v>3.477942443777491E-2</v>
      </c>
      <c r="BK83" s="183">
        <f>_xlfn.FORECAST.LINEAR(Sheet3!CF83,Sheet2!$AB$12:$AB$37,Sheet2!$AA$12:$AA$37)/1000</f>
        <v>3.4382998569995736E-2</v>
      </c>
      <c r="BL83" s="183">
        <f>_xlfn.FORECAST.LINEAR(Sheet3!CG83,Sheet2!$AB$12:$AB$37,Sheet2!$AA$12:$AA$37)/1000</f>
        <v>3.3916682464010119E-2</v>
      </c>
      <c r="BM83" s="186">
        <f t="shared" si="332"/>
        <v>0.69608487260239094</v>
      </c>
      <c r="BN83" s="183">
        <f t="shared" si="333"/>
        <v>0.69592623756362126</v>
      </c>
      <c r="BO83" s="183">
        <f t="shared" si="334"/>
        <v>0.7130962411972156</v>
      </c>
      <c r="BP83" s="183">
        <f t="shared" si="335"/>
        <v>0.72620891113541564</v>
      </c>
      <c r="BQ83" s="183">
        <f t="shared" si="336"/>
        <v>0.744467405207348</v>
      </c>
      <c r="BR83" s="183">
        <f t="shared" si="337"/>
        <v>0.75341769690372007</v>
      </c>
      <c r="BS83" s="183">
        <f t="shared" si="338"/>
        <v>0.76830948509488772</v>
      </c>
      <c r="BT83" s="183">
        <f t="shared" si="339"/>
        <v>0.78088609544796395</v>
      </c>
      <c r="BU83" s="183">
        <f t="shared" si="340"/>
        <v>0.79636357904939259</v>
      </c>
      <c r="BV83" s="186">
        <f t="shared" si="341"/>
        <v>1.1257096665867723</v>
      </c>
      <c r="BW83" s="183">
        <f t="shared" si="342"/>
        <v>1.1257340963454703</v>
      </c>
      <c r="BX83" s="183">
        <f t="shared" si="343"/>
        <v>1.1231528758783536</v>
      </c>
      <c r="BY83" s="183">
        <f t="shared" si="344"/>
        <v>1.1212743893779078</v>
      </c>
      <c r="BZ83" s="183">
        <f t="shared" si="345"/>
        <v>1.1180760856168372</v>
      </c>
      <c r="CA83" s="183">
        <f t="shared" si="346"/>
        <v>1.1169030200164747</v>
      </c>
      <c r="CB83" s="183">
        <f t="shared" si="347"/>
        <v>1.1141516219025775</v>
      </c>
      <c r="CC83" s="183">
        <f t="shared" si="348"/>
        <v>1.1126220722298599</v>
      </c>
      <c r="CD83" s="183">
        <f t="shared" si="349"/>
        <v>1.109906863871944</v>
      </c>
      <c r="CE83" s="187">
        <f xml:space="preserve"> -0.0000000019505*Sheet3!DF83^3 + 0.0000015497*Sheet3!DF83^2  + 0.00016911*Sheet3!DF83 + 1.8585</f>
        <v>1.9414898911875</v>
      </c>
      <c r="CF83" s="185">
        <f xml:space="preserve"> -0.0000000019505*Sheet3!BZ83^3 + 0.0000015497*Sheet3!BZ83^2  + 0.00016911*Sheet3!BZ83 + 1.8585</f>
        <v>1.941550757508492</v>
      </c>
      <c r="CG83" s="185">
        <f xml:space="preserve"> -0.0000000019505*Sheet3!CA83^3 + 0.0000015497*Sheet3!CA83^2  + 0.00016911*Sheet3!CA83 + 1.8585</f>
        <v>1.9351691060913829</v>
      </c>
      <c r="CH83" s="185">
        <f xml:space="preserve"> -0.0000000019505*Sheet3!CB83^3 + 0.0000015497*Sheet3!CB83^2  + 0.00016911*Sheet3!CB83 + 1.8585</f>
        <v>1.9305675068653836</v>
      </c>
      <c r="CI83" s="185">
        <f xml:space="preserve"> -0.0000000019505*Sheet3!CC83^3 + 0.0000015497*Sheet3!CC83^2  + 0.00016911*Sheet3!CC83 + 1.8585</f>
        <v>1.9245676200909081</v>
      </c>
      <c r="CJ83" s="185">
        <f xml:space="preserve"> -0.0000000019505*Sheet3!CD83^3 + 0.0000015497*Sheet3!CD83^2  + 0.00016911*Sheet3!CD83 + 1.8585</f>
        <v>1.9217619147340497</v>
      </c>
      <c r="CK83" s="185">
        <f xml:space="preserve"> -0.0000000019505*Sheet3!CE83^3 + 0.0000015497*Sheet3!CE83^2  + 0.00016911*Sheet3!CE83 + 1.8585</f>
        <v>1.9173450041211642</v>
      </c>
      <c r="CL83" s="185">
        <f xml:space="preserve"> -0.0000000019505*Sheet3!CF83^3 + 0.0000015497*Sheet3!CF83^2  + 0.00016911*Sheet3!CF83 + 1.8585</f>
        <v>1.9137792032796794</v>
      </c>
      <c r="CM83" s="185">
        <f xml:space="preserve"> -0.0000000019505*Sheet3!CG83^3 + 0.0000015497*Sheet3!CG83^2  + 0.00016911*Sheet3!CG83 + 1.8585</f>
        <v>1.909666428713984</v>
      </c>
      <c r="CN83" s="186">
        <f>_xlfn.FORECAST.LINEAR(Sheet3!DF83,New!$LU$2:$LU$14,New!$LT$2:$LT$14)</f>
        <v>1.0350674194089138</v>
      </c>
      <c r="CO83" s="183">
        <f>_xlfn.FORECAST.LINEAR(Sheet3!BZ83,New!$LU$2:$LU$14,New!$LT$2:$LT$14)</f>
        <v>1.0350878006606903</v>
      </c>
      <c r="CP83" s="183">
        <f>_xlfn.FORECAST.LINEAR(Sheet3!CA83,New!$LU$2:$LU$14,New!$LT$2:$LT$14)</f>
        <v>1.0329345295160082</v>
      </c>
      <c r="CQ83" s="183">
        <f>_xlfn.FORECAST.LINEAR(Sheet3!CB83,New!$LU$2:$LU$14,New!$LT$2:$LT$14)</f>
        <v>1.0313585920508115</v>
      </c>
      <c r="CR83" s="183">
        <f>_xlfn.FORECAST.LINEAR(Sheet3!CC83,New!$LU$2:$LU$14,New!$LT$2:$LT$14)</f>
        <v>1.0292684080365324</v>
      </c>
      <c r="CS83" s="183">
        <f>_xlfn.FORECAST.LINEAR(Sheet3!CD83,New!$LU$2:$LU$14,New!$LT$2:$LT$14)</f>
        <v>1.0282751223084958</v>
      </c>
      <c r="CT83" s="183">
        <f>_xlfn.FORECAST.LINEAR(Sheet3!CE83,New!$LU$2:$LU$14,New!$LT$2:$LT$14)</f>
        <v>1.0266878581235683</v>
      </c>
      <c r="CU83" s="183">
        <f>_xlfn.FORECAST.LINEAR(Sheet3!CF83,New!$LU$2:$LU$14,New!$LT$2:$LT$14)</f>
        <v>1.0253828275044417</v>
      </c>
      <c r="CV83" s="183">
        <f>_xlfn.FORECAST.LINEAR(Sheet3!CG83,New!$LU$2:$LU$14,New!$LT$2:$LT$14)</f>
        <v>1.0238477188095614</v>
      </c>
      <c r="CW83" s="186">
        <f>EXP((17.625*Sheet3!BA83)/(243.04+Sheet3!BA83)) / EXP((17.625*Sheet3!DF83)/(243.04+Sheet3!DF83))</f>
        <v>7.2096134152577493E-3</v>
      </c>
      <c r="CX83" s="183">
        <f>EXP((17.625*(Sheet3!BC83+273))/(243.04+(Sheet3!BC83+273)))/EXP((17.625*(Sheet3!BZ83+273))/(243.04+(Sheet3!BZ83+273)))</f>
        <v>0.20308411858860828</v>
      </c>
      <c r="CY83" s="183">
        <f>EXP((17.625*(Sheet3!BE83+273))/(243.04+(Sheet3!BE83+273))) / EXP((17.625*(Sheet3!CA83+273))/(243.04+(Sheet3!CA83+273)))</f>
        <v>0.22362619543051587</v>
      </c>
      <c r="CZ83" s="183">
        <f>EXP((17.625*(Sheet3!BG83+273))/(243.04+(Sheet3!BG83+273))) / EXP((17.625*(Sheet3!CB83+273))/(243.04+(Sheet3!CB83+273)))</f>
        <v>0.24044429970888659</v>
      </c>
      <c r="DA83" s="183">
        <f>EXP((17.625*(Sheet3!BI83+273))/(243.04+(Sheet3!BI83+273))) / EXP((17.625*(Sheet3!CC83+273))/(243.04+(Sheet3!CC83+273)))</f>
        <v>0.26476803540601068</v>
      </c>
      <c r="DB83" s="183">
        <f>EXP((17.625*(Sheet3!BK83+273))/(243.04+(Sheet3!BK83+273)))/EXP((17.625*(Sheet3!CD83+273))/(243.04+(Sheet3!CD83+273)))</f>
        <v>0.27782626018550255</v>
      </c>
      <c r="DC83" s="183">
        <f>EXP((17.625*(Sheet3!BM83+273))/(243.04+(Sheet3!BM83+273))) / EXP((17.625*(Sheet3!CE83+273))/(243.04+(Sheet3!CE83+273)))</f>
        <v>0.29954724345952477</v>
      </c>
      <c r="DD83" s="183">
        <f>EXP((17.625*(Sheet3!BO83+273))/(243.04+(Sheet3!BO83+273))) / EXP((17.625*(Sheet3!CF83+273))/(243.04+(Sheet3!CF83+273)))</f>
        <v>0.31999060889032915</v>
      </c>
      <c r="DE83" s="183">
        <f>EXP((17.625*(Sheet3!BQ83+273))/(243.04+(Sheet3!BQ83+273))) / EXP((17.625*(Sheet3!CG83+273))/(243.04+(Sheet3!CG83+273)))</f>
        <v>0.34526006208398408</v>
      </c>
      <c r="DF83" s="186">
        <f>((Sheet3!DA83-Sheet3!DB83)/New!$LQ$3)/(((Sheet3!DA83-Sheet3!DB83)/New!$LQ$3)+(Sheet3!DB83/New!$LP$3))</f>
        <v>0.84845234045893403</v>
      </c>
      <c r="DG83" s="183">
        <f>((Sheet3!DA83-Sheet3!DB83)/New!$LQ$3)/(((Sheet3!DA83-Sheet3!DB83)/New!$LQ$3)+((Sheet3!DB83-(Sheet3!B83*0.004))/New!$LP$3))</f>
        <v>0.84845234045893403</v>
      </c>
      <c r="DH83" s="183" cm="1">
        <f t="array" ref="DH83">((Sheet3!DA83-Sheet3!DB83)/New!$LQ$3)/(((Sheet3!DA83-Sheet3!DB83)/New!$LQ$3)+((Sheet3!DB83-(SUM(Sheet3!B83:C83*0.004)))/New!$LP$3))</f>
        <v>0.84849190567814792</v>
      </c>
      <c r="DI83" s="183" cm="1">
        <f t="array" ref="DI83">((Sheet3!DA83-Sheet3!DB83)/New!$LQ$3)/(((Sheet3!DA83-Sheet3!DB83)/New!$LQ$3)+((Sheet3!DB83-(SUM(Sheet3!B83:D83*0.004)))/New!$LP$3))</f>
        <v>0.84849190567814792</v>
      </c>
      <c r="DJ83" s="183" cm="1">
        <f t="array" ref="DJ83">((Sheet3!DA83-Sheet3!DB83)/New!$LQ$3)/(((Sheet3!DA83-Sheet3!DB83)/New!$LQ$3)+((Sheet3!DB83-(SUM(Sheet3!B83:E83*0.004)))/New!$LP$3))</f>
        <v>0.85412783371002265</v>
      </c>
      <c r="DK83" s="183" cm="1">
        <f t="array" ref="DK83">((Sheet3!DA83-Sheet3!DB83)/New!$LQ$3)/(((Sheet3!DA83-Sheet3!DB83)/New!$LQ$3)+((Sheet3!DB83-(SUM(Sheet3!B83:F83*0.004)))/New!$LP$3))</f>
        <v>0.85412783371002265</v>
      </c>
      <c r="DL83" s="183" cm="1">
        <f t="array" ref="DL83">((Sheet3!DA83-Sheet3!DB83)/New!$LQ$3)/(((Sheet3!DA83-Sheet3!DB83)/New!$LQ$3)+((Sheet3!DB83-(SUM(Sheet3!B83:G83*0.004)))/New!$LP$3))</f>
        <v>0.86122285927615505</v>
      </c>
      <c r="DM83" s="183" cm="1">
        <f t="array" ref="DM83">((Sheet3!DA83-Sheet3!DB83)/New!$LQ$3)/(((Sheet3!DA83-Sheet3!DB83)/New!$LQ$3)+((Sheet3!DB83-(SUM(Sheet3!B83:H83*0.004)))/New!$LP$3))</f>
        <v>0.86124324141710173</v>
      </c>
      <c r="DN83" s="183" cm="1">
        <f t="array" ref="DN83">((Sheet3!DA83-Sheet3!DB83)/New!$LQ$3)/(((Sheet3!DA83-Sheet3!DB83)/New!$LQ$3)+((Sheet3!DB83-(SUM(Sheet3!B83:I83*0.004)))/New!$LP$3))</f>
        <v>0.86887217884437484</v>
      </c>
      <c r="DO83" s="186">
        <f>(Sheet3!DB83/$LP$3) / ((Sheet3!DB83/$LP$3) + ((Sheet3!DA83-Sheet3!DB83)/$LQ$3))</f>
        <v>0.15154765954106594</v>
      </c>
      <c r="DP83" s="183">
        <f>((Sheet3!$DB83-(Sheet3!B83/4000)) / $LP$3) / (((Sheet3!$DA83-Sheet3!DB83) / $LQ$3) + (Sheet3!$DB83-((Sheet3!B83/4000)))/$LP$3)</f>
        <v>0.15154765954106594</v>
      </c>
      <c r="DQ83" s="183">
        <f>((Sheet3!$DB83-(SUM(Sheet3!B83:C83)/4000))/$LP$3)/(((Sheet3!$DA83-Sheet3!$DB83)/$LQ$3)+(Sheet3!$DB83-(SUM(Sheet3!B83:C83)/4000))/$LP$3)</f>
        <v>0.15154518682296667</v>
      </c>
      <c r="DR83" s="183">
        <f>((Sheet3!$DB83-(SUM(Sheet3!B83:D83)/4000))/$LP$3)/(((Sheet3!$DA83-Sheet3!$DB83)/$LQ$3)+(Sheet3!$DB83-(SUM(Sheet3!B83:D83)/4000))/$LP$3)</f>
        <v>0.15154518682296667</v>
      </c>
      <c r="DS83" s="183">
        <f>((Sheet3!$DB83-(SUM(Sheet3!B83:E83)/4000))/$LP$3)/(((Sheet3!$DA83-Sheet3!$DB83)/$LQ$3)+(Sheet3!$DB83-(SUM(Sheet3!B83:E83)/4000))/$LP$3)</f>
        <v>0.15119515184278307</v>
      </c>
      <c r="DT83" s="183">
        <f>((Sheet3!$DB83-(SUM(Sheet3!B83:F83)/4000))/$LP$3)/(((Sheet3!$DA83-Sheet3!$DB83)/$LQ$3)+(Sheet3!$DB83-(SUM(Sheet3!B83:F83)/4000))/$LP$3)</f>
        <v>0.15119515184278307</v>
      </c>
      <c r="DU83" s="183">
        <f>((Sheet3!$DB83-(SUM(Sheet3!B83:G83)/4000))/$LP$3)/(((Sheet3!$DA83-Sheet3!$DB83)/$LQ$3)+(Sheet3!$DB83-(SUM(Sheet3!B83:G83)/4000))/$LP$3)</f>
        <v>0.15076060805968353</v>
      </c>
      <c r="DV83" s="183">
        <f>((Sheet3!$DB83-(SUM(Sheet3!B83:H83)/4000))/$LP$3)/(((Sheet3!$DA83-Sheet3!$DB83)/$LQ$3)+(Sheet3!$DB83-(SUM(Sheet3!B83:H83)/4000))/$LP$3)</f>
        <v>0.15075936940760104</v>
      </c>
      <c r="DW83" s="183">
        <f>((Sheet3!$DB83-(SUM(Sheet3!B83:I83)/4000))/$LP$3)/(((Sheet3!$DA83-Sheet3!$DB83)/$LQ$3)+(Sheet3!$DB83-(SUM(Sheet3!B83:I83)/4000))/$LP$3)</f>
        <v>0.15029958001376156</v>
      </c>
      <c r="DX83" s="186">
        <f>($LR$2*($LP$3/1000))/($LP$2*(Sheet3!DF83+273))*DO83</f>
        <v>6.9608487260239091E-2</v>
      </c>
      <c r="DY83" s="183">
        <f>(($LR$2*($LP$3/1000))/($LP$2*(Sheet3!BZ83+273)))*(DP83)</f>
        <v>6.9592623756362132E-2</v>
      </c>
      <c r="DZ83" s="183">
        <f>(($LR$2*($LP$3/1000))/($LP$2*(Sheet3!CA83+273)))*(DQ83)</f>
        <v>7.1308389912315237E-2</v>
      </c>
      <c r="EA83" s="183">
        <f>(($LR$2*($LP$3/1000))/($LP$2*(Sheet3!CB83+273)))*(DR83)</f>
        <v>7.2619634211085929E-2</v>
      </c>
      <c r="EB83" s="183">
        <f>(($LR$2*($LP$3/1000))/($LP$2*(Sheet3!CC83+273)))*(DS83)</f>
        <v>7.426307875819825E-2</v>
      </c>
      <c r="EC83" s="183">
        <f>(($LR$2*($LP$3/1000))/($LP$2*(Sheet3!CD83+273)))*(DT83)</f>
        <v>7.5155899870992846E-2</v>
      </c>
      <c r="ED83" s="183">
        <f>(($LR$2*($LP$3/1000))/($LP$2*(Sheet3!CE83+273)))*(DU83)</f>
        <v>7.6407824032146548E-2</v>
      </c>
      <c r="EE83" s="183">
        <f>(($LR$2*($LP$3/1000))/($LP$2*(Sheet3!CF83+273)))*(DV83)</f>
        <v>7.7657882264221351E-2</v>
      </c>
      <c r="EF83" s="183">
        <f>(($LR$2*($LP$3/1000))/($LP$2*(Sheet3!CG83+273)))*(DW83)</f>
        <v>7.8941009876356161E-2</v>
      </c>
      <c r="EG83" s="186">
        <f>(($LR$2*($LQ$3/1000))/($LQ$2*(Sheet3!DF83+273)))*(1-DO83)</f>
        <v>0.62647638534215189</v>
      </c>
      <c r="EH83" s="183">
        <f>(($LR$2*($LQ$3/1000))/($LQ$2*(Sheet3!BZ83+273)))*(1-DP83)</f>
        <v>0.62633361380725916</v>
      </c>
      <c r="EI83" s="183">
        <f>(($LR$2*($LQ$3/1000))/($LQ$2*(Sheet3!CA83+273)))*(1-DQ83)</f>
        <v>0.64178785128490035</v>
      </c>
      <c r="EJ83" s="183">
        <f>(($LR$2*($LQ$3/1000))/($LQ$2*(Sheet3!CB83+273)))*(1-DR83)</f>
        <v>0.65358927692432967</v>
      </c>
      <c r="EK83" s="183">
        <f>(($LR$2*($LQ$3/1000))/($LQ$2*(Sheet3!CC83+273)))*(1-DS83)</f>
        <v>0.67020432644914973</v>
      </c>
      <c r="EL83" s="183">
        <f>(($LR$2*($LQ$3/1000))/($LQ$2*(Sheet3!CD83+273)))*(1-DT83)</f>
        <v>0.67826179703272726</v>
      </c>
      <c r="EM83" s="183">
        <f>(($LR$2*($LQ$3/1000))/($LQ$2*(Sheet3!CE83+273)))*(1-DU83)</f>
        <v>0.6919016610627412</v>
      </c>
      <c r="EN83" s="183">
        <f>(($LR$2*($LQ$3/1000))/($LQ$2*(Sheet3!CF83+273)))*(1-DV83)</f>
        <v>0.70322821318374262</v>
      </c>
      <c r="EO83" s="183">
        <f>(($LR$2*($LQ$3/1000))/($LQ$2*(Sheet3!CG83+273)))*(1-DW83)</f>
        <v>0.71742256917303648</v>
      </c>
      <c r="EP83" s="186">
        <f t="shared" si="350"/>
        <v>4843.5383619389895</v>
      </c>
      <c r="EQ83" s="183">
        <f xml:space="preserve"> (($FV83-(Sheet3!B83/4000))*0.018)/(0.011*JO83*3600)</f>
        <v>4842.6561853625171</v>
      </c>
      <c r="ER83" s="183">
        <f>((($FV83-(SUM(Sheet3!B83:C83)/4000))*0.018)/(0.011*JP83*3600))</f>
        <v>4937.6733992429972</v>
      </c>
      <c r="ES83" s="183">
        <f>((($FV83-(SUM(Sheet3!B83:D83)/4000))*0.018)/(0.011*JQ83*3600))</f>
        <v>5009.6488090872517</v>
      </c>
      <c r="ET83" s="183">
        <f>((($FV83-(SUM(Sheet3!B83:E83)/4000))*0.018)/(0.011*JR83))/3600</f>
        <v>5106.323035439852</v>
      </c>
      <c r="EU83" s="183">
        <f>((($FV83-(SUM(Sheet3!B83:F83)/4000))*0.018)/(0.011*JS83))/3600</f>
        <v>5154.6430790168552</v>
      </c>
      <c r="EV83" s="183">
        <f>((($FV83-(SUM(Sheet3!B83:G83)/4000))*0.018)/(0.011*JT83))/3600</f>
        <v>5231.0870333945586</v>
      </c>
      <c r="EW83" s="183">
        <f>((($FV83-(SUM(Sheet3!B83:H83)/4000))*0.018)/(0.011*JU83))/3600</f>
        <v>5297.9908347433475</v>
      </c>
      <c r="EX83" s="183">
        <f>((($FV83-(SUM(Sheet3!B83:I83)/4000))*0.018)/(0.011*JV83))/3600</f>
        <v>5375.9691772777833</v>
      </c>
      <c r="EY83" s="186">
        <f t="shared" si="351"/>
        <v>49.322059684444064</v>
      </c>
      <c r="EZ83" s="183">
        <f t="shared" si="352"/>
        <v>49.315859359667627</v>
      </c>
      <c r="FA83" s="183">
        <f t="shared" si="353"/>
        <v>49.983636679695444</v>
      </c>
      <c r="FB83" s="183">
        <f t="shared" si="354"/>
        <v>50.489552643218779</v>
      </c>
      <c r="FC83" s="183">
        <f t="shared" si="355"/>
        <v>51.163946795658646</v>
      </c>
      <c r="FD83" s="183">
        <f t="shared" si="356"/>
        <v>51.503714906917601</v>
      </c>
      <c r="FE83" s="183">
        <f t="shared" si="357"/>
        <v>52.034522455511656</v>
      </c>
      <c r="FF83" s="183">
        <f t="shared" si="358"/>
        <v>52.505252073728606</v>
      </c>
      <c r="FG83" s="183">
        <f t="shared" si="359"/>
        <v>53.046534603872885</v>
      </c>
      <c r="FH83" s="186">
        <f t="shared" si="274"/>
        <v>110.45375523987447</v>
      </c>
      <c r="FI83" s="183">
        <f t="shared" si="275"/>
        <v>110.46574986222551</v>
      </c>
      <c r="FJ83" s="183">
        <f t="shared" si="276"/>
        <v>109.18788887354435</v>
      </c>
      <c r="FK83" s="183">
        <f t="shared" si="277"/>
        <v>108.23949892389437</v>
      </c>
      <c r="FL83" s="183">
        <f t="shared" si="278"/>
        <v>106.90753464650069</v>
      </c>
      <c r="FM83" s="183">
        <f t="shared" si="279"/>
        <v>106.29428241585691</v>
      </c>
      <c r="FN83" s="183">
        <f t="shared" si="280"/>
        <v>105.23752618722992</v>
      </c>
      <c r="FO83" s="183">
        <f t="shared" si="281"/>
        <v>104.41426374041805</v>
      </c>
      <c r="FP83" s="183">
        <f t="shared" si="282"/>
        <v>103.36752575504264</v>
      </c>
      <c r="FQ83" s="314">
        <f>Sheet3!CV83</f>
        <v>1</v>
      </c>
      <c r="FR83" s="183">
        <v>5000</v>
      </c>
      <c r="FS83" s="183">
        <v>10</v>
      </c>
      <c r="FT83" s="183">
        <v>6.6461538461538461E-2</v>
      </c>
      <c r="FU83" s="183">
        <v>15.34</v>
      </c>
      <c r="FV83" s="183">
        <v>260</v>
      </c>
      <c r="FW83" s="183">
        <v>26</v>
      </c>
      <c r="FX83" s="183">
        <v>261</v>
      </c>
      <c r="FY83" s="183">
        <v>6.69</v>
      </c>
      <c r="FZ83" s="183">
        <v>28.6</v>
      </c>
      <c r="GA83" s="183">
        <v>205</v>
      </c>
      <c r="GB83" s="186">
        <f>EXP($LP$6-($LQ$6/('Trial and Error method'!T83+$LP$8))) / ($LR$2/1000)</f>
        <v>0.13183384657886421</v>
      </c>
      <c r="GC83" s="183">
        <f>EXP($LP$6-($LQ$6/('Trial and Error method'!U83+$LP$8))) / ($LR$2/1000)</f>
        <v>0.14631740778668545</v>
      </c>
      <c r="GD83" s="183">
        <f>EXP($LP$6-($LQ$6/('Trial and Error method'!V83+$LP$8))) / ($LR$2/1000)</f>
        <v>0.21355439265181336</v>
      </c>
      <c r="GE83" s="183">
        <f>EXP($LP$6-($LQ$6/('Trial and Error method'!W83+$LP$8))) / ($LR$2/1000)</f>
        <v>0.20291197620575066</v>
      </c>
      <c r="GF83" s="183">
        <f>EXP($LP$6-($LQ$6/('Trial and Error method'!X83+$LP$8))) / ($LR$2/1000)</f>
        <v>0.18591222022380641</v>
      </c>
      <c r="GG83" s="183">
        <f>EXP($LP$6-($LQ$6/('Trial and Error method'!Y83+$LP$8))) / ($LR$2/1000)</f>
        <v>0.17871593526849344</v>
      </c>
      <c r="GH83" s="183">
        <f>EXP($LP$6-($LQ$6/('Trial and Error method'!Z83+$LP$8))) / ($LR$2/1000)</f>
        <v>0.16601417718236916</v>
      </c>
      <c r="GI83" s="183">
        <f>EXP($LP$6-($LQ$6/('Trial and Error method'!AA83+$LP$8))) / ($LR$2/1000)</f>
        <v>0.15606582281104514</v>
      </c>
      <c r="GJ83" s="183">
        <f>EXP($LP$6-($LQ$6/('Trial and Error method'!AB83+$LP$8))) / ($LR$2/1000)</f>
        <v>0.14273044947075797</v>
      </c>
      <c r="GK83" s="188">
        <f t="shared" si="411"/>
        <v>0.85827151305684357</v>
      </c>
      <c r="GL83" s="165">
        <f t="shared" si="360"/>
        <v>0.85106478777818173</v>
      </c>
      <c r="GM83" s="165">
        <f t="shared" si="361"/>
        <v>0.81705807447505652</v>
      </c>
      <c r="GN83" s="165">
        <f t="shared" si="362"/>
        <v>0.82250410720118983</v>
      </c>
      <c r="GO83" s="165">
        <f t="shared" si="363"/>
        <v>0.83132549889417673</v>
      </c>
      <c r="GP83" s="165">
        <f t="shared" si="364"/>
        <v>0.83496886681888483</v>
      </c>
      <c r="GQ83" s="165">
        <f t="shared" si="365"/>
        <v>0.84158956862530843</v>
      </c>
      <c r="GR83" s="165">
        <f t="shared" si="366"/>
        <v>0.84658463212317392</v>
      </c>
      <c r="GS83" s="165">
        <f t="shared" si="367"/>
        <v>0.85347939132633122</v>
      </c>
      <c r="GT83" s="188">
        <f t="shared" si="283"/>
        <v>7.2829049390023284E-2</v>
      </c>
      <c r="GU83" s="165">
        <f t="shared" si="284"/>
        <v>7.3441003709034072E-2</v>
      </c>
      <c r="GV83" s="165">
        <f t="shared" si="285"/>
        <v>7.6411370335145584E-2</v>
      </c>
      <c r="GW83" s="165">
        <f t="shared" si="286"/>
        <v>7.5849296387801649E-2</v>
      </c>
      <c r="GX83" s="165">
        <f t="shared" si="287"/>
        <v>7.4970149876375694E-2</v>
      </c>
      <c r="GY83" s="165">
        <f t="shared" si="288"/>
        <v>7.4616386193554804E-2</v>
      </c>
      <c r="GZ83" s="165">
        <f t="shared" si="289"/>
        <v>7.3980566712175441E-2</v>
      </c>
      <c r="HA83" s="165">
        <f t="shared" si="290"/>
        <v>7.3519335557951981E-2</v>
      </c>
      <c r="HB83" s="165">
        <f t="shared" si="291"/>
        <v>7.2883403266106289E-2</v>
      </c>
      <c r="HC83" s="188">
        <f>BV83*Sheet3!DF83</f>
        <v>230.77048165028833</v>
      </c>
      <c r="HD83" s="165">
        <f>BW83*Sheet3!BZ83</f>
        <v>230.8981488089473</v>
      </c>
      <c r="HE83" s="165">
        <f>BX83*Sheet3!CA83</f>
        <v>217.43955035788659</v>
      </c>
      <c r="HF83" s="165">
        <f>BY83*Sheet3!CB83</f>
        <v>207.6290994198763</v>
      </c>
      <c r="HG83" s="165">
        <f>BZ83*Sheet3!CC83</f>
        <v>194.54322624091762</v>
      </c>
      <c r="HH83" s="165">
        <f>CA83*Sheet3!CD83</f>
        <v>188.40818748378888</v>
      </c>
      <c r="HI83" s="165">
        <f>CB83*Sheet3!CE83</f>
        <v>178.48982294963628</v>
      </c>
      <c r="HJ83" s="165">
        <f>CC83*Sheet3!CF83</f>
        <v>170.48229051104707</v>
      </c>
      <c r="HK83" s="165">
        <f>CD83*Sheet3!CG83</f>
        <v>160.9575042323371</v>
      </c>
      <c r="HL83" s="188">
        <f>(CE83*Sheet3!DF83)+2501</f>
        <v>2899.0054276934375</v>
      </c>
      <c r="HM83" s="165">
        <f>(CF83*Sheet3!BZ83)+2501</f>
        <v>2899.2294550575143</v>
      </c>
      <c r="HN83" s="165">
        <f>(CG83*Sheet3!CA83)+2501</f>
        <v>2875.6438346301825</v>
      </c>
      <c r="HO83" s="165">
        <f>(CH83*Sheet3!CB83)+2501</f>
        <v>2858.487869710576</v>
      </c>
      <c r="HP83" s="165">
        <f>(CI83*Sheet3!CC83)+2501</f>
        <v>2835.8713014684763</v>
      </c>
      <c r="HQ83" s="165">
        <f>(CJ83*Sheet3!CD83)+2501</f>
        <v>2825.1782613543987</v>
      </c>
      <c r="HR83" s="165">
        <f>(CK83*Sheet3!CE83)+2501</f>
        <v>2808.1633730914955</v>
      </c>
      <c r="HS83" s="165">
        <f>(CL83*Sheet3!CF83)+2501</f>
        <v>2794.2401488797018</v>
      </c>
      <c r="HT83" s="165">
        <f>(CM83*Sheet3!CG83)+2501</f>
        <v>2777.9377794545712</v>
      </c>
      <c r="HU83" s="188">
        <f>-0.0021*(Sheet3!DF83^2) - 2.2115*(Sheet3!DF83) + 2499</f>
        <v>1957.3899999999999</v>
      </c>
      <c r="HV83" s="165">
        <f>-0.0021*(Sheet3!BZ83^2) - 2.2115*(Sheet3!BZ83) + 2499</f>
        <v>1957.0551980041664</v>
      </c>
      <c r="HW83" s="165">
        <f>-0.0021*(Sheet3!CA83^2) - 2.2115*(Sheet3!CA83) + 2499</f>
        <v>1992.1512492966765</v>
      </c>
      <c r="HX83" s="165">
        <f>-0.0021*(Sheet3!CB83^2) - 2.2115*(Sheet3!CB83) + 2499</f>
        <v>2017.4846410592704</v>
      </c>
      <c r="HY83" s="165">
        <f>-0.0021*(Sheet3!CC83^2) - 2.2115*(Sheet3!CC83) + 2499</f>
        <v>2050.6246964475577</v>
      </c>
      <c r="HZ83" s="165">
        <f>-0.0021*(Sheet3!CD83^2) - 2.2115*(Sheet3!CD83) + 2499</f>
        <v>2066.1895082548995</v>
      </c>
      <c r="IA83" s="165">
        <f>-0.0021*(Sheet3!CE83^2) - 2.2115*(Sheet3!CE83) + 2499</f>
        <v>2090.8161404245593</v>
      </c>
      <c r="IB83" s="165">
        <f>-0.0021*(Sheet3!CF83^2) - 2.2115*(Sheet3!CF83) + 2499</f>
        <v>2110.8373363623773</v>
      </c>
      <c r="IC83" s="165">
        <f>-0.0021*(Sheet3!CG83^2) - 2.2115*(Sheet3!CG83) + 2499</f>
        <v>2134.1266111621844</v>
      </c>
      <c r="ID83" s="188">
        <f t="shared" si="292"/>
        <v>0.6814006324841535</v>
      </c>
      <c r="IE83" s="165">
        <f t="shared" si="293"/>
        <v>0.68137988120791071</v>
      </c>
      <c r="IF83" s="165">
        <f t="shared" si="294"/>
        <v>0.68367110028151823</v>
      </c>
      <c r="IG83" s="165">
        <f t="shared" si="295"/>
        <v>0.68548459225275948</v>
      </c>
      <c r="IH83" s="165">
        <f t="shared" si="296"/>
        <v>0.68782495642611852</v>
      </c>
      <c r="II83" s="165">
        <f t="shared" si="297"/>
        <v>0.68913554271302913</v>
      </c>
      <c r="IJ83" s="165">
        <f t="shared" si="298"/>
        <v>0.69101231403610863</v>
      </c>
      <c r="IK83" s="165">
        <f t="shared" si="299"/>
        <v>0.69293334560622477</v>
      </c>
      <c r="IL83" s="165">
        <f t="shared" si="300"/>
        <v>0.69495981084423863</v>
      </c>
      <c r="IM83" s="188">
        <f t="shared" si="301"/>
        <v>2.8102997086110548</v>
      </c>
      <c r="IN83" s="165">
        <f t="shared" si="368"/>
        <v>0.75173413700807146</v>
      </c>
      <c r="IO83" s="165">
        <f t="shared" si="369"/>
        <v>-9.4392277651129479</v>
      </c>
      <c r="IP83" s="165">
        <f t="shared" si="370"/>
        <v>-7.8603921838318973</v>
      </c>
      <c r="IQ83" s="165">
        <f t="shared" si="371"/>
        <v>-5.3372507553952202</v>
      </c>
      <c r="IR83" s="165">
        <f t="shared" si="372"/>
        <v>-4.2429230570447354</v>
      </c>
      <c r="IS83" s="165">
        <f t="shared" si="373"/>
        <v>-2.3594184561844647</v>
      </c>
      <c r="IT83" s="165">
        <f t="shared" si="374"/>
        <v>-0.82349448636691902</v>
      </c>
      <c r="IU83" s="165">
        <f t="shared" si="375"/>
        <v>1.177320809459546</v>
      </c>
      <c r="IV83" s="188">
        <f>_xlfn.FORECAST.LINEAR(Sheet3!DF83,Sheet2!$AK$2:$AK$69,Sheet2!$AJ$2:$AJ$69)</f>
        <v>1.5962912137298422E-5</v>
      </c>
      <c r="IW83" s="165">
        <f>_xlfn.FORECAST.LINEAR(Sheet3!BZ83,Sheet2!$AK$2:$AK$69,Sheet2!$AJ$2:$AJ$69)</f>
        <v>1.5966727049884807E-5</v>
      </c>
      <c r="IX83" s="165">
        <f>_xlfn.FORECAST.LINEAR(Sheet3!CA83,Sheet2!$AK$2:$AK$69,Sheet2!$AJ$2:$AJ$69)</f>
        <v>1.5563683052300973E-5</v>
      </c>
      <c r="IY83" s="165">
        <f>_xlfn.FORECAST.LINEAR(Sheet3!CB83,Sheet2!$AK$2:$AK$69,Sheet2!$AJ$2:$AJ$69)</f>
        <v>1.526870295307677E-5</v>
      </c>
      <c r="IZ83" s="165">
        <f>_xlfn.FORECAST.LINEAR(Sheet3!CC83,Sheet2!$AK$2:$AK$69,Sheet2!$AJ$2:$AJ$69)</f>
        <v>1.4877467449419259E-5</v>
      </c>
      <c r="JA83" s="165">
        <f>_xlfn.FORECAST.LINEAR(Sheet3!CD83,Sheet2!$AK$2:$AK$69,Sheet2!$AJ$2:$AJ$69)</f>
        <v>1.4691546669512123E-5</v>
      </c>
      <c r="JB83" s="165">
        <f>_xlfn.FORECAST.LINEAR(Sheet3!CE83,Sheet2!$AK$2:$AK$69,Sheet2!$AJ$2:$AJ$69)</f>
        <v>1.4394446462743127E-5</v>
      </c>
      <c r="JC83" s="165">
        <f>_xlfn.FORECAST.LINEAR(Sheet3!CF83,Sheet2!$AK$2:$AK$69,Sheet2!$AJ$2:$AJ$69)</f>
        <v>1.4150174040757998E-5</v>
      </c>
      <c r="JD83" s="165">
        <f>_xlfn.FORECAST.LINEAR(Sheet3!CG83,Sheet2!$AK$2:$AK$69,Sheet2!$AJ$2:$AJ$69)</f>
        <v>1.3862836170356377E-5</v>
      </c>
      <c r="JE83" s="188">
        <f>_xlfn.FORECAST.LINEAR(Sheet3!DF83,New!$MC$2:$MC$18,New!$MB$2:$MB$18)</f>
        <v>2.5847452754227255E-5</v>
      </c>
      <c r="JF83" s="165">
        <f>_xlfn.FORECAST.LINEAR(Sheet3!BZ83,New!$MC$2:$MC$18,New!$MB$2:$MB$18)</f>
        <v>2.5851937276052046E-5</v>
      </c>
      <c r="JG83" s="165">
        <f>_xlfn.FORECAST.LINEAR(Sheet3!CA83,New!$MC$2:$MC$18,New!$MB$2:$MB$18)</f>
        <v>2.5378149328730662E-5</v>
      </c>
      <c r="JH83" s="165">
        <f>_xlfn.FORECAST.LINEAR(Sheet3!CB83,New!$MC$2:$MC$18,New!$MB$2:$MB$18)</f>
        <v>2.5031393102239485E-5</v>
      </c>
      <c r="JI83" s="165">
        <f>_xlfn.FORECAST.LINEAR(Sheet3!CC83,New!$MC$2:$MC$18,New!$MB$2:$MB$18)</f>
        <v>2.4571486324546856E-5</v>
      </c>
      <c r="JJ83" s="165">
        <f>_xlfn.FORECAST.LINEAR(Sheet3!CD83,New!$MC$2:$MC$18,New!$MB$2:$MB$18)</f>
        <v>2.4352931960247534E-5</v>
      </c>
      <c r="JK83" s="165">
        <f>_xlfn.FORECAST.LINEAR(Sheet3!CE83,New!$MC$2:$MC$18,New!$MB$2:$MB$18)</f>
        <v>2.4003683496164997E-5</v>
      </c>
      <c r="JL83" s="165">
        <f>_xlfn.FORECAST.LINEAR(Sheet3!CF83,New!$MC$2:$MC$18,New!$MB$2:$MB$18)</f>
        <v>2.3716535368185542E-5</v>
      </c>
      <c r="JM83" s="165">
        <f>_xlfn.FORECAST.LINEAR(Sheet3!CG83,New!$MC$2:$MC$18,New!$MB$2:$MB$18)</f>
        <v>2.3378762766133667E-5</v>
      </c>
      <c r="JN83" s="188">
        <f t="shared" si="376"/>
        <v>2.4399893084465432E-5</v>
      </c>
      <c r="JO83" s="165">
        <f t="shared" si="377"/>
        <v>2.4404337962095316E-5</v>
      </c>
      <c r="JP83" s="165">
        <f t="shared" si="378"/>
        <v>2.3934671525097131E-5</v>
      </c>
      <c r="JQ83" s="165">
        <f t="shared" si="379"/>
        <v>2.3590793569145099E-5</v>
      </c>
      <c r="JR83" s="165">
        <f t="shared" si="380"/>
        <v>2.3137868677359261E-5</v>
      </c>
      <c r="JS83" s="165">
        <f t="shared" si="381"/>
        <v>2.2920972414003968E-5</v>
      </c>
      <c r="JT83" s="165">
        <f t="shared" si="382"/>
        <v>2.2578394261183183E-5</v>
      </c>
      <c r="JU83" s="165">
        <f t="shared" si="383"/>
        <v>2.2293249554838733E-5</v>
      </c>
      <c r="JV83" s="165">
        <f t="shared" si="384"/>
        <v>2.1962044207079733E-5</v>
      </c>
      <c r="JW83" s="188">
        <f t="shared" si="302"/>
        <v>0.99342087640971777</v>
      </c>
      <c r="JX83" s="165">
        <f t="shared" si="385"/>
        <v>0.99338637008649522</v>
      </c>
      <c r="JY83" s="165">
        <f t="shared" si="386"/>
        <v>0.99712238947470633</v>
      </c>
      <c r="JZ83" s="165">
        <f t="shared" si="387"/>
        <v>0.99997754607786404</v>
      </c>
      <c r="KA83" s="165">
        <f t="shared" si="388"/>
        <v>1.0039331150161119</v>
      </c>
      <c r="KB83" s="165">
        <f t="shared" si="389"/>
        <v>1.0058841851520872</v>
      </c>
      <c r="KC83" s="165">
        <f t="shared" si="390"/>
        <v>1.0091029872532495</v>
      </c>
      <c r="KD83" s="165">
        <f t="shared" si="391"/>
        <v>1.0118471628512475</v>
      </c>
      <c r="KE83" s="165">
        <f t="shared" si="392"/>
        <v>1.015194541994207</v>
      </c>
      <c r="KF83" s="188">
        <f t="shared" si="393"/>
        <v>0.98626119619886909</v>
      </c>
      <c r="KG83" s="165">
        <f t="shared" si="394"/>
        <v>0.98629151185242647</v>
      </c>
      <c r="KH83" s="165">
        <f t="shared" si="395"/>
        <v>0.98302641648316902</v>
      </c>
      <c r="KI83" s="165">
        <f t="shared" si="396"/>
        <v>0.98055433694917438</v>
      </c>
      <c r="KJ83" s="165">
        <f t="shared" si="397"/>
        <v>0.97716218495957052</v>
      </c>
      <c r="KK83" s="165">
        <f t="shared" si="398"/>
        <v>0.97550283260133719</v>
      </c>
      <c r="KL83" s="165">
        <f t="shared" si="399"/>
        <v>0.97278498805450608</v>
      </c>
      <c r="KM83" s="165">
        <f t="shared" si="400"/>
        <v>0.97048705195522</v>
      </c>
      <c r="KN83" s="165">
        <f t="shared" si="401"/>
        <v>0.96770755591018598</v>
      </c>
      <c r="KO83" s="188">
        <f t="shared" si="304"/>
        <v>0.65749616209124062</v>
      </c>
      <c r="KP83" s="165">
        <f t="shared" si="305"/>
        <v>0.65762568595194015</v>
      </c>
      <c r="KQ83" s="165">
        <f t="shared" si="306"/>
        <v>0.65176015589353542</v>
      </c>
      <c r="KR83" s="165">
        <f t="shared" si="307"/>
        <v>0.64733280880343003</v>
      </c>
      <c r="KS83" s="165">
        <f t="shared" si="308"/>
        <v>0.64128001512835131</v>
      </c>
      <c r="KT83" s="165">
        <f t="shared" si="309"/>
        <v>0.63832687674495414</v>
      </c>
      <c r="KU83" s="165">
        <f t="shared" si="310"/>
        <v>0.63350763637222451</v>
      </c>
      <c r="KV83" s="165">
        <f t="shared" si="311"/>
        <v>0.62944144096363563</v>
      </c>
      <c r="KW83" s="165">
        <f t="shared" si="312"/>
        <v>0.62463613677932606</v>
      </c>
      <c r="KX83" s="188">
        <f>AVERAGE(Sheet3!J83:P83)*KO83^(1/3)/ID83^(1/3)</f>
        <v>63.287061065374445</v>
      </c>
      <c r="KY83" s="165">
        <f>Sheet3!J83*KP83^(1/3)/IE83^(1/3)</f>
        <v>48.321438648416283</v>
      </c>
      <c r="KZ83" s="165">
        <f>Sheet3!K83*KQ83^(1/3)/IF83^(1/3)</f>
        <v>48.982350201281776</v>
      </c>
      <c r="LA83" s="165">
        <f>Sheet3!L83*KR83^(1/3)/IG83^(1/3)</f>
        <v>52.50336608752194</v>
      </c>
      <c r="LB83" s="165">
        <f>Sheet3!M83*KS83^(1/3)/IH83^(1/3)</f>
        <v>57.43828363098266</v>
      </c>
      <c r="LC83" s="165">
        <f>Sheet3!N83*KT83^(1/3)/II83^(1/3)</f>
        <v>65.107512155072385</v>
      </c>
      <c r="LD83" s="165">
        <f>Sheet3!O83*KU83^(1/3)/IJ83^(1/3)</f>
        <v>75.82915790318873</v>
      </c>
      <c r="LE83" s="165">
        <f>Sheet3!P83*KV83^(1/3)/IK83^(1/3)</f>
        <v>89.57389938917261</v>
      </c>
      <c r="LF83" s="165">
        <f>Sheet3!Q83*KW83^(1/3)/IL83^(1/3)</f>
        <v>105.2596760157855</v>
      </c>
      <c r="LG83" s="186">
        <f t="shared" si="402"/>
        <v>27.301310866323035</v>
      </c>
      <c r="LH83" s="183">
        <f t="shared" si="403"/>
        <v>27.301310866323035</v>
      </c>
      <c r="LI83" s="183">
        <f t="shared" si="404"/>
        <v>27.302412129054908</v>
      </c>
      <c r="LJ83" s="183">
        <f t="shared" si="405"/>
        <v>27.302412129054908</v>
      </c>
      <c r="LK83" s="183">
        <f t="shared" si="406"/>
        <v>27.459322724689994</v>
      </c>
      <c r="LL83" s="183">
        <f t="shared" si="407"/>
        <v>27.459322724689994</v>
      </c>
      <c r="LM83" s="183">
        <f t="shared" si="408"/>
        <v>27.656966358832651</v>
      </c>
      <c r="LN83" s="183">
        <f t="shared" si="409"/>
        <v>27.6575343113172</v>
      </c>
      <c r="LO83" s="183">
        <f t="shared" si="410"/>
        <v>27.87018523328101</v>
      </c>
      <c r="LT83" s="165"/>
      <c r="MF83" s="165"/>
      <c r="MJ83"/>
      <c r="MK83"/>
      <c r="ML83"/>
      <c r="MM83"/>
      <c r="MN83"/>
      <c r="MO83"/>
      <c r="MP83"/>
      <c r="MQ83"/>
      <c r="MR83"/>
    </row>
    <row r="84" spans="1:356" x14ac:dyDescent="0.3">
      <c r="A84" s="184" t="str">
        <f>Sheet3!A84</f>
        <v>2023.02.14-1</v>
      </c>
      <c r="B84" s="186">
        <f t="shared" si="313"/>
        <v>0.81176141518158951</v>
      </c>
      <c r="C84" s="183">
        <f t="shared" si="257"/>
        <v>0.81184998020064525</v>
      </c>
      <c r="D84" s="183">
        <f t="shared" si="258"/>
        <v>0.80723569152063346</v>
      </c>
      <c r="E84" s="183">
        <f t="shared" si="259"/>
        <v>0.80281498191245027</v>
      </c>
      <c r="F84" s="183">
        <f t="shared" si="260"/>
        <v>0.79890476591786597</v>
      </c>
      <c r="G84" s="183">
        <f t="shared" si="261"/>
        <v>0.79472344403946027</v>
      </c>
      <c r="H84" s="183">
        <f t="shared" si="262"/>
        <v>0.79268441756661645</v>
      </c>
      <c r="I84" s="183">
        <f t="shared" si="263"/>
        <v>0.78899233919778944</v>
      </c>
      <c r="J84" s="183">
        <f t="shared" si="264"/>
        <v>0.78555898927823553</v>
      </c>
      <c r="K84" s="186">
        <f xml:space="preserve"> (6.057 * (10^(-6)))
+ (4.055 * (10^(-8)) * (Sheet3!DF84 + 273))
+ (1.25 * (10^(-10)) * (Sheet3!DF84 + 273)^2)
- (3.367 * (10^(-14)) * (DD84 + 273)^3)</f>
        <v>3.5903376810678639E-5</v>
      </c>
      <c r="L84" s="183">
        <f xml:space="preserve"> (6.057 * (10^(-6)))
+ (4.055 * (10^(-8)) * (Sheet3!BZ84 + 273))
+ (1.25 * (10^(-10)) * (Sheet3!BZ84 + 273)^2)
- (3.367 * (10^(-14)) * (BX84 + 273)^3)</f>
        <v>3.5903187021874162E-5</v>
      </c>
      <c r="M84" s="183">
        <f xml:space="preserve"> (6.057 * (10^(-6)))
+ (4.055 * (10^(-8)) * (Sheet3!CA84 + 273))
+ (1.25 * (10^(-10)) * (Sheet3!CA84 + 273)^2)
- (3.367 * (10^(-14)) * (BY84 + 273)^3)</f>
        <v>3.5523193402767981E-5</v>
      </c>
      <c r="N84" s="183">
        <f xml:space="preserve"> (6.057 * (10^(-6)))
+ (4.055 * (10^(-8)) * (Sheet3!CB84 + 273))
+ (1.25 * (10^(-10)) * (Sheet3!CB84 + 273)^2)
- (3.367 * (10^(-14)) * (BZ84 + 273)^3)</f>
        <v>3.5172055611167142E-5</v>
      </c>
      <c r="O84" s="183">
        <f xml:space="preserve"> (6.057 * (10^(-6)))
+ (4.055 * (10^(-8)) * (Sheet3!CC84 + 273))
+ (1.25 * (10^(-10)) * (Sheet3!CC84 + 273)^2)
- (3.367 * (10^(-14)) * (CA84 + 273)^3)</f>
        <v>3.4840227736413405E-5</v>
      </c>
      <c r="P84" s="183">
        <f xml:space="preserve"> (6.057 * (10^(-6)))
+ (4.055 * (10^(-8)) * (Sheet3!CD84 + 273))
+ (1.25 * (10^(-10)) * (Sheet3!CD84 + 273)^2)
- (3.367 * (10^(-14)) * (CB84 + 273)^3)</f>
        <v>3.4518009184205964E-5</v>
      </c>
      <c r="Q84" s="183">
        <f xml:space="preserve"> (6.057 * (10^(-6)))
+ (4.055 * (10^(-8)) * (Sheet3!CE84 + 273))
+ (1.25 * (10^(-10)) * (Sheet3!CE84 + 273)^2)
- (3.367 * (10^(-14)) * (CC84 + 273)^3)</f>
        <v>3.4337816978752953E-5</v>
      </c>
      <c r="R84" s="183">
        <f xml:space="preserve"> (6.057 * (10^(-6)))
+ (4.055 * (10^(-8)) * (Sheet3!CF84 + 273))
+ (1.25 * (10^(-10)) * (Sheet3!CF84 + 273)^2)
- (3.367 * (10^(-14)) * (CD84 + 273)^3)</f>
        <v>3.405923303066217E-5</v>
      </c>
      <c r="S84" s="183">
        <f xml:space="preserve"> (6.057 * (10^(-6)))
+ (4.055 * (10^(-8)) * (Sheet3!CG84 + 273))
+ (1.25 * (10^(-10)) * (Sheet3!CG84 + 273)^2)
- (3.367 * (10^(-14)) * (CE84 + 273)^3)</f>
        <v>3.3764422188435203E-5</v>
      </c>
      <c r="T84" s="188">
        <f t="shared" si="314"/>
        <v>3.5903376810678639E-5</v>
      </c>
      <c r="U84" s="165">
        <f t="shared" si="315"/>
        <v>3.5903187021874162E-5</v>
      </c>
      <c r="V84" s="165">
        <f t="shared" si="316"/>
        <v>3.5523193402767981E-5</v>
      </c>
      <c r="W84" s="165">
        <f t="shared" si="317"/>
        <v>3.5172055611167142E-5</v>
      </c>
      <c r="X84" s="165">
        <f t="shared" si="318"/>
        <v>3.4840227736413405E-5</v>
      </c>
      <c r="Y84" s="165">
        <f t="shared" si="319"/>
        <v>3.4518009184205964E-5</v>
      </c>
      <c r="Z84" s="165">
        <f t="shared" si="320"/>
        <v>3.4337816978752953E-5</v>
      </c>
      <c r="AA84" s="165">
        <f t="shared" si="321"/>
        <v>3.405923303066217E-5</v>
      </c>
      <c r="AB84" s="165">
        <f t="shared" si="322"/>
        <v>3.3764422188435203E-5</v>
      </c>
      <c r="AC84" s="186">
        <f t="shared" si="265"/>
        <v>2.9144975969634354E-5</v>
      </c>
      <c r="AD84" s="183">
        <f t="shared" si="266"/>
        <v>2.91480016728486E-5</v>
      </c>
      <c r="AE84" s="183">
        <f t="shared" si="267"/>
        <v>2.8675589591504615E-5</v>
      </c>
      <c r="AF84" s="183">
        <f t="shared" si="268"/>
        <v>2.8236653189302843E-5</v>
      </c>
      <c r="AG84" s="183">
        <f t="shared" si="269"/>
        <v>2.7834023984284493E-5</v>
      </c>
      <c r="AH84" s="183">
        <f t="shared" si="270"/>
        <v>2.7432271140257884E-5</v>
      </c>
      <c r="AI84" s="183">
        <f t="shared" si="271"/>
        <v>2.7219052452311857E-5</v>
      </c>
      <c r="AJ84" s="183">
        <f t="shared" si="272"/>
        <v>2.6872473940144762E-5</v>
      </c>
      <c r="AK84" s="183">
        <f t="shared" si="273"/>
        <v>2.6523945367910788E-5</v>
      </c>
      <c r="AL84" s="186">
        <f t="shared" si="323"/>
        <v>2.9788364403966011E-2</v>
      </c>
      <c r="AM84" s="183">
        <f t="shared" si="324"/>
        <v>2.9789874696269522E-2</v>
      </c>
      <c r="AN84" s="183">
        <f t="shared" si="325"/>
        <v>2.952938081288882E-2</v>
      </c>
      <c r="AO84" s="183">
        <f t="shared" si="326"/>
        <v>2.9286823304761629E-2</v>
      </c>
      <c r="AP84" s="183">
        <f t="shared" si="327"/>
        <v>2.9057881505374753E-2</v>
      </c>
      <c r="AQ84" s="183">
        <f t="shared" si="328"/>
        <v>2.8832793336216422E-2</v>
      </c>
      <c r="AR84" s="183">
        <f t="shared" si="329"/>
        <v>2.8708159200082951E-2</v>
      </c>
      <c r="AS84" s="183">
        <f t="shared" si="330"/>
        <v>2.8511989393647564E-2</v>
      </c>
      <c r="AT84" s="183">
        <f t="shared" si="331"/>
        <v>2.8309457511357879E-2</v>
      </c>
      <c r="AU84" s="186">
        <f>_xlfn.FORECAST.LINEAR(Sheet3!DF84,Sheet2!$AH$2:$AH$40,Sheet2!$AG$2:$AG$40)</f>
        <v>2.5653712965492358E-2</v>
      </c>
      <c r="AV84" s="183">
        <f>_xlfn.FORECAST.LINEAR(Sheet3!BZ84,Sheet2!$AH$2:$AH$40,Sheet2!$AG$2:$AG$40)</f>
        <v>2.5657930759539298E-2</v>
      </c>
      <c r="AW84" s="183">
        <f>_xlfn.FORECAST.LINEAR(Sheet3!CA84,Sheet2!$AH$2:$AH$40,Sheet2!$AG$2:$AG$40)</f>
        <v>2.4913261627071137E-2</v>
      </c>
      <c r="AX84" s="183">
        <f>_xlfn.FORECAST.LINEAR(Sheet3!CB84,Sheet2!$AH$2:$AH$40,Sheet2!$AG$2:$AG$40)</f>
        <v>2.4221363565585047E-2</v>
      </c>
      <c r="AY84" s="183">
        <f>_xlfn.FORECAST.LINEAR(Sheet3!CC84,Sheet2!$AH$2:$AH$40,Sheet2!$AG$2:$AG$40)</f>
        <v>2.3564140453436178E-2</v>
      </c>
      <c r="AZ84" s="183">
        <f>_xlfn.FORECAST.LINEAR(Sheet3!CD84,Sheet2!$AH$2:$AH$40,Sheet2!$AG$2:$AG$40)</f>
        <v>2.2922752995750625E-2</v>
      </c>
      <c r="BA84" s="183">
        <f>_xlfn.FORECAST.LINEAR(Sheet3!CE84,Sheet2!$AH$2:$AH$40,Sheet2!$AG$2:$AG$40)</f>
        <v>2.2562684622620063E-2</v>
      </c>
      <c r="BB84" s="183">
        <f>_xlfn.FORECAST.LINEAR(Sheet3!CF84,Sheet2!$AH$2:$AH$40,Sheet2!$AG$2:$AG$40)</f>
        <v>2.2004017132557653E-2</v>
      </c>
      <c r="BC84" s="183">
        <f>_xlfn.FORECAST.LINEAR(Sheet3!CG84,Sheet2!$AH$2:$AH$40,Sheet2!$AG$2:$AG$40)</f>
        <v>2.1422276824036742E-2</v>
      </c>
      <c r="BD84" s="186">
        <f>_xlfn.FORECAST.LINEAR(Sheet3!DF84,Sheet2!$AB$12:$AB$37,Sheet2!$AA$12:$AA$37)/1000</f>
        <v>3.0506351161118033E-2</v>
      </c>
      <c r="BE84" s="183">
        <f>_xlfn.FORECAST.LINEAR(Sheet3!BZ84,Sheet2!$AB$12:$AB$37,Sheet2!$AA$12:$AA$37)/1000</f>
        <v>3.0507294162239632E-2</v>
      </c>
      <c r="BF84" s="183">
        <f>_xlfn.FORECAST.LINEAR(Sheet3!CA84,Sheet2!$AB$12:$AB$37,Sheet2!$AA$12:$AA$37)/1000</f>
        <v>3.0340803380725839E-2</v>
      </c>
      <c r="BG84" s="183">
        <f>_xlfn.FORECAST.LINEAR(Sheet3!CB84,Sheet2!$AB$12:$AB$37,Sheet2!$AA$12:$AA$37)/1000</f>
        <v>3.0186110989216478E-2</v>
      </c>
      <c r="BH84" s="183">
        <f>_xlfn.FORECAST.LINEAR(Sheet3!CC84,Sheet2!$AB$12:$AB$37,Sheet2!$AA$12:$AA$37)/1000</f>
        <v>3.0039171113774181E-2</v>
      </c>
      <c r="BI84" s="183">
        <f>_xlfn.FORECAST.LINEAR(Sheet3!CD84,Sheet2!$AB$12:$AB$37,Sheet2!$AA$12:$AA$37)/1000</f>
        <v>2.9895771724129439E-2</v>
      </c>
      <c r="BJ84" s="183">
        <f>_xlfn.FORECAST.LINEAR(Sheet3!CE84,Sheet2!$AB$12:$AB$37,Sheet2!$AA$12:$AA$37)/1000</f>
        <v>2.9815268770230684E-2</v>
      </c>
      <c r="BK84" s="183">
        <f>_xlfn.FORECAST.LINEAR(Sheet3!CF84,Sheet2!$AB$12:$AB$37,Sheet2!$AA$12:$AA$37)/1000</f>
        <v>2.9690363650666299E-2</v>
      </c>
      <c r="BL84" s="183">
        <f>_xlfn.FORECAST.LINEAR(Sheet3!CG84,Sheet2!$AB$12:$AB$37,Sheet2!$AA$12:$AA$37)/1000</f>
        <v>2.9560299982950268E-2</v>
      </c>
      <c r="BM84" s="186">
        <f t="shared" si="332"/>
        <v>0.92928084876635475</v>
      </c>
      <c r="BN84" s="183">
        <f t="shared" si="333"/>
        <v>0.92924037376814328</v>
      </c>
      <c r="BO84" s="183">
        <f t="shared" si="334"/>
        <v>0.93693712544173513</v>
      </c>
      <c r="BP84" s="183">
        <f t="shared" si="335"/>
        <v>0.94417819734124842</v>
      </c>
      <c r="BQ84" s="183">
        <f t="shared" si="336"/>
        <v>0.95125799021291746</v>
      </c>
      <c r="BR84" s="183">
        <f t="shared" si="337"/>
        <v>0.95817314752272953</v>
      </c>
      <c r="BS84" s="183">
        <f t="shared" si="338"/>
        <v>0.96219495871656879</v>
      </c>
      <c r="BT84" s="183">
        <f t="shared" si="339"/>
        <v>0.96835242987602033</v>
      </c>
      <c r="BU84" s="183">
        <f t="shared" si="340"/>
        <v>0.97493800213096804</v>
      </c>
      <c r="BV84" s="186">
        <f t="shared" si="341"/>
        <v>1.0998563571863671</v>
      </c>
      <c r="BW84" s="183">
        <f t="shared" si="342"/>
        <v>1.0998458485272646</v>
      </c>
      <c r="BX84" s="183">
        <f t="shared" si="343"/>
        <v>1.0990856473633945</v>
      </c>
      <c r="BY84" s="183">
        <f t="shared" si="344"/>
        <v>1.0985126935403748</v>
      </c>
      <c r="BZ84" s="183">
        <f t="shared" si="345"/>
        <v>1.09746235887987</v>
      </c>
      <c r="CA84" s="183">
        <f t="shared" si="346"/>
        <v>1.0969351639290148</v>
      </c>
      <c r="CB84" s="183">
        <f t="shared" si="347"/>
        <v>1.0961481779064484</v>
      </c>
      <c r="CC84" s="183">
        <f t="shared" si="348"/>
        <v>1.0956867851422052</v>
      </c>
      <c r="CD84" s="183">
        <f t="shared" si="349"/>
        <v>1.094753704185349</v>
      </c>
      <c r="CE84" s="187">
        <f xml:space="preserve"> -0.0000000019505*Sheet3!DF84^3 + 0.0000015497*Sheet3!DF84^2  + 0.00016911*Sheet3!DF84 + 1.8585</f>
        <v>1.8828730816875001</v>
      </c>
      <c r="CF84" s="185">
        <f xml:space="preserve"> -0.0000000019505*Sheet3!BZ84^3 + 0.0000015497*Sheet3!BZ84^2  + 0.00016911*Sheet3!BZ84 + 1.8585</f>
        <v>1.8828795591026646</v>
      </c>
      <c r="CG84" s="185">
        <f xml:space="preserve"> -0.0000000019505*Sheet3!CA84^3 + 0.0000015497*Sheet3!CA84^2  + 0.00016911*Sheet3!CA84 + 1.8585</f>
        <v>1.8817449761766389</v>
      </c>
      <c r="CH84" s="185">
        <f xml:space="preserve"> -0.0000000019505*Sheet3!CB84^3 + 0.0000015497*Sheet3!CB84^2  + 0.00016911*Sheet3!CB84 + 1.8585</f>
        <v>1.8807072457247453</v>
      </c>
      <c r="CI84" s="185">
        <f xml:space="preserve"> -0.0000000019505*Sheet3!CC84^3 + 0.0000015497*Sheet3!CC84^2  + 0.00016911*Sheet3!CC84 + 1.8585</f>
        <v>1.8797364169921706</v>
      </c>
      <c r="CJ84" s="185">
        <f xml:space="preserve"> -0.0000000019505*Sheet3!CD84^3 + 0.0000015497*Sheet3!CD84^2  + 0.00016911*Sheet3!CD84 + 1.8585</f>
        <v>1.8788031691895795</v>
      </c>
      <c r="CK84" s="185">
        <f xml:space="preserve"> -0.0000000019505*Sheet3!CE84^3 + 0.0000015497*Sheet3!CE84^2  + 0.00016911*Sheet3!CE84 + 1.8585</f>
        <v>1.8782854673116429</v>
      </c>
      <c r="CL84" s="185">
        <f xml:space="preserve"> -0.0000000019505*Sheet3!CF84^3 + 0.0000015497*Sheet3!CF84^2  + 0.00016911*Sheet3!CF84 + 1.8585</f>
        <v>1.8774911621075978</v>
      </c>
      <c r="CM84" s="185">
        <f xml:space="preserve"> -0.0000000019505*Sheet3!CG84^3 + 0.0000015497*Sheet3!CG84^2  + 0.00016911*Sheet3!CG84 + 1.8585</f>
        <v>1.8766757259876412</v>
      </c>
      <c r="CN84" s="186">
        <f>_xlfn.FORECAST.LINEAR(Sheet3!DF84,New!$LU$2:$LU$14,New!$LT$2:$LT$14)</f>
        <v>1.0126209368728181</v>
      </c>
      <c r="CO84" s="183">
        <f>_xlfn.FORECAST.LINEAR(Sheet3!BZ84,New!$LU$2:$LU$14,New!$LT$2:$LT$14)</f>
        <v>1.0126240412245711</v>
      </c>
      <c r="CP84" s="183">
        <f>_xlfn.FORECAST.LINEAR(Sheet3!CA84,New!$LU$2:$LU$14,New!$LT$2:$LT$14)</f>
        <v>1.0120759549735525</v>
      </c>
      <c r="CQ84" s="183">
        <f>_xlfn.FORECAST.LINEAR(Sheet3!CB84,New!$LU$2:$LU$14,New!$LT$2:$LT$14)</f>
        <v>1.0115667089230951</v>
      </c>
      <c r="CR84" s="183">
        <f>_xlfn.FORECAST.LINEAR(Sheet3!CC84,New!$LU$2:$LU$14,New!$LT$2:$LT$14)</f>
        <v>1.0110829840902602</v>
      </c>
      <c r="CS84" s="183">
        <f>_xlfn.FORECAST.LINEAR(Sheet3!CD84,New!$LU$2:$LU$14,New!$LT$2:$LT$14)</f>
        <v>1.0106109145068627</v>
      </c>
      <c r="CT84" s="183">
        <f>_xlfn.FORECAST.LINEAR(Sheet3!CE84,New!$LU$2:$LU$14,New!$LT$2:$LT$14)</f>
        <v>1.0103458994604013</v>
      </c>
      <c r="CU84" s="183">
        <f>_xlfn.FORECAST.LINEAR(Sheet3!CF84,New!$LU$2:$LU$14,New!$LT$2:$LT$14)</f>
        <v>1.0099347128584009</v>
      </c>
      <c r="CV84" s="183">
        <f>_xlfn.FORECAST.LINEAR(Sheet3!CG84,New!$LU$2:$LU$14,New!$LT$2:$LT$14)</f>
        <v>1.0095065443593161</v>
      </c>
      <c r="CW84" s="186">
        <f>EXP((17.625*Sheet3!BA84)/(243.04+Sheet3!BA84)) / EXP((17.625*Sheet3!DF84)/(243.04+Sheet3!DF84))</f>
        <v>0.23863074727379474</v>
      </c>
      <c r="CX84" s="183">
        <f>EXP((17.625*(Sheet3!BC84+273))/(243.04+(Sheet3!BC84+273)))/EXP((17.625*(Sheet3!BZ84+273))/(243.04+(Sheet3!BZ84+273)))</f>
        <v>0.66579962694067241</v>
      </c>
      <c r="CY84" s="183">
        <f>EXP((17.625*(Sheet3!BE84+273))/(243.04+(Sheet3!BE84+273))) / EXP((17.625*(Sheet3!CA84+273))/(243.04+(Sheet3!CA84+273)))</f>
        <v>0.68936350892585141</v>
      </c>
      <c r="CZ84" s="183">
        <f>EXP((17.625*(Sheet3!BG84+273))/(243.04+(Sheet3!BG84+273))) / EXP((17.625*(Sheet3!CB84+273))/(243.04+(Sheet3!CB84+273)))</f>
        <v>0.71195274127011954</v>
      </c>
      <c r="DA84" s="183">
        <f>EXP((17.625*(Sheet3!BI84+273))/(243.04+(Sheet3!BI84+273))) / EXP((17.625*(Sheet3!CC84+273))/(243.04+(Sheet3!CC84+273)))</f>
        <v>0.73324993054387222</v>
      </c>
      <c r="DB84" s="183">
        <f>EXP((17.625*(Sheet3!BK84+273))/(243.04+(Sheet3!BK84+273)))/EXP((17.625*(Sheet3!CD84+273))/(243.04+(Sheet3!CD84+273)))</f>
        <v>0.75623546940278352</v>
      </c>
      <c r="DC84" s="183">
        <f>EXP((17.625*(Sheet3!BM84+273))/(243.04+(Sheet3!BM84+273))) / EXP((17.625*(Sheet3!CE84+273))/(243.04+(Sheet3!CE84+273)))</f>
        <v>0.76813718883605031</v>
      </c>
      <c r="DD84" s="183">
        <f>EXP((17.625*(Sheet3!BO84+273))/(243.04+(Sheet3!BO84+273))) / EXP((17.625*(Sheet3!CF84+273))/(243.04+(Sheet3!CF84+273)))</f>
        <v>0.78931913421848909</v>
      </c>
      <c r="DE84" s="183">
        <f>EXP((17.625*(Sheet3!BQ84+273))/(243.04+(Sheet3!BQ84+273))) / EXP((17.625*(Sheet3!CG84+273))/(243.04+(Sheet3!CG84+273)))</f>
        <v>0.81079750824597363</v>
      </c>
      <c r="DF84" s="186">
        <f>((Sheet3!DA84-Sheet3!DB84)/New!$LQ$3)/(((Sheet3!DA84-Sheet3!DB84)/New!$LQ$3)+(Sheet3!DB84/New!$LP$3))</f>
        <v>0.84810729703368526</v>
      </c>
      <c r="DG84" s="183">
        <f>((Sheet3!DA84-Sheet3!DB84)/New!$LQ$3)/(((Sheet3!DA84-Sheet3!DB84)/New!$LQ$3)+((Sheet3!DB84-(Sheet3!B84*0.004))/New!$LP$3))</f>
        <v>0.84821906036593386</v>
      </c>
      <c r="DH84" s="183" cm="1">
        <f t="array" ref="DH84">((Sheet3!DA84-Sheet3!DB84)/New!$LQ$3)/(((Sheet3!DA84-Sheet3!DB84)/New!$LQ$3)+((Sheet3!DB84-(SUM(Sheet3!B84:C84*0.004)))/New!$LP$3))</f>
        <v>0.84945040395729332</v>
      </c>
      <c r="DI84" s="183" cm="1">
        <f t="array" ref="DI84">((Sheet3!DA84-Sheet3!DB84)/New!$LQ$3)/(((Sheet3!DA84-Sheet3!DB84)/New!$LQ$3)+((Sheet3!DB84-(SUM(Sheet3!B84:D84*0.004)))/New!$LP$3))</f>
        <v>0.84953760399642197</v>
      </c>
      <c r="DJ84" s="183" cm="1">
        <f t="array" ref="DJ84">((Sheet3!DA84-Sheet3!DB84)/New!$LQ$3)/(((Sheet3!DA84-Sheet3!DB84)/New!$LQ$3)+((Sheet3!DB84-(SUM(Sheet3!B84:E84*0.004)))/New!$LP$3))</f>
        <v>0.85373178210321377</v>
      </c>
      <c r="DK84" s="183" cm="1">
        <f t="array" ref="DK84">((Sheet3!DA84-Sheet3!DB84)/New!$LQ$3)/(((Sheet3!DA84-Sheet3!DB84)/New!$LQ$3)+((Sheet3!DB84-(SUM(Sheet3!B84:F84*0.004)))/New!$LP$3))</f>
        <v>0.85380727925333799</v>
      </c>
      <c r="DL84" s="183" cm="1">
        <f t="array" ref="DL84">((Sheet3!DA84-Sheet3!DB84)/New!$LQ$3)/(((Sheet3!DA84-Sheet3!DB84)/New!$LQ$3)+((Sheet3!DB84-(SUM(Sheet3!B84:G84*0.004)))/New!$LP$3))</f>
        <v>0.85787863999629432</v>
      </c>
      <c r="DM84" s="183" cm="1">
        <f t="array" ref="DM84">((Sheet3!DA84-Sheet3!DB84)/New!$LQ$3)/(((Sheet3!DA84-Sheet3!DB84)/New!$LQ$3)+((Sheet3!DB84-(SUM(Sheet3!B84:H84*0.004)))/New!$LP$3))</f>
        <v>0.85798028619834144</v>
      </c>
      <c r="DN84" s="183" cm="1">
        <f t="array" ref="DN84">((Sheet3!DA84-Sheet3!DB84)/New!$LQ$3)/(((Sheet3!DA84-Sheet3!DB84)/New!$LQ$3)+((Sheet3!DB84-(SUM(Sheet3!B84:I84*0.004)))/New!$LP$3))</f>
        <v>0.86184794892764771</v>
      </c>
      <c r="DO84" s="186">
        <f>(Sheet3!DB84/$LP$3) / ((Sheet3!DB84/$LP$3) + ((Sheet3!DA84-Sheet3!DB84)/$LQ$3))</f>
        <v>0.15189270296631469</v>
      </c>
      <c r="DP84" s="183">
        <f>((Sheet3!$DB84-(Sheet3!B84/4000)) / $LP$3) / (((Sheet3!$DA84-Sheet3!DB84) / $LQ$3) + (Sheet3!$DB84-((Sheet3!B84/4000)))/$LP$3)</f>
        <v>0.15188571862091949</v>
      </c>
      <c r="DQ84" s="183">
        <f>((Sheet3!$DB84-(SUM(Sheet3!B84:C84)/4000))/$LP$3)/(((Sheet3!$DA84-Sheet3!$DB84)/$LQ$3)+(Sheet3!$DB84-(SUM(Sheet3!B84:C84)/4000))/$LP$3)</f>
        <v>0.15180888322856342</v>
      </c>
      <c r="DR84" s="183">
        <f>((Sheet3!$DB84-(SUM(Sheet3!B84:D84)/4000))/$LP$3)/(((Sheet3!$DA84-Sheet3!$DB84)/$LQ$3)+(Sheet3!$DB84-(SUM(Sheet3!B84:D84)/4000))/$LP$3)</f>
        <v>0.15180344989605066</v>
      </c>
      <c r="DS84" s="183">
        <f>((Sheet3!$DB84-(SUM(Sheet3!B84:E84)/4000))/$LP$3)/(((Sheet3!$DA84-Sheet3!$DB84)/$LQ$3)+(Sheet3!$DB84-(SUM(Sheet3!B84:E84)/4000))/$LP$3)</f>
        <v>0.15154334472159184</v>
      </c>
      <c r="DT84" s="183">
        <f>((Sheet3!$DB84-(SUM(Sheet3!B84:F84)/4000))/$LP$3)/(((Sheet3!$DA84-Sheet3!$DB84)/$LQ$3)+(Sheet3!$DB84-(SUM(Sheet3!B84:F84)/4000))/$LP$3)</f>
        <v>0.15153868466726653</v>
      </c>
      <c r="DU84" s="183">
        <f>((Sheet3!$DB84-(SUM(Sheet3!B84:G84)/4000))/$LP$3)/(((Sheet3!$DA84-Sheet3!$DB84)/$LQ$3)+(Sheet3!$DB84-(SUM(Sheet3!B84:G84)/4000))/$LP$3)</f>
        <v>0.15128851997344997</v>
      </c>
      <c r="DV84" s="183">
        <f>((Sheet3!$DB84-(SUM(Sheet3!B84:H84)/4000))/$LP$3)/(((Sheet3!$DA84-Sheet3!$DB84)/$LQ$3)+(Sheet3!$DB84-(SUM(Sheet3!B84:H84)/4000))/$LP$3)</f>
        <v>0.15128230282346841</v>
      </c>
      <c r="DW84" s="183">
        <f>((Sheet3!$DB84-(SUM(Sheet3!B84:I84)/4000))/$LP$3)/(((Sheet3!$DA84-Sheet3!$DB84)/$LQ$3)+(Sheet3!$DB84-(SUM(Sheet3!B84:I84)/4000))/$LP$3)</f>
        <v>0.15104676119207061</v>
      </c>
      <c r="DX84" s="186">
        <f>($LR$2*($LP$3/1000))/($LP$2*(Sheet3!DF84+273))*DO84</f>
        <v>9.3152548849767439E-2</v>
      </c>
      <c r="DY84" s="183">
        <f>(($LR$2*($LP$3/1000))/($LP$2*(Sheet3!BZ84+273)))*(DP84)</f>
        <v>9.3143947571060398E-2</v>
      </c>
      <c r="DZ84" s="183">
        <f>(($LR$2*($LP$3/1000))/($LP$2*(Sheet3!CA84+273)))*(DQ84)</f>
        <v>9.3865042897592538E-2</v>
      </c>
      <c r="EA84" s="183">
        <f>(($LR$2*($LP$3/1000))/($LP$2*(Sheet3!CB84+273)))*(DR84)</f>
        <v>9.4586882703782543E-2</v>
      </c>
      <c r="EB84" s="183">
        <f>(($LR$2*($LP$3/1000))/($LP$2*(Sheet3!CC84+273)))*(DS84)</f>
        <v>9.5122926084834955E-2</v>
      </c>
      <c r="EC84" s="183">
        <f>(($LR$2*($LP$3/1000))/($LP$2*(Sheet3!CD84+273)))*(DT84)</f>
        <v>9.5811295582299685E-2</v>
      </c>
      <c r="ED84" s="183">
        <f>(($LR$2*($LP$3/1000))/($LP$2*(Sheet3!CE84+273)))*(DU84)</f>
        <v>9.6044986998160331E-2</v>
      </c>
      <c r="EE84" s="183">
        <f>(($LR$2*($LP$3/1000))/($LP$2*(Sheet3!CF84+273)))*(DV84)</f>
        <v>9.6655404285812457E-2</v>
      </c>
      <c r="EF84" s="183">
        <f>(($LR$2*($LP$3/1000))/($LP$2*(Sheet3!CG84+273)))*(DW84)</f>
        <v>9.7152052810948783E-2</v>
      </c>
      <c r="EG84" s="186">
        <f>(($LR$2*($LQ$3/1000))/($LQ$2*(Sheet3!DF84+273)))*(1-DO84)</f>
        <v>0.83612829991658733</v>
      </c>
      <c r="EH84" s="183">
        <f>(($LR$2*($LQ$3/1000))/($LQ$2*(Sheet3!BZ84+273)))*(1-DP84)</f>
        <v>0.83609642619708291</v>
      </c>
      <c r="EI84" s="183">
        <f>(($LR$2*($LQ$3/1000))/($LQ$2*(Sheet3!CA84+273)))*(1-DQ84)</f>
        <v>0.84307208254414256</v>
      </c>
      <c r="EJ84" s="183">
        <f>(($LR$2*($LQ$3/1000))/($LQ$2*(Sheet3!CB84+273)))*(1-DR84)</f>
        <v>0.84959131463746584</v>
      </c>
      <c r="EK84" s="183">
        <f>(($LR$2*($LQ$3/1000))/($LQ$2*(Sheet3!CC84+273)))*(1-DS84)</f>
        <v>0.85613506412808249</v>
      </c>
      <c r="EL84" s="183">
        <f>(($LR$2*($LQ$3/1000))/($LQ$2*(Sheet3!CD84+273)))*(1-DT84)</f>
        <v>0.8623618519404298</v>
      </c>
      <c r="EM84" s="183">
        <f>(($LR$2*($LQ$3/1000))/($LQ$2*(Sheet3!CE84+273)))*(1-DU84)</f>
        <v>0.86614997171840846</v>
      </c>
      <c r="EN84" s="183">
        <f>(($LR$2*($LQ$3/1000))/($LQ$2*(Sheet3!CF84+273)))*(1-DV84)</f>
        <v>0.8716970255902079</v>
      </c>
      <c r="EO84" s="183">
        <f>(($LR$2*($LQ$3/1000))/($LQ$2*(Sheet3!CG84+273)))*(1-DW84)</f>
        <v>0.8777859493200193</v>
      </c>
      <c r="EP84" s="186">
        <f t="shared" si="350"/>
        <v>9656.0316377807685</v>
      </c>
      <c r="EQ84" s="183">
        <f xml:space="preserve"> (($FV84-(Sheet3!B84/4000))*0.018)/(0.011*JO84*3600)</f>
        <v>9655.6094586144372</v>
      </c>
      <c r="ER84" s="183">
        <f>((($FV84-(SUM(Sheet3!B84:C84)/4000))*0.018)/(0.011*JP84*3600))</f>
        <v>9714.6271955440407</v>
      </c>
      <c r="ES84" s="183">
        <f>((($FV84-(SUM(Sheet3!B84:D84)/4000))*0.018)/(0.011*JQ84*3600))</f>
        <v>9770.9450525172724</v>
      </c>
      <c r="ET84" s="183">
        <f>((($FV84-(SUM(Sheet3!B84:E84)/4000))*0.018)/(0.011*JR84))/3600</f>
        <v>9821.8966524264615</v>
      </c>
      <c r="EU84" s="183">
        <f>((($FV84-(SUM(Sheet3!B84:F84)/4000))*0.018)/(0.011*JS84))/3600</f>
        <v>9875.2825681187569</v>
      </c>
      <c r="EV84" s="183">
        <f>((($FV84-(SUM(Sheet3!B84:G84)/4000))*0.018)/(0.011*JT84))/3600</f>
        <v>9902.4073767047848</v>
      </c>
      <c r="EW84" s="183">
        <f>((($FV84-(SUM(Sheet3!B84:H84)/4000))*0.018)/(0.011*JU84))/3600</f>
        <v>9949.6402815231868</v>
      </c>
      <c r="EX84" s="183">
        <f>((($FV84-(SUM(Sheet3!B84:I84)/4000))*0.018)/(0.011*JV84))/3600</f>
        <v>9996.4048517737101</v>
      </c>
      <c r="EY84" s="186">
        <f t="shared" si="351"/>
        <v>77.683988910623839</v>
      </c>
      <c r="EZ84" s="183">
        <f t="shared" si="352"/>
        <v>77.681234817916078</v>
      </c>
      <c r="FA84" s="183">
        <f t="shared" si="353"/>
        <v>78.034449892499751</v>
      </c>
      <c r="FB84" s="183">
        <f t="shared" si="354"/>
        <v>78.373916677919979</v>
      </c>
      <c r="FC84" s="183">
        <f t="shared" si="355"/>
        <v>78.67327415864294</v>
      </c>
      <c r="FD84" s="183">
        <f t="shared" si="356"/>
        <v>78.995611232704633</v>
      </c>
      <c r="FE84" s="183">
        <f t="shared" si="357"/>
        <v>79.151523132101218</v>
      </c>
      <c r="FF84" s="183">
        <f t="shared" si="358"/>
        <v>79.436974348335184</v>
      </c>
      <c r="FG84" s="183">
        <f t="shared" si="359"/>
        <v>79.712286146717489</v>
      </c>
      <c r="FH84" s="186">
        <f t="shared" si="274"/>
        <v>128.5599427790732</v>
      </c>
      <c r="FI84" s="183">
        <f t="shared" si="275"/>
        <v>128.56190285984496</v>
      </c>
      <c r="FJ84" s="183">
        <f t="shared" si="276"/>
        <v>128.01716596666202</v>
      </c>
      <c r="FK84" s="183">
        <f t="shared" si="277"/>
        <v>127.51794719157516</v>
      </c>
      <c r="FL84" s="183">
        <f t="shared" si="278"/>
        <v>127.00437100787268</v>
      </c>
      <c r="FM84" s="183">
        <f t="shared" si="279"/>
        <v>126.53689628559275</v>
      </c>
      <c r="FN84" s="183">
        <f t="shared" si="280"/>
        <v>126.23858483363389</v>
      </c>
      <c r="FO84" s="183">
        <f t="shared" si="281"/>
        <v>125.82812056017704</v>
      </c>
      <c r="FP84" s="183">
        <f t="shared" si="282"/>
        <v>125.36730987798335</v>
      </c>
      <c r="FQ84" s="314">
        <f>Sheet3!CV84</f>
        <v>1</v>
      </c>
      <c r="FR84" s="183">
        <v>10000</v>
      </c>
      <c r="FS84" s="183">
        <v>10</v>
      </c>
      <c r="FT84" s="183">
        <v>0.1089</v>
      </c>
      <c r="FU84" s="183">
        <v>15.74</v>
      </c>
      <c r="FV84" s="183">
        <v>414</v>
      </c>
      <c r="FW84" s="183">
        <v>41.5</v>
      </c>
      <c r="FX84" s="183">
        <v>435</v>
      </c>
      <c r="FY84" s="183">
        <v>6.46</v>
      </c>
      <c r="FZ84" s="183">
        <v>14.87</v>
      </c>
      <c r="GA84" s="183">
        <v>85</v>
      </c>
      <c r="GB84" s="186">
        <f>EXP($LP$6-($LQ$6/('Trial and Error method'!T84+$LP$8))) / ($LR$2/1000)</f>
        <v>0.14048258018950988</v>
      </c>
      <c r="GC84" s="183">
        <f>EXP($LP$6-($LQ$6/('Trial and Error method'!U84+$LP$8))) / ($LR$2/1000)</f>
        <v>6.7040628426134674E-2</v>
      </c>
      <c r="GD84" s="183">
        <f>EXP($LP$6-($LQ$6/('Trial and Error method'!V84+$LP$8))) / ($LR$2/1000)</f>
        <v>6.4569544214480815E-2</v>
      </c>
      <c r="GE84" s="183">
        <f>EXP($LP$6-($LQ$6/('Trial and Error method'!W84+$LP$8))) / ($LR$2/1000)</f>
        <v>6.2376502473331659E-2</v>
      </c>
      <c r="GF84" s="183">
        <f>EXP($LP$6-($LQ$6/('Trial and Error method'!X84+$LP$8))) / ($LR$2/1000)</f>
        <v>6.0242140231530905E-2</v>
      </c>
      <c r="GG84" s="183">
        <f>EXP($LP$6-($LQ$6/('Trial and Error method'!Y84+$LP$8))) / ($LR$2/1000)</f>
        <v>5.8391617503312669E-2</v>
      </c>
      <c r="GH84" s="183">
        <f>EXP($LP$6-($LQ$6/('Trial and Error method'!Z84+$LP$8))) / ($LR$2/1000)</f>
        <v>5.1072234521246249E-2</v>
      </c>
      <c r="GI84" s="183">
        <f>EXP($LP$6-($LQ$6/('Trial and Error method'!AA84+$LP$8))) / ($LR$2/1000)</f>
        <v>0.14665980307662441</v>
      </c>
      <c r="GJ84" s="183">
        <f>EXP($LP$6-($LQ$6/('Trial and Error method'!AB84+$LP$8))) / ($LR$2/1000)</f>
        <v>0.14331162322342048</v>
      </c>
      <c r="GK84" s="188">
        <f t="shared" si="411"/>
        <v>0.85379965144861647</v>
      </c>
      <c r="GL84" s="165">
        <f t="shared" si="360"/>
        <v>0.88986279008421076</v>
      </c>
      <c r="GM84" s="165">
        <f t="shared" si="361"/>
        <v>0.89109916637868813</v>
      </c>
      <c r="GN84" s="165">
        <f t="shared" si="362"/>
        <v>0.89216316490765257</v>
      </c>
      <c r="GO84" s="165">
        <f t="shared" si="363"/>
        <v>0.89332978623776904</v>
      </c>
      <c r="GP84" s="165">
        <f t="shared" si="364"/>
        <v>0.89422644000103801</v>
      </c>
      <c r="GQ84" s="165">
        <f t="shared" si="365"/>
        <v>0.89788769298407534</v>
      </c>
      <c r="GR84" s="165">
        <f t="shared" si="366"/>
        <v>0.85102685472533202</v>
      </c>
      <c r="GS84" s="165">
        <f t="shared" si="367"/>
        <v>0.85281496124483058</v>
      </c>
      <c r="GT84" s="188">
        <f t="shared" si="283"/>
        <v>9.7865698579212831E-2</v>
      </c>
      <c r="GU84" s="165">
        <f t="shared" si="284"/>
        <v>9.3895031286534966E-2</v>
      </c>
      <c r="GV84" s="165">
        <f t="shared" si="285"/>
        <v>9.3787747682530634E-2</v>
      </c>
      <c r="GW84" s="165">
        <f t="shared" si="286"/>
        <v>9.3701672176315184E-2</v>
      </c>
      <c r="GX84" s="165">
        <f t="shared" si="287"/>
        <v>9.3595776951550261E-2</v>
      </c>
      <c r="GY84" s="165">
        <f t="shared" si="288"/>
        <v>9.3529168109299801E-2</v>
      </c>
      <c r="GZ84" s="165">
        <f t="shared" si="289"/>
        <v>9.3154318673328046E-2</v>
      </c>
      <c r="HA84" s="165">
        <f t="shared" si="290"/>
        <v>9.8310945430562083E-2</v>
      </c>
      <c r="HB84" s="165">
        <f t="shared" si="291"/>
        <v>9.8113683309962799E-2</v>
      </c>
      <c r="HC84" s="188">
        <f>BV84*Sheet3!DF84</f>
        <v>93.487790360841203</v>
      </c>
      <c r="HD84" s="165">
        <f>BW84*Sheet3!BZ84</f>
        <v>93.505150185442233</v>
      </c>
      <c r="HE84" s="165">
        <f>BX84*Sheet3!CA84</f>
        <v>90.220093941227219</v>
      </c>
      <c r="HF84" s="165">
        <f>BY84*Sheet3!CB84</f>
        <v>87.182411406742688</v>
      </c>
      <c r="HG84" s="165">
        <f>BZ84*Sheet3!CC84</f>
        <v>84.260996550358442</v>
      </c>
      <c r="HH84" s="165">
        <f>CA84*Sheet3!CD84</f>
        <v>81.452176369757481</v>
      </c>
      <c r="HI84" s="165">
        <f>CB84*Sheet3!CE84</f>
        <v>79.840734629717957</v>
      </c>
      <c r="HJ84" s="165">
        <f>CC84*Sheet3!CF84</f>
        <v>77.398563143221395</v>
      </c>
      <c r="HK84" s="165">
        <f>CD84*Sheet3!CG84</f>
        <v>74.82674891904702</v>
      </c>
      <c r="HL84" s="188">
        <f>(CE84*Sheet3!DF84)+2501</f>
        <v>2661.0442119434374</v>
      </c>
      <c r="HM84" s="165">
        <f>(CF84*Sheet3!BZ84)+2501</f>
        <v>2661.0760108252839</v>
      </c>
      <c r="HN84" s="165">
        <f>(CG84*Sheet3!CA84)+2501</f>
        <v>2655.4658588994898</v>
      </c>
      <c r="HO84" s="165">
        <f>(CH84*Sheet3!CB84)+2501</f>
        <v>2650.2605354463208</v>
      </c>
      <c r="HP84" s="165">
        <f>(CI84*Sheet3!CC84)+2501</f>
        <v>2645.3224566803551</v>
      </c>
      <c r="HQ84" s="165">
        <f>(CJ84*Sheet3!CD84)+2501</f>
        <v>2640.5092546333867</v>
      </c>
      <c r="HR84" s="165">
        <f>(CK84*Sheet3!CE84)+2501</f>
        <v>2637.8096892163821</v>
      </c>
      <c r="HS84" s="165">
        <f>(CL84*Sheet3!CF84)+2501</f>
        <v>2633.6246882154055</v>
      </c>
      <c r="HT84" s="165">
        <f>(CM84*Sheet3!CG84)+2501</f>
        <v>2629.2713571226909</v>
      </c>
      <c r="HU84" s="188">
        <f>-0.0021*(Sheet3!DF84^2) - 2.2115*(Sheet3!DF84) + 2499</f>
        <v>2295.85</v>
      </c>
      <c r="HV84" s="165">
        <f>-0.0021*(Sheet3!BZ84^2) - 2.2115*(Sheet3!BZ84) + 2499</f>
        <v>2295.8073725514114</v>
      </c>
      <c r="HW84" s="165">
        <f>-0.0021*(Sheet3!CA84^2) - 2.2115*(Sheet3!CA84) + 2499</f>
        <v>2303.3154990560497</v>
      </c>
      <c r="HX84" s="165">
        <f>-0.0021*(Sheet3!CB84^2) - 2.2115*(Sheet3!CB84) + 2499</f>
        <v>2310.2592447356114</v>
      </c>
      <c r="HY84" s="165">
        <f>-0.0021*(Sheet3!CC84^2) - 2.2115*(Sheet3!CC84) + 2499</f>
        <v>2316.826171433011</v>
      </c>
      <c r="HZ84" s="165">
        <f>-0.0021*(Sheet3!CD84^2) - 2.2115*(Sheet3!CD84) + 2499</f>
        <v>2323.2077889554907</v>
      </c>
      <c r="IA84" s="165">
        <f>-0.0021*(Sheet3!CE84^2) - 2.2115*(Sheet3!CE84) + 2499</f>
        <v>2326.7786399792371</v>
      </c>
      <c r="IB84" s="165">
        <f>-0.0021*(Sheet3!CF84^2) - 2.2115*(Sheet3!CF84) + 2499</f>
        <v>2332.3023398106457</v>
      </c>
      <c r="IC84" s="165">
        <f>-0.0021*(Sheet3!CG84^2) - 2.2115*(Sheet3!CG84) + 2499</f>
        <v>2338.0325971966213</v>
      </c>
      <c r="ID84" s="188">
        <f t="shared" si="292"/>
        <v>0.71956211835193606</v>
      </c>
      <c r="IE84" s="165">
        <f t="shared" si="293"/>
        <v>0.7195463125421715</v>
      </c>
      <c r="IF84" s="165">
        <f t="shared" si="294"/>
        <v>0.72094210938451531</v>
      </c>
      <c r="IG84" s="165">
        <f t="shared" si="295"/>
        <v>0.72234345409299028</v>
      </c>
      <c r="IH84" s="165">
        <f t="shared" si="296"/>
        <v>0.72341907255567617</v>
      </c>
      <c r="II84" s="165">
        <f t="shared" si="297"/>
        <v>0.72477426440959702</v>
      </c>
      <c r="IJ84" s="165">
        <f t="shared" si="298"/>
        <v>0.7252649827318679</v>
      </c>
      <c r="IK84" s="165">
        <f t="shared" si="299"/>
        <v>0.726478895176628</v>
      </c>
      <c r="IL84" s="165">
        <f t="shared" si="300"/>
        <v>0.72750002083151277</v>
      </c>
      <c r="IM84" s="188">
        <f t="shared" si="301"/>
        <v>2.5636830262899872</v>
      </c>
      <c r="IN84" s="165">
        <f t="shared" si="368"/>
        <v>18.289623813797476</v>
      </c>
      <c r="IO84" s="165">
        <f t="shared" si="369"/>
        <v>18.845683916184989</v>
      </c>
      <c r="IP84" s="165">
        <f t="shared" si="370"/>
        <v>19.358712250184666</v>
      </c>
      <c r="IQ84" s="165">
        <f t="shared" si="371"/>
        <v>19.798222978998897</v>
      </c>
      <c r="IR84" s="165">
        <f t="shared" si="372"/>
        <v>20.239711226284786</v>
      </c>
      <c r="IS84" s="165">
        <f t="shared" si="373"/>
        <v>21.721827650153038</v>
      </c>
      <c r="IT84" s="165">
        <f t="shared" si="374"/>
        <v>1.0598968870957277</v>
      </c>
      <c r="IU84" s="165">
        <f t="shared" si="375"/>
        <v>1.774386425219332</v>
      </c>
      <c r="IV84" s="188">
        <f>_xlfn.FORECAST.LINEAR(Sheet3!DF84,Sheet2!$AK$2:$AK$69,Sheet2!$AJ$2:$AJ$69)</f>
        <v>1.1761434736095797E-5</v>
      </c>
      <c r="IW84" s="165">
        <f>_xlfn.FORECAST.LINEAR(Sheet3!BZ84,Sheet2!$AK$2:$AK$69,Sheet2!$AJ$2:$AJ$69)</f>
        <v>1.1762015801022763E-5</v>
      </c>
      <c r="IX84" s="165">
        <f>_xlfn.FORECAST.LINEAR(Sheet3!CA84,Sheet2!$AK$2:$AK$69,Sheet2!$AJ$2:$AJ$69)</f>
        <v>1.1659426364398949E-5</v>
      </c>
      <c r="IY84" s="165">
        <f>_xlfn.FORECAST.LINEAR(Sheet3!CB84,Sheet2!$AK$2:$AK$69,Sheet2!$AJ$2:$AJ$69)</f>
        <v>1.15641069410012E-5</v>
      </c>
      <c r="IZ84" s="165">
        <f>_xlfn.FORECAST.LINEAR(Sheet3!CC84,Sheet2!$AK$2:$AK$69,Sheet2!$AJ$2:$AJ$69)</f>
        <v>1.1473564516356809E-5</v>
      </c>
      <c r="JA84" s="165">
        <f>_xlfn.FORECAST.LINEAR(Sheet3!CD84,Sheet2!$AK$2:$AK$69,Sheet2!$AJ$2:$AJ$69)</f>
        <v>1.1385203692639768E-5</v>
      </c>
      <c r="JB84" s="165">
        <f>_xlfn.FORECAST.LINEAR(Sheet3!CE84,Sheet2!$AK$2:$AK$69,Sheet2!$AJ$2:$AJ$69)</f>
        <v>1.1335598827962371E-5</v>
      </c>
      <c r="JC84" s="165">
        <f>_xlfn.FORECAST.LINEAR(Sheet3!CF84,Sheet2!$AK$2:$AK$69,Sheet2!$AJ$2:$AJ$69)</f>
        <v>1.1258633930981101E-5</v>
      </c>
      <c r="JD84" s="165">
        <f>_xlfn.FORECAST.LINEAR(Sheet3!CG84,Sheet2!$AK$2:$AK$69,Sheet2!$AJ$2:$AJ$69)</f>
        <v>1.1178490404265127E-5</v>
      </c>
      <c r="JE84" s="188">
        <f>_xlfn.FORECAST.LINEAR(Sheet3!DF84,New!$MC$2:$MC$18,New!$MB$2:$MB$18)</f>
        <v>2.0908514659214704E-5</v>
      </c>
      <c r="JF84" s="165">
        <f>_xlfn.FORECAST.LINEAR(Sheet3!BZ84,New!$MC$2:$MC$18,New!$MB$2:$MB$18)</f>
        <v>2.0909197715061353E-5</v>
      </c>
      <c r="JG84" s="165">
        <f>_xlfn.FORECAST.LINEAR(Sheet3!CA84,New!$MC$2:$MC$18,New!$MB$2:$MB$18)</f>
        <v>2.0788601356137183E-5</v>
      </c>
      <c r="JH84" s="165">
        <f>_xlfn.FORECAST.LINEAR(Sheet3!CB84,New!$MC$2:$MC$18,New!$MB$2:$MB$18)</f>
        <v>2.067655107323455E-5</v>
      </c>
      <c r="JI84" s="165">
        <f>_xlfn.FORECAST.LINEAR(Sheet3!CC84,New!$MC$2:$MC$18,New!$MB$2:$MB$18)</f>
        <v>2.0570116267667587E-5</v>
      </c>
      <c r="JJ84" s="165">
        <f>_xlfn.FORECAST.LINEAR(Sheet3!CD84,New!$MC$2:$MC$18,New!$MB$2:$MB$18)</f>
        <v>2.0466245986647423E-5</v>
      </c>
      <c r="JK84" s="165">
        <f>_xlfn.FORECAST.LINEAR(Sheet3!CE84,New!$MC$2:$MC$18,New!$MB$2:$MB$18)</f>
        <v>2.0407934270920233E-5</v>
      </c>
      <c r="JL84" s="165">
        <f>_xlfn.FORECAST.LINEAR(Sheet3!CF84,New!$MC$2:$MC$18,New!$MB$2:$MB$18)</f>
        <v>2.0317460176838305E-5</v>
      </c>
      <c r="JM84" s="165">
        <f>_xlfn.FORECAST.LINEAR(Sheet3!CG84,New!$MC$2:$MC$18,New!$MB$2:$MB$18)</f>
        <v>2.022324952678152E-5</v>
      </c>
      <c r="JN84" s="188">
        <f t="shared" si="376"/>
        <v>1.948852543580395E-5</v>
      </c>
      <c r="JO84" s="165">
        <f t="shared" si="377"/>
        <v>1.9489271626107074E-5</v>
      </c>
      <c r="JP84" s="165">
        <f t="shared" si="378"/>
        <v>1.9369713491512688E-5</v>
      </c>
      <c r="JQ84" s="165">
        <f t="shared" si="379"/>
        <v>1.9257988760413957E-5</v>
      </c>
      <c r="JR84" s="165">
        <f t="shared" si="380"/>
        <v>1.9154211093404743E-5</v>
      </c>
      <c r="JS84" s="165">
        <f t="shared" si="381"/>
        <v>1.9050594117413576E-5</v>
      </c>
      <c r="JT84" s="165">
        <f t="shared" si="382"/>
        <v>1.8994715318761277E-5</v>
      </c>
      <c r="JU84" s="165">
        <f t="shared" si="383"/>
        <v>1.8904452289525887E-5</v>
      </c>
      <c r="JV84" s="165">
        <f t="shared" si="384"/>
        <v>1.8812570216026227E-5</v>
      </c>
      <c r="JW84" s="188">
        <f t="shared" si="302"/>
        <v>1.0444458673781256</v>
      </c>
      <c r="JX84" s="165">
        <f t="shared" si="385"/>
        <v>1.0444363914901988</v>
      </c>
      <c r="JY84" s="165">
        <f t="shared" si="386"/>
        <v>1.0461234645179351</v>
      </c>
      <c r="JZ84" s="165">
        <f t="shared" si="387"/>
        <v>1.0477167558336689</v>
      </c>
      <c r="KA84" s="165">
        <f t="shared" si="388"/>
        <v>1.0492537476403634</v>
      </c>
      <c r="KB84" s="165">
        <f t="shared" si="389"/>
        <v>1.0507763420697909</v>
      </c>
      <c r="KC84" s="165">
        <f t="shared" si="390"/>
        <v>1.0516411016807947</v>
      </c>
      <c r="KD84" s="165">
        <f t="shared" si="391"/>
        <v>1.0529973104738777</v>
      </c>
      <c r="KE84" s="165">
        <f t="shared" si="392"/>
        <v>1.0544285842710184</v>
      </c>
      <c r="KF84" s="188">
        <f t="shared" si="393"/>
        <v>0.94446821821306282</v>
      </c>
      <c r="KG84" s="165">
        <f t="shared" si="394"/>
        <v>0.94447545484379813</v>
      </c>
      <c r="KH84" s="165">
        <f t="shared" si="395"/>
        <v>0.94318991227492355</v>
      </c>
      <c r="KI84" s="165">
        <f t="shared" si="396"/>
        <v>0.94198108297275973</v>
      </c>
      <c r="KJ84" s="165">
        <f t="shared" si="397"/>
        <v>0.94081977175820741</v>
      </c>
      <c r="KK84" s="165">
        <f t="shared" si="398"/>
        <v>0.93967396134408043</v>
      </c>
      <c r="KL84" s="165">
        <f t="shared" si="399"/>
        <v>0.93902523462481491</v>
      </c>
      <c r="KM84" s="165">
        <f t="shared" si="400"/>
        <v>0.93801079036385648</v>
      </c>
      <c r="KN84" s="165">
        <f t="shared" si="401"/>
        <v>0.93694409734866058</v>
      </c>
      <c r="KO84" s="188">
        <f t="shared" si="304"/>
        <v>0.58411276350442987</v>
      </c>
      <c r="KP84" s="165">
        <f t="shared" si="305"/>
        <v>0.58416365959080918</v>
      </c>
      <c r="KQ84" s="165">
        <f t="shared" si="306"/>
        <v>0.58197020221535334</v>
      </c>
      <c r="KR84" s="165">
        <f t="shared" si="307"/>
        <v>0.57990814703224081</v>
      </c>
      <c r="KS84" s="165">
        <f t="shared" si="308"/>
        <v>0.57794294482061237</v>
      </c>
      <c r="KT84" s="165">
        <f t="shared" si="309"/>
        <v>0.57599509956276129</v>
      </c>
      <c r="KU84" s="165">
        <f t="shared" si="310"/>
        <v>0.57490625041827292</v>
      </c>
      <c r="KV84" s="165">
        <f t="shared" si="311"/>
        <v>0.57318628288323348</v>
      </c>
      <c r="KW84" s="165">
        <f t="shared" si="312"/>
        <v>0.5714941810642985</v>
      </c>
      <c r="KX84" s="188">
        <f>AVERAGE(Sheet3!J84:P84)*KO84^(1/3)/ID84^(1/3)</f>
        <v>173.06428222996732</v>
      </c>
      <c r="KY84" s="165">
        <f>Sheet3!J84*KP84^(1/3)/IE84^(1/3)</f>
        <v>145.74579842911803</v>
      </c>
      <c r="KZ84" s="165">
        <f>Sheet3!K84*KQ84^(1/3)/IF84^(1/3)</f>
        <v>145.63716335069265</v>
      </c>
      <c r="LA84" s="165">
        <f>Sheet3!L84*KR84^(1/3)/IG84^(1/3)</f>
        <v>152.52778080880691</v>
      </c>
      <c r="LB84" s="165">
        <f>Sheet3!M84*KS84^(1/3)/IH84^(1/3)</f>
        <v>165.29969186555752</v>
      </c>
      <c r="LC84" s="165">
        <f>Sheet3!N84*KT84^(1/3)/II84^(1/3)</f>
        <v>180.60702107068107</v>
      </c>
      <c r="LD84" s="165">
        <f>Sheet3!O84*KU84^(1/3)/IJ84^(1/3)</f>
        <v>198.104134554816</v>
      </c>
      <c r="LE84" s="165">
        <f>Sheet3!P84*KV84^(1/3)/IK84^(1/3)</f>
        <v>216.89072748192737</v>
      </c>
      <c r="LF84" s="165">
        <f>Sheet3!Q84*KW84^(1/3)/IL84^(1/3)</f>
        <v>230.87552719598767</v>
      </c>
      <c r="LG84" s="186">
        <f t="shared" si="402"/>
        <v>27.297534366033688</v>
      </c>
      <c r="LH84" s="183">
        <f t="shared" si="403"/>
        <v>27.300645209153313</v>
      </c>
      <c r="LI84" s="183">
        <f t="shared" si="404"/>
        <v>27.334920729965784</v>
      </c>
      <c r="LJ84" s="183">
        <f t="shared" si="405"/>
        <v>27.337348161613733</v>
      </c>
      <c r="LK84" s="183">
        <f t="shared" si="406"/>
        <v>27.454125764868547</v>
      </c>
      <c r="LL84" s="183">
        <f t="shared" si="407"/>
        <v>27.456228211457478</v>
      </c>
      <c r="LM84" s="183">
        <f t="shared" si="408"/>
        <v>27.569628101614388</v>
      </c>
      <c r="LN84" s="183">
        <f t="shared" si="409"/>
        <v>27.572459773668754</v>
      </c>
      <c r="LO84" s="183">
        <f t="shared" si="410"/>
        <v>27.680224003819831</v>
      </c>
      <c r="LT84" s="165"/>
      <c r="MF84" s="165"/>
      <c r="MJ84"/>
      <c r="MK84"/>
      <c r="ML84"/>
      <c r="MM84"/>
      <c r="MN84"/>
      <c r="MO84"/>
      <c r="MP84"/>
      <c r="MQ84"/>
      <c r="MR84"/>
    </row>
    <row r="85" spans="1:356" x14ac:dyDescent="0.3">
      <c r="A85" s="184" t="str">
        <f>Sheet3!A85</f>
        <v>2023.02.14-2</v>
      </c>
      <c r="B85" s="186">
        <f t="shared" si="313"/>
        <v>0.89709799263072698</v>
      </c>
      <c r="C85" s="183">
        <f t="shared" si="257"/>
        <v>0.89645387830566658</v>
      </c>
      <c r="D85" s="183">
        <f t="shared" si="258"/>
        <v>0.8893073658352777</v>
      </c>
      <c r="E85" s="183">
        <f t="shared" si="259"/>
        <v>0.88302729299879368</v>
      </c>
      <c r="F85" s="183">
        <f t="shared" si="260"/>
        <v>0.87543827411153541</v>
      </c>
      <c r="G85" s="183">
        <f t="shared" si="261"/>
        <v>0.87078966864663032</v>
      </c>
      <c r="H85" s="183">
        <f t="shared" si="262"/>
        <v>0.86474958941151181</v>
      </c>
      <c r="I85" s="183">
        <f t="shared" si="263"/>
        <v>0.85890146431183101</v>
      </c>
      <c r="J85" s="183">
        <f t="shared" si="264"/>
        <v>0.85270656304833159</v>
      </c>
      <c r="K85" s="186">
        <f xml:space="preserve"> (6.057 * (10^(-6)))
+ (4.055 * (10^(-8)) * (Sheet3!DF85 + 273))
+ (1.25 * (10^(-10)) * (Sheet3!DF85 + 273)^2)
- (3.367 * (10^(-14)) * (DD85 + 273)^3)</f>
        <v>4.4158812984705624E-5</v>
      </c>
      <c r="L85" s="183">
        <f xml:space="preserve"> (6.057 * (10^(-6)))
+ (4.055 * (10^(-8)) * (Sheet3!BZ85 + 273))
+ (1.25 * (10^(-10)) * (Sheet3!BZ85 + 273)^2)
- (3.367 * (10^(-14)) * (BX85 + 273)^3)</f>
        <v>4.4068131325249007E-5</v>
      </c>
      <c r="M85" s="183">
        <f xml:space="preserve"> (6.057 * (10^(-6)))
+ (4.055 * (10^(-8)) * (Sheet3!CA85 + 273))
+ (1.25 * (10^(-10)) * (Sheet3!CA85 + 273)^2)
- (3.367 * (10^(-14)) * (BY85 + 273)^3)</f>
        <v>4.3253440080527237E-5</v>
      </c>
      <c r="N85" s="183">
        <f xml:space="preserve"> (6.057 * (10^(-6)))
+ (4.055 * (10^(-8)) * (Sheet3!CB85 + 273))
+ (1.25 * (10^(-10)) * (Sheet3!CB85 + 273)^2)
- (3.367 * (10^(-14)) * (BZ85 + 273)^3)</f>
        <v>4.2561366957381719E-5</v>
      </c>
      <c r="O85" s="183">
        <f xml:space="preserve"> (6.057 * (10^(-6)))
+ (4.055 * (10^(-8)) * (Sheet3!CC85 + 273))
+ (1.25 * (10^(-10)) * (Sheet3!CC85 + 273)^2)
- (3.367 * (10^(-14)) * (CA85 + 273)^3)</f>
        <v>4.1726733527166369E-5</v>
      </c>
      <c r="P85" s="183">
        <f xml:space="preserve"> (6.057 * (10^(-6)))
+ (4.055 * (10^(-8)) * (Sheet3!CD85 + 273))
+ (1.25 * (10^(-10)) * (Sheet3!CD85 + 273)^2)
- (3.367 * (10^(-14)) * (CB85 + 273)^3)</f>
        <v>4.124253989605705E-5</v>
      </c>
      <c r="Q85" s="183">
        <f xml:space="preserve"> (6.057 * (10^(-6)))
+ (4.055 * (10^(-8)) * (Sheet3!CE85 + 273))
+ (1.25 * (10^(-10)) * (Sheet3!CE85 + 273)^2)
- (3.367 * (10^(-14)) * (CC85 + 273)^3)</f>
        <v>4.060338601317553E-5</v>
      </c>
      <c r="R85" s="183">
        <f xml:space="preserve"> (6.057 * (10^(-6)))
+ (4.055 * (10^(-8)) * (Sheet3!CF85 + 273))
+ (1.25 * (10^(-10)) * (Sheet3!CF85 + 273)^2)
- (3.367 * (10^(-14)) * (CD85 + 273)^3)</f>
        <v>4.0022493736320055E-5</v>
      </c>
      <c r="S85" s="183">
        <f xml:space="preserve"> (6.057 * (10^(-6)))
+ (4.055 * (10^(-8)) * (Sheet3!CG85 + 273))
+ (1.25 * (10^(-10)) * (Sheet3!CG85 + 273)^2)
- (3.367 * (10^(-14)) * (CE85 + 273)^3)</f>
        <v>3.9379801004473189E-5</v>
      </c>
      <c r="T85" s="188">
        <f t="shared" si="314"/>
        <v>4.4158812984705624E-5</v>
      </c>
      <c r="U85" s="165">
        <f t="shared" si="315"/>
        <v>4.4068131325249007E-5</v>
      </c>
      <c r="V85" s="165">
        <f t="shared" si="316"/>
        <v>4.3253440080527237E-5</v>
      </c>
      <c r="W85" s="165">
        <f t="shared" si="317"/>
        <v>4.2561366957381719E-5</v>
      </c>
      <c r="X85" s="165">
        <f t="shared" si="318"/>
        <v>4.1726733527166369E-5</v>
      </c>
      <c r="Y85" s="165">
        <f t="shared" si="319"/>
        <v>4.124253989605705E-5</v>
      </c>
      <c r="Z85" s="165">
        <f t="shared" si="320"/>
        <v>4.060338601317553E-5</v>
      </c>
      <c r="AA85" s="165">
        <f t="shared" si="321"/>
        <v>4.0022493736320055E-5</v>
      </c>
      <c r="AB85" s="165">
        <f t="shared" si="322"/>
        <v>3.9379801004473189E-5</v>
      </c>
      <c r="AC85" s="186">
        <f t="shared" si="265"/>
        <v>3.9614782485535097E-5</v>
      </c>
      <c r="AD85" s="183">
        <f t="shared" si="266"/>
        <v>3.9505047236202907E-5</v>
      </c>
      <c r="AE85" s="183">
        <f t="shared" si="267"/>
        <v>3.8465602861327697E-5</v>
      </c>
      <c r="AF85" s="183">
        <f t="shared" si="268"/>
        <v>3.7582848650705083E-5</v>
      </c>
      <c r="AG85" s="183">
        <f t="shared" si="269"/>
        <v>3.6529179583334466E-5</v>
      </c>
      <c r="AH85" s="183">
        <f t="shared" si="270"/>
        <v>3.5913577650232951E-5</v>
      </c>
      <c r="AI85" s="183">
        <f t="shared" si="271"/>
        <v>3.5111761383610663E-5</v>
      </c>
      <c r="AJ85" s="183">
        <f t="shared" si="272"/>
        <v>3.4375378475536381E-5</v>
      </c>
      <c r="AK85" s="183">
        <f t="shared" si="273"/>
        <v>3.3579414768051567E-5</v>
      </c>
      <c r="AL85" s="186">
        <f t="shared" si="323"/>
        <v>3.5067063335493739E-2</v>
      </c>
      <c r="AM85" s="183">
        <f t="shared" si="324"/>
        <v>3.5015461356715551E-2</v>
      </c>
      <c r="AN85" s="183">
        <f t="shared" si="325"/>
        <v>3.45224259467787E-2</v>
      </c>
      <c r="AO85" s="183">
        <f t="shared" si="326"/>
        <v>3.4099463104104527E-2</v>
      </c>
      <c r="AP85" s="183">
        <f t="shared" si="327"/>
        <v>3.3583129043099881E-2</v>
      </c>
      <c r="AQ85" s="183">
        <f t="shared" si="328"/>
        <v>3.3281379507436225E-2</v>
      </c>
      <c r="AR85" s="183">
        <f t="shared" si="329"/>
        <v>3.2879297260849552E-2</v>
      </c>
      <c r="AS85" s="183">
        <f t="shared" si="330"/>
        <v>3.2511226238369134E-2</v>
      </c>
      <c r="AT85" s="183">
        <f t="shared" si="331"/>
        <v>3.2104060734279558E-2</v>
      </c>
      <c r="AU85" s="186">
        <f>_xlfn.FORECAST.LINEAR(Sheet3!DF85,Sheet2!$AH$2:$AH$40,Sheet2!$AG$2:$AG$40)</f>
        <v>4.0902410270024961E-2</v>
      </c>
      <c r="AV85" s="183">
        <f>_xlfn.FORECAST.LINEAR(Sheet3!BZ85,Sheet2!$AH$2:$AH$40,Sheet2!$AG$2:$AG$40)</f>
        <v>4.0751972405626169E-2</v>
      </c>
      <c r="AW85" s="183">
        <f>_xlfn.FORECAST.LINEAR(Sheet3!CA85,Sheet2!$AH$2:$AH$40,Sheet2!$AG$2:$AG$40)</f>
        <v>3.9316065602674317E-2</v>
      </c>
      <c r="AX85" s="183">
        <f>_xlfn.FORECAST.LINEAR(Sheet3!CB85,Sheet2!$AH$2:$AH$40,Sheet2!$AG$2:$AG$40)</f>
        <v>3.8085066966523792E-2</v>
      </c>
      <c r="AY85" s="183">
        <f>_xlfn.FORECAST.LINEAR(Sheet3!CC85,Sheet2!$AH$2:$AH$40,Sheet2!$AG$2:$AG$40)</f>
        <v>3.6586430240802145E-2</v>
      </c>
      <c r="AZ85" s="183">
        <f>_xlfn.FORECAST.LINEAR(Sheet3!CD85,Sheet2!$AH$2:$AH$40,Sheet2!$AG$2:$AG$40)</f>
        <v>3.570978122470915E-2</v>
      </c>
      <c r="BA85" s="183">
        <f>_xlfn.FORECAST.LINEAR(Sheet3!CE85,Sheet2!$AH$2:$AH$40,Sheet2!$AG$2:$AG$40)</f>
        <v>3.4544244420884641E-2</v>
      </c>
      <c r="BB85" s="183">
        <f>_xlfn.FORECAST.LINEAR(Sheet3!CF85,Sheet2!$AH$2:$AH$40,Sheet2!$AG$2:$AG$40)</f>
        <v>3.3476528120388101E-2</v>
      </c>
      <c r="BC85" s="183">
        <f>_xlfn.FORECAST.LINEAR(Sheet3!CG85,Sheet2!$AH$2:$AH$40,Sheet2!$AG$2:$AG$40)</f>
        <v>3.2297103851697553E-2</v>
      </c>
      <c r="BD85" s="186">
        <f>_xlfn.FORECAST.LINEAR(Sheet3!DF85,Sheet2!$AB$12:$AB$37,Sheet2!$AA$12:$AA$37)/1000</f>
        <v>3.3915606923988664E-2</v>
      </c>
      <c r="BE85" s="183">
        <f>_xlfn.FORECAST.LINEAR(Sheet3!BZ85,Sheet2!$AB$12:$AB$37,Sheet2!$AA$12:$AA$37)/1000</f>
        <v>3.3881972499623575E-2</v>
      </c>
      <c r="BF85" s="183">
        <f>_xlfn.FORECAST.LINEAR(Sheet3!CA85,Sheet2!$AB$12:$AB$37,Sheet2!$AA$12:$AA$37)/1000</f>
        <v>3.3560936974742786E-2</v>
      </c>
      <c r="BG85" s="183">
        <f>_xlfn.FORECAST.LINEAR(Sheet3!CB85,Sheet2!$AB$12:$AB$37,Sheet2!$AA$12:$AA$37)/1000</f>
        <v>3.3285714173045849E-2</v>
      </c>
      <c r="BH85" s="183">
        <f>_xlfn.FORECAST.LINEAR(Sheet3!CC85,Sheet2!$AB$12:$AB$37,Sheet2!$AA$12:$AA$37)/1000</f>
        <v>3.2950653689413759E-2</v>
      </c>
      <c r="BI85" s="183">
        <f>_xlfn.FORECAST.LINEAR(Sheet3!CD85,Sheet2!$AB$12:$AB$37,Sheet2!$AA$12:$AA$37)/1000</f>
        <v>3.2754655260797717E-2</v>
      </c>
      <c r="BJ85" s="183">
        <f>_xlfn.FORECAST.LINEAR(Sheet3!CE85,Sheet2!$AB$12:$AB$37,Sheet2!$AA$12:$AA$37)/1000</f>
        <v>3.2494068209594641E-2</v>
      </c>
      <c r="BK85" s="183">
        <f>_xlfn.FORECAST.LINEAR(Sheet3!CF85,Sheet2!$AB$12:$AB$37,Sheet2!$AA$12:$AA$37)/1000</f>
        <v>3.2255351558730522E-2</v>
      </c>
      <c r="BL85" s="183">
        <f>_xlfn.FORECAST.LINEAR(Sheet3!CG85,Sheet2!$AB$12:$AB$37,Sheet2!$AA$12:$AA$37)/1000</f>
        <v>3.1991659591830014E-2</v>
      </c>
      <c r="BM85" s="186">
        <f t="shared" si="332"/>
        <v>0.79667097637690643</v>
      </c>
      <c r="BN85" s="183">
        <f t="shared" si="333"/>
        <v>0.79780075623639979</v>
      </c>
      <c r="BO85" s="183">
        <f t="shared" si="334"/>
        <v>0.80875722359737723</v>
      </c>
      <c r="BP85" s="183">
        <f t="shared" si="335"/>
        <v>0.81838422792476562</v>
      </c>
      <c r="BQ85" s="183">
        <f t="shared" si="336"/>
        <v>0.83048298156172118</v>
      </c>
      <c r="BR85" s="183">
        <f t="shared" si="337"/>
        <v>0.83768846811364628</v>
      </c>
      <c r="BS85" s="183">
        <f t="shared" si="338"/>
        <v>0.84753505253627248</v>
      </c>
      <c r="BT85" s="183">
        <f t="shared" si="339"/>
        <v>0.85669361068819205</v>
      </c>
      <c r="BU85" s="183">
        <f t="shared" si="340"/>
        <v>0.86711586996689749</v>
      </c>
      <c r="BV85" s="186">
        <f t="shared" si="341"/>
        <v>1.1111255302392764</v>
      </c>
      <c r="BW85" s="183">
        <f t="shared" si="342"/>
        <v>1.1109968403982273</v>
      </c>
      <c r="BX85" s="183">
        <f t="shared" si="343"/>
        <v>1.1097127876009192</v>
      </c>
      <c r="BY85" s="183">
        <f t="shared" si="344"/>
        <v>1.1086656580771967</v>
      </c>
      <c r="BZ85" s="183">
        <f t="shared" si="345"/>
        <v>1.1070073454357672</v>
      </c>
      <c r="CA85" s="183">
        <f t="shared" si="346"/>
        <v>1.1062673924073234</v>
      </c>
      <c r="CB85" s="183">
        <f t="shared" si="347"/>
        <v>1.1048726961998456</v>
      </c>
      <c r="CC85" s="183">
        <f t="shared" si="348"/>
        <v>1.1039777839038056</v>
      </c>
      <c r="CD85" s="183">
        <f t="shared" si="349"/>
        <v>1.1025789851938916</v>
      </c>
      <c r="CE85" s="187">
        <f xml:space="preserve"> -0.0000000019505*Sheet3!DF85^3 + 0.0000015497*Sheet3!DF85^2  + 0.00016911*Sheet3!DF85 + 1.8585</f>
        <v>1.9096570494375</v>
      </c>
      <c r="CF85" s="185">
        <f xml:space="preserve"> -0.0000000019505*Sheet3!BZ85^3 + 0.0000015497*Sheet3!BZ85^2  + 0.00016911*Sheet3!BZ85 + 1.8585</f>
        <v>1.9093639934759705</v>
      </c>
      <c r="CG85" s="185">
        <f xml:space="preserve"> -0.0000000019505*Sheet3!CA85^3 + 0.0000015497*Sheet3!CA85^2  + 0.00016911*Sheet3!CA85 + 1.8585</f>
        <v>1.9065920183803227</v>
      </c>
      <c r="CH85" s="185">
        <f xml:space="preserve"> -0.0000000019505*Sheet3!CB85^3 + 0.0000015497*Sheet3!CB85^2  + 0.00016911*Sheet3!CB85 + 1.8585</f>
        <v>1.9042530310710757</v>
      </c>
      <c r="CI85" s="185">
        <f xml:space="preserve"> -0.0000000019505*Sheet3!CC85^3 + 0.0000015497*Sheet3!CC85^2  + 0.00016911*Sheet3!CC85 + 1.8585</f>
        <v>1.9014541622226142</v>
      </c>
      <c r="CJ85" s="185">
        <f xml:space="preserve"> -0.0000000019505*Sheet3!CD85^3 + 0.0000015497*Sheet3!CD85^2  + 0.00016911*Sheet3!CD85 + 1.8585</f>
        <v>1.899842580431476</v>
      </c>
      <c r="CK85" s="185">
        <f xml:space="preserve"> -0.0000000019505*Sheet3!CE85^3 + 0.0000015497*Sheet3!CE85^2  + 0.00016911*Sheet3!CE85 + 1.8585</f>
        <v>1.8977302529540898</v>
      </c>
      <c r="CL85" s="185">
        <f xml:space="preserve"> -0.0000000019505*Sheet3!CF85^3 + 0.0000015497*Sheet3!CF85^2  + 0.00016911*Sheet3!CF85 + 1.8585</f>
        <v>1.8958264720438998</v>
      </c>
      <c r="CM85" s="185">
        <f xml:space="preserve"> -0.0000000019505*Sheet3!CG85^3 + 0.0000015497*Sheet3!CG85^2  + 0.00016911*Sheet3!CG85 + 1.8585</f>
        <v>1.893759336175624</v>
      </c>
      <c r="CN85" s="186">
        <f>_xlfn.FORECAST.LINEAR(Sheet3!DF85,New!$LU$2:$LU$14,New!$LT$2:$LT$14)</f>
        <v>1.023844178140866</v>
      </c>
      <c r="CO85" s="183">
        <f>_xlfn.FORECAST.LINEAR(Sheet3!BZ85,New!$LU$2:$LU$14,New!$LT$2:$LT$14)</f>
        <v>1.0237334538990321</v>
      </c>
      <c r="CP85" s="183">
        <f>_xlfn.FORECAST.LINEAR(Sheet3!CA85,New!$LU$2:$LU$14,New!$LT$2:$LT$14)</f>
        <v>1.0226766076539979</v>
      </c>
      <c r="CQ85" s="183">
        <f>_xlfn.FORECAST.LINEAR(Sheet3!CB85,New!$LU$2:$LU$14,New!$LT$2:$LT$14)</f>
        <v>1.0217705765079768</v>
      </c>
      <c r="CR85" s="183">
        <f>_xlfn.FORECAST.LINEAR(Sheet3!CC85,New!$LU$2:$LU$14,New!$LT$2:$LT$14)</f>
        <v>1.0206675602168125</v>
      </c>
      <c r="CS85" s="183">
        <f>_xlfn.FORECAST.LINEAR(Sheet3!CD85,New!$LU$2:$LU$14,New!$LT$2:$LT$14)</f>
        <v>1.0200223350399651</v>
      </c>
      <c r="CT85" s="183">
        <f>_xlfn.FORECAST.LINEAR(Sheet3!CE85,New!$LU$2:$LU$14,New!$LT$2:$LT$14)</f>
        <v>1.0191644846613479</v>
      </c>
      <c r="CU85" s="183">
        <f>_xlfn.FORECAST.LINEAR(Sheet3!CF85,New!$LU$2:$LU$14,New!$LT$2:$LT$14)</f>
        <v>1.0183786314565146</v>
      </c>
      <c r="CV85" s="183">
        <f>_xlfn.FORECAST.LINEAR(Sheet3!CG85,New!$LU$2:$LU$14,New!$LT$2:$LT$14)</f>
        <v>1.0175105597215626</v>
      </c>
      <c r="CW85" s="186">
        <f>EXP((17.625*Sheet3!BA85)/(243.04+Sheet3!BA85)) / EXP((17.625*Sheet3!DF85)/(243.04+Sheet3!DF85))</f>
        <v>3.1215458166542462E-2</v>
      </c>
      <c r="CX85" s="183">
        <f>EXP((17.625*(Sheet3!BC85+273))/(243.04+(Sheet3!BC85+273)))/EXP((17.625*(Sheet3!BZ85+273))/(243.04+(Sheet3!BZ85+273)))</f>
        <v>0.34935614224205025</v>
      </c>
      <c r="CY85" s="183">
        <f>EXP((17.625*(Sheet3!BE85+273))/(243.04+(Sheet3!BE85+273))) / EXP((17.625*(Sheet3!CA85+273))/(243.04+(Sheet3!CA85+273)))</f>
        <v>0.36944519288001693</v>
      </c>
      <c r="CZ85" s="183">
        <f>EXP((17.625*(Sheet3!BG85+273))/(243.04+(Sheet3!BG85+273))) / EXP((17.625*(Sheet3!CB85+273))/(243.04+(Sheet3!CB85+273)))</f>
        <v>0.38784092138044207</v>
      </c>
      <c r="DA85" s="183">
        <f>EXP((17.625*(Sheet3!BI85+273))/(243.04+(Sheet3!BI85+273))) / EXP((17.625*(Sheet3!CC85+273))/(243.04+(Sheet3!CC85+273)))</f>
        <v>0.41136891897163363</v>
      </c>
      <c r="DB85" s="183">
        <f>EXP((17.625*(Sheet3!BK85+273))/(243.04+(Sheet3!BK85+273)))/EXP((17.625*(Sheet3!CD85+273))/(243.04+(Sheet3!CD85+273)))</f>
        <v>0.42636801670975311</v>
      </c>
      <c r="DC85" s="183">
        <f>EXP((17.625*(Sheet3!BM85+273))/(243.04+(Sheet3!BM85+273))) / EXP((17.625*(Sheet3!CE85+273))/(243.04+(Sheet3!CE85+273)))</f>
        <v>0.44673498731852335</v>
      </c>
      <c r="DD85" s="183">
        <f>EXP((17.625*(Sheet3!BO85+273))/(243.04+(Sheet3!BO85+273))) / EXP((17.625*(Sheet3!CF85+273))/(243.04+(Sheet3!CF85+273)))</f>
        <v>0.46719593946154947</v>
      </c>
      <c r="DE85" s="183">
        <f>EXP((17.625*(Sheet3!BQ85+273))/(243.04+(Sheet3!BQ85+273))) / EXP((17.625*(Sheet3!CG85+273))/(243.04+(Sheet3!CG85+273)))</f>
        <v>0.51951030542458942</v>
      </c>
      <c r="DF85" s="186">
        <f>((Sheet3!DA85-Sheet3!DB85)/New!$LQ$3)/(((Sheet3!DA85-Sheet3!DB85)/New!$LQ$3)+(Sheet3!DB85/New!$LP$3))</f>
        <v>0.85055069573991748</v>
      </c>
      <c r="DG85" s="183">
        <f>((Sheet3!DA85-Sheet3!DB85)/New!$LQ$3)/(((Sheet3!DA85-Sheet3!DB85)/New!$LQ$3)+((Sheet3!DB85-(Sheet3!B85*0.004))/New!$LP$3))</f>
        <v>0.85055069573991748</v>
      </c>
      <c r="DH85" s="183" cm="1">
        <f t="array" ref="DH85">((Sheet3!DA85-Sheet3!DB85)/New!$LQ$3)/(((Sheet3!DA85-Sheet3!DB85)/New!$LQ$3)+((Sheet3!DB85-(SUM(Sheet3!B85:C85*0.004)))/New!$LP$3))</f>
        <v>0.85101613421433564</v>
      </c>
      <c r="DI85" s="183" cm="1">
        <f t="array" ref="DI85">((Sheet3!DA85-Sheet3!DB85)/New!$LQ$3)/(((Sheet3!DA85-Sheet3!DB85)/New!$LQ$3)+((Sheet3!DB85-(SUM(Sheet3!B85:D85*0.004)))/New!$LP$3))</f>
        <v>0.85101613421433564</v>
      </c>
      <c r="DJ85" s="183" cm="1">
        <f t="array" ref="DJ85">((Sheet3!DA85-Sheet3!DB85)/New!$LQ$3)/(((Sheet3!DA85-Sheet3!DB85)/New!$LQ$3)+((Sheet3!DB85-(SUM(Sheet3!B85:E85*0.004)))/New!$LP$3))</f>
        <v>0.85414666918866033</v>
      </c>
      <c r="DK85" s="183" cm="1">
        <f t="array" ref="DK85">((Sheet3!DA85-Sheet3!DB85)/New!$LQ$3)/(((Sheet3!DA85-Sheet3!DB85)/New!$LQ$3)+((Sheet3!DB85-(SUM(Sheet3!B85:F85*0.004)))/New!$LP$3))</f>
        <v>0.85414666918866033</v>
      </c>
      <c r="DL85" s="183" cm="1">
        <f t="array" ref="DL85">((Sheet3!DA85-Sheet3!DB85)/New!$LQ$3)/(((Sheet3!DA85-Sheet3!DB85)/New!$LQ$3)+((Sheet3!DB85-(SUM(Sheet3!B85:G85*0.004)))/New!$LP$3))</f>
        <v>0.85752018965252141</v>
      </c>
      <c r="DM85" s="183" cm="1">
        <f t="array" ref="DM85">((Sheet3!DA85-Sheet3!DB85)/New!$LQ$3)/(((Sheet3!DA85-Sheet3!DB85)/New!$LQ$3)+((Sheet3!DB85-(SUM(Sheet3!B85:H85*0.004)))/New!$LP$3))</f>
        <v>0.85752018965252141</v>
      </c>
      <c r="DN85" s="183" cm="1">
        <f t="array" ref="DN85">((Sheet3!DA85-Sheet3!DB85)/New!$LQ$3)/(((Sheet3!DA85-Sheet3!DB85)/New!$LQ$3)+((Sheet3!DB85-(SUM(Sheet3!B85:I85*0.004)))/New!$LP$3))</f>
        <v>0.86093154752820478</v>
      </c>
      <c r="DO85" s="186">
        <f>(Sheet3!DB85/$LP$3) / ((Sheet3!DB85/$LP$3) + ((Sheet3!DA85-Sheet3!DB85)/$LQ$3))</f>
        <v>0.14944930426008254</v>
      </c>
      <c r="DP85" s="183">
        <f>((Sheet3!$DB85-(Sheet3!B85/4000)) / $LP$3) / (((Sheet3!$DA85-Sheet3!DB85) / $LQ$3) + (Sheet3!$DB85-((Sheet3!B85/4000)))/$LP$3)</f>
        <v>0.14944930426008254</v>
      </c>
      <c r="DQ85" s="183">
        <f>((Sheet3!$DB85-(SUM(Sheet3!B85:C85)/4000))/$LP$3)/(((Sheet3!$DA85-Sheet3!$DB85)/$LQ$3)+(Sheet3!$DB85-(SUM(Sheet3!B85:C85)/4000))/$LP$3)</f>
        <v>0.14942022927144966</v>
      </c>
      <c r="DR85" s="183">
        <f>((Sheet3!$DB85-(SUM(Sheet3!B85:D85)/4000))/$LP$3)/(((Sheet3!$DA85-Sheet3!$DB85)/$LQ$3)+(Sheet3!$DB85-(SUM(Sheet3!B85:D85)/4000))/$LP$3)</f>
        <v>0.14942022927144966</v>
      </c>
      <c r="DS85" s="183">
        <f>((Sheet3!$DB85-(SUM(Sheet3!B85:E85)/4000))/$LP$3)/(((Sheet3!$DA85-Sheet3!$DB85)/$LQ$3)+(Sheet3!$DB85-(SUM(Sheet3!B85:E85)/4000))/$LP$3)</f>
        <v>0.14922544321055203</v>
      </c>
      <c r="DT85" s="183">
        <f>((Sheet3!$DB85-(SUM(Sheet3!B85:F85)/4000))/$LP$3)/(((Sheet3!$DA85-Sheet3!$DB85)/$LQ$3)+(Sheet3!$DB85-(SUM(Sheet3!B85:F85)/4000))/$LP$3)</f>
        <v>0.14922544321055203</v>
      </c>
      <c r="DU85" s="183">
        <f>((Sheet3!$DB85-(SUM(Sheet3!B85:G85)/4000))/$LP$3)/(((Sheet3!$DA85-Sheet3!$DB85)/$LQ$3)+(Sheet3!$DB85-(SUM(Sheet3!B85:G85)/4000))/$LP$3)</f>
        <v>0.14901703159396909</v>
      </c>
      <c r="DV85" s="183">
        <f>((Sheet3!$DB85-(SUM(Sheet3!B85:H85)/4000))/$LP$3)/(((Sheet3!$DA85-Sheet3!$DB85)/$LQ$3)+(Sheet3!$DB85-(SUM(Sheet3!B85:H85)/4000))/$LP$3)</f>
        <v>0.14901703159396909</v>
      </c>
      <c r="DW85" s="183">
        <f>((Sheet3!$DB85-(SUM(Sheet3!B85:I85)/4000))/$LP$3)/(((Sheet3!$DA85-Sheet3!$DB85)/$LQ$3)+(Sheet3!$DB85-(SUM(Sheet3!B85:I85)/4000))/$LP$3)</f>
        <v>0.14880784068535302</v>
      </c>
      <c r="DX85" s="186">
        <f>($LR$2*($LP$3/1000))/($LP$2*(Sheet3!DF85+273))*DO85</f>
        <v>7.8497978804433127E-2</v>
      </c>
      <c r="DY85" s="183">
        <f>(($LR$2*($LP$3/1000))/($LP$2*(Sheet3!BZ85+273)))*(DP85)</f>
        <v>7.8609298832517382E-2</v>
      </c>
      <c r="DZ85" s="183">
        <f>(($LR$2*($LP$3/1000))/($LP$2*(Sheet3!CA85+273)))*(DQ85)</f>
        <v>7.9672435739218561E-2</v>
      </c>
      <c r="EA85" s="183">
        <f>(($LR$2*($LP$3/1000))/($LP$2*(Sheet3!CB85+273)))*(DR85)</f>
        <v>8.0620812905141573E-2</v>
      </c>
      <c r="EB85" s="183">
        <f>(($LR$2*($LP$3/1000))/($LP$2*(Sheet3!CC85+273)))*(DS85)</f>
        <v>8.1699661034858054E-2</v>
      </c>
      <c r="EC85" s="183">
        <f>(($LR$2*($LP$3/1000))/($LP$2*(Sheet3!CD85+273)))*(DT85)</f>
        <v>8.2408508563288421E-2</v>
      </c>
      <c r="ED85" s="183">
        <f>(($LR$2*($LP$3/1000))/($LP$2*(Sheet3!CE85+273)))*(DU85)</f>
        <v>8.3253780998064089E-2</v>
      </c>
      <c r="EE85" s="183">
        <f>(($LR$2*($LP$3/1000))/($LP$2*(Sheet3!CF85+273)))*(DV85)</f>
        <v>8.4153430625954054E-2</v>
      </c>
      <c r="EF85" s="183">
        <f>(($LR$2*($LP$3/1000))/($LP$2*(Sheet3!CG85+273)))*(DW85)</f>
        <v>8.5050516561188727E-2</v>
      </c>
      <c r="EG85" s="186">
        <f>(($LR$2*($LQ$3/1000))/($LQ$2*(Sheet3!DF85+273)))*(1-DO85)</f>
        <v>0.71817299757247333</v>
      </c>
      <c r="EH85" s="183">
        <f>(($LR$2*($LQ$3/1000))/($LQ$2*(Sheet3!BZ85+273)))*(1-DP85)</f>
        <v>0.71919145740388246</v>
      </c>
      <c r="EI85" s="183">
        <f>(($LR$2*($LQ$3/1000))/($LQ$2*(Sheet3!CA85+273)))*(1-DQ85)</f>
        <v>0.72908478785815867</v>
      </c>
      <c r="EJ85" s="183">
        <f>(($LR$2*($LQ$3/1000))/($LQ$2*(Sheet3!CB85+273)))*(1-DR85)</f>
        <v>0.73776341501962406</v>
      </c>
      <c r="EK85" s="183">
        <f>(($LR$2*($LQ$3/1000))/($LQ$2*(Sheet3!CC85+273)))*(1-DS85)</f>
        <v>0.74878332052686314</v>
      </c>
      <c r="EL85" s="183">
        <f>(($LR$2*($LQ$3/1000))/($LQ$2*(Sheet3!CD85+273)))*(1-DT85)</f>
        <v>0.75527995955035787</v>
      </c>
      <c r="EM85" s="183">
        <f>(($LR$2*($LQ$3/1000))/($LQ$2*(Sheet3!CE85+273)))*(1-DU85)</f>
        <v>0.76428127153820835</v>
      </c>
      <c r="EN85" s="183">
        <f>(($LR$2*($LQ$3/1000))/($LQ$2*(Sheet3!CF85+273)))*(1-DV85)</f>
        <v>0.77254018006223801</v>
      </c>
      <c r="EO85" s="183">
        <f>(($LR$2*($LQ$3/1000))/($LQ$2*(Sheet3!CG85+273)))*(1-DW85)</f>
        <v>0.78206535340570882</v>
      </c>
      <c r="EP85" s="186">
        <f t="shared" si="350"/>
        <v>9869.1441747182071</v>
      </c>
      <c r="EQ85" s="183">
        <f xml:space="preserve"> (($FV85-(Sheet3!B85/4000))*0.018)/(0.011*JO85*3600)</f>
        <v>9880.0316224782055</v>
      </c>
      <c r="ER85" s="183">
        <f>((($FV85-(SUM(Sheet3!B85:C85)/4000))*0.018)/(0.011*JP85*3600))</f>
        <v>9984.8376251957761</v>
      </c>
      <c r="ES85" s="183">
        <f>((($FV85-(SUM(Sheet3!B85:D85)/4000))*0.018)/(0.011*JQ85*3600))</f>
        <v>10076.8072767423</v>
      </c>
      <c r="ET85" s="183">
        <f>((($FV85-(SUM(Sheet3!B85:E85)/4000))*0.018)/(0.011*JR85))/3600</f>
        <v>10188.702467411116</v>
      </c>
      <c r="EU85" s="183">
        <f>((($FV85-(SUM(Sheet3!B85:F85)/4000))*0.018)/(0.011*JS85))/3600</f>
        <v>10256.776428861413</v>
      </c>
      <c r="EV85" s="183">
        <f>((($FV85-(SUM(Sheet3!B85:G85)/4000))*0.018)/(0.011*JT85))/3600</f>
        <v>10346.088689002996</v>
      </c>
      <c r="EW85" s="183">
        <f>((($FV85-(SUM(Sheet3!B85:H85)/4000))*0.018)/(0.011*JU85))/3600</f>
        <v>10431.77245080122</v>
      </c>
      <c r="EX85" s="183">
        <f>((($FV85-(SUM(Sheet3!B85:I85)/4000))*0.018)/(0.011*JV85))/3600</f>
        <v>10525.404182625078</v>
      </c>
      <c r="EY85" s="186">
        <f t="shared" si="351"/>
        <v>77.825984118139743</v>
      </c>
      <c r="EZ85" s="183">
        <f t="shared" si="352"/>
        <v>77.887189942010764</v>
      </c>
      <c r="FA85" s="183">
        <f t="shared" si="353"/>
        <v>78.475864017348016</v>
      </c>
      <c r="FB85" s="183">
        <f t="shared" si="354"/>
        <v>78.993433038881705</v>
      </c>
      <c r="FC85" s="183">
        <f t="shared" si="355"/>
        <v>79.618456102260083</v>
      </c>
      <c r="FD85" s="183">
        <f t="shared" si="356"/>
        <v>80.002064709314794</v>
      </c>
      <c r="FE85" s="183">
        <f t="shared" si="357"/>
        <v>80.499969542259265</v>
      </c>
      <c r="FF85" s="183">
        <f t="shared" si="358"/>
        <v>80.98344510547679</v>
      </c>
      <c r="FG85" s="183">
        <f t="shared" si="359"/>
        <v>81.506246436417953</v>
      </c>
      <c r="FH85" s="186">
        <f t="shared" si="274"/>
        <v>151.61826190099646</v>
      </c>
      <c r="FI85" s="183">
        <f t="shared" si="275"/>
        <v>151.51421608875791</v>
      </c>
      <c r="FJ85" s="183">
        <f t="shared" si="276"/>
        <v>150.50984467490957</v>
      </c>
      <c r="FK85" s="183">
        <f t="shared" si="277"/>
        <v>149.6463141875499</v>
      </c>
      <c r="FL85" s="183">
        <f t="shared" si="278"/>
        <v>148.54649363858798</v>
      </c>
      <c r="FM85" s="183">
        <f t="shared" si="279"/>
        <v>147.92105983162091</v>
      </c>
      <c r="FN85" s="183">
        <f t="shared" si="280"/>
        <v>147.04346822607098</v>
      </c>
      <c r="FO85" s="183">
        <f t="shared" si="281"/>
        <v>146.27061696592799</v>
      </c>
      <c r="FP85" s="183">
        <f t="shared" si="282"/>
        <v>145.37119365655104</v>
      </c>
      <c r="FQ85" s="314">
        <f>Sheet3!CV85</f>
        <v>1</v>
      </c>
      <c r="FR85" s="183">
        <v>10000</v>
      </c>
      <c r="FS85" s="183">
        <v>10</v>
      </c>
      <c r="FT85" s="183">
        <v>9.4799999999999982E-2</v>
      </c>
      <c r="FU85" s="183">
        <v>12.1</v>
      </c>
      <c r="FV85" s="183">
        <v>477</v>
      </c>
      <c r="FW85" s="183">
        <v>47</v>
      </c>
      <c r="FX85" s="183">
        <v>489</v>
      </c>
      <c r="FY85" s="183">
        <v>6.65</v>
      </c>
      <c r="FZ85" s="183">
        <v>16.989999999999998</v>
      </c>
      <c r="GA85" s="183">
        <v>145</v>
      </c>
      <c r="GB85" s="186">
        <f>EXP($LP$6-($LQ$6/('Trial and Error method'!T85+$LP$8))) / ($LR$2/1000)</f>
        <v>0.25398290532926399</v>
      </c>
      <c r="GC85" s="183">
        <f>EXP($LP$6-($LQ$6/('Trial and Error method'!U85+$LP$8))) / ($LR$2/1000)</f>
        <v>8.0662324621069093E-2</v>
      </c>
      <c r="GD85" s="183">
        <f>EXP($LP$6-($LQ$6/('Trial and Error method'!V85+$LP$8))) / ($LR$2/1000)</f>
        <v>7.6051892849650679E-2</v>
      </c>
      <c r="GE85" s="183">
        <f>EXP($LP$6-($LQ$6/('Trial and Error method'!W85+$LP$8))) / ($LR$2/1000)</f>
        <v>7.2350845540685368E-2</v>
      </c>
      <c r="GF85" s="183">
        <f>EXP($LP$6-($LQ$6/('Trial and Error method'!X85+$LP$8))) / ($LR$2/1000)</f>
        <v>6.8562285973276349E-2</v>
      </c>
      <c r="GG85" s="183">
        <f>EXP($LP$6-($LQ$6/('Trial and Error method'!Y85+$LP$8))) / ($LR$2/1000)</f>
        <v>6.5938721787290586E-2</v>
      </c>
      <c r="GH85" s="183">
        <f>EXP($LP$6-($LQ$6/('Trial and Error method'!Z85+$LP$8))) / ($LR$2/1000)</f>
        <v>6.3101464396265974E-2</v>
      </c>
      <c r="GI85" s="183">
        <f>EXP($LP$6-($LQ$6/('Trial and Error method'!AA85+$LP$8))) / ($LR$2/1000)</f>
        <v>6.0735611761345919E-2</v>
      </c>
      <c r="GJ85" s="183">
        <f>EXP($LP$6-($LQ$6/('Trial and Error method'!AB85+$LP$8))) / ($LR$2/1000)</f>
        <v>5.0766933864231256E-2</v>
      </c>
      <c r="GK85" s="188">
        <f t="shared" si="411"/>
        <v>0.7971418836212576</v>
      </c>
      <c r="GL85" s="165">
        <f t="shared" si="360"/>
        <v>0.88449843654472193</v>
      </c>
      <c r="GM85" s="165">
        <f t="shared" si="361"/>
        <v>0.88675813597366304</v>
      </c>
      <c r="GN85" s="165">
        <f t="shared" si="362"/>
        <v>0.88855747880816305</v>
      </c>
      <c r="GO85" s="165">
        <f t="shared" si="363"/>
        <v>0.89049733185031998</v>
      </c>
      <c r="GP85" s="165">
        <f t="shared" si="364"/>
        <v>0.89176979903007825</v>
      </c>
      <c r="GQ85" s="165">
        <f t="shared" si="365"/>
        <v>0.89325222430269069</v>
      </c>
      <c r="GR85" s="165">
        <f t="shared" si="366"/>
        <v>0.89439764556420842</v>
      </c>
      <c r="GS85" s="165">
        <f t="shared" si="367"/>
        <v>0.89932211644116156</v>
      </c>
      <c r="GT85" s="188">
        <f t="shared" si="283"/>
        <v>0.1144797162777213</v>
      </c>
      <c r="GU85" s="165">
        <f t="shared" si="284"/>
        <v>0.10316377646390897</v>
      </c>
      <c r="GV85" s="165">
        <f t="shared" si="285"/>
        <v>0.10288457102621221</v>
      </c>
      <c r="GW85" s="165">
        <f t="shared" si="286"/>
        <v>0.10266747009874327</v>
      </c>
      <c r="GX85" s="165">
        <f t="shared" si="287"/>
        <v>0.10243097392764626</v>
      </c>
      <c r="GY85" s="165">
        <f t="shared" si="288"/>
        <v>0.10228469825679357</v>
      </c>
      <c r="GZ85" s="165">
        <f t="shared" si="289"/>
        <v>0.10210997955068556</v>
      </c>
      <c r="HA85" s="165">
        <f t="shared" si="290"/>
        <v>0.10198577306030632</v>
      </c>
      <c r="HB85" s="165">
        <f t="shared" si="291"/>
        <v>0.10141978302314773</v>
      </c>
      <c r="HC85" s="188">
        <f>BV85*Sheet3!DF85</f>
        <v>161.11320188469509</v>
      </c>
      <c r="HD85" s="165">
        <f>BW85*Sheet3!BZ85</f>
        <v>160.43690144944279</v>
      </c>
      <c r="HE85" s="165">
        <f>BX85*Sheet3!CA85</f>
        <v>153.98164986374391</v>
      </c>
      <c r="HF85" s="165">
        <f>BY85*Sheet3!CB85</f>
        <v>148.46632262176422</v>
      </c>
      <c r="HG85" s="165">
        <f>BZ85*Sheet3!CC85</f>
        <v>141.71647257342022</v>
      </c>
      <c r="HH85" s="165">
        <f>CA85*Sheet3!CD85</f>
        <v>137.80578065734105</v>
      </c>
      <c r="HI85" s="165">
        <f>CB85*Sheet3!CE85</f>
        <v>132.56497772165599</v>
      </c>
      <c r="HJ85" s="165">
        <f>CC85*Sheet3!CF85</f>
        <v>127.81956184799571</v>
      </c>
      <c r="HK85" s="165">
        <f>CD85*Sheet3!CG85</f>
        <v>122.54080958776146</v>
      </c>
      <c r="HL85" s="188">
        <f>(CE85*Sheet3!DF85)+2501</f>
        <v>2777.9002721684374</v>
      </c>
      <c r="HM85" s="165">
        <f>(CF85*Sheet3!BZ85)+2501</f>
        <v>2776.7275553930617</v>
      </c>
      <c r="HN85" s="165">
        <f>(CG85*Sheet3!CA85)+2501</f>
        <v>2765.5551064090528</v>
      </c>
      <c r="HO85" s="165">
        <f>(CH85*Sheet3!CB85)+2501</f>
        <v>2756.0069471393194</v>
      </c>
      <c r="HP85" s="165">
        <f>(CI85*Sheet3!CC85)+2501</f>
        <v>2744.4196825714489</v>
      </c>
      <c r="HQ85" s="165">
        <f>(CJ85*Sheet3!CD85)+2501</f>
        <v>2737.6600441442097</v>
      </c>
      <c r="HR85" s="165">
        <f>(CK85*Sheet3!CE85)+2501</f>
        <v>2728.6937149138021</v>
      </c>
      <c r="HS85" s="165">
        <f>(CL85*Sheet3!CF85)+2501</f>
        <v>2720.5005302911036</v>
      </c>
      <c r="HT85" s="165">
        <f>(CM85*Sheet3!CG85)+2501</f>
        <v>2711.4727238008563</v>
      </c>
      <c r="HU85" s="188">
        <f>-0.0021*(Sheet3!DF85^2) - 2.2115*(Sheet3!DF85) + 2499</f>
        <v>2134.1799999999998</v>
      </c>
      <c r="HV85" s="165">
        <f>-0.0021*(Sheet3!BZ85^2) - 2.2115*(Sheet3!BZ85) + 2499</f>
        <v>2135.8488231796041</v>
      </c>
      <c r="HW85" s="165">
        <f>-0.0021*(Sheet3!CA85^2) - 2.2115*(Sheet3!CA85) + 2499</f>
        <v>2151.7034301961949</v>
      </c>
      <c r="HX85" s="165">
        <f>-0.0021*(Sheet3!CB85^2) - 2.2115*(Sheet3!CB85) + 2499</f>
        <v>2165.1887990893297</v>
      </c>
      <c r="HY85" s="165">
        <f>-0.0021*(Sheet3!CC85^2) - 2.2115*(Sheet3!CC85) + 2499</f>
        <v>2181.4730934310528</v>
      </c>
      <c r="HZ85" s="165">
        <f>-0.0021*(Sheet3!CD85^2) - 2.2115*(Sheet3!CD85) + 2499</f>
        <v>2190.93112318674</v>
      </c>
      <c r="IA85" s="165">
        <f>-0.0021*(Sheet3!CE85^2) - 2.2115*(Sheet3!CE85) + 2499</f>
        <v>2203.4285296085623</v>
      </c>
      <c r="IB85" s="165">
        <f>-0.0021*(Sheet3!CF85^2) - 2.2115*(Sheet3!CF85) + 2499</f>
        <v>2214.7995343922785</v>
      </c>
      <c r="IC85" s="165">
        <f>-0.0021*(Sheet3!CG85^2) - 2.2115*(Sheet3!CG85) + 2499</f>
        <v>2227.2740407496503</v>
      </c>
      <c r="ID85" s="188">
        <f t="shared" si="292"/>
        <v>0.69611330313374353</v>
      </c>
      <c r="IE85" s="165">
        <f t="shared" si="293"/>
        <v>0.69629028311812557</v>
      </c>
      <c r="IF85" s="165">
        <f t="shared" si="294"/>
        <v>0.69799801528848016</v>
      </c>
      <c r="IG85" s="165">
        <f t="shared" si="295"/>
        <v>0.69954557206199786</v>
      </c>
      <c r="IH85" s="165">
        <f t="shared" si="296"/>
        <v>0.70134356169707845</v>
      </c>
      <c r="II85" s="165">
        <f t="shared" si="297"/>
        <v>0.70253546557999913</v>
      </c>
      <c r="IJ85" s="165">
        <f t="shared" si="298"/>
        <v>0.70398554837336769</v>
      </c>
      <c r="IK85" s="165">
        <f t="shared" si="299"/>
        <v>0.70553587988729438</v>
      </c>
      <c r="IL85" s="165">
        <f t="shared" si="300"/>
        <v>0.70711625924930877</v>
      </c>
      <c r="IM85" s="188">
        <f t="shared" si="301"/>
        <v>-25.539682956548372</v>
      </c>
      <c r="IN85" s="165">
        <f t="shared" si="368"/>
        <v>15.156676526815605</v>
      </c>
      <c r="IO85" s="165">
        <f t="shared" si="369"/>
        <v>16.242068403702639</v>
      </c>
      <c r="IP85" s="165">
        <f t="shared" si="370"/>
        <v>17.132096752930622</v>
      </c>
      <c r="IQ85" s="165">
        <f t="shared" si="371"/>
        <v>18.024215843490477</v>
      </c>
      <c r="IR85" s="165">
        <f t="shared" si="372"/>
        <v>18.664448399918705</v>
      </c>
      <c r="IS85" s="165">
        <f t="shared" si="373"/>
        <v>19.330318911967581</v>
      </c>
      <c r="IT85" s="165">
        <f t="shared" si="374"/>
        <v>19.940834317563741</v>
      </c>
      <c r="IU85" s="165">
        <f t="shared" si="375"/>
        <v>22.146426122203664</v>
      </c>
      <c r="IV85" s="188">
        <f>_xlfn.FORECAST.LINEAR(Sheet3!DF85,Sheet2!$AK$2:$AK$69,Sheet2!$AJ$2:$AJ$69)</f>
        <v>1.386217343669711E-5</v>
      </c>
      <c r="IW85" s="165">
        <f>_xlfn.FORECAST.LINEAR(Sheet3!BZ85,Sheet2!$AK$2:$AK$69,Sheet2!$AJ$2:$AJ$69)</f>
        <v>1.3841448345401317E-5</v>
      </c>
      <c r="IX85" s="165">
        <f>_xlfn.FORECAST.LINEAR(Sheet3!CA85,Sheet2!$AK$2:$AK$69,Sheet2!$AJ$2:$AJ$69)</f>
        <v>1.3643630464229195E-5</v>
      </c>
      <c r="IY85" s="165">
        <f>_xlfn.FORECAST.LINEAR(Sheet3!CB85,Sheet2!$AK$2:$AK$69,Sheet2!$AJ$2:$AJ$69)</f>
        <v>1.3474041782409133E-5</v>
      </c>
      <c r="IZ85" s="165">
        <f>_xlfn.FORECAST.LINEAR(Sheet3!CC85,Sheet2!$AK$2:$AK$69,Sheet2!$AJ$2:$AJ$69)</f>
        <v>1.3267581905542791E-5</v>
      </c>
      <c r="JA85" s="165">
        <f>_xlfn.FORECAST.LINEAR(Sheet3!CD85,Sheet2!$AK$2:$AK$69,Sheet2!$AJ$2:$AJ$69)</f>
        <v>1.3146810243664292E-5</v>
      </c>
      <c r="JB85" s="165">
        <f>_xlfn.FORECAST.LINEAR(Sheet3!CE85,Sheet2!$AK$2:$AK$69,Sheet2!$AJ$2:$AJ$69)</f>
        <v>1.2986239919401804E-5</v>
      </c>
      <c r="JC85" s="165">
        <f>_xlfn.FORECAST.LINEAR(Sheet3!CF85,Sheet2!$AK$2:$AK$69,Sheet2!$AJ$2:$AJ$69)</f>
        <v>1.2839145849074287E-5</v>
      </c>
      <c r="JD85" s="165">
        <f>_xlfn.FORECAST.LINEAR(Sheet3!CG85,Sheet2!$AK$2:$AK$69,Sheet2!$AJ$2:$AJ$69)</f>
        <v>1.2676662316469168E-5</v>
      </c>
      <c r="JE85" s="188">
        <f>_xlfn.FORECAST.LINEAR(Sheet3!DF85,New!$MC$2:$MC$18,New!$MB$2:$MB$18)</f>
        <v>2.337798370672098E-5</v>
      </c>
      <c r="JF85" s="165">
        <f>_xlfn.FORECAST.LINEAR(Sheet3!BZ85,New!$MC$2:$MC$18,New!$MB$2:$MB$18)</f>
        <v>2.3353620861666974E-5</v>
      </c>
      <c r="JG85" s="165">
        <f>_xlfn.FORECAST.LINEAR(Sheet3!CA85,New!$MC$2:$MC$18,New!$MB$2:$MB$18)</f>
        <v>2.312108116767362E-5</v>
      </c>
      <c r="JH85" s="165">
        <f>_xlfn.FORECAST.LINEAR(Sheet3!CB85,New!$MC$2:$MC$18,New!$MB$2:$MB$18)</f>
        <v>2.2921725578878992E-5</v>
      </c>
      <c r="JI85" s="165">
        <f>_xlfn.FORECAST.LINEAR(Sheet3!CC85,New!$MC$2:$MC$18,New!$MB$2:$MB$18)</f>
        <v>2.2679027010357619E-5</v>
      </c>
      <c r="JJ85" s="165">
        <f>_xlfn.FORECAST.LINEAR(Sheet3!CD85,New!$MC$2:$MC$18,New!$MB$2:$MB$18)</f>
        <v>2.2537057006787218E-5</v>
      </c>
      <c r="JK85" s="165">
        <f>_xlfn.FORECAST.LINEAR(Sheet3!CE85,New!$MC$2:$MC$18,New!$MB$2:$MB$18)</f>
        <v>2.2348302714975127E-5</v>
      </c>
      <c r="JL85" s="165">
        <f>_xlfn.FORECAST.LINEAR(Sheet3!CF85,New!$MC$2:$MC$18,New!$MB$2:$MB$18)</f>
        <v>2.2175390084936206E-5</v>
      </c>
      <c r="JM85" s="165">
        <f>_xlfn.FORECAST.LINEAR(Sheet3!CG85,New!$MC$2:$MC$18,New!$MB$2:$MB$18)</f>
        <v>2.1984386770538765E-5</v>
      </c>
      <c r="JN85" s="188">
        <f t="shared" si="376"/>
        <v>2.1969299260376099E-5</v>
      </c>
      <c r="JO85" s="165">
        <f t="shared" si="377"/>
        <v>2.194508986437812E-5</v>
      </c>
      <c r="JP85" s="165">
        <f t="shared" si="378"/>
        <v>2.1714253510486538E-5</v>
      </c>
      <c r="JQ85" s="165">
        <f t="shared" si="379"/>
        <v>2.1516070467573571E-5</v>
      </c>
      <c r="JR85" s="165">
        <f t="shared" si="380"/>
        <v>2.1276562827818128E-5</v>
      </c>
      <c r="JS85" s="165">
        <f t="shared" si="381"/>
        <v>2.1135350827363471E-5</v>
      </c>
      <c r="JT85" s="165">
        <f t="shared" si="382"/>
        <v>2.0949517706357973E-5</v>
      </c>
      <c r="JU85" s="165">
        <f t="shared" si="383"/>
        <v>2.0777444025360325E-5</v>
      </c>
      <c r="JV85" s="165">
        <f t="shared" si="384"/>
        <v>2.0589276267717266E-5</v>
      </c>
      <c r="JW85" s="188">
        <f t="shared" si="302"/>
        <v>1.0152024173422087</v>
      </c>
      <c r="JX85" s="165">
        <f t="shared" si="385"/>
        <v>1.0154490633745987</v>
      </c>
      <c r="JY85" s="165">
        <f t="shared" si="386"/>
        <v>1.0178396279764312</v>
      </c>
      <c r="JZ85" s="165">
        <f t="shared" si="387"/>
        <v>1.0199429256522123</v>
      </c>
      <c r="KA85" s="165">
        <f t="shared" si="388"/>
        <v>1.0225734529318393</v>
      </c>
      <c r="KB85" s="165">
        <f t="shared" si="389"/>
        <v>1.0241491212795719</v>
      </c>
      <c r="KC85" s="165">
        <f t="shared" si="390"/>
        <v>1.0262877474608465</v>
      </c>
      <c r="KD85" s="165">
        <f t="shared" si="391"/>
        <v>1.0282920938794455</v>
      </c>
      <c r="KE85" s="165">
        <f t="shared" si="392"/>
        <v>1.0305581945749893</v>
      </c>
      <c r="KF85" s="188">
        <f t="shared" si="393"/>
        <v>0.9677010468805306</v>
      </c>
      <c r="KG85" s="165">
        <f t="shared" si="394"/>
        <v>0.96749726376950751</v>
      </c>
      <c r="KH85" s="165">
        <f t="shared" si="395"/>
        <v>0.96552929741105742</v>
      </c>
      <c r="KI85" s="165">
        <f t="shared" si="396"/>
        <v>0.96380847765196598</v>
      </c>
      <c r="KJ85" s="165">
        <f t="shared" si="397"/>
        <v>0.96167021226575689</v>
      </c>
      <c r="KK85" s="165">
        <f t="shared" si="398"/>
        <v>0.96039674414012555</v>
      </c>
      <c r="KL85" s="165">
        <f t="shared" si="399"/>
        <v>0.95867700815604651</v>
      </c>
      <c r="KM85" s="165">
        <f t="shared" si="400"/>
        <v>0.95707429448940562</v>
      </c>
      <c r="KN85" s="165">
        <f t="shared" si="401"/>
        <v>0.9552727245665017</v>
      </c>
      <c r="KO85" s="188">
        <f t="shared" si="304"/>
        <v>0.624481846884826</v>
      </c>
      <c r="KP85" s="165">
        <f t="shared" si="305"/>
        <v>0.62419212472779428</v>
      </c>
      <c r="KQ85" s="165">
        <f t="shared" si="306"/>
        <v>0.62073477633445007</v>
      </c>
      <c r="KR85" s="165">
        <f t="shared" si="307"/>
        <v>0.61771783282719861</v>
      </c>
      <c r="KS85" s="165">
        <f t="shared" si="308"/>
        <v>0.61398299721132732</v>
      </c>
      <c r="KT85" s="165">
        <f t="shared" si="309"/>
        <v>0.61176062528491371</v>
      </c>
      <c r="KU85" s="165">
        <f t="shared" si="310"/>
        <v>0.60877121390750788</v>
      </c>
      <c r="KV85" s="165">
        <f t="shared" si="311"/>
        <v>0.60598580035973326</v>
      </c>
      <c r="KW85" s="165">
        <f t="shared" si="312"/>
        <v>0.60296267510007118</v>
      </c>
      <c r="KX85" s="188">
        <f>AVERAGE(Sheet3!J85:P85)*KO85^(1/3)/ID85^(1/3)</f>
        <v>101.99996920884803</v>
      </c>
      <c r="KY85" s="165">
        <f>Sheet3!J85*KP85^(1/3)/IE85^(1/3)</f>
        <v>92.375787528629431</v>
      </c>
      <c r="KZ85" s="165">
        <f>Sheet3!K85*KQ85^(1/3)/IF85^(1/3)</f>
        <v>88.14053194410657</v>
      </c>
      <c r="LA85" s="165">
        <f>Sheet3!L85*KR85^(1/3)/IG85^(1/3)</f>
        <v>89.244399230960184</v>
      </c>
      <c r="LB85" s="165">
        <f>Sheet3!M85*KS85^(1/3)/IH85^(1/3)</f>
        <v>93.696155195632201</v>
      </c>
      <c r="LC85" s="165">
        <f>Sheet3!N85*KT85^(1/3)/II85^(1/3)</f>
        <v>102.04602560908629</v>
      </c>
      <c r="LD85" s="165">
        <f>Sheet3!O85*KU85^(1/3)/IJ85^(1/3)</f>
        <v>114.10801477011285</v>
      </c>
      <c r="LE85" s="165">
        <f>Sheet3!P85*KV85^(1/3)/IK85^(1/3)</f>
        <v>128.57085780265049</v>
      </c>
      <c r="LF85" s="165">
        <f>Sheet3!Q85*KW85^(1/3)/IL85^(1/3)</f>
        <v>142.63748031304561</v>
      </c>
      <c r="LG85" s="186">
        <f t="shared" si="402"/>
        <v>27.324277364873399</v>
      </c>
      <c r="LH85" s="183">
        <f t="shared" si="403"/>
        <v>27.324277364873399</v>
      </c>
      <c r="LI85" s="183">
        <f t="shared" si="404"/>
        <v>27.337232677172324</v>
      </c>
      <c r="LJ85" s="183">
        <f t="shared" si="405"/>
        <v>27.337232677172324</v>
      </c>
      <c r="LK85" s="183">
        <f t="shared" si="406"/>
        <v>27.424383899141699</v>
      </c>
      <c r="LL85" s="183">
        <f t="shared" si="407"/>
        <v>27.424383899141699</v>
      </c>
      <c r="LM85" s="183">
        <f t="shared" si="408"/>
        <v>27.518326516502373</v>
      </c>
      <c r="LN85" s="183">
        <f t="shared" si="409"/>
        <v>27.518326516502373</v>
      </c>
      <c r="LO85" s="183">
        <f t="shared" si="410"/>
        <v>27.613350866363447</v>
      </c>
      <c r="LT85" s="165"/>
      <c r="MF85" s="165"/>
      <c r="MJ85"/>
      <c r="MK85"/>
      <c r="ML85"/>
      <c r="MM85"/>
      <c r="MN85"/>
      <c r="MO85"/>
      <c r="MP85"/>
      <c r="MQ85"/>
      <c r="MR85"/>
    </row>
    <row r="86" spans="1:356" x14ac:dyDescent="0.3">
      <c r="A86" s="184" t="str">
        <f>Sheet3!A86</f>
        <v>2023.02.15-1</v>
      </c>
      <c r="B86" s="186">
        <f t="shared" si="313"/>
        <v>0.96542282726392115</v>
      </c>
      <c r="C86" s="183">
        <f t="shared" si="257"/>
        <v>0.96503434415258449</v>
      </c>
      <c r="D86" s="183">
        <f t="shared" si="258"/>
        <v>0.95688441435374583</v>
      </c>
      <c r="E86" s="183">
        <f t="shared" si="259"/>
        <v>0.94935301723721732</v>
      </c>
      <c r="F86" s="183">
        <f t="shared" si="260"/>
        <v>0.9395810731038251</v>
      </c>
      <c r="G86" s="183">
        <f t="shared" si="261"/>
        <v>0.93416989169000353</v>
      </c>
      <c r="H86" s="183">
        <f t="shared" si="262"/>
        <v>0.92652867246830195</v>
      </c>
      <c r="I86" s="183">
        <f t="shared" si="263"/>
        <v>0.91990504431916109</v>
      </c>
      <c r="J86" s="183">
        <f t="shared" si="264"/>
        <v>0.91234461618589224</v>
      </c>
      <c r="K86" s="186">
        <f xml:space="preserve"> (6.057 * (10^(-6)))
+ (4.055 * (10^(-8)) * (Sheet3!DF86 + 273))
+ (1.25 * (10^(-10)) * (Sheet3!DF86 + 273)^2)
- (3.367 * (10^(-14)) * (DD86 + 273)^3)</f>
        <v>5.3313124334119541E-5</v>
      </c>
      <c r="L86" s="183">
        <f xml:space="preserve"> (6.057 * (10^(-6)))
+ (4.055 * (10^(-8)) * (Sheet3!BZ86 + 273))
+ (1.25 * (10^(-10)) * (Sheet3!BZ86 + 273)^2)
- (3.367 * (10^(-14)) * (BX86 + 273)^3)</f>
        <v>5.3227417051618606E-5</v>
      </c>
      <c r="M86" s="183">
        <f xml:space="preserve"> (6.057 * (10^(-6)))
+ (4.055 * (10^(-8)) * (Sheet3!CA86 + 273))
+ (1.25 * (10^(-10)) * (Sheet3!CA86 + 273)^2)
- (3.367 * (10^(-14)) * (BY86 + 273)^3)</f>
        <v>5.1955103897639142E-5</v>
      </c>
      <c r="N86" s="183">
        <f xml:space="preserve"> (6.057 * (10^(-6)))
+ (4.055 * (10^(-8)) * (Sheet3!CB86 + 273))
+ (1.25 * (10^(-10)) * (Sheet3!CB86 + 273)^2)
- (3.367 * (10^(-14)) * (BZ86 + 273)^3)</f>
        <v>5.0837375952535055E-5</v>
      </c>
      <c r="O86" s="183">
        <f xml:space="preserve"> (6.057 * (10^(-6)))
+ (4.055 * (10^(-8)) * (Sheet3!CC86 + 273))
+ (1.25 * (10^(-10)) * (Sheet3!CC86 + 273)^2)
- (3.367 * (10^(-14)) * (CA86 + 273)^3)</f>
        <v>4.9430401482688911E-5</v>
      </c>
      <c r="P86" s="183">
        <f xml:space="preserve"> (6.057 * (10^(-6)))
+ (4.055 * (10^(-8)) * (Sheet3!CD86 + 273))
+ (1.25 * (10^(-10)) * (Sheet3!CD86 + 273)^2)
- (3.367 * (10^(-14)) * (CB86 + 273)^3)</f>
        <v>4.8689896416557148E-5</v>
      </c>
      <c r="Q86" s="183">
        <f xml:space="preserve"> (6.057 * (10^(-6)))
+ (4.055 * (10^(-8)) * (Sheet3!CE86 + 273))
+ (1.25 * (10^(-10)) * (Sheet3!CE86 + 273)^2)
- (3.367 * (10^(-14)) * (CC86 + 273)^3)</f>
        <v>4.7655741933678974E-5</v>
      </c>
      <c r="R86" s="183">
        <f xml:space="preserve"> (6.057 * (10^(-6)))
+ (4.055 * (10^(-8)) * (Sheet3!CF86 + 273))
+ (1.25 * (10^(-10)) * (Sheet3!CF86 + 273)^2)
- (3.367 * (10^(-14)) * (CD86 + 273)^3)</f>
        <v>4.6806819708707641E-5</v>
      </c>
      <c r="S86" s="183">
        <f xml:space="preserve"> (6.057 * (10^(-6)))
+ (4.055 * (10^(-8)) * (Sheet3!CG86 + 273))
+ (1.25 * (10^(-10)) * (Sheet3!CG86 + 273)^2)
- (3.367 * (10^(-14)) * (CE86 + 273)^3)</f>
        <v>4.5824165574632469E-5</v>
      </c>
      <c r="T86" s="188">
        <f t="shared" si="314"/>
        <v>5.3313124334119541E-5</v>
      </c>
      <c r="U86" s="165">
        <f t="shared" si="315"/>
        <v>5.3227417051618606E-5</v>
      </c>
      <c r="V86" s="165">
        <f t="shared" si="316"/>
        <v>5.1955103897639142E-5</v>
      </c>
      <c r="W86" s="165">
        <f t="shared" si="317"/>
        <v>5.0837375952535055E-5</v>
      </c>
      <c r="X86" s="165">
        <f t="shared" si="318"/>
        <v>4.9430401482688911E-5</v>
      </c>
      <c r="Y86" s="165">
        <f t="shared" si="319"/>
        <v>4.8689896416557148E-5</v>
      </c>
      <c r="Z86" s="165">
        <f t="shared" si="320"/>
        <v>4.7655741933678974E-5</v>
      </c>
      <c r="AA86" s="165">
        <f t="shared" si="321"/>
        <v>4.6806819708707641E-5</v>
      </c>
      <c r="AB86" s="165">
        <f t="shared" si="322"/>
        <v>4.5824165574632469E-5</v>
      </c>
      <c r="AC86" s="186">
        <f t="shared" si="265"/>
        <v>5.1469707224918641E-5</v>
      </c>
      <c r="AD86" s="183">
        <f t="shared" si="266"/>
        <v>5.1366285505344853E-5</v>
      </c>
      <c r="AE86" s="183">
        <f t="shared" si="267"/>
        <v>4.9715029165780448E-5</v>
      </c>
      <c r="AF86" s="183">
        <f t="shared" si="268"/>
        <v>4.8262616248961907E-5</v>
      </c>
      <c r="AG86" s="183">
        <f t="shared" si="269"/>
        <v>4.6443869669057752E-5</v>
      </c>
      <c r="AH86" s="183">
        <f t="shared" si="270"/>
        <v>4.5484635261852684E-5</v>
      </c>
      <c r="AI86" s="183">
        <f t="shared" si="271"/>
        <v>4.415441130930357E-5</v>
      </c>
      <c r="AJ86" s="183">
        <f t="shared" si="272"/>
        <v>4.3057829558577685E-5</v>
      </c>
      <c r="AK86" s="183">
        <f t="shared" si="273"/>
        <v>4.1807430753226838E-5</v>
      </c>
      <c r="AL86" s="186">
        <f t="shared" si="323"/>
        <v>4.0341848220910206E-2</v>
      </c>
      <c r="AM86" s="183">
        <f t="shared" si="324"/>
        <v>4.0298652116595626E-2</v>
      </c>
      <c r="AN86" s="183">
        <f t="shared" si="325"/>
        <v>3.9599994765126593E-2</v>
      </c>
      <c r="AO86" s="183">
        <f t="shared" si="326"/>
        <v>3.8979635055674075E-2</v>
      </c>
      <c r="AP86" s="183">
        <f t="shared" si="327"/>
        <v>3.8185605753715428E-2</v>
      </c>
      <c r="AQ86" s="183">
        <f t="shared" si="328"/>
        <v>3.7763622907458244E-2</v>
      </c>
      <c r="AR86" s="183">
        <f t="shared" si="329"/>
        <v>3.7166153206389038E-2</v>
      </c>
      <c r="AS86" s="183">
        <f t="shared" si="330"/>
        <v>3.6671821767710458E-2</v>
      </c>
      <c r="AT86" s="183">
        <f t="shared" si="331"/>
        <v>3.6095016139006772E-2</v>
      </c>
      <c r="AU86" s="186">
        <f>_xlfn.FORECAST.LINEAR(Sheet3!DF86,Sheet2!$AH$2:$AH$40,Sheet2!$AG$2:$AG$40)</f>
        <v>5.615110757455756E-2</v>
      </c>
      <c r="AV86" s="183">
        <f>_xlfn.FORECAST.LINEAR(Sheet3!BZ86,Sheet2!$AH$2:$AH$40,Sheet2!$AG$2:$AG$40)</f>
        <v>5.6024950776828709E-2</v>
      </c>
      <c r="AW86" s="183">
        <f>_xlfn.FORECAST.LINEAR(Sheet3!CA86,Sheet2!$AH$2:$AH$40,Sheet2!$AG$2:$AG$40)</f>
        <v>5.399031377533775E-2</v>
      </c>
      <c r="AX86" s="183">
        <f>_xlfn.FORECAST.LINEAR(Sheet3!CB86,Sheet2!$AH$2:$AH$40,Sheet2!$AG$2:$AG$40)</f>
        <v>5.2181354917225926E-2</v>
      </c>
      <c r="AY86" s="183">
        <f>_xlfn.FORECAST.LINEAR(Sheet3!CC86,Sheet2!$AH$2:$AH$40,Sheet2!$AG$2:$AG$40)</f>
        <v>4.987455793402721E-2</v>
      </c>
      <c r="AZ86" s="183">
        <f>_xlfn.FORECAST.LINEAR(Sheet3!CD86,Sheet2!$AH$2:$AH$40,Sheet2!$AG$2:$AG$40)</f>
        <v>4.8646680132182776E-2</v>
      </c>
      <c r="BA86" s="183">
        <f>_xlfn.FORECAST.LINEAR(Sheet3!CE86,Sheet2!$AH$2:$AH$40,Sheet2!$AG$2:$AG$40)</f>
        <v>4.6915461224750411E-2</v>
      </c>
      <c r="BB86" s="183">
        <f>_xlfn.FORECAST.LINEAR(Sheet3!CF86,Sheet2!$AH$2:$AH$40,Sheet2!$AG$2:$AG$40)</f>
        <v>4.5479586124015974E-2</v>
      </c>
      <c r="BC86" s="183">
        <f>_xlfn.FORECAST.LINEAR(Sheet3!CG86,Sheet2!$AH$2:$AH$40,Sheet2!$AG$2:$AG$40)</f>
        <v>4.381123458435323E-2</v>
      </c>
      <c r="BD86" s="186">
        <f>_xlfn.FORECAST.LINEAR(Sheet3!DF86,Sheet2!$AB$12:$AB$37,Sheet2!$AA$12:$AA$37)/1000</f>
        <v>3.7324862686859299E-2</v>
      </c>
      <c r="BE86" s="183">
        <f>_xlfn.FORECAST.LINEAR(Sheet3!BZ86,Sheet2!$AB$12:$AB$37,Sheet2!$AA$12:$AA$37)/1000</f>
        <v>3.7296656946979166E-2</v>
      </c>
      <c r="BF86" s="183">
        <f>_xlfn.FORECAST.LINEAR(Sheet3!CA86,Sheet2!$AB$12:$AB$37,Sheet2!$AA$12:$AA$37)/1000</f>
        <v>3.6841759208231288E-2</v>
      </c>
      <c r="BG86" s="183">
        <f>_xlfn.FORECAST.LINEAR(Sheet3!CB86,Sheet2!$AB$12:$AB$37,Sheet2!$AA$12:$AA$37)/1000</f>
        <v>3.6437317878677156E-2</v>
      </c>
      <c r="BH86" s="183">
        <f>_xlfn.FORECAST.LINEAR(Sheet3!CC86,Sheet2!$AB$12:$AB$37,Sheet2!$AA$12:$AA$37)/1000</f>
        <v>3.5921571467578475E-2</v>
      </c>
      <c r="BI86" s="183">
        <f>_xlfn.FORECAST.LINEAR(Sheet3!CD86,Sheet2!$AB$12:$AB$37,Sheet2!$AA$12:$AA$37)/1000</f>
        <v>3.564704641219589E-2</v>
      </c>
      <c r="BJ86" s="183">
        <f>_xlfn.FORECAST.LINEAR(Sheet3!CE86,Sheet2!$AB$12:$AB$37,Sheet2!$AA$12:$AA$37)/1000</f>
        <v>3.5259985936203629E-2</v>
      </c>
      <c r="BK86" s="183">
        <f>_xlfn.FORECAST.LINEAR(Sheet3!CF86,Sheet2!$AB$12:$AB$37,Sheet2!$AA$12:$AA$37)/1000</f>
        <v>3.4938957499204858E-2</v>
      </c>
      <c r="BL86" s="183">
        <f>_xlfn.FORECAST.LINEAR(Sheet3!CG86,Sheet2!$AB$12:$AB$37,Sheet2!$AA$12:$AA$37)/1000</f>
        <v>3.45659527114845E-2</v>
      </c>
      <c r="BM86" s="186">
        <f t="shared" si="332"/>
        <v>0.69562866357545727</v>
      </c>
      <c r="BN86" s="183">
        <f t="shared" si="333"/>
        <v>0.69635181622137499</v>
      </c>
      <c r="BO86" s="183">
        <f t="shared" si="334"/>
        <v>0.70825077539295123</v>
      </c>
      <c r="BP86" s="183">
        <f t="shared" si="335"/>
        <v>0.71915350510743914</v>
      </c>
      <c r="BQ86" s="183">
        <f t="shared" si="336"/>
        <v>0.73359216851874398</v>
      </c>
      <c r="BR86" s="183">
        <f t="shared" si="337"/>
        <v>0.74149518962992667</v>
      </c>
      <c r="BS86" s="183">
        <f t="shared" si="338"/>
        <v>0.75297841575981728</v>
      </c>
      <c r="BT86" s="183">
        <f t="shared" si="339"/>
        <v>0.76273552460603167</v>
      </c>
      <c r="BU86" s="183">
        <f t="shared" si="340"/>
        <v>0.77445112846619768</v>
      </c>
      <c r="BV86" s="186">
        <f t="shared" si="341"/>
        <v>1.1267475549132366</v>
      </c>
      <c r="BW86" s="183">
        <f t="shared" si="342"/>
        <v>1.1266360571089089</v>
      </c>
      <c r="BX86" s="183">
        <f t="shared" si="343"/>
        <v>1.1246577267161377</v>
      </c>
      <c r="BY86" s="183">
        <f t="shared" si="344"/>
        <v>1.1230660698844843</v>
      </c>
      <c r="BZ86" s="183">
        <f t="shared" si="345"/>
        <v>1.1207702653152449</v>
      </c>
      <c r="CA86" s="183">
        <f t="shared" si="346"/>
        <v>1.1196972146749342</v>
      </c>
      <c r="CB86" s="183">
        <f t="shared" si="347"/>
        <v>1.1178691902355953</v>
      </c>
      <c r="CC86" s="183">
        <f t="shared" si="348"/>
        <v>1.1166225051462764</v>
      </c>
      <c r="CD86" s="183">
        <f t="shared" si="349"/>
        <v>1.1148071470208012</v>
      </c>
      <c r="CE86" s="187">
        <f xml:space="preserve"> -0.0000000019505*Sheet3!DF86^3 + 0.0000015497*Sheet3!DF86^2  + 0.00016911*Sheet3!DF86 + 1.8585</f>
        <v>1.9414898911875</v>
      </c>
      <c r="CF86" s="185">
        <f xml:space="preserve"> -0.0000000019505*Sheet3!BZ86^3 + 0.0000015497*Sheet3!BZ86^2  + 0.00016911*Sheet3!BZ86 + 1.8585</f>
        <v>1.9412127013941292</v>
      </c>
      <c r="CG86" s="185">
        <f xml:space="preserve"> -0.0000000019505*Sheet3!CA86^3 + 0.0000015497*Sheet3!CA86^2  + 0.00016911*Sheet3!CA86 + 1.8585</f>
        <v>1.9367672558670384</v>
      </c>
      <c r="CH86" s="185">
        <f xml:space="preserve"> -0.0000000019505*Sheet3!CB86^3 + 0.0000015497*Sheet3!CB86^2  + 0.00016911*Sheet3!CB86 + 1.8585</f>
        <v>1.9328577518720833</v>
      </c>
      <c r="CI86" s="185">
        <f xml:space="preserve"> -0.0000000019505*Sheet3!CC86^3 + 0.0000015497*Sheet3!CC86^2  + 0.00016911*Sheet3!CC86 + 1.8585</f>
        <v>1.9279377903218671</v>
      </c>
      <c r="CJ86" s="185">
        <f xml:space="preserve"> -0.0000000019505*Sheet3!CD86^3 + 0.0000015497*Sheet3!CD86^2  + 0.00016911*Sheet3!CD86 + 1.8585</f>
        <v>1.9253516415865781</v>
      </c>
      <c r="CK86" s="185">
        <f xml:space="preserve"> -0.0000000019505*Sheet3!CE86^3 + 0.0000015497*Sheet3!CE86^2  + 0.00016911*Sheet3!CE86 + 1.8585</f>
        <v>1.9217471404987143</v>
      </c>
      <c r="CL86" s="185">
        <f xml:space="preserve"> -0.0000000019505*Sheet3!CF86^3 + 0.0000015497*Sheet3!CF86^2  + 0.00016911*Sheet3!CF86 + 1.8585</f>
        <v>1.9187970272474173</v>
      </c>
      <c r="CM86" s="185">
        <f xml:space="preserve"> -0.0000000019505*Sheet3!CG86^3 + 0.0000015497*Sheet3!CG86^2  + 0.00016911*Sheet3!CG86 + 1.8585</f>
        <v>1.9154171930300505</v>
      </c>
      <c r="CN86" s="186">
        <f>_xlfn.FORECAST.LINEAR(Sheet3!DF86,New!$LU$2:$LU$14,New!$LT$2:$LT$14)</f>
        <v>1.0350674194089138</v>
      </c>
      <c r="CO86" s="183">
        <f>_xlfn.FORECAST.LINEAR(Sheet3!BZ86,New!$LU$2:$LU$14,New!$LT$2:$LT$14)</f>
        <v>1.0349745663506993</v>
      </c>
      <c r="CP86" s="183">
        <f>_xlfn.FORECAST.LINEAR(Sheet3!CA86,New!$LU$2:$LU$14,New!$LT$2:$LT$14)</f>
        <v>1.0334770468246317</v>
      </c>
      <c r="CQ86" s="183">
        <f>_xlfn.FORECAST.LINEAR(Sheet3!CB86,New!$LU$2:$LU$14,New!$LT$2:$LT$14)</f>
        <v>1.0321456293728257</v>
      </c>
      <c r="CR86" s="183">
        <f>_xlfn.FORECAST.LINEAR(Sheet3!CC86,New!$LU$2:$LU$14,New!$LT$2:$LT$14)</f>
        <v>1.0304477965296786</v>
      </c>
      <c r="CS86" s="183">
        <f>_xlfn.FORECAST.LINEAR(Sheet3!CD86,New!$LU$2:$LU$14,New!$LT$2:$LT$14)</f>
        <v>1.0295440623586498</v>
      </c>
      <c r="CT86" s="183">
        <f>_xlfn.FORECAST.LINEAR(Sheet3!CE86,New!$LU$2:$LU$14,New!$LT$2:$LT$14)</f>
        <v>1.0282698625304361</v>
      </c>
      <c r="CU86" s="183">
        <f>_xlfn.FORECAST.LINEAR(Sheet3!CF86,New!$LU$2:$LU$14,New!$LT$2:$LT$14)</f>
        <v>1.0272130396186496</v>
      </c>
      <c r="CV86" s="183">
        <f>_xlfn.FORECAST.LINEAR(Sheet3!CG86,New!$LU$2:$LU$14,New!$LT$2:$LT$14)</f>
        <v>1.0259851109978888</v>
      </c>
      <c r="CW86" s="186">
        <f>EXP((17.625*Sheet3!BA86)/(243.04+Sheet3!BA86)) / EXP((17.625*Sheet3!DF86)/(243.04+Sheet3!DF86))</f>
        <v>7.2813317924982314E-3</v>
      </c>
      <c r="CX86" s="183">
        <f>EXP((17.625*(Sheet3!BC86+273))/(243.04+(Sheet3!BC86+273)))/EXP((17.625*(Sheet3!BZ86+273))/(243.04+(Sheet3!BZ86+273)))</f>
        <v>0.20464697380709956</v>
      </c>
      <c r="CY86" s="183">
        <f>EXP((17.625*(Sheet3!BE86+273))/(243.04+(Sheet3!BE86+273))) / EXP((17.625*(Sheet3!CA86+273))/(243.04+(Sheet3!CA86+273)))</f>
        <v>0.21874847266196676</v>
      </c>
      <c r="CZ86" s="183">
        <f>EXP((17.625*(Sheet3!BG86+273))/(243.04+(Sheet3!BG86+273))) / EXP((17.625*(Sheet3!CB86+273))/(243.04+(Sheet3!CB86+273)))</f>
        <v>0.23231756155094438</v>
      </c>
      <c r="DA86" s="183">
        <f>EXP((17.625*(Sheet3!BI86+273))/(243.04+(Sheet3!BI86+273))) / EXP((17.625*(Sheet3!CC86+273))/(243.04+(Sheet3!CC86+273)))</f>
        <v>0.25121367396403577</v>
      </c>
      <c r="DB86" s="183">
        <f>EXP((17.625*(Sheet3!BK86+273))/(243.04+(Sheet3!BK86+273)))/EXP((17.625*(Sheet3!CD86+273))/(243.04+(Sheet3!CD86+273)))</f>
        <v>0.26224599826141581</v>
      </c>
      <c r="DC86" s="183">
        <f>EXP((17.625*(Sheet3!BM86+273))/(243.04+(Sheet3!BM86+273))) / EXP((17.625*(Sheet3!CE86+273))/(243.04+(Sheet3!CE86+273)))</f>
        <v>0.278602131401888</v>
      </c>
      <c r="DD86" s="183">
        <f>EXP((17.625*(Sheet3!BO86+273))/(243.04+(Sheet3!BO86+273))) / EXP((17.625*(Sheet3!CF86+273))/(243.04+(Sheet3!CF86+273)))</f>
        <v>0.29348807715405106</v>
      </c>
      <c r="DE86" s="183">
        <f>EXP((17.625*(Sheet3!BQ86+273))/(243.04+(Sheet3!BQ86+273))) / EXP((17.625*(Sheet3!CG86+273))/(243.04+(Sheet3!CG86+273)))</f>
        <v>0.31171522370405463</v>
      </c>
      <c r="DF86" s="186">
        <f>((Sheet3!DA86-Sheet3!DB86)/New!$LQ$3)/(((Sheet3!DA86-Sheet3!DB86)/New!$LQ$3)+(Sheet3!DB86/New!$LP$3))</f>
        <v>0.84681752245147057</v>
      </c>
      <c r="DG86" s="183">
        <f>((Sheet3!DA86-Sheet3!DB86)/New!$LQ$3)/(((Sheet3!DA86-Sheet3!DB86)/New!$LQ$3)+((Sheet3!DB86-(Sheet3!B86*0.004))/New!$LP$3))</f>
        <v>0.84681752245147057</v>
      </c>
      <c r="DH86" s="183" cm="1">
        <f t="array" ref="DH86">((Sheet3!DA86-Sheet3!DB86)/New!$LQ$3)/(((Sheet3!DA86-Sheet3!DB86)/New!$LQ$3)+((Sheet3!DB86-(SUM(Sheet3!B86:C86*0.004)))/New!$LP$3))</f>
        <v>0.84821981188222151</v>
      </c>
      <c r="DI86" s="183" cm="1">
        <f t="array" ref="DI86">((Sheet3!DA86-Sheet3!DB86)/New!$LQ$3)/(((Sheet3!DA86-Sheet3!DB86)/New!$LQ$3)+((Sheet3!DB86-(SUM(Sheet3!B86:D86*0.004)))/New!$LP$3))</f>
        <v>0.84821981188222151</v>
      </c>
      <c r="DJ86" s="183" cm="1">
        <f t="array" ref="DJ86">((Sheet3!DA86-Sheet3!DB86)/New!$LQ$3)/(((Sheet3!DA86-Sheet3!DB86)/New!$LQ$3)+((Sheet3!DB86-(SUM(Sheet3!B86:E86*0.004)))/New!$LP$3))</f>
        <v>0.85033691142610235</v>
      </c>
      <c r="DK86" s="183" cm="1">
        <f t="array" ref="DK86">((Sheet3!DA86-Sheet3!DB86)/New!$LQ$3)/(((Sheet3!DA86-Sheet3!DB86)/New!$LQ$3)+((Sheet3!DB86-(SUM(Sheet3!B86:F86*0.004)))/New!$LP$3))</f>
        <v>0.85033691142610235</v>
      </c>
      <c r="DL86" s="183" cm="1">
        <f t="array" ref="DL86">((Sheet3!DA86-Sheet3!DB86)/New!$LQ$3)/(((Sheet3!DA86-Sheet3!DB86)/New!$LQ$3)+((Sheet3!DB86-(SUM(Sheet3!B86:G86*0.004)))/New!$LP$3))</f>
        <v>0.85284177104294523</v>
      </c>
      <c r="DM86" s="183" cm="1">
        <f t="array" ref="DM86">((Sheet3!DA86-Sheet3!DB86)/New!$LQ$3)/(((Sheet3!DA86-Sheet3!DB86)/New!$LQ$3)+((Sheet3!DB86-(SUM(Sheet3!B86:H86*0.004)))/New!$LP$3))</f>
        <v>0.85284177104294523</v>
      </c>
      <c r="DN86" s="183" cm="1">
        <f t="array" ref="DN86">((Sheet3!DA86-Sheet3!DB86)/New!$LQ$3)/(((Sheet3!DA86-Sheet3!DB86)/New!$LQ$3)+((Sheet3!DB86-(SUM(Sheet3!B86:I86*0.004)))/New!$LP$3))</f>
        <v>0.85579115520181503</v>
      </c>
      <c r="DO86" s="186">
        <f>(Sheet3!DB86/$LP$3) / ((Sheet3!DB86/$LP$3) + ((Sheet3!DA86-Sheet3!DB86)/$LQ$3))</f>
        <v>0.15318247754852946</v>
      </c>
      <c r="DP86" s="183">
        <f>((Sheet3!$DB86-(Sheet3!B86/4000)) / $LP$3) / (((Sheet3!$DA86-Sheet3!DB86) / $LQ$3) + (Sheet3!$DB86-((Sheet3!B86/4000)))/$LP$3)</f>
        <v>0.15318247754852946</v>
      </c>
      <c r="DQ86" s="183">
        <f>((Sheet3!$DB86-(SUM(Sheet3!B86:C86)/4000))/$LP$3)/(((Sheet3!$DA86-Sheet3!$DB86)/$LQ$3)+(Sheet3!$DB86-(SUM(Sheet3!B86:C86)/4000))/$LP$3)</f>
        <v>0.15309497031018249</v>
      </c>
      <c r="DR86" s="183">
        <f>((Sheet3!$DB86-(SUM(Sheet3!B86:D86)/4000))/$LP$3)/(((Sheet3!$DA86-Sheet3!$DB86)/$LQ$3)+(Sheet3!$DB86-(SUM(Sheet3!B86:D86)/4000))/$LP$3)</f>
        <v>0.15309497031018249</v>
      </c>
      <c r="DS86" s="183">
        <f>((Sheet3!$DB86-(SUM(Sheet3!B86:E86)/4000))/$LP$3)/(((Sheet3!$DA86-Sheet3!$DB86)/$LQ$3)+(Sheet3!$DB86-(SUM(Sheet3!B86:E86)/4000))/$LP$3)</f>
        <v>0.15296336944130154</v>
      </c>
      <c r="DT86" s="183">
        <f>((Sheet3!$DB86-(SUM(Sheet3!B86:F86)/4000))/$LP$3)/(((Sheet3!$DA86-Sheet3!$DB86)/$LQ$3)+(Sheet3!$DB86-(SUM(Sheet3!B86:F86)/4000))/$LP$3)</f>
        <v>0.15296336944130154</v>
      </c>
      <c r="DU86" s="183">
        <f>((Sheet3!$DB86-(SUM(Sheet3!B86:G86)/4000))/$LP$3)/(((Sheet3!$DA86-Sheet3!$DB86)/$LQ$3)+(Sheet3!$DB86-(SUM(Sheet3!B86:G86)/4000))/$LP$3)</f>
        <v>0.15280845649357191</v>
      </c>
      <c r="DV86" s="183">
        <f>((Sheet3!$DB86-(SUM(Sheet3!B86:H86)/4000))/$LP$3)/(((Sheet3!$DA86-Sheet3!$DB86)/$LQ$3)+(Sheet3!$DB86-(SUM(Sheet3!B86:H86)/4000))/$LP$3)</f>
        <v>0.15280845649357191</v>
      </c>
      <c r="DW86" s="183">
        <f>((Sheet3!$DB86-(SUM(Sheet3!B86:I86)/4000))/$LP$3)/(((Sheet3!$DA86-Sheet3!$DB86)/$LQ$3)+(Sheet3!$DB86-(SUM(Sheet3!B86:I86)/4000))/$LP$3)</f>
        <v>0.15262714252466195</v>
      </c>
      <c r="DX86" s="186">
        <f>($LR$2*($LP$3/1000))/($LP$2*(Sheet3!DF86+273))*DO86</f>
        <v>7.0359387728051961E-2</v>
      </c>
      <c r="DY86" s="183">
        <f>(($LR$2*($LP$3/1000))/($LP$2*(Sheet3!BZ86+273)))*(DP86)</f>
        <v>7.0432531030024573E-2</v>
      </c>
      <c r="DZ86" s="183">
        <f>(($LR$2*($LP$3/1000))/($LP$2*(Sheet3!CA86+273)))*(DQ86)</f>
        <v>7.1592615585139865E-2</v>
      </c>
      <c r="EA86" s="183">
        <f>(($LR$2*($LP$3/1000))/($LP$2*(Sheet3!CB86+273)))*(DR86)</f>
        <v>7.2694703947619857E-2</v>
      </c>
      <c r="EB86" s="183">
        <f>(($LR$2*($LP$3/1000))/($LP$2*(Sheet3!CC86+273)))*(DS86)</f>
        <v>7.4086563320282753E-2</v>
      </c>
      <c r="EC86" s="183">
        <f>(($LR$2*($LP$3/1000))/($LP$2*(Sheet3!CD86+273)))*(DT86)</f>
        <v>7.488470116730668E-2</v>
      </c>
      <c r="ED86" s="183">
        <f>(($LR$2*($LP$3/1000))/($LP$2*(Sheet3!CE86+273)))*(DU86)</f>
        <v>7.5962675345270986E-2</v>
      </c>
      <c r="EE86" s="183">
        <f>(($LR$2*($LP$3/1000))/($LP$2*(Sheet3!CF86+273)))*(DV86)</f>
        <v>7.6947001158708214E-2</v>
      </c>
      <c r="EF86" s="183">
        <f>(($LR$2*($LP$3/1000))/($LP$2*(Sheet3!CG86+273)))*(DW86)</f>
        <v>7.8030527552387929E-2</v>
      </c>
      <c r="EG86" s="186">
        <f>(($LR$2*($LQ$3/1000))/($LQ$2*(Sheet3!DF86+273)))*(1-DO86)</f>
        <v>0.62526927584740533</v>
      </c>
      <c r="EH86" s="183">
        <f>(($LR$2*($LQ$3/1000))/($LQ$2*(Sheet3!BZ86+273)))*(1-DP86)</f>
        <v>0.62591928519135043</v>
      </c>
      <c r="EI86" s="183">
        <f>(($LR$2*($LQ$3/1000))/($LQ$2*(Sheet3!CA86+273)))*(1-DQ86)</f>
        <v>0.63665815980781137</v>
      </c>
      <c r="EJ86" s="183">
        <f>(($LR$2*($LQ$3/1000))/($LQ$2*(Sheet3!CB86+273)))*(1-DR86)</f>
        <v>0.64645880115981924</v>
      </c>
      <c r="EK86" s="183">
        <f>(($LR$2*($LQ$3/1000))/($LQ$2*(Sheet3!CC86+273)))*(1-DS86)</f>
        <v>0.65950560519846124</v>
      </c>
      <c r="EL86" s="183">
        <f>(($LR$2*($LQ$3/1000))/($LQ$2*(Sheet3!CD86+273)))*(1-DT86)</f>
        <v>0.66661048846261994</v>
      </c>
      <c r="EM86" s="183">
        <f>(($LR$2*($LQ$3/1000))/($LQ$2*(Sheet3!CE86+273)))*(1-DU86)</f>
        <v>0.67701574041454626</v>
      </c>
      <c r="EN86" s="183">
        <f>(($LR$2*($LQ$3/1000))/($LQ$2*(Sheet3!CF86+273)))*(1-DV86)</f>
        <v>0.68578852344732344</v>
      </c>
      <c r="EO86" s="183">
        <f>(($LR$2*($LQ$3/1000))/($LQ$2*(Sheet3!CG86+273)))*(1-DW86)</f>
        <v>0.69642060091380975</v>
      </c>
      <c r="EP86" s="186">
        <f t="shared" si="350"/>
        <v>9767.8834596937431</v>
      </c>
      <c r="EQ86" s="183">
        <f xml:space="preserve"> (($FV86-(Sheet3!B86/4000))*0.018)/(0.011*JO86*3600)</f>
        <v>9776.0010965646343</v>
      </c>
      <c r="ER86" s="183">
        <f>((($FV86-(SUM(Sheet3!B86:C86)/4000))*0.018)/(0.011*JP86*3600))</f>
        <v>9907.8075205372425</v>
      </c>
      <c r="ES86" s="183">
        <f>((($FV86-(SUM(Sheet3!B86:D86)/4000))*0.018)/(0.011*JQ86*3600))</f>
        <v>10028.987482206749</v>
      </c>
      <c r="ET86" s="183">
        <f>((($FV86-(SUM(Sheet3!B86:E86)/4000))*0.018)/(0.011*JR86))/3600</f>
        <v>10186.341364463206</v>
      </c>
      <c r="EU86" s="183">
        <f>((($FV86-(SUM(Sheet3!B86:F86)/4000))*0.018)/(0.011*JS86))/3600</f>
        <v>10273.024323664946</v>
      </c>
      <c r="EV86" s="183">
        <f>((($FV86-(SUM(Sheet3!B86:G86)/4000))*0.018)/(0.011*JT86))/3600</f>
        <v>10395.883702418108</v>
      </c>
      <c r="EW86" s="183">
        <f>((($FV86-(SUM(Sheet3!B86:H86)/4000))*0.018)/(0.011*JU86))/3600</f>
        <v>10501.704697610214</v>
      </c>
      <c r="EX86" s="183">
        <f>((($FV86-(SUM(Sheet3!B86:I86)/4000))*0.018)/(0.011*JV86))/3600</f>
        <v>10625.114919751461</v>
      </c>
      <c r="EY86" s="186">
        <f t="shared" si="351"/>
        <v>76.715388562024117</v>
      </c>
      <c r="EZ86" s="183">
        <f t="shared" si="352"/>
        <v>76.759462146230746</v>
      </c>
      <c r="FA86" s="183">
        <f t="shared" si="353"/>
        <v>77.473151735267052</v>
      </c>
      <c r="FB86" s="183">
        <f t="shared" si="354"/>
        <v>78.13109716288804</v>
      </c>
      <c r="FC86" s="183">
        <f t="shared" si="355"/>
        <v>78.982552850954406</v>
      </c>
      <c r="FD86" s="183">
        <f t="shared" si="356"/>
        <v>79.453384515618239</v>
      </c>
      <c r="FE86" s="183">
        <f t="shared" si="357"/>
        <v>80.117147019871751</v>
      </c>
      <c r="FF86" s="183">
        <f t="shared" si="358"/>
        <v>80.69228748706216</v>
      </c>
      <c r="FG86" s="183">
        <f t="shared" si="359"/>
        <v>81.358732763563495</v>
      </c>
      <c r="FH86" s="186">
        <f t="shared" si="274"/>
        <v>171.935586754296</v>
      </c>
      <c r="FI86" s="183">
        <f t="shared" si="275"/>
        <v>171.85015898266354</v>
      </c>
      <c r="FJ86" s="183">
        <f t="shared" si="276"/>
        <v>170.44091128635742</v>
      </c>
      <c r="FK86" s="183">
        <f t="shared" si="277"/>
        <v>169.19564743937713</v>
      </c>
      <c r="FL86" s="183">
        <f t="shared" si="278"/>
        <v>167.55536803269652</v>
      </c>
      <c r="FM86" s="183">
        <f t="shared" si="279"/>
        <v>166.69153619828273</v>
      </c>
      <c r="FN86" s="183">
        <f t="shared" si="280"/>
        <v>165.42478669996382</v>
      </c>
      <c r="FO86" s="183">
        <f t="shared" si="281"/>
        <v>164.39628804191091</v>
      </c>
      <c r="FP86" s="183">
        <f t="shared" si="282"/>
        <v>163.14693178610909</v>
      </c>
      <c r="FQ86" s="314">
        <f>Sheet3!CV86</f>
        <v>1</v>
      </c>
      <c r="FR86" s="183">
        <v>10000</v>
      </c>
      <c r="FS86" s="183">
        <v>10</v>
      </c>
      <c r="FT86" s="183">
        <v>9.0700000000000003E-2</v>
      </c>
      <c r="FU86" s="183">
        <v>10.27</v>
      </c>
      <c r="FV86" s="183">
        <v>524</v>
      </c>
      <c r="FW86" s="183">
        <v>53</v>
      </c>
      <c r="FX86" s="183">
        <v>525</v>
      </c>
      <c r="FY86" s="183">
        <v>6.34</v>
      </c>
      <c r="FZ86" s="183">
        <v>20.7</v>
      </c>
      <c r="GA86" s="183">
        <v>205</v>
      </c>
      <c r="GB86" s="186">
        <f>EXP($LP$6-($LQ$6/('Trial and Error method'!T86+$LP$8))) / ($LR$2/1000)</f>
        <v>8.1336248037688436E-2</v>
      </c>
      <c r="GC86" s="183">
        <f>EXP($LP$6-($LQ$6/('Trial and Error method'!U86+$LP$8))) / ($LR$2/1000)</f>
        <v>0.10409455410084678</v>
      </c>
      <c r="GD86" s="183">
        <f>EXP($LP$6-($LQ$6/('Trial and Error method'!V86+$LP$8))) / ($LR$2/1000)</f>
        <v>9.682150865379141E-2</v>
      </c>
      <c r="GE86" s="183">
        <f>EXP($LP$6-($LQ$6/('Trial and Error method'!W86+$LP$8))) / ($LR$2/1000)</f>
        <v>9.103523044906342E-2</v>
      </c>
      <c r="GF86" s="183">
        <f>EXP($LP$6-($LQ$6/('Trial and Error method'!X86+$LP$8))) / ($LR$2/1000)</f>
        <v>8.4815498234328407E-2</v>
      </c>
      <c r="GG86" s="183">
        <f>EXP($LP$6-($LQ$6/('Trial and Error method'!Y86+$LP$8))) / ($LR$2/1000)</f>
        <v>8.0724543133843626E-2</v>
      </c>
      <c r="GH86" s="183">
        <f>EXP($LP$6-($LQ$6/('Trial and Error method'!Z86+$LP$8))) / ($LR$2/1000)</f>
        <v>7.6113423796605476E-2</v>
      </c>
      <c r="GI86" s="183">
        <f>EXP($LP$6-($LQ$6/('Trial and Error method'!AA86+$LP$8))) / ($LR$2/1000)</f>
        <v>7.2298349473523676E-2</v>
      </c>
      <c r="GJ86" s="183">
        <f>EXP($LP$6-($LQ$6/('Trial and Error method'!AB86+$LP$8))) / ($LR$2/1000)</f>
        <v>6.836995444532655E-2</v>
      </c>
      <c r="GK86" s="188">
        <f t="shared" si="411"/>
        <v>0.88225312497739272</v>
      </c>
      <c r="GL86" s="165">
        <f t="shared" si="360"/>
        <v>0.87113098911127806</v>
      </c>
      <c r="GM86" s="165">
        <f t="shared" si="361"/>
        <v>0.87474010100430666</v>
      </c>
      <c r="GN86" s="165">
        <f t="shared" si="362"/>
        <v>0.87756920288274476</v>
      </c>
      <c r="GO86" s="165">
        <f t="shared" si="363"/>
        <v>0.88067115991271061</v>
      </c>
      <c r="GP86" s="165">
        <f t="shared" si="364"/>
        <v>0.88266341864075659</v>
      </c>
      <c r="GQ86" s="165">
        <f t="shared" si="365"/>
        <v>0.88498524724373373</v>
      </c>
      <c r="GR86" s="165">
        <f t="shared" si="366"/>
        <v>0.88683759908559656</v>
      </c>
      <c r="GS86" s="165">
        <f t="shared" si="367"/>
        <v>0.88883595462846299</v>
      </c>
      <c r="GT86" s="188">
        <f t="shared" si="283"/>
        <v>0.11014630820983549</v>
      </c>
      <c r="GU86" s="165">
        <f t="shared" si="284"/>
        <v>0.11153812967786619</v>
      </c>
      <c r="GV86" s="165">
        <f t="shared" si="285"/>
        <v>0.11098658657478329</v>
      </c>
      <c r="GW86" s="165">
        <f t="shared" si="286"/>
        <v>0.11055703726055244</v>
      </c>
      <c r="GX86" s="165">
        <f t="shared" si="287"/>
        <v>0.11007976837842992</v>
      </c>
      <c r="GY86" s="165">
        <f t="shared" si="288"/>
        <v>0.10979172827565704</v>
      </c>
      <c r="GZ86" s="165">
        <f t="shared" si="289"/>
        <v>0.10944687492057295</v>
      </c>
      <c r="HA86" s="165">
        <f t="shared" si="290"/>
        <v>0.10918137894752238</v>
      </c>
      <c r="HB86" s="165">
        <f t="shared" si="291"/>
        <v>0.10888147247203173</v>
      </c>
      <c r="HC86" s="188">
        <f>BV86*Sheet3!DF86</f>
        <v>230.98324875721352</v>
      </c>
      <c r="HD86" s="165">
        <f>BW86*Sheet3!BZ86</f>
        <v>230.40113292869557</v>
      </c>
      <c r="HE86" s="165">
        <f>BX86*Sheet3!CA86</f>
        <v>220.99275771442277</v>
      </c>
      <c r="HF86" s="165">
        <f>BY86*Sheet3!CB86</f>
        <v>212.68621493419062</v>
      </c>
      <c r="HG86" s="165">
        <f>BZ86*Sheet3!CC86</f>
        <v>202.07854241373821</v>
      </c>
      <c r="HH86" s="165">
        <f>CA86*Sheet3!CD86</f>
        <v>196.47535453207678</v>
      </c>
      <c r="HI86" s="165">
        <f>CB86*Sheet3!CE86</f>
        <v>188.53973544984004</v>
      </c>
      <c r="HJ86" s="165">
        <f>CC86*Sheet3!CF86</f>
        <v>182.02074534119905</v>
      </c>
      <c r="HK86" s="165">
        <f>CD86*Sheet3!CG86</f>
        <v>174.4065976245829</v>
      </c>
      <c r="HL86" s="188">
        <f>(CE86*Sheet3!DF86)+2501</f>
        <v>2899.0054276934375</v>
      </c>
      <c r="HM86" s="165">
        <f>(CF86*Sheet3!BZ86)+2501</f>
        <v>2897.9849915903642</v>
      </c>
      <c r="HN86" s="165">
        <f>(CG86*Sheet3!CA86)+2501</f>
        <v>2881.5704853642833</v>
      </c>
      <c r="HO86" s="165">
        <f>(CH86*Sheet3!CB86)+2501</f>
        <v>2867.0445367156058</v>
      </c>
      <c r="HP86" s="165">
        <f>(CI86*Sheet3!CC86)+2501</f>
        <v>2848.613485644199</v>
      </c>
      <c r="HQ86" s="165">
        <f>(CJ86*Sheet3!CD86)+2501</f>
        <v>2838.8450365168237</v>
      </c>
      <c r="HR86" s="165">
        <f>(CK86*Sheet3!CE86)+2501</f>
        <v>2825.1217314476235</v>
      </c>
      <c r="HS86" s="165">
        <f>(CL86*Sheet3!CF86)+2501</f>
        <v>2813.7832937706189</v>
      </c>
      <c r="HT86" s="165">
        <f>(CM86*Sheet3!CG86)+2501</f>
        <v>2800.6584625069386</v>
      </c>
      <c r="HU86" s="188">
        <f>-0.0021*(Sheet3!DF86^2) - 2.2115*(Sheet3!DF86) + 2499</f>
        <v>1957.3899999999999</v>
      </c>
      <c r="HV86" s="165">
        <f>-0.0021*(Sheet3!BZ86^2) - 2.2115*(Sheet3!BZ86) + 2499</f>
        <v>1958.9146623754723</v>
      </c>
      <c r="HW86" s="165">
        <f>-0.0021*(Sheet3!CA86^2) - 2.2115*(Sheet3!CA86) + 2499</f>
        <v>1983.361236565411</v>
      </c>
      <c r="HX86" s="165">
        <f>-0.0021*(Sheet3!CB86^2) - 2.2115*(Sheet3!CB86) + 2499</f>
        <v>2004.8701828426003</v>
      </c>
      <c r="HY86" s="165">
        <f>-0.0021*(Sheet3!CC86^2) - 2.2115*(Sheet3!CC86) + 2499</f>
        <v>2031.9898566854533</v>
      </c>
      <c r="HZ86" s="165">
        <f>-0.0021*(Sheet3!CD86^2) - 2.2115*(Sheet3!CD86) + 2499</f>
        <v>2046.2841926323908</v>
      </c>
      <c r="IA86" s="165">
        <f>-0.0021*(Sheet3!CE86^2) - 2.2115*(Sheet3!CE86) + 2499</f>
        <v>2066.2716138816895</v>
      </c>
      <c r="IB86" s="165">
        <f>-0.0021*(Sheet3!CF86^2) - 2.2115*(Sheet3!CF86) + 2499</f>
        <v>2082.7013514710306</v>
      </c>
      <c r="IC86" s="165">
        <f>-0.0021*(Sheet3!CG86^2) - 2.2115*(Sheet3!CG86) + 2499</f>
        <v>2101.6227754578522</v>
      </c>
      <c r="ID86" s="188">
        <f t="shared" si="292"/>
        <v>0.68104995717759753</v>
      </c>
      <c r="IE86" s="165">
        <f t="shared" si="293"/>
        <v>0.68114643908298578</v>
      </c>
      <c r="IF86" s="165">
        <f t="shared" si="294"/>
        <v>0.68269489793510296</v>
      </c>
      <c r="IG86" s="165">
        <f t="shared" si="295"/>
        <v>0.6842100103629315</v>
      </c>
      <c r="IH86" s="165">
        <f t="shared" si="296"/>
        <v>0.6861721884235491</v>
      </c>
      <c r="II86" s="165">
        <f t="shared" si="297"/>
        <v>0.6873264403467817</v>
      </c>
      <c r="IJ86" s="165">
        <f t="shared" si="298"/>
        <v>0.68891231606711389</v>
      </c>
      <c r="IK86" s="165">
        <f t="shared" si="299"/>
        <v>0.69039251938407231</v>
      </c>
      <c r="IL86" s="165">
        <f t="shared" si="300"/>
        <v>0.69205323266174679</v>
      </c>
      <c r="IM86" s="188">
        <f t="shared" si="301"/>
        <v>15.489995513242844</v>
      </c>
      <c r="IN86" s="165">
        <f t="shared" si="368"/>
        <v>10.725400921790504</v>
      </c>
      <c r="IO86" s="165">
        <f t="shared" si="369"/>
        <v>12.387279796656621</v>
      </c>
      <c r="IP86" s="165">
        <f t="shared" si="370"/>
        <v>13.755696955455365</v>
      </c>
      <c r="IQ86" s="165">
        <f t="shared" si="371"/>
        <v>15.243382123865862</v>
      </c>
      <c r="IR86" s="165">
        <f t="shared" si="372"/>
        <v>16.229541550769241</v>
      </c>
      <c r="IS86" s="165">
        <f t="shared" si="373"/>
        <v>17.344349325688459</v>
      </c>
      <c r="IT86" s="165">
        <f t="shared" si="374"/>
        <v>18.307370799482477</v>
      </c>
      <c r="IU86" s="165">
        <f t="shared" si="375"/>
        <v>19.280385497146149</v>
      </c>
      <c r="IV86" s="188">
        <f>_xlfn.FORECAST.LINEAR(Sheet3!DF86,Sheet2!$AK$2:$AK$69,Sheet2!$AJ$2:$AJ$69)</f>
        <v>1.5962912137298422E-5</v>
      </c>
      <c r="IW86" s="165">
        <f>_xlfn.FORECAST.LINEAR(Sheet3!BZ86,Sheet2!$AK$2:$AK$69,Sheet2!$AJ$2:$AJ$69)</f>
        <v>1.5945532130204034E-5</v>
      </c>
      <c r="IX86" s="165">
        <f>_xlfn.FORECAST.LINEAR(Sheet3!CA86,Sheet2!$AK$2:$AK$69,Sheet2!$AJ$2:$AJ$69)</f>
        <v>1.566523010798231E-5</v>
      </c>
      <c r="IY86" s="165">
        <f>_xlfn.FORECAST.LINEAR(Sheet3!CB86,Sheet2!$AK$2:$AK$69,Sheet2!$AJ$2:$AJ$69)</f>
        <v>1.5416018663546233E-5</v>
      </c>
      <c r="IZ86" s="165">
        <f>_xlfn.FORECAST.LINEAR(Sheet3!CC86,Sheet2!$AK$2:$AK$69,Sheet2!$AJ$2:$AJ$69)</f>
        <v>1.5098222487239718E-5</v>
      </c>
      <c r="JA86" s="165">
        <f>_xlfn.FORECAST.LINEAR(Sheet3!CD86,Sheet2!$AK$2:$AK$69,Sheet2!$AJ$2:$AJ$69)</f>
        <v>1.4929063747550057E-5</v>
      </c>
      <c r="JB86" s="165">
        <f>_xlfn.FORECAST.LINEAR(Sheet3!CE86,Sheet2!$AK$2:$AK$69,Sheet2!$AJ$2:$AJ$69)</f>
        <v>1.4690562157189624E-5</v>
      </c>
      <c r="JC86" s="165">
        <f>_xlfn.FORECAST.LINEAR(Sheet3!CF86,Sheet2!$AK$2:$AK$69,Sheet2!$AJ$2:$AJ$69)</f>
        <v>1.4492748643477471E-5</v>
      </c>
      <c r="JD86" s="165">
        <f>_xlfn.FORECAST.LINEAR(Sheet3!CG86,Sheet2!$AK$2:$AK$69,Sheet2!$AJ$2:$AJ$69)</f>
        <v>1.4262907983938931E-5</v>
      </c>
      <c r="JE86" s="188">
        <f>_xlfn.FORECAST.LINEAR(Sheet3!DF86,New!$MC$2:$MC$18,New!$MB$2:$MB$18)</f>
        <v>2.5847452754227255E-5</v>
      </c>
      <c r="JF86" s="165">
        <f>_xlfn.FORECAST.LINEAR(Sheet3!BZ86,New!$MC$2:$MC$18,New!$MB$2:$MB$18)</f>
        <v>2.5827022136391378E-5</v>
      </c>
      <c r="JG86" s="165">
        <f>_xlfn.FORECAST.LINEAR(Sheet3!CA86,New!$MC$2:$MC$18,New!$MB$2:$MB$18)</f>
        <v>2.5497520343697295E-5</v>
      </c>
      <c r="JH86" s="165">
        <f>_xlfn.FORECAST.LINEAR(Sheet3!CB86,New!$MC$2:$MC$18,New!$MB$2:$MB$18)</f>
        <v>2.5204566275614929E-5</v>
      </c>
      <c r="JI86" s="165">
        <f>_xlfn.FORECAST.LINEAR(Sheet3!CC86,New!$MC$2:$MC$18,New!$MB$2:$MB$18)</f>
        <v>2.4830989199808143E-5</v>
      </c>
      <c r="JJ86" s="165">
        <f>_xlfn.FORECAST.LINEAR(Sheet3!CD86,New!$MC$2:$MC$18,New!$MB$2:$MB$18)</f>
        <v>2.4632139018365196E-5</v>
      </c>
      <c r="JK86" s="165">
        <f>_xlfn.FORECAST.LINEAR(Sheet3!CE86,New!$MC$2:$MC$18,New!$MB$2:$MB$18)</f>
        <v>2.4351774642249534E-5</v>
      </c>
      <c r="JL86" s="165">
        <f>_xlfn.FORECAST.LINEAR(Sheet3!CF86,New!$MC$2:$MC$18,New!$MB$2:$MB$18)</f>
        <v>2.4119240082310786E-5</v>
      </c>
      <c r="JM86" s="165">
        <f>_xlfn.FORECAST.LINEAR(Sheet3!CG86,New!$MC$2:$MC$18,New!$MB$2:$MB$18)</f>
        <v>2.3849056839422757E-5</v>
      </c>
      <c r="JN86" s="188">
        <f t="shared" si="376"/>
        <v>2.4384178943642516E-5</v>
      </c>
      <c r="JO86" s="165">
        <f t="shared" si="377"/>
        <v>2.4363931205522997E-5</v>
      </c>
      <c r="JP86" s="165">
        <f t="shared" si="378"/>
        <v>2.4038170673798464E-5</v>
      </c>
      <c r="JQ86" s="165">
        <f t="shared" si="379"/>
        <v>2.3747718162413433E-5</v>
      </c>
      <c r="JR86" s="165">
        <f t="shared" si="380"/>
        <v>2.3378475926050589E-5</v>
      </c>
      <c r="JS86" s="165">
        <f t="shared" si="381"/>
        <v>2.3181210212366991E-5</v>
      </c>
      <c r="JT86" s="165">
        <f t="shared" si="382"/>
        <v>2.2904487312439909E-5</v>
      </c>
      <c r="JU86" s="165">
        <f t="shared" si="383"/>
        <v>2.2673689007635273E-5</v>
      </c>
      <c r="JV86" s="165">
        <f t="shared" si="384"/>
        <v>2.2407169409285696E-5</v>
      </c>
      <c r="JW86" s="188">
        <f t="shared" si="302"/>
        <v>0.99342087640971777</v>
      </c>
      <c r="JX86" s="165">
        <f t="shared" si="385"/>
        <v>0.99357828280364358</v>
      </c>
      <c r="JY86" s="165">
        <f t="shared" si="386"/>
        <v>0.9961635725357314</v>
      </c>
      <c r="JZ86" s="165">
        <f t="shared" si="387"/>
        <v>0.99853844643633571</v>
      </c>
      <c r="KA86" s="165">
        <f t="shared" si="388"/>
        <v>1.0016768192899246</v>
      </c>
      <c r="KB86" s="165">
        <f t="shared" si="389"/>
        <v>1.003399984390712</v>
      </c>
      <c r="KC86" s="165">
        <f t="shared" si="390"/>
        <v>1.005894643698092</v>
      </c>
      <c r="KD86" s="165">
        <f t="shared" si="391"/>
        <v>1.0080238666864809</v>
      </c>
      <c r="KE86" s="165">
        <f t="shared" si="392"/>
        <v>1.0105694247176307</v>
      </c>
      <c r="KF86" s="188">
        <f t="shared" si="393"/>
        <v>0.98626119619886909</v>
      </c>
      <c r="KG86" s="165">
        <f t="shared" si="394"/>
        <v>0.98612294400717448</v>
      </c>
      <c r="KH86" s="165">
        <f t="shared" si="395"/>
        <v>0.98386107629837283</v>
      </c>
      <c r="KI86" s="165">
        <f t="shared" si="396"/>
        <v>0.98179785993080082</v>
      </c>
      <c r="KJ86" s="165">
        <f t="shared" si="397"/>
        <v>0.97909247870923322</v>
      </c>
      <c r="KK86" s="165">
        <f t="shared" si="398"/>
        <v>0.97761718351094296</v>
      </c>
      <c r="KL86" s="165">
        <f t="shared" si="399"/>
        <v>0.97549396217033835</v>
      </c>
      <c r="KM86" s="165">
        <f t="shared" si="400"/>
        <v>0.97369344320679929</v>
      </c>
      <c r="KN86" s="165">
        <f t="shared" si="401"/>
        <v>0.97155483438627632</v>
      </c>
      <c r="KO86" s="188">
        <f t="shared" si="304"/>
        <v>0.65750117516636852</v>
      </c>
      <c r="KP86" s="165">
        <f t="shared" si="305"/>
        <v>0.65732970711231742</v>
      </c>
      <c r="KQ86" s="165">
        <f t="shared" si="306"/>
        <v>0.65326010759292119</v>
      </c>
      <c r="KR86" s="165">
        <f t="shared" si="307"/>
        <v>0.64955683776195661</v>
      </c>
      <c r="KS86" s="165">
        <f t="shared" si="308"/>
        <v>0.64471440113299838</v>
      </c>
      <c r="KT86" s="165">
        <f t="shared" si="309"/>
        <v>0.6420796663344287</v>
      </c>
      <c r="KU86" s="165">
        <f t="shared" si="310"/>
        <v>0.6382970136527264</v>
      </c>
      <c r="KV86" s="165">
        <f t="shared" si="311"/>
        <v>0.63509556114162236</v>
      </c>
      <c r="KW86" s="165">
        <f t="shared" si="312"/>
        <v>0.63139104093298726</v>
      </c>
      <c r="KX86" s="188">
        <f>AVERAGE(Sheet3!J86:P86)*KO86^(1/3)/ID86^(1/3)</f>
        <v>81.396294092292564</v>
      </c>
      <c r="KY86" s="165">
        <f>Sheet3!J86*KP86^(1/3)/IE86^(1/3)</f>
        <v>68.764972819343569</v>
      </c>
      <c r="KZ86" s="165">
        <f>Sheet3!K86*KQ86^(1/3)/IF86^(1/3)</f>
        <v>66.335880099532957</v>
      </c>
      <c r="LA86" s="165">
        <f>Sheet3!L86*KR86^(1/3)/IG86^(1/3)</f>
        <v>68.587017547831451</v>
      </c>
      <c r="LB86" s="165">
        <f>Sheet3!M86*KS86^(1/3)/IH86^(1/3)</f>
        <v>73.676988131674108</v>
      </c>
      <c r="LC86" s="165">
        <f>Sheet3!N86*KT86^(1/3)/II86^(1/3)</f>
        <v>82.507733361022559</v>
      </c>
      <c r="LD86" s="165">
        <f>Sheet3!O86*KU86^(1/3)/IJ86^(1/3)</f>
        <v>94.830014639512086</v>
      </c>
      <c r="LE86" s="165">
        <f>Sheet3!P86*KV86^(1/3)/IK86^(1/3)</f>
        <v>109.81039383092451</v>
      </c>
      <c r="LF86" s="165">
        <f>Sheet3!Q86*KW86^(1/3)/IL86^(1/3)</f>
        <v>124.65774539017322</v>
      </c>
      <c r="LG86" s="186">
        <f t="shared" si="402"/>
        <v>27.283417783231346</v>
      </c>
      <c r="LH86" s="183">
        <f t="shared" si="403"/>
        <v>27.283417783231346</v>
      </c>
      <c r="LI86" s="183">
        <f t="shared" si="404"/>
        <v>27.322451642247074</v>
      </c>
      <c r="LJ86" s="183">
        <f t="shared" si="405"/>
        <v>27.322451642247074</v>
      </c>
      <c r="LK86" s="183">
        <f t="shared" si="406"/>
        <v>27.381392055384971</v>
      </c>
      <c r="LL86" s="183">
        <f t="shared" si="407"/>
        <v>27.381392055384971</v>
      </c>
      <c r="LM86" s="183">
        <f t="shared" si="408"/>
        <v>27.451142033135394</v>
      </c>
      <c r="LN86" s="183">
        <f t="shared" si="409"/>
        <v>27.451142033135394</v>
      </c>
      <c r="LO86" s="183">
        <f t="shared" si="410"/>
        <v>27.533289827226351</v>
      </c>
      <c r="LT86" s="165"/>
      <c r="MF86" s="165"/>
      <c r="MJ86"/>
      <c r="MK86"/>
      <c r="ML86"/>
      <c r="MM86"/>
      <c r="MN86"/>
      <c r="MO86"/>
      <c r="MP86"/>
      <c r="MQ86"/>
      <c r="MR86"/>
    </row>
    <row r="87" spans="1:356" x14ac:dyDescent="0.3">
      <c r="A87" s="184" t="str">
        <f>Sheet3!A87</f>
        <v>2023.02.20-1</v>
      </c>
      <c r="B87" s="186">
        <f t="shared" si="313"/>
        <v>0.80968309072818723</v>
      </c>
      <c r="C87" s="183">
        <f t="shared" si="257"/>
        <v>0.80832849468570978</v>
      </c>
      <c r="D87" s="183">
        <f t="shared" si="258"/>
        <v>0.8010919563175487</v>
      </c>
      <c r="E87" s="183">
        <f t="shared" si="259"/>
        <v>0.79449663232991174</v>
      </c>
      <c r="F87" s="183">
        <f t="shared" si="260"/>
        <v>0.78678267826578263</v>
      </c>
      <c r="G87" s="183">
        <f t="shared" si="261"/>
        <v>0.78293790822739806</v>
      </c>
      <c r="H87" s="183">
        <f t="shared" si="262"/>
        <v>0.77675340800441173</v>
      </c>
      <c r="I87" s="183">
        <f t="shared" si="263"/>
        <v>0.76858926687775342</v>
      </c>
      <c r="J87" s="183">
        <f t="shared" si="264"/>
        <v>0.76586905414626605</v>
      </c>
      <c r="K87" s="186">
        <f xml:space="preserve"> (6.057 * (10^(-6)))
+ (4.055 * (10^(-8)) * (Sheet3!DF87 + 273))
+ (1.25 * (10^(-10)) * (Sheet3!DF87 + 273)^2)
- (3.367 * (10^(-14)) * (DD87 + 273)^3)</f>
        <v>3.5902433102353429E-5</v>
      </c>
      <c r="L87" s="183">
        <f xml:space="preserve"> (6.057 * (10^(-6)))
+ (4.055 * (10^(-8)) * (Sheet3!BZ87 + 273))
+ (1.25 * (10^(-10)) * (Sheet3!BZ87 + 273)^2)
- (3.367 * (10^(-14)) * (BX87 + 273)^3)</f>
        <v>3.5787898410670295E-5</v>
      </c>
      <c r="M87" s="183">
        <f xml:space="preserve"> (6.057 * (10^(-6)))
+ (4.055 * (10^(-8)) * (Sheet3!CA87 + 273))
+ (1.25 * (10^(-10)) * (Sheet3!CA87 + 273)^2)
- (3.367 * (10^(-14)) * (BY87 + 273)^3)</f>
        <v>3.5110168935791389E-5</v>
      </c>
      <c r="N87" s="183">
        <f xml:space="preserve"> (6.057 * (10^(-6)))
+ (4.055 * (10^(-8)) * (Sheet3!CB87 + 273))
+ (1.25 * (10^(-10)) * (Sheet3!CB87 + 273)^2)
- (3.367 * (10^(-14)) * (BZ87 + 273)^3)</f>
        <v>3.4605709383680871E-5</v>
      </c>
      <c r="O87" s="183">
        <f xml:space="preserve"> (6.057 * (10^(-6)))
+ (4.055 * (10^(-8)) * (Sheet3!CC87 + 273))
+ (1.25 * (10^(-10)) * (Sheet3!CC87 + 273)^2)
- (3.367 * (10^(-14)) * (CA87 + 273)^3)</f>
        <v>3.3940516806615796E-5</v>
      </c>
      <c r="P87" s="183">
        <f xml:space="preserve"> (6.057 * (10^(-6)))
+ (4.055 * (10^(-8)) * (Sheet3!CD87 + 273))
+ (1.25 * (10^(-10)) * (Sheet3!CD87 + 273)^2)
- (3.367 * (10^(-14)) * (CB87 + 273)^3)</f>
        <v>3.3658845779555741E-5</v>
      </c>
      <c r="Q87" s="183">
        <f xml:space="preserve"> (6.057 * (10^(-6)))
+ (4.055 * (10^(-8)) * (Sheet3!CE87 + 273))
+ (1.25 * (10^(-10)) * (Sheet3!CE87 + 273)^2)
- (3.367 * (10^(-14)) * (CC87 + 273)^3)</f>
        <v>3.3131352261619808E-5</v>
      </c>
      <c r="R87" s="183">
        <f xml:space="preserve"> (6.057 * (10^(-6)))
+ (4.055 * (10^(-8)) * (Sheet3!CF87 + 273))
+ (1.25 * (10^(-10)) * (Sheet3!CF87 + 273)^2)
- (3.367 * (10^(-14)) * (CD87 + 273)^3)</f>
        <v>3.2563603205539784E-5</v>
      </c>
      <c r="S87" s="183">
        <f xml:space="preserve"> (6.057 * (10^(-6)))
+ (4.055 * (10^(-8)) * (Sheet3!CG87 + 273))
+ (1.25 * (10^(-10)) * (Sheet3!CG87 + 273)^2)
- (3.367 * (10^(-14)) * (CE87 + 273)^3)</f>
        <v>3.2285953893882889E-5</v>
      </c>
      <c r="T87" s="188">
        <f t="shared" si="314"/>
        <v>3.5902433102353429E-5</v>
      </c>
      <c r="U87" s="165">
        <f t="shared" si="315"/>
        <v>3.5787898410670295E-5</v>
      </c>
      <c r="V87" s="165">
        <f t="shared" si="316"/>
        <v>3.5110168935791389E-5</v>
      </c>
      <c r="W87" s="165">
        <f t="shared" si="317"/>
        <v>3.4605709383680871E-5</v>
      </c>
      <c r="X87" s="165">
        <f t="shared" si="318"/>
        <v>3.3940516806615796E-5</v>
      </c>
      <c r="Y87" s="165">
        <f t="shared" si="319"/>
        <v>3.3658845779555741E-5</v>
      </c>
      <c r="Z87" s="165">
        <f t="shared" si="320"/>
        <v>3.3131352261619808E-5</v>
      </c>
      <c r="AA87" s="165">
        <f t="shared" si="321"/>
        <v>3.2563603205539784E-5</v>
      </c>
      <c r="AB87" s="165">
        <f t="shared" si="322"/>
        <v>3.2285953893882889E-5</v>
      </c>
      <c r="AC87" s="186">
        <f t="shared" si="265"/>
        <v>2.9069592998975505E-5</v>
      </c>
      <c r="AD87" s="183">
        <f t="shared" si="266"/>
        <v>2.8928378050262226E-5</v>
      </c>
      <c r="AE87" s="183">
        <f t="shared" si="267"/>
        <v>2.8126473919412751E-5</v>
      </c>
      <c r="AF87" s="183">
        <f t="shared" si="268"/>
        <v>2.7494119564722077E-5</v>
      </c>
      <c r="AG87" s="183">
        <f t="shared" si="269"/>
        <v>2.6703810714833985E-5</v>
      </c>
      <c r="AH87" s="183">
        <f t="shared" si="270"/>
        <v>2.6352786307993957E-5</v>
      </c>
      <c r="AI87" s="183">
        <f t="shared" si="271"/>
        <v>2.573489078100786E-5</v>
      </c>
      <c r="AJ87" s="183">
        <f t="shared" si="272"/>
        <v>2.5028035914643883E-5</v>
      </c>
      <c r="AK87" s="183">
        <f t="shared" si="273"/>
        <v>2.4726812970918043E-5</v>
      </c>
      <c r="AL87" s="186">
        <f t="shared" si="323"/>
        <v>2.9748980645433836E-2</v>
      </c>
      <c r="AM87" s="183">
        <f t="shared" si="324"/>
        <v>2.9670161751123456E-2</v>
      </c>
      <c r="AN87" s="183">
        <f t="shared" si="325"/>
        <v>2.9200376486076367E-2</v>
      </c>
      <c r="AO87" s="183">
        <f t="shared" si="326"/>
        <v>2.8843264409544836E-2</v>
      </c>
      <c r="AP87" s="183">
        <f t="shared" si="327"/>
        <v>2.8374584979616663E-2</v>
      </c>
      <c r="AQ87" s="183">
        <f t="shared" si="328"/>
        <v>2.8171935908560077E-2</v>
      </c>
      <c r="AR87" s="183">
        <f t="shared" si="329"/>
        <v>2.7797379763578239E-2</v>
      </c>
      <c r="AS87" s="183">
        <f t="shared" si="330"/>
        <v>2.7382079710303986E-2</v>
      </c>
      <c r="AT87" s="183">
        <f t="shared" si="331"/>
        <v>2.7190325710872442E-2</v>
      </c>
      <c r="AU87" s="186">
        <f>_xlfn.FORECAST.LINEAR(Sheet3!DF87,Sheet2!$AH$2:$AH$40,Sheet2!$AG$2:$AG$40)</f>
        <v>2.5653712965492358E-2</v>
      </c>
      <c r="AV87" s="183">
        <f>_xlfn.FORECAST.LINEAR(Sheet3!BZ87,Sheet2!$AH$2:$AH$40,Sheet2!$AG$2:$AG$40)</f>
        <v>2.5432479642090246E-2</v>
      </c>
      <c r="AW87" s="183">
        <f>_xlfn.FORECAST.LINEAR(Sheet3!CA87,Sheet2!$AH$2:$AH$40,Sheet2!$AG$2:$AG$40)</f>
        <v>2.4099084893921228E-2</v>
      </c>
      <c r="AX87" s="183">
        <f>_xlfn.FORECAST.LINEAR(Sheet3!CB87,Sheet2!$AH$2:$AH$40,Sheet2!$AG$2:$AG$40)</f>
        <v>2.3097650990588293E-2</v>
      </c>
      <c r="AY87" s="183">
        <f>_xlfn.FORECAST.LINEAR(Sheet3!CC87,Sheet2!$AH$2:$AH$40,Sheet2!$AG$2:$AG$40)</f>
        <v>2.1765242285839086E-2</v>
      </c>
      <c r="AZ87" s="183">
        <f>_xlfn.FORECAST.LINEAR(Sheet3!CD87,Sheet2!$AH$2:$AH$40,Sheet2!$AG$2:$AG$40)</f>
        <v>2.1196817140762166E-2</v>
      </c>
      <c r="BA87" s="183">
        <f>_xlfn.FORECAST.LINEAR(Sheet3!CE87,Sheet2!$AH$2:$AH$40,Sheet2!$AG$2:$AG$40)</f>
        <v>2.012551323318533E-2</v>
      </c>
      <c r="BB87" s="183">
        <f>_xlfn.FORECAST.LINEAR(Sheet3!CF87,Sheet2!$AH$2:$AH$40,Sheet2!$AG$2:$AG$40)</f>
        <v>1.8962220572403883E-2</v>
      </c>
      <c r="BC87" s="183">
        <f>_xlfn.FORECAST.LINEAR(Sheet3!CG87,Sheet2!$AH$2:$AH$40,Sheet2!$AG$2:$AG$40)</f>
        <v>1.8401865127946469E-2</v>
      </c>
      <c r="BD87" s="186">
        <f>_xlfn.FORECAST.LINEAR(Sheet3!DF87,Sheet2!$AB$12:$AB$37,Sheet2!$AA$12:$AA$37)/1000</f>
        <v>3.0506351161118033E-2</v>
      </c>
      <c r="BE87" s="183">
        <f>_xlfn.FORECAST.LINEAR(Sheet3!BZ87,Sheet2!$AB$12:$AB$37,Sheet2!$AA$12:$AA$37)/1000</f>
        <v>3.0456888510788978E-2</v>
      </c>
      <c r="BF87" s="183">
        <f>_xlfn.FORECAST.LINEAR(Sheet3!CA87,Sheet2!$AB$12:$AB$37,Sheet2!$AA$12:$AA$37)/1000</f>
        <v>3.0158772308559335E-2</v>
      </c>
      <c r="BG87" s="183">
        <f>_xlfn.FORECAST.LINEAR(Sheet3!CB87,Sheet2!$AB$12:$AB$37,Sheet2!$AA$12:$AA$37)/1000</f>
        <v>2.9934874867493532E-2</v>
      </c>
      <c r="BH87" s="183">
        <f>_xlfn.FORECAST.LINEAR(Sheet3!CC87,Sheet2!$AB$12:$AB$37,Sheet2!$AA$12:$AA$37)/1000</f>
        <v>2.9636979121749077E-2</v>
      </c>
      <c r="BI87" s="183">
        <f>_xlfn.FORECAST.LINEAR(Sheet3!CD87,Sheet2!$AB$12:$AB$37,Sheet2!$AA$12:$AA$37)/1000</f>
        <v>2.9509892416379298E-2</v>
      </c>
      <c r="BJ87" s="183">
        <f>_xlfn.FORECAST.LINEAR(Sheet3!CE87,Sheet2!$AB$12:$AB$37,Sheet2!$AA$12:$AA$37)/1000</f>
        <v>2.9270373659612679E-2</v>
      </c>
      <c r="BK87" s="183">
        <f>_xlfn.FORECAST.LINEAR(Sheet3!CF87,Sheet2!$AB$12:$AB$37,Sheet2!$AA$12:$AA$37)/1000</f>
        <v>2.9010288346849902E-2</v>
      </c>
      <c r="BL87" s="183">
        <f>_xlfn.FORECAST.LINEAR(Sheet3!CG87,Sheet2!$AB$12:$AB$37,Sheet2!$AA$12:$AA$37)/1000</f>
        <v>2.8885005839753081E-2</v>
      </c>
      <c r="BM87" s="186">
        <f t="shared" si="332"/>
        <v>0.92619438378270835</v>
      </c>
      <c r="BN87" s="183">
        <f t="shared" si="333"/>
        <v>0.92846543459865694</v>
      </c>
      <c r="BO87" s="183">
        <f t="shared" si="334"/>
        <v>0.94273383742646044</v>
      </c>
      <c r="BP87" s="183">
        <f t="shared" si="335"/>
        <v>0.95343326541566153</v>
      </c>
      <c r="BQ87" s="183">
        <f t="shared" si="336"/>
        <v>0.96839464962790511</v>
      </c>
      <c r="BR87" s="183">
        <f t="shared" si="337"/>
        <v>0.97477433747397846</v>
      </c>
      <c r="BS87" s="183">
        <f t="shared" si="338"/>
        <v>0.98735602026427727</v>
      </c>
      <c r="BT87" s="183">
        <f t="shared" si="339"/>
        <v>1.0009997277250324</v>
      </c>
      <c r="BU87" s="183">
        <f t="shared" si="340"/>
        <v>1.0080272575982752</v>
      </c>
      <c r="BV87" s="186">
        <f t="shared" si="341"/>
        <v>1.1049204067774057</v>
      </c>
      <c r="BW87" s="183">
        <f t="shared" si="342"/>
        <v>1.104663715953272</v>
      </c>
      <c r="BX87" s="183">
        <f t="shared" si="343"/>
        <v>1.101245293453577</v>
      </c>
      <c r="BY87" s="183">
        <f t="shared" si="344"/>
        <v>1.100308058773094</v>
      </c>
      <c r="BZ87" s="183">
        <f t="shared" si="345"/>
        <v>1.0972457208535187</v>
      </c>
      <c r="CA87" s="183">
        <f t="shared" si="346"/>
        <v>1.0966955067996824</v>
      </c>
      <c r="CB87" s="183">
        <f t="shared" si="347"/>
        <v>1.0939758941263822</v>
      </c>
      <c r="CC87" s="183">
        <f t="shared" si="348"/>
        <v>1.0929636076589513</v>
      </c>
      <c r="CD87" s="183">
        <f t="shared" si="349"/>
        <v>1.0908724913734904</v>
      </c>
      <c r="CE87" s="187">
        <f xml:space="preserve"> -0.0000000019505*Sheet3!DF87^3 + 0.0000015497*Sheet3!DF87^2  + 0.00016911*Sheet3!DF87 + 1.8585</f>
        <v>1.8828730816875001</v>
      </c>
      <c r="CF87" s="185">
        <f xml:space="preserve"> -0.0000000019505*Sheet3!BZ87^3 + 0.0000015497*Sheet3!BZ87^2  + 0.00016911*Sheet3!BZ87 + 1.8585</f>
        <v>1.8825341397739834</v>
      </c>
      <c r="CG87" s="185">
        <f xml:space="preserve"> -0.0000000019505*Sheet3!CA87^3 + 0.0000015497*Sheet3!CA87^2  + 0.00016911*Sheet3!CA87 + 1.8585</f>
        <v>1.8805255144415978</v>
      </c>
      <c r="CH87" s="185">
        <f xml:space="preserve"> -0.0000000019505*Sheet3!CB87^3 + 0.0000015497*Sheet3!CB87^2  + 0.00016911*Sheet3!CB87 + 1.8585</f>
        <v>1.8790562529132668</v>
      </c>
      <c r="CI87" s="185">
        <f xml:space="preserve"> -0.0000000019505*Sheet3!CC87^3 + 0.0000015497*Sheet3!CC87^2  + 0.00016911*Sheet3!CC87 + 1.8585</f>
        <v>1.8771550182635584</v>
      </c>
      <c r="CJ87" s="185">
        <f xml:space="preserve"> -0.0000000019505*Sheet3!CD87^3 + 0.0000015497*Sheet3!CD87^2  + 0.00016911*Sheet3!CD87 + 1.8585</f>
        <v>1.8763629268748458</v>
      </c>
      <c r="CK87" s="185">
        <f xml:space="preserve"> -0.0000000019505*Sheet3!CE87^3 + 0.0000015497*Sheet3!CE87^2  + 0.00016911*Sheet3!CE87 + 1.8585</f>
        <v>1.8749015978438501</v>
      </c>
      <c r="CL87" s="185">
        <f xml:space="preserve"> -0.0000000019505*Sheet3!CF87^3 + 0.0000015497*Sheet3!CF87^2  + 0.00016911*Sheet3!CF87 + 1.8585</f>
        <v>1.8733622931679839</v>
      </c>
      <c r="CM87" s="185">
        <f xml:space="preserve"> -0.0000000019505*Sheet3!CG87^3 + 0.0000015497*Sheet3!CG87^2  + 0.00016911*Sheet3!CG87 + 1.8585</f>
        <v>1.8726387843939967</v>
      </c>
      <c r="CN87" s="186">
        <f>_xlfn.FORECAST.LINEAR(Sheet3!DF87,New!$LU$2:$LU$14,New!$LT$2:$LT$14)</f>
        <v>1.0126209368728181</v>
      </c>
      <c r="CO87" s="183">
        <f>_xlfn.FORECAST.LINEAR(Sheet3!BZ87,New!$LU$2:$LU$14,New!$LT$2:$LT$14)</f>
        <v>1.0124581062443725</v>
      </c>
      <c r="CP87" s="183">
        <f>_xlfn.FORECAST.LINEAR(Sheet3!CA87,New!$LU$2:$LU$14,New!$LT$2:$LT$14)</f>
        <v>1.0114767102165425</v>
      </c>
      <c r="CQ87" s="183">
        <f>_xlfn.FORECAST.LINEAR(Sheet3!CB87,New!$LU$2:$LU$14,New!$LT$2:$LT$14)</f>
        <v>1.0107396417255989</v>
      </c>
      <c r="CR87" s="183">
        <f>_xlfn.FORECAST.LINEAR(Sheet3!CC87,New!$LU$2:$LU$14,New!$LT$2:$LT$14)</f>
        <v>1.0097589714386621</v>
      </c>
      <c r="CS87" s="183">
        <f>_xlfn.FORECAST.LINEAR(Sheet3!CD87,New!$LU$2:$LU$14,New!$LT$2:$LT$14)</f>
        <v>1.0093406030745575</v>
      </c>
      <c r="CT87" s="183">
        <f>_xlfn.FORECAST.LINEAR(Sheet3!CE87,New!$LU$2:$LU$14,New!$LT$2:$LT$14)</f>
        <v>1.0085521093438463</v>
      </c>
      <c r="CU87" s="183">
        <f>_xlfn.FORECAST.LINEAR(Sheet3!CF87,New!$LU$2:$LU$14,New!$LT$2:$LT$14)</f>
        <v>1.0076959106839503</v>
      </c>
      <c r="CV87" s="183">
        <f>_xlfn.FORECAST.LINEAR(Sheet3!CG87,New!$LU$2:$LU$14,New!$LT$2:$LT$14)</f>
        <v>1.0072834817253704</v>
      </c>
      <c r="CW87" s="186">
        <f>EXP((17.625*Sheet3!BA87)/(243.04+Sheet3!BA87)) / EXP((17.625*Sheet3!DF87)/(243.04+Sheet3!DF87))</f>
        <v>0.25054222724360542</v>
      </c>
      <c r="CX87" s="183">
        <f>EXP((17.625*(Sheet3!BC87+273))/(243.04+(Sheet3!BC87+273)))/EXP((17.625*(Sheet3!BZ87+273))/(243.04+(Sheet3!BZ87+273)))</f>
        <v>0.6817453050087503</v>
      </c>
      <c r="CY87" s="183">
        <f>EXP((17.625*(Sheet3!BE87+273))/(243.04+(Sheet3!BE87+273))) / EXP((17.625*(Sheet3!CA87+273))/(243.04+(Sheet3!CA87+273)))</f>
        <v>0.72461819063391353</v>
      </c>
      <c r="CZ87" s="183">
        <f>EXP((17.625*(Sheet3!BG87+273))/(243.04+(Sheet3!BG87+273))) / EXP((17.625*(Sheet3!CB87+273))/(243.04+(Sheet3!CB87+273)))</f>
        <v>0.75527483355738978</v>
      </c>
      <c r="DA87" s="183">
        <f>EXP((17.625*(Sheet3!BI87+273))/(243.04+(Sheet3!BI87+273))) / EXP((17.625*(Sheet3!CC87+273))/(243.04+(Sheet3!CC87+273)))</f>
        <v>0.80023952588398128</v>
      </c>
      <c r="DB87" s="183">
        <f>EXP((17.625*(Sheet3!BK87+273))/(243.04+(Sheet3!BK87+273)))/EXP((17.625*(Sheet3!CD87+273))/(243.04+(Sheet3!CD87+273)))</f>
        <v>0.82270538180994635</v>
      </c>
      <c r="DC87" s="183">
        <f>EXP((17.625*(Sheet3!BM87+273))/(243.04+(Sheet3!BM87+273))) / EXP((17.625*(Sheet3!CE87+273))/(243.04+(Sheet3!CE87+273)))</f>
        <v>0.86191495792512052</v>
      </c>
      <c r="DD87" s="183">
        <f>EXP((17.625*(Sheet3!BO87+273))/(243.04+(Sheet3!BO87+273))) / EXP((17.625*(Sheet3!CF87+273))/(243.04+(Sheet3!CF87+273)))</f>
        <v>0.91389755347433499</v>
      </c>
      <c r="DE87" s="183">
        <f>EXP((17.625*(Sheet3!BQ87+273))/(243.04+(Sheet3!BQ87+273))) / EXP((17.625*(Sheet3!CG87+273))/(243.04+(Sheet3!CG87+273)))</f>
        <v>0.93461523984189843</v>
      </c>
      <c r="DF87" s="186">
        <f>((Sheet3!DA87-Sheet3!DB87)/New!$LQ$3)/(((Sheet3!DA87-Sheet3!DB87)/New!$LQ$3)+(Sheet3!DB87/New!$LP$3))</f>
        <v>0.83982364165754719</v>
      </c>
      <c r="DG87" s="183">
        <f>((Sheet3!DA87-Sheet3!DB87)/New!$LQ$3)/(((Sheet3!DA87-Sheet3!DB87)/New!$LQ$3)+((Sheet3!DB87-(Sheet3!B87*0.004))/New!$LP$3))</f>
        <v>0.84040055151422088</v>
      </c>
      <c r="DH87" s="183" cm="1">
        <f t="array" ref="DH87">((Sheet3!DA87-Sheet3!DB87)/New!$LQ$3)/(((Sheet3!DA87-Sheet3!DB87)/New!$LQ$3)+((Sheet3!DB87-(SUM(Sheet3!B87:C87*0.004)))/New!$LP$3))</f>
        <v>0.85872662609117345</v>
      </c>
      <c r="DI87" s="183" cm="1">
        <f t="array" ref="DI87">((Sheet3!DA87-Sheet3!DB87)/New!$LQ$3)/(((Sheet3!DA87-Sheet3!DB87)/New!$LQ$3)+((Sheet3!DB87-(SUM(Sheet3!B87:D87*0.004)))/New!$LP$3))</f>
        <v>0.85973240032811515</v>
      </c>
      <c r="DJ87" s="183" cm="1">
        <f t="array" ref="DJ87">((Sheet3!DA87-Sheet3!DB87)/New!$LQ$3)/(((Sheet3!DA87-Sheet3!DB87)/New!$LQ$3)+((Sheet3!DB87-(SUM(Sheet3!B87:E87*0.004)))/New!$LP$3))</f>
        <v>0.87615132392957762</v>
      </c>
      <c r="DK87" s="183" cm="1">
        <f t="array" ref="DK87">((Sheet3!DA87-Sheet3!DB87)/New!$LQ$3)/(((Sheet3!DA87-Sheet3!DB87)/New!$LQ$3)+((Sheet3!DB87-(SUM(Sheet3!B87:F87*0.004)))/New!$LP$3))</f>
        <v>0.87694683873075641</v>
      </c>
      <c r="DL87" s="183" cm="1">
        <f t="array" ref="DL87">((Sheet3!DA87-Sheet3!DB87)/New!$LQ$3)/(((Sheet3!DA87-Sheet3!DB87)/New!$LQ$3)+((Sheet3!DB87-(SUM(Sheet3!B87:G87*0.004)))/New!$LP$3))</f>
        <v>0.89303571531195824</v>
      </c>
      <c r="DM87" s="183" cm="1">
        <f t="array" ref="DM87">((Sheet3!DA87-Sheet3!DB87)/New!$LQ$3)/(((Sheet3!DA87-Sheet3!DB87)/New!$LQ$3)+((Sheet3!DB87-(SUM(Sheet3!B87:H87*0.004)))/New!$LP$3))</f>
        <v>0.89381866350653993</v>
      </c>
      <c r="DN87" s="183" cm="1">
        <f t="array" ref="DN87">((Sheet3!DA87-Sheet3!DB87)/New!$LQ$3)/(((Sheet3!DA87-Sheet3!DB87)/New!$LQ$3)+((Sheet3!DB87-(SUM(Sheet3!B87:I87*0.004)))/New!$LP$3))</f>
        <v>0.90864489205105303</v>
      </c>
      <c r="DO87" s="186">
        <f>(Sheet3!DB87/$LP$3) / ((Sheet3!DB87/$LP$3) + ((Sheet3!DA87-Sheet3!DB87)/$LQ$3))</f>
        <v>0.16017635834245281</v>
      </c>
      <c r="DP87" s="183">
        <f>((Sheet3!$DB87-(Sheet3!B87/4000)) / $LP$3) / (((Sheet3!$DA87-Sheet3!DB87) / $LQ$3) + (Sheet3!$DB87-((Sheet3!B87/4000)))/$LP$3)</f>
        <v>0.16014032468236949</v>
      </c>
      <c r="DQ87" s="183">
        <f>((Sheet3!$DB87-(SUM(Sheet3!B87:C87)/4000))/$LP$3)/(((Sheet3!$DA87-Sheet3!$DB87)/$LQ$3)+(Sheet3!$DB87-(SUM(Sheet3!B87:C87)/4000))/$LP$3)</f>
        <v>0.15901933671997467</v>
      </c>
      <c r="DR87" s="183">
        <f>((Sheet3!$DB87-(SUM(Sheet3!B87:D87)/4000))/$LP$3)/(((Sheet3!$DA87-Sheet3!$DB87)/$LQ$3)+(Sheet3!$DB87-(SUM(Sheet3!B87:D87)/4000))/$LP$3)</f>
        <v>0.15895911329918289</v>
      </c>
      <c r="DS87" s="183">
        <f>((Sheet3!$DB87-(SUM(Sheet3!B87:E87)/4000))/$LP$3)/(((Sheet3!$DA87-Sheet3!$DB87)/$LQ$3)+(Sheet3!$DB87-(SUM(Sheet3!B87:E87)/4000))/$LP$3)</f>
        <v>0.15799436417846277</v>
      </c>
      <c r="DT87" s="183">
        <f>((Sheet3!$DB87-(SUM(Sheet3!B87:F87)/4000))/$LP$3)/(((Sheet3!$DA87-Sheet3!$DB87)/$LQ$3)+(Sheet3!$DB87-(SUM(Sheet3!B87:F87)/4000))/$LP$3)</f>
        <v>0.15794848352929849</v>
      </c>
      <c r="DU87" s="183">
        <f>((Sheet3!$DB87-(SUM(Sheet3!B87:G87)/4000))/$LP$3)/(((Sheet3!$DA87-Sheet3!$DB87)/$LQ$3)+(Sheet3!$DB87-(SUM(Sheet3!B87:G87)/4000))/$LP$3)</f>
        <v>0.1570370798521199</v>
      </c>
      <c r="DV87" s="183">
        <f>((Sheet3!$DB87-(SUM(Sheet3!B87:H87)/4000))/$LP$3)/(((Sheet3!$DA87-Sheet3!$DB87)/$LQ$3)+(Sheet3!$DB87-(SUM(Sheet3!B87:H87)/4000))/$LP$3)</f>
        <v>0.15699351520661128</v>
      </c>
      <c r="DW87" s="183">
        <f>((Sheet3!$DB87-(SUM(Sheet3!B87:I87)/4000))/$LP$3)/(((Sheet3!$DA87-Sheet3!$DB87)/$LQ$3)+(Sheet3!$DB87-(SUM(Sheet3!B87:I87)/4000))/$LP$3)</f>
        <v>0.15618190621745281</v>
      </c>
      <c r="DX87" s="186">
        <f>($LR$2*($LP$3/1000))/($LP$2*(Sheet3!DF87+273))*DO87</f>
        <v>9.8232737673923612E-2</v>
      </c>
      <c r="DY87" s="183">
        <f>(($LR$2*($LP$3/1000))/($LP$2*(Sheet3!BZ87+273)))*(DP87)</f>
        <v>9.8450026716679073E-2</v>
      </c>
      <c r="DZ87" s="183">
        <f>(($LR$2*($LP$3/1000))/($LP$2*(Sheet3!CA87+273)))*(DQ87)</f>
        <v>9.921849245255554E-2</v>
      </c>
      <c r="EA87" s="183">
        <f>(($LR$2*($LP$3/1000))/($LP$2*(Sheet3!CB87+273)))*(DR87)</f>
        <v>0.10030412787818767</v>
      </c>
      <c r="EB87" s="183">
        <f>(($LR$2*($LP$3/1000))/($LP$2*(Sheet3!CC87+273)))*(DS87)</f>
        <v>0.10122053149267456</v>
      </c>
      <c r="EC87" s="183">
        <f>(($LR$2*($LP$3/1000))/($LP$2*(Sheet3!CD87+273)))*(DT87)</f>
        <v>0.10185589647845059</v>
      </c>
      <c r="ED87" s="183">
        <f>(($LR$2*($LP$3/1000))/($LP$2*(Sheet3!CE87+273)))*(DU87)</f>
        <v>0.10253769635809409</v>
      </c>
      <c r="EE87" s="183">
        <f>(($LR$2*($LP$3/1000))/($LP$2*(Sheet3!CF87+273)))*(DV87)</f>
        <v>0.1039239483405574</v>
      </c>
      <c r="EF87" s="183">
        <f>(($LR$2*($LP$3/1000))/($LP$2*(Sheet3!CG87+273)))*(DW87)</f>
        <v>0.10407858213563016</v>
      </c>
      <c r="EG87" s="186">
        <f>(($LR$2*($LQ$3/1000))/($LQ$2*(Sheet3!DF87+273)))*(1-DO87)</f>
        <v>0.82796164610878475</v>
      </c>
      <c r="EH87" s="183">
        <f>(($LR$2*($LQ$3/1000))/($LQ$2*(Sheet3!BZ87+273)))*(1-DP87)</f>
        <v>0.83001540788197781</v>
      </c>
      <c r="EI87" s="183">
        <f>(($LR$2*($LQ$3/1000))/($LQ$2*(Sheet3!CA87+273)))*(1-DQ87)</f>
        <v>0.8435153449739049</v>
      </c>
      <c r="EJ87" s="183">
        <f>(($LR$2*($LQ$3/1000))/($LQ$2*(Sheet3!CB87+273)))*(1-DR87)</f>
        <v>0.85312913753747388</v>
      </c>
      <c r="EK87" s="183">
        <f>(($LR$2*($LQ$3/1000))/($LQ$2*(Sheet3!CC87+273)))*(1-DS87)</f>
        <v>0.8671741181352306</v>
      </c>
      <c r="EL87" s="183">
        <f>(($LR$2*($LQ$3/1000))/($LQ$2*(Sheet3!CD87+273)))*(1-DT87)</f>
        <v>0.87291844099552784</v>
      </c>
      <c r="EM87" s="183">
        <f>(($LR$2*($LQ$3/1000))/($LQ$2*(Sheet3!CE87+273)))*(1-DU87)</f>
        <v>0.8848183239061832</v>
      </c>
      <c r="EN87" s="183">
        <f>(($LR$2*($LQ$3/1000))/($LQ$2*(Sheet3!CF87+273)))*(1-DV87)</f>
        <v>0.89707577938447491</v>
      </c>
      <c r="EO87" s="183">
        <f>(($LR$2*($LQ$3/1000))/($LQ$2*(Sheet3!CG87+273)))*(1-DW87)</f>
        <v>0.90394867546264501</v>
      </c>
      <c r="EP87" s="186">
        <f t="shared" si="350"/>
        <v>3090.9670348924938</v>
      </c>
      <c r="EQ87" s="183">
        <f xml:space="preserve"> (($FV87-(Sheet3!B87/4000))*0.018)/(0.011*JO87*3600)</f>
        <v>3096.5231640968159</v>
      </c>
      <c r="ER87" s="183">
        <f>((($FV87-(SUM(Sheet3!B87:C87)/4000))*0.018)/(0.011*JP87*3600))</f>
        <v>3126.8556345646157</v>
      </c>
      <c r="ES87" s="183">
        <f>((($FV87-(SUM(Sheet3!B87:D87)/4000))*0.018)/(0.011*JQ87*3600))</f>
        <v>3153.2249961140087</v>
      </c>
      <c r="ET87" s="183">
        <f>((($FV87-(SUM(Sheet3!B87:E87)/4000))*0.018)/(0.011*JR87))/3600</f>
        <v>3185.4165607250115</v>
      </c>
      <c r="EU87" s="183">
        <f>((($FV87-(SUM(Sheet3!B87:F87)/4000))*0.018)/(0.011*JS87))/3600</f>
        <v>3200.8732166511759</v>
      </c>
      <c r="EV87" s="183">
        <f>((($FV87-(SUM(Sheet3!B87:G87)/4000))*0.018)/(0.011*JT87))/3600</f>
        <v>3227.0050810933999</v>
      </c>
      <c r="EW87" s="183">
        <f>((($FV87-(SUM(Sheet3!B87:H87)/4000))*0.018)/(0.011*JU87))/3600</f>
        <v>3259.9052161602203</v>
      </c>
      <c r="EX87" s="183">
        <f>((($FV87-(SUM(Sheet3!B87:I87)/4000))*0.018)/(0.011*JV87))/3600</f>
        <v>3272.6579821655241</v>
      </c>
      <c r="EY87" s="186">
        <f t="shared" si="351"/>
        <v>37.929131737905465</v>
      </c>
      <c r="EZ87" s="183">
        <f t="shared" si="352"/>
        <v>37.980222590275517</v>
      </c>
      <c r="FA87" s="183">
        <f t="shared" si="353"/>
        <v>38.244875893963055</v>
      </c>
      <c r="FB87" s="183">
        <f t="shared" si="354"/>
        <v>38.489414791664892</v>
      </c>
      <c r="FC87" s="183">
        <f t="shared" si="355"/>
        <v>38.77388941907693</v>
      </c>
      <c r="FD87" s="183">
        <f t="shared" si="356"/>
        <v>38.917374548396566</v>
      </c>
      <c r="FE87" s="183">
        <f t="shared" si="357"/>
        <v>39.146190888404014</v>
      </c>
      <c r="FF87" s="183">
        <f t="shared" si="358"/>
        <v>39.453209637682988</v>
      </c>
      <c r="FG87" s="183">
        <f t="shared" si="359"/>
        <v>39.558516743610618</v>
      </c>
      <c r="FH87" s="186">
        <f t="shared" si="274"/>
        <v>62.686278109392219</v>
      </c>
      <c r="FI87" s="183">
        <f t="shared" si="275"/>
        <v>62.604408199841544</v>
      </c>
      <c r="FJ87" s="183">
        <f t="shared" si="276"/>
        <v>62.042487487054878</v>
      </c>
      <c r="FK87" s="183">
        <f t="shared" si="277"/>
        <v>61.675575989146481</v>
      </c>
      <c r="FL87" s="183">
        <f t="shared" si="278"/>
        <v>61.121834461769879</v>
      </c>
      <c r="FM87" s="183">
        <f t="shared" si="279"/>
        <v>60.909876750380846</v>
      </c>
      <c r="FN87" s="183">
        <f t="shared" si="280"/>
        <v>60.453418579027371</v>
      </c>
      <c r="FO87" s="183">
        <f t="shared" si="281"/>
        <v>60.017273951464951</v>
      </c>
      <c r="FP87" s="183">
        <f t="shared" si="282"/>
        <v>59.756053049876328</v>
      </c>
      <c r="FQ87" s="314">
        <f>Sheet3!CV87</f>
        <v>4</v>
      </c>
      <c r="FR87" s="183">
        <v>3000</v>
      </c>
      <c r="FS87" s="183">
        <v>10</v>
      </c>
      <c r="FT87" s="183">
        <v>0.10793478260869566</v>
      </c>
      <c r="FU87" s="183">
        <v>46.26</v>
      </c>
      <c r="FV87" s="183">
        <v>132</v>
      </c>
      <c r="FW87" s="183">
        <v>14</v>
      </c>
      <c r="FX87" s="183">
        <v>555</v>
      </c>
      <c r="FY87" s="183">
        <v>6.09</v>
      </c>
      <c r="FZ87" s="183">
        <v>8.31</v>
      </c>
      <c r="GA87" s="183">
        <v>85</v>
      </c>
      <c r="GB87" s="186">
        <f>EXP($LP$6-($LQ$6/('Trial and Error method'!T87+$LP$8))) / ($LR$2/1000)</f>
        <v>2.3076293853600063E-2</v>
      </c>
      <c r="GC87" s="183">
        <f>EXP($LP$6-($LQ$6/('Trial and Error method'!U87+$LP$8))) / ($LR$2/1000)</f>
        <v>3.1413255763582684E-2</v>
      </c>
      <c r="GD87" s="183">
        <f>EXP($LP$6-($LQ$6/('Trial and Error method'!V87+$LP$8))) / ($LR$2/1000)</f>
        <v>2.9566954174951771E-2</v>
      </c>
      <c r="GE87" s="183">
        <f>EXP($LP$6-($LQ$6/('Trial and Error method'!W87+$LP$8))) / ($LR$2/1000)</f>
        <v>2.8194231365520659E-2</v>
      </c>
      <c r="GF87" s="183">
        <f>EXP($LP$6-($LQ$6/('Trial and Error method'!X87+$LP$8))) / ($LR$2/1000)</f>
        <v>2.6801859937340328E-2</v>
      </c>
      <c r="GG87" s="183">
        <f>EXP($LP$6-($LQ$6/('Trial and Error method'!Y87+$LP$8))) / ($LR$2/1000)</f>
        <v>2.5808210183988035E-2</v>
      </c>
      <c r="GH87" s="183">
        <f>EXP($LP$6-($LQ$6/('Trial and Error method'!Z87+$LP$8))) / ($LR$2/1000)</f>
        <v>2.4674713491563745E-2</v>
      </c>
      <c r="GI87" s="183">
        <f>EXP($LP$6-($LQ$6/('Trial and Error method'!AA87+$LP$8))) / ($LR$2/1000)</f>
        <v>2.3666308726286684E-2</v>
      </c>
      <c r="GJ87" s="183">
        <f>EXP($LP$6-($LQ$6/('Trial and Error method'!AB87+$LP$8))) / ($LR$2/1000)</f>
        <v>2.2673788664246887E-2</v>
      </c>
      <c r="GK87" s="188">
        <f t="shared" si="411"/>
        <v>0.90664668104402002</v>
      </c>
      <c r="GL87" s="165">
        <f t="shared" si="360"/>
        <v>0.90269398679068669</v>
      </c>
      <c r="GM87" s="165">
        <f t="shared" si="361"/>
        <v>0.90416286678498659</v>
      </c>
      <c r="GN87" s="165">
        <f t="shared" si="362"/>
        <v>0.90484907753793975</v>
      </c>
      <c r="GO87" s="165">
        <f t="shared" si="363"/>
        <v>0.90601937381268915</v>
      </c>
      <c r="GP87" s="165">
        <f t="shared" si="364"/>
        <v>0.90651708037811929</v>
      </c>
      <c r="GQ87" s="165">
        <f t="shared" si="365"/>
        <v>0.9075359403948059</v>
      </c>
      <c r="GR87" s="165">
        <f t="shared" si="366"/>
        <v>0.90803930694022472</v>
      </c>
      <c r="GS87" s="165">
        <f t="shared" si="367"/>
        <v>0.90893856108137994</v>
      </c>
      <c r="GT87" s="188">
        <f t="shared" si="283"/>
        <v>4.4808706809221575E-2</v>
      </c>
      <c r="GU87" s="165">
        <f t="shared" si="284"/>
        <v>4.5006792066886535E-2</v>
      </c>
      <c r="GV87" s="165">
        <f t="shared" si="285"/>
        <v>4.493719199988222E-2</v>
      </c>
      <c r="GW87" s="165">
        <f t="shared" si="286"/>
        <v>4.4922485182208101E-2</v>
      </c>
      <c r="GX87" s="165">
        <f t="shared" si="287"/>
        <v>4.4876693317179008E-2</v>
      </c>
      <c r="GY87" s="165">
        <f t="shared" si="288"/>
        <v>4.4865222577984344E-2</v>
      </c>
      <c r="GZ87" s="165">
        <f t="shared" si="289"/>
        <v>4.4825954231834386E-2</v>
      </c>
      <c r="HA87" s="165">
        <f t="shared" si="290"/>
        <v>4.48337859513269E-2</v>
      </c>
      <c r="HB87" s="165">
        <f t="shared" si="291"/>
        <v>4.4785704808533194E-2</v>
      </c>
      <c r="HC87" s="188">
        <f>BV87*Sheet3!DF87</f>
        <v>93.918234576079485</v>
      </c>
      <c r="HD87" s="165">
        <f>BW87*Sheet3!BZ87</f>
        <v>92.934805482729814</v>
      </c>
      <c r="HE87" s="165">
        <f>BX87*Sheet3!CA87</f>
        <v>86.869431168766127</v>
      </c>
      <c r="HF87" s="165">
        <f>BY87*Sheet3!CB87</f>
        <v>82.459840637728675</v>
      </c>
      <c r="HG87" s="165">
        <f>BZ87*Sheet3!CC87</f>
        <v>76.477798495454721</v>
      </c>
      <c r="HH87" s="165">
        <f>CA87*Sheet3!CD87</f>
        <v>73.986559934912563</v>
      </c>
      <c r="HI87" s="165">
        <f>CB87*Sheet3!CE87</f>
        <v>69.191620897466763</v>
      </c>
      <c r="HJ87" s="165">
        <f>CC87*Sheet3!CF87</f>
        <v>64.124795319414702</v>
      </c>
      <c r="HK87" s="165">
        <f>CD87*Sheet3!CG87</f>
        <v>61.596881214379678</v>
      </c>
      <c r="HL87" s="188">
        <f>(CE87*Sheet3!DF87)+2501</f>
        <v>2661.0442119434374</v>
      </c>
      <c r="HM87" s="165">
        <f>(CF87*Sheet3!BZ87)+2501</f>
        <v>2659.3766548750245</v>
      </c>
      <c r="HN87" s="165">
        <f>(CG87*Sheet3!CA87)+2501</f>
        <v>2649.341321147067</v>
      </c>
      <c r="HO87" s="165">
        <f>(CH87*Sheet3!CB87)+2501</f>
        <v>2641.8211799678447</v>
      </c>
      <c r="HP87" s="165">
        <f>(CI87*Sheet3!CC87)+2501</f>
        <v>2631.8373142889268</v>
      </c>
      <c r="HQ87" s="165">
        <f>(CJ87*Sheet3!CD87)+2501</f>
        <v>2627.5853988533127</v>
      </c>
      <c r="HR87" s="165">
        <f>(CK87*Sheet3!CE87)+2501</f>
        <v>2619.5834909841983</v>
      </c>
      <c r="HS87" s="165">
        <f>(CL87*Sheet3!CF87)+2501</f>
        <v>2610.9112292181567</v>
      </c>
      <c r="HT87" s="165">
        <f>(CM87*Sheet3!CG87)+2501</f>
        <v>2606.7398638905311</v>
      </c>
      <c r="HU87" s="188">
        <f>-0.0021*(Sheet3!DF87^2) - 2.2115*(Sheet3!DF87) + 2499</f>
        <v>2295.85</v>
      </c>
      <c r="HV87" s="165">
        <f>-0.0021*(Sheet3!BZ87^2) - 2.2115*(Sheet3!BZ87) + 2499</f>
        <v>2298.0842893454515</v>
      </c>
      <c r="HW87" s="165">
        <f>-0.0021*(Sheet3!CA87^2) - 2.2115*(Sheet3!CA87) + 2499</f>
        <v>2311.4831712918553</v>
      </c>
      <c r="HX87" s="165">
        <f>-0.0021*(Sheet3!CB87^2) - 2.2115*(Sheet3!CB87) + 2499</f>
        <v>2321.4702577536323</v>
      </c>
      <c r="HY87" s="165">
        <f>-0.0021*(Sheet3!CC87^2) - 2.2115*(Sheet3!CC87) + 2499</f>
        <v>2334.6569819295873</v>
      </c>
      <c r="HZ87" s="165">
        <f>-0.0021*(Sheet3!CD87^2) - 2.2115*(Sheet3!CD87) + 2499</f>
        <v>2340.2475027157243</v>
      </c>
      <c r="IA87" s="165">
        <f>-0.0021*(Sheet3!CE87^2) - 2.2115*(Sheet3!CE87) + 2499</f>
        <v>2350.7267749517932</v>
      </c>
      <c r="IB87" s="165">
        <f>-0.0021*(Sheet3!CF87^2) - 2.2115*(Sheet3!CF87) + 2499</f>
        <v>2362.0213449906214</v>
      </c>
      <c r="IC87" s="165">
        <f>-0.0021*(Sheet3!CG87^2) - 2.2115*(Sheet3!CG87) + 2499</f>
        <v>2367.4305110310102</v>
      </c>
      <c r="ID87" s="188">
        <f t="shared" si="292"/>
        <v>0.72096765711138067</v>
      </c>
      <c r="IE87" s="165">
        <f t="shared" si="293"/>
        <v>0.72139770189359353</v>
      </c>
      <c r="IF87" s="165">
        <f t="shared" si="294"/>
        <v>0.72300819226370061</v>
      </c>
      <c r="IG87" s="165">
        <f t="shared" si="295"/>
        <v>0.7251866055147399</v>
      </c>
      <c r="IH87" s="165">
        <f t="shared" si="296"/>
        <v>0.72713248035546163</v>
      </c>
      <c r="II87" s="165">
        <f t="shared" si="297"/>
        <v>0.72843473250454382</v>
      </c>
      <c r="IJ87" s="165">
        <f t="shared" si="298"/>
        <v>0.72993340585057587</v>
      </c>
      <c r="IK87" s="165">
        <f t="shared" si="299"/>
        <v>0.73282192279030112</v>
      </c>
      <c r="IL87" s="165">
        <f t="shared" si="300"/>
        <v>0.73324108139075372</v>
      </c>
      <c r="IM87" s="188">
        <f t="shared" si="301"/>
        <v>14.104041566512853</v>
      </c>
      <c r="IN87" s="165">
        <f t="shared" si="368"/>
        <v>13.31416372894234</v>
      </c>
      <c r="IO87" s="165">
        <f t="shared" si="369"/>
        <v>13.446421318454593</v>
      </c>
      <c r="IP87" s="165">
        <f t="shared" si="370"/>
        <v>13.636974363582368</v>
      </c>
      <c r="IQ87" s="165">
        <f t="shared" si="371"/>
        <v>13.745259778416269</v>
      </c>
      <c r="IR87" s="165">
        <f t="shared" si="372"/>
        <v>13.874163814395155</v>
      </c>
      <c r="IS87" s="165">
        <f t="shared" si="373"/>
        <v>13.947495186329704</v>
      </c>
      <c r="IT87" s="165">
        <f t="shared" si="374"/>
        <v>14.119132428821434</v>
      </c>
      <c r="IU87" s="165">
        <f t="shared" si="375"/>
        <v>14.155471057074699</v>
      </c>
      <c r="IV87" s="188">
        <f>_xlfn.FORECAST.LINEAR(Sheet3!DF87,Sheet2!$AK$2:$AK$69,Sheet2!$AJ$2:$AJ$69)</f>
        <v>1.1761434736095797E-5</v>
      </c>
      <c r="IW87" s="165">
        <f>_xlfn.FORECAST.LINEAR(Sheet3!BZ87,Sheet2!$AK$2:$AK$69,Sheet2!$AJ$2:$AJ$69)</f>
        <v>1.1730956499492903E-5</v>
      </c>
      <c r="IX87" s="165">
        <f>_xlfn.FORECAST.LINEAR(Sheet3!CA87,Sheet2!$AK$2:$AK$69,Sheet2!$AJ$2:$AJ$69)</f>
        <v>1.1547261204431561E-5</v>
      </c>
      <c r="IY87" s="165">
        <f>_xlfn.FORECAST.LINEAR(Sheet3!CB87,Sheet2!$AK$2:$AK$69,Sheet2!$AJ$2:$AJ$69)</f>
        <v>1.14092985368796E-5</v>
      </c>
      <c r="IZ87" s="165">
        <f>_xlfn.FORECAST.LINEAR(Sheet3!CC87,Sheet2!$AK$2:$AK$69,Sheet2!$AJ$2:$AJ$69)</f>
        <v>1.1225739084213913E-5</v>
      </c>
      <c r="JA87" s="165">
        <f>_xlfn.FORECAST.LINEAR(Sheet3!CD87,Sheet2!$AK$2:$AK$69,Sheet2!$AJ$2:$AJ$69)</f>
        <v>1.1147429922663237E-5</v>
      </c>
      <c r="JB87" s="165">
        <f>_xlfn.FORECAST.LINEAR(Sheet3!CE87,Sheet2!$AK$2:$AK$69,Sheet2!$AJ$2:$AJ$69)</f>
        <v>1.0999841605195417E-5</v>
      </c>
      <c r="JC87" s="165">
        <f>_xlfn.FORECAST.LINEAR(Sheet3!CF87,Sheet2!$AK$2:$AK$69,Sheet2!$AJ$2:$AJ$69)</f>
        <v>1.0839580445581298E-5</v>
      </c>
      <c r="JD87" s="165">
        <f>_xlfn.FORECAST.LINEAR(Sheet3!CG87,Sheet2!$AK$2:$AK$69,Sheet2!$AJ$2:$AJ$69)</f>
        <v>1.0762383007350661E-5</v>
      </c>
      <c r="JE87" s="188">
        <f>_xlfn.FORECAST.LINEAR(Sheet3!DF87,New!$MC$2:$MC$18,New!$MB$2:$MB$18)</f>
        <v>2.0908514659214704E-5</v>
      </c>
      <c r="JF87" s="165">
        <f>_xlfn.FORECAST.LINEAR(Sheet3!BZ87,New!$MC$2:$MC$18,New!$MB$2:$MB$18)</f>
        <v>2.0872686756443227E-5</v>
      </c>
      <c r="JG87" s="165">
        <f>_xlfn.FORECAST.LINEAR(Sheet3!CA87,New!$MC$2:$MC$18,New!$MB$2:$MB$18)</f>
        <v>2.0656748503296053E-5</v>
      </c>
      <c r="JH87" s="165">
        <f>_xlfn.FORECAST.LINEAR(Sheet3!CB87,New!$MC$2:$MC$18,New!$MB$2:$MB$18)</f>
        <v>2.0494570057621944E-5</v>
      </c>
      <c r="JI87" s="165">
        <f>_xlfn.FORECAST.LINEAR(Sheet3!CC87,New!$MC$2:$MC$18,New!$MB$2:$MB$18)</f>
        <v>2.0278791490489649E-5</v>
      </c>
      <c r="JJ87" s="165">
        <f>_xlfn.FORECAST.LINEAR(Sheet3!CD87,New!$MC$2:$MC$18,New!$MB$2:$MB$18)</f>
        <v>2.018673718096024E-5</v>
      </c>
      <c r="JK87" s="165">
        <f>_xlfn.FORECAST.LINEAR(Sheet3!CE87,New!$MC$2:$MC$18,New!$MB$2:$MB$18)</f>
        <v>2.0013243551478386E-5</v>
      </c>
      <c r="JL87" s="165">
        <f>_xlfn.FORECAST.LINEAR(Sheet3!CF87,New!$MC$2:$MC$18,New!$MB$2:$MB$18)</f>
        <v>1.9824852690172673E-5</v>
      </c>
      <c r="JM87" s="165">
        <f>_xlfn.FORECAST.LINEAR(Sheet3!CG87,New!$MC$2:$MC$18,New!$MB$2:$MB$18)</f>
        <v>1.9734105238239328E-5</v>
      </c>
      <c r="JN87" s="188">
        <f t="shared" si="376"/>
        <v>1.9411400808448559E-5</v>
      </c>
      <c r="JO87" s="165">
        <f t="shared" si="377"/>
        <v>1.9376020224943338E-5</v>
      </c>
      <c r="JP87" s="165">
        <f t="shared" si="378"/>
        <v>1.9171125218077972E-5</v>
      </c>
      <c r="JQ87" s="165">
        <f t="shared" si="379"/>
        <v>1.9009902583504925E-5</v>
      </c>
      <c r="JR87" s="165">
        <f t="shared" si="380"/>
        <v>1.8803520454138875E-5</v>
      </c>
      <c r="JS87" s="165">
        <f t="shared" si="381"/>
        <v>1.8712045841759306E-5</v>
      </c>
      <c r="JT87" s="165">
        <f t="shared" si="382"/>
        <v>1.8547242396738312E-5</v>
      </c>
      <c r="JU87" s="165">
        <f t="shared" si="383"/>
        <v>1.8359429502216065E-5</v>
      </c>
      <c r="JV87" s="165">
        <f t="shared" si="384"/>
        <v>1.8276255002548156E-5</v>
      </c>
      <c r="JW87" s="188">
        <f t="shared" si="302"/>
        <v>1.0444458673781256</v>
      </c>
      <c r="JX87" s="165">
        <f t="shared" si="385"/>
        <v>1.0449441650505145</v>
      </c>
      <c r="JY87" s="165">
        <f t="shared" si="386"/>
        <v>1.0480009649589745</v>
      </c>
      <c r="JZ87" s="165">
        <f t="shared" si="387"/>
        <v>1.0503589040398997</v>
      </c>
      <c r="KA87" s="165">
        <f t="shared" si="388"/>
        <v>1.0535824014513149</v>
      </c>
      <c r="KB87" s="165">
        <f t="shared" si="389"/>
        <v>1.0549886018578858</v>
      </c>
      <c r="KC87" s="165">
        <f t="shared" si="390"/>
        <v>1.057691076256227</v>
      </c>
      <c r="KD87" s="165">
        <f t="shared" si="391"/>
        <v>1.0607055420107403</v>
      </c>
      <c r="KE87" s="165">
        <f t="shared" si="392"/>
        <v>1.0621883309308051</v>
      </c>
      <c r="KF87" s="188">
        <f t="shared" si="393"/>
        <v>0.94446821821306282</v>
      </c>
      <c r="KG87" s="165">
        <f t="shared" si="394"/>
        <v>0.94408792956274612</v>
      </c>
      <c r="KH87" s="165">
        <f t="shared" si="395"/>
        <v>0.94176598731012295</v>
      </c>
      <c r="KI87" s="165">
        <f t="shared" si="396"/>
        <v>0.93998764322675021</v>
      </c>
      <c r="KJ87" s="165">
        <f t="shared" si="397"/>
        <v>0.9375742537954751</v>
      </c>
      <c r="KK87" s="165">
        <f t="shared" si="398"/>
        <v>0.93652781532367624</v>
      </c>
      <c r="KL87" s="165">
        <f t="shared" si="399"/>
        <v>0.93452749243133482</v>
      </c>
      <c r="KM87" s="165">
        <f t="shared" si="400"/>
        <v>0.93231277014507707</v>
      </c>
      <c r="KN87" s="165">
        <f t="shared" si="401"/>
        <v>0.93122970440460007</v>
      </c>
      <c r="KO87" s="188">
        <f t="shared" si="304"/>
        <v>0.58375532092500271</v>
      </c>
      <c r="KP87" s="165">
        <f t="shared" si="305"/>
        <v>0.58312631844137897</v>
      </c>
      <c r="KQ87" s="165">
        <f t="shared" si="306"/>
        <v>0.57919604717414241</v>
      </c>
      <c r="KR87" s="165">
        <f t="shared" si="307"/>
        <v>0.576158315892221</v>
      </c>
      <c r="KS87" s="165">
        <f t="shared" si="308"/>
        <v>0.57209524034811188</v>
      </c>
      <c r="KT87" s="165">
        <f t="shared" si="309"/>
        <v>0.5703191657472918</v>
      </c>
      <c r="KU87" s="165">
        <f t="shared" si="310"/>
        <v>0.56697826061070211</v>
      </c>
      <c r="KV87" s="165">
        <f t="shared" si="311"/>
        <v>0.56323906438934312</v>
      </c>
      <c r="KW87" s="165">
        <f t="shared" si="312"/>
        <v>0.56156665346592183</v>
      </c>
      <c r="KX87" s="188">
        <f>AVERAGE(Sheet3!J87:P87)*KO87^(1/3)/ID87^(1/3)</f>
        <v>122.73449095030895</v>
      </c>
      <c r="KY87" s="165">
        <f>Sheet3!J87*KP87^(1/3)/IE87^(1/3)</f>
        <v>121.24960685479924</v>
      </c>
      <c r="KZ87" s="165">
        <f>Sheet3!K87*KQ87^(1/3)/IF87^(1/3)</f>
        <v>113.11117814541016</v>
      </c>
      <c r="LA87" s="165">
        <f>Sheet3!L87*KR87^(1/3)/IG87^(1/3)</f>
        <v>111.38818465676107</v>
      </c>
      <c r="LB87" s="165">
        <f>Sheet3!M87*KS87^(1/3)/IH87^(1/3)</f>
        <v>112.38535101217323</v>
      </c>
      <c r="LC87" s="165">
        <f>Sheet3!N87*KT87^(1/3)/II87^(1/3)</f>
        <v>117.38189935357327</v>
      </c>
      <c r="LD87" s="165">
        <f>Sheet3!O87*KU87^(1/3)/IJ87^(1/3)</f>
        <v>131.6837339575726</v>
      </c>
      <c r="LE87" s="165">
        <f>Sheet3!P87*KV87^(1/3)/IK87^(1/3)</f>
        <v>144.00676584373147</v>
      </c>
      <c r="LF87" s="165">
        <f>Sheet3!Q87*KW87^(1/3)/IL87^(1/3)</f>
        <v>153.10197235507022</v>
      </c>
      <c r="LG87" s="186">
        <f t="shared" si="402"/>
        <v>27.206869757941853</v>
      </c>
      <c r="LH87" s="183">
        <f t="shared" si="403"/>
        <v>27.222927921004722</v>
      </c>
      <c r="LI87" s="183">
        <f t="shared" si="404"/>
        <v>27.733456442610727</v>
      </c>
      <c r="LJ87" s="183">
        <f t="shared" si="405"/>
        <v>27.761498739586994</v>
      </c>
      <c r="LK87" s="183">
        <f t="shared" si="406"/>
        <v>28.219610811675576</v>
      </c>
      <c r="LL87" s="183">
        <f t="shared" si="407"/>
        <v>28.241822380423017</v>
      </c>
      <c r="LM87" s="183">
        <f t="shared" si="408"/>
        <v>28.691337308970251</v>
      </c>
      <c r="LN87" s="183">
        <f t="shared" si="409"/>
        <v>28.713226671596498</v>
      </c>
      <c r="LO87" s="183">
        <f t="shared" si="410"/>
        <v>29.12797311430591</v>
      </c>
      <c r="LT87" s="165"/>
      <c r="MF87" s="165"/>
      <c r="MJ87"/>
      <c r="MK87"/>
      <c r="ML87"/>
      <c r="MM87"/>
      <c r="MN87"/>
      <c r="MO87"/>
      <c r="MP87"/>
      <c r="MQ87"/>
      <c r="MR87"/>
    </row>
    <row r="88" spans="1:356" x14ac:dyDescent="0.3">
      <c r="A88" s="184" t="str">
        <f>Sheet3!A88</f>
        <v>2023.02.20-2</v>
      </c>
      <c r="B88" s="186">
        <f t="shared" si="313"/>
        <v>0.89738398012373133</v>
      </c>
      <c r="C88" s="183">
        <f t="shared" si="257"/>
        <v>0.89776521008771126</v>
      </c>
      <c r="D88" s="183">
        <f t="shared" si="258"/>
        <v>0.88544467135125349</v>
      </c>
      <c r="E88" s="183">
        <f t="shared" si="259"/>
        <v>0.87402827027894625</v>
      </c>
      <c r="F88" s="183">
        <f t="shared" si="260"/>
        <v>0.86162286687801215</v>
      </c>
      <c r="G88" s="183">
        <f t="shared" si="261"/>
        <v>0.85443918936743646</v>
      </c>
      <c r="H88" s="183">
        <f t="shared" si="262"/>
        <v>0.84435508874618792</v>
      </c>
      <c r="I88" s="183">
        <f t="shared" si="263"/>
        <v>0.83616646583462628</v>
      </c>
      <c r="J88" s="183">
        <f t="shared" si="264"/>
        <v>0.8268050521836523</v>
      </c>
      <c r="K88" s="186">
        <f xml:space="preserve"> (6.057 * (10^(-6)))
+ (4.055 * (10^(-8)) * (Sheet3!DF88 + 273))
+ (1.25 * (10^(-10)) * (Sheet3!DF88 + 273)^2)
- (3.367 * (10^(-14)) * (DD88 + 273)^3)</f>
        <v>4.4158122455518205E-5</v>
      </c>
      <c r="L88" s="183">
        <f xml:space="preserve"> (6.057 * (10^(-6)))
+ (4.055 * (10^(-8)) * (Sheet3!BZ88 + 273))
+ (1.25 * (10^(-10)) * (Sheet3!BZ88 + 273)^2)
- (3.367 * (10^(-14)) * (BX88 + 273)^3)</f>
        <v>4.4186190243700771E-5</v>
      </c>
      <c r="M88" s="183">
        <f xml:space="preserve"> (6.057 * (10^(-6)))
+ (4.055 * (10^(-8)) * (Sheet3!CA88 + 273))
+ (1.25 * (10^(-10)) * (Sheet3!CA88 + 273)^2)
- (3.367 * (10^(-14)) * (BY88 + 273)^3)</f>
        <v>4.2707967373135626E-5</v>
      </c>
      <c r="N88" s="183">
        <f xml:space="preserve"> (6.057 * (10^(-6)))
+ (4.055 * (10^(-8)) * (Sheet3!CB88 + 273))
+ (1.25 * (10^(-10)) * (Sheet3!CB88 + 273)^2)
- (3.367 * (10^(-14)) * (BZ88 + 273)^3)</f>
        <v>4.1506444000319406E-5</v>
      </c>
      <c r="O88" s="183">
        <f xml:space="preserve"> (6.057 * (10^(-6)))
+ (4.055 * (10^(-8)) * (Sheet3!CC88 + 273))
+ (1.25 * (10^(-10)) * (Sheet3!CC88 + 273)^2)
- (3.367 * (10^(-14)) * (CA88 + 273)^3)</f>
        <v>4.0171319159749938E-5</v>
      </c>
      <c r="P88" s="183">
        <f xml:space="preserve"> (6.057 * (10^(-6)))
+ (4.055 * (10^(-8)) * (Sheet3!CD88 + 273))
+ (1.25 * (10^(-10)) * (Sheet3!CD88 + 273)^2)
- (3.367 * (10^(-14)) * (CB88 + 273)^3)</f>
        <v>3.9481224093804586E-5</v>
      </c>
      <c r="Q88" s="183">
        <f xml:space="preserve"> (6.057 * (10^(-6)))
+ (4.055 * (10^(-8)) * (Sheet3!CE88 + 273))
+ (1.25 * (10^(-10)) * (Sheet3!CE88 + 273)^2)
- (3.367 * (10^(-14)) * (CC88 + 273)^3)</f>
        <v>3.845683351535324E-5</v>
      </c>
      <c r="R88" s="183">
        <f xml:space="preserve"> (6.057 * (10^(-6)))
+ (4.055 * (10^(-8)) * (Sheet3!CF88 + 273))
+ (1.25 * (10^(-10)) * (Sheet3!CF88 + 273)^2)
- (3.367 * (10^(-14)) * (CD88 + 273)^3)</f>
        <v>3.7724263824965861E-5</v>
      </c>
      <c r="S88" s="183">
        <f xml:space="preserve"> (6.057 * (10^(-6)))
+ (4.055 * (10^(-8)) * (Sheet3!CG88 + 273))
+ (1.25 * (10^(-10)) * (Sheet3!CG88 + 273)^2)
- (3.367 * (10^(-14)) * (CE88 + 273)^3)</f>
        <v>3.6822456809172121E-5</v>
      </c>
      <c r="T88" s="188">
        <f t="shared" si="314"/>
        <v>4.4158122455518205E-5</v>
      </c>
      <c r="U88" s="165">
        <f t="shared" si="315"/>
        <v>4.4186190243700771E-5</v>
      </c>
      <c r="V88" s="165">
        <f t="shared" si="316"/>
        <v>4.2707967373135626E-5</v>
      </c>
      <c r="W88" s="165">
        <f t="shared" si="317"/>
        <v>4.1506444000319406E-5</v>
      </c>
      <c r="X88" s="165">
        <f t="shared" si="318"/>
        <v>4.0171319159749938E-5</v>
      </c>
      <c r="Y88" s="165">
        <f t="shared" si="319"/>
        <v>3.9481224093804586E-5</v>
      </c>
      <c r="Z88" s="165">
        <f t="shared" si="320"/>
        <v>3.845683351535324E-5</v>
      </c>
      <c r="AA88" s="165">
        <f t="shared" si="321"/>
        <v>3.7724263824965861E-5</v>
      </c>
      <c r="AB88" s="165">
        <f t="shared" si="322"/>
        <v>3.6822456809172121E-5</v>
      </c>
      <c r="AC88" s="186">
        <f t="shared" si="265"/>
        <v>3.9626791683924041E-5</v>
      </c>
      <c r="AD88" s="183">
        <f t="shared" si="266"/>
        <v>3.9668824367111602E-5</v>
      </c>
      <c r="AE88" s="183">
        <f t="shared" si="267"/>
        <v>3.7815542134786129E-5</v>
      </c>
      <c r="AF88" s="183">
        <f t="shared" si="268"/>
        <v>3.6277805455029115E-5</v>
      </c>
      <c r="AG88" s="183">
        <f t="shared" si="269"/>
        <v>3.4612527180695358E-5</v>
      </c>
      <c r="AH88" s="183">
        <f t="shared" si="270"/>
        <v>3.3734305109944491E-5</v>
      </c>
      <c r="AI88" s="183">
        <f t="shared" si="271"/>
        <v>3.2471223075753461E-5</v>
      </c>
      <c r="AJ88" s="183">
        <f t="shared" si="272"/>
        <v>3.1543764358734746E-5</v>
      </c>
      <c r="AK88" s="183">
        <f t="shared" si="273"/>
        <v>3.044499332363784E-5</v>
      </c>
      <c r="AL88" s="186">
        <f t="shared" si="323"/>
        <v>3.5105765662627866E-2</v>
      </c>
      <c r="AM88" s="183">
        <f t="shared" si="324"/>
        <v>3.5125283785207725E-2</v>
      </c>
      <c r="AN88" s="183">
        <f t="shared" si="325"/>
        <v>3.4212597933619963E-2</v>
      </c>
      <c r="AO88" s="183">
        <f t="shared" si="326"/>
        <v>3.3462697612999429E-2</v>
      </c>
      <c r="AP88" s="183">
        <f t="shared" si="327"/>
        <v>3.2612735925291229E-2</v>
      </c>
      <c r="AQ88" s="183">
        <f t="shared" si="328"/>
        <v>3.2168395444941753E-2</v>
      </c>
      <c r="AR88" s="183">
        <f t="shared" si="329"/>
        <v>3.1500756943974306E-2</v>
      </c>
      <c r="AS88" s="183">
        <f t="shared" si="330"/>
        <v>3.1017186412126984E-2</v>
      </c>
      <c r="AT88" s="183">
        <f t="shared" si="331"/>
        <v>3.042050034337514E-2</v>
      </c>
      <c r="AU88" s="186">
        <f>_xlfn.FORECAST.LINEAR(Sheet3!DF88,Sheet2!$AH$2:$AH$40,Sheet2!$AG$2:$AG$40)</f>
        <v>4.0902410270024961E-2</v>
      </c>
      <c r="AV88" s="183">
        <f>_xlfn.FORECAST.LINEAR(Sheet3!BZ88,Sheet2!$AH$2:$AH$40,Sheet2!$AG$2:$AG$40)</f>
        <v>4.0958897632271438E-2</v>
      </c>
      <c r="AW88" s="183">
        <f>_xlfn.FORECAST.LINEAR(Sheet3!CA88,Sheet2!$AH$2:$AH$40,Sheet2!$AG$2:$AG$40)</f>
        <v>3.8346712314937234E-2</v>
      </c>
      <c r="AX88" s="183">
        <f>_xlfn.FORECAST.LINEAR(Sheet3!CB88,Sheet2!$AH$2:$AH$40,Sheet2!$AG$2:$AG$40)</f>
        <v>3.6188241190304837E-2</v>
      </c>
      <c r="AY88" s="183">
        <f>_xlfn.FORECAST.LINEAR(Sheet3!CC88,Sheet2!$AH$2:$AH$40,Sheet2!$AG$2:$AG$40)</f>
        <v>3.3750859936693786E-2</v>
      </c>
      <c r="AZ88" s="183">
        <f>_xlfn.FORECAST.LINEAR(Sheet3!CD88,Sheet2!$AH$2:$AH$40,Sheet2!$AG$2:$AG$40)</f>
        <v>3.2474245929896214E-2</v>
      </c>
      <c r="BA88" s="183">
        <f>_xlfn.FORECAST.LINEAR(Sheet3!CE88,Sheet2!$AH$2:$AH$40,Sheet2!$AG$2:$AG$40)</f>
        <v>3.0557350574048042E-2</v>
      </c>
      <c r="BB88" s="183">
        <f>_xlfn.FORECAST.LINEAR(Sheet3!CF88,Sheet2!$AH$2:$AH$40,Sheet2!$AG$2:$AG$40)</f>
        <v>2.9169895331327432E-2</v>
      </c>
      <c r="BC88" s="183">
        <f>_xlfn.FORECAST.LINEAR(Sheet3!CG88,Sheet2!$AH$2:$AH$40,Sheet2!$AG$2:$AG$40)</f>
        <v>2.7454173412666649E-2</v>
      </c>
      <c r="BD88" s="186">
        <f>_xlfn.FORECAST.LINEAR(Sheet3!DF88,Sheet2!$AB$12:$AB$37,Sheet2!$AA$12:$AA$37)/1000</f>
        <v>3.3915606923988664E-2</v>
      </c>
      <c r="BE88" s="183">
        <f>_xlfn.FORECAST.LINEAR(Sheet3!BZ88,Sheet2!$AB$12:$AB$37,Sheet2!$AA$12:$AA$37)/1000</f>
        <v>3.3928236190700574E-2</v>
      </c>
      <c r="BF88" s="183">
        <f>_xlfn.FORECAST.LINEAR(Sheet3!CA88,Sheet2!$AB$12:$AB$37,Sheet2!$AA$12:$AA$37)/1000</f>
        <v>3.3344212016769306E-2</v>
      </c>
      <c r="BG88" s="183">
        <f>_xlfn.FORECAST.LINEAR(Sheet3!CB88,Sheet2!$AB$12:$AB$37,Sheet2!$AA$12:$AA$37)/1000</f>
        <v>3.2861627834417186E-2</v>
      </c>
      <c r="BH88" s="183">
        <f>_xlfn.FORECAST.LINEAR(Sheet3!CC88,Sheet2!$AB$12:$AB$37,Sheet2!$AA$12:$AA$37)/1000</f>
        <v>3.2316685803026976E-2</v>
      </c>
      <c r="BI88" s="183">
        <f>_xlfn.FORECAST.LINEAR(Sheet3!CD88,Sheet2!$AB$12:$AB$37,Sheet2!$AA$12:$AA$37)/1000</f>
        <v>3.2031264460290886E-2</v>
      </c>
      <c r="BJ88" s="183">
        <f>_xlfn.FORECAST.LINEAR(Sheet3!CE88,Sheet2!$AB$12:$AB$37,Sheet2!$AA$12:$AA$37)/1000</f>
        <v>3.1602691028198245E-2</v>
      </c>
      <c r="BK88" s="183">
        <f>_xlfn.FORECAST.LINEAR(Sheet3!CF88,Sheet2!$AB$12:$AB$37,Sheet2!$AA$12:$AA$37)/1000</f>
        <v>3.1292488150699696E-2</v>
      </c>
      <c r="BL88" s="183">
        <f>_xlfn.FORECAST.LINEAR(Sheet3!CG88,Sheet2!$AB$12:$AB$37,Sheet2!$AA$12:$AA$37)/1000</f>
        <v>3.0908892442695249E-2</v>
      </c>
      <c r="BM88" s="186">
        <f t="shared" si="332"/>
        <v>0.79503933292800255</v>
      </c>
      <c r="BN88" s="183">
        <f t="shared" si="333"/>
        <v>0.79462040196554284</v>
      </c>
      <c r="BO88" s="183">
        <f t="shared" si="334"/>
        <v>0.81494802286572088</v>
      </c>
      <c r="BP88" s="183">
        <f t="shared" si="335"/>
        <v>0.83228363344267087</v>
      </c>
      <c r="BQ88" s="183">
        <f t="shared" si="336"/>
        <v>0.85304076573672005</v>
      </c>
      <c r="BR88" s="183">
        <f t="shared" si="337"/>
        <v>0.86417997535904634</v>
      </c>
      <c r="BS88" s="183">
        <f t="shared" si="338"/>
        <v>0.88174412533540836</v>
      </c>
      <c r="BT88" s="183">
        <f t="shared" si="339"/>
        <v>0.89469644657162684</v>
      </c>
      <c r="BU88" s="183">
        <f t="shared" si="340"/>
        <v>0.91150187007849104</v>
      </c>
      <c r="BV88" s="186">
        <f t="shared" si="341"/>
        <v>1.1142969009141142</v>
      </c>
      <c r="BW88" s="183">
        <f t="shared" si="342"/>
        <v>1.1143222452535824</v>
      </c>
      <c r="BX88" s="183">
        <f t="shared" si="343"/>
        <v>1.1101606055765072</v>
      </c>
      <c r="BY88" s="183">
        <f t="shared" si="344"/>
        <v>1.1082776800667278</v>
      </c>
      <c r="BZ88" s="183">
        <f t="shared" si="345"/>
        <v>1.1045468412819304</v>
      </c>
      <c r="CA88" s="183">
        <f t="shared" si="346"/>
        <v>1.1034519630419286</v>
      </c>
      <c r="CB88" s="183">
        <f t="shared" si="347"/>
        <v>1.1002205884215994</v>
      </c>
      <c r="CC88" s="183">
        <f t="shared" si="348"/>
        <v>1.0990391620280491</v>
      </c>
      <c r="CD88" s="183">
        <f t="shared" si="349"/>
        <v>1.0962078448264134</v>
      </c>
      <c r="CE88" s="187">
        <f xml:space="preserve"> -0.0000000019505*Sheet3!DF88^3 + 0.0000015497*Sheet3!DF88^2  + 0.00016911*Sheet3!DF88 + 1.8585</f>
        <v>1.9096570494375</v>
      </c>
      <c r="CF88" s="185">
        <f xml:space="preserve"> -0.0000000019505*Sheet3!BZ88^3 + 0.0000015497*Sheet3!BZ88^2  + 0.00016911*Sheet3!BZ88 + 1.8585</f>
        <v>1.9097672149773646</v>
      </c>
      <c r="CG88" s="185">
        <f xml:space="preserve"> -0.0000000019505*Sheet3!CA88^3 + 0.0000015497*Sheet3!CA88^2  + 0.00016911*Sheet3!CA88 + 1.8585</f>
        <v>1.9047472130502858</v>
      </c>
      <c r="CH88" s="185">
        <f xml:space="preserve"> -0.0000000019505*Sheet3!CB88^3 + 0.0000015497*Sheet3!CB88^2  + 0.00016911*Sheet3!CB88 + 1.8585</f>
        <v>1.9007197637027009</v>
      </c>
      <c r="CI88" s="185">
        <f xml:space="preserve"> -0.0000000019505*Sheet3!CC88^3 + 0.0000015497*Sheet3!CC88^2  + 0.00016911*Sheet3!CC88 + 1.8585</f>
        <v>1.8963127122458985</v>
      </c>
      <c r="CJ88" s="185">
        <f xml:space="preserve"> -0.0000000019505*Sheet3!CD88^3 + 0.0000015497*Sheet3!CD88^2  + 0.00016911*Sheet3!CD88 + 1.8585</f>
        <v>1.8940673633480896</v>
      </c>
      <c r="CK88" s="185">
        <f xml:space="preserve"> -0.0000000019505*Sheet3!CE88^3 + 0.0000015497*Sheet3!CE88^2  + 0.00016911*Sheet3!CE88 + 1.8585</f>
        <v>1.8907811857270884</v>
      </c>
      <c r="CL88" s="185">
        <f xml:space="preserve"> -0.0000000019505*Sheet3!CF88^3 + 0.0000015497*Sheet3!CF88^2  + 0.00016911*Sheet3!CF88 + 1.8585</f>
        <v>1.8884690319636221</v>
      </c>
      <c r="CM88" s="185">
        <f xml:space="preserve"> -0.0000000019505*Sheet3!CG88^3 + 0.0000015497*Sheet3!CG88^2  + 0.00016911*Sheet3!CG88 + 1.8585</f>
        <v>1.8856901095890195</v>
      </c>
      <c r="CN88" s="186">
        <f>_xlfn.FORECAST.LINEAR(Sheet3!DF88,New!$LU$2:$LU$14,New!$LT$2:$LT$14)</f>
        <v>1.023844178140866</v>
      </c>
      <c r="CO88" s="183">
        <f>_xlfn.FORECAST.LINEAR(Sheet3!BZ88,New!$LU$2:$LU$14,New!$LT$2:$LT$14)</f>
        <v>1.0238857535805528</v>
      </c>
      <c r="CP88" s="183">
        <f>_xlfn.FORECAST.LINEAR(Sheet3!CA88,New!$LU$2:$LU$14,New!$LT$2:$LT$14)</f>
        <v>1.0219631509170073</v>
      </c>
      <c r="CQ88" s="183">
        <f>_xlfn.FORECAST.LINEAR(Sheet3!CB88,New!$LU$2:$LU$14,New!$LT$2:$LT$14)</f>
        <v>1.0203744878516932</v>
      </c>
      <c r="CR88" s="183">
        <f>_xlfn.FORECAST.LINEAR(Sheet3!CC88,New!$LU$2:$LU$14,New!$LT$2:$LT$14)</f>
        <v>1.0185805432723511</v>
      </c>
      <c r="CS88" s="183">
        <f>_xlfn.FORECAST.LINEAR(Sheet3!CD88,New!$LU$2:$LU$14,New!$LT$2:$LT$14)</f>
        <v>1.0176409386150931</v>
      </c>
      <c r="CT88" s="183">
        <f>_xlfn.FORECAST.LINEAR(Sheet3!CE88,New!$LU$2:$LU$14,New!$LT$2:$LT$14)</f>
        <v>1.0162300784849041</v>
      </c>
      <c r="CU88" s="183">
        <f>_xlfn.FORECAST.LINEAR(Sheet3!CF88,New!$LU$2:$LU$14,New!$LT$2:$LT$14)</f>
        <v>1.0152088932238497</v>
      </c>
      <c r="CV88" s="183">
        <f>_xlfn.FORECAST.LINEAR(Sheet3!CG88,New!$LU$2:$LU$14,New!$LT$2:$LT$14)</f>
        <v>1.013946099382681</v>
      </c>
      <c r="CW88" s="186">
        <f>EXP((17.625*Sheet3!BA88)/(243.04+Sheet3!BA88)) / EXP((17.625*Sheet3!DF88)/(243.04+Sheet3!DF88))</f>
        <v>3.2196044326777876E-2</v>
      </c>
      <c r="CX88" s="183">
        <f>EXP((17.625*(Sheet3!BC88+273))/(243.04+(Sheet3!BC88+273)))/EXP((17.625*(Sheet3!BZ88+273))/(243.04+(Sheet3!BZ88+273)))</f>
        <v>0.34947754533532155</v>
      </c>
      <c r="CY88" s="183">
        <f>EXP((17.625*(Sheet3!BE88+273))/(243.04+(Sheet3!BE88+273))) / EXP((17.625*(Sheet3!CA88+273))/(243.04+(Sheet3!CA88+273)))</f>
        <v>0.38646331903546866</v>
      </c>
      <c r="CZ88" s="183">
        <f>EXP((17.625*(Sheet3!BG88+273))/(243.04+(Sheet3!BG88+273))) / EXP((17.625*(Sheet3!CB88+273))/(243.04+(Sheet3!CB88+273)))</f>
        <v>0.41932267205581347</v>
      </c>
      <c r="DA88" s="183">
        <f>EXP((17.625*(Sheet3!BI88+273))/(243.04+(Sheet3!BI88+273))) / EXP((17.625*(Sheet3!CC88+273))/(243.04+(Sheet3!CC88+273)))</f>
        <v>0.4610406250005285</v>
      </c>
      <c r="DB88" s="183">
        <f>EXP((17.625*(Sheet3!BK88+273))/(243.04+(Sheet3!BK88+273)))/EXP((17.625*(Sheet3!CD88+273))/(243.04+(Sheet3!CD88+273)))</f>
        <v>0.48664760997563744</v>
      </c>
      <c r="DC88" s="183">
        <f>EXP((17.625*(Sheet3!BM88+273))/(243.04+(Sheet3!BM88+273))) / EXP((17.625*(Sheet3!CE88+273))/(243.04+(Sheet3!CE88+273)))</f>
        <v>0.52543738955418295</v>
      </c>
      <c r="DD88" s="183">
        <f>EXP((17.625*(Sheet3!BO88+273))/(243.04+(Sheet3!BO88+273))) / EXP((17.625*(Sheet3!CF88+273))/(243.04+(Sheet3!CF88+273)))</f>
        <v>0.55857823795409389</v>
      </c>
      <c r="DE88" s="183">
        <f>EXP((17.625*(Sheet3!BQ88+273))/(243.04+(Sheet3!BQ88+273))) / EXP((17.625*(Sheet3!CG88+273))/(243.04+(Sheet3!CG88+273)))</f>
        <v>0.60010287354706848</v>
      </c>
      <c r="DF88" s="186">
        <f>((Sheet3!DA88-Sheet3!DB88)/New!$LQ$3)/(((Sheet3!DA88-Sheet3!DB88)/New!$LQ$3)+(Sheet3!DB88/New!$LP$3))</f>
        <v>0.84543765579953867</v>
      </c>
      <c r="DG88" s="183">
        <f>((Sheet3!DA88-Sheet3!DB88)/New!$LQ$3)/(((Sheet3!DA88-Sheet3!DB88)/New!$LQ$3)+((Sheet3!DB88-(Sheet3!B88*0.004))/New!$LP$3))</f>
        <v>0.84561793261328022</v>
      </c>
      <c r="DH88" s="183" cm="1">
        <f t="array" ref="DH88">((Sheet3!DA88-Sheet3!DB88)/New!$LQ$3)/(((Sheet3!DA88-Sheet3!DB88)/New!$LQ$3)+((Sheet3!DB88-(SUM(Sheet3!B88:C88*0.004)))/New!$LP$3))</f>
        <v>0.86089112574689275</v>
      </c>
      <c r="DI88" s="183" cm="1">
        <f t="array" ref="DI88">((Sheet3!DA88-Sheet3!DB88)/New!$LQ$3)/(((Sheet3!DA88-Sheet3!DB88)/New!$LQ$3)+((Sheet3!DB88-(SUM(Sheet3!B88:D88*0.004)))/New!$LP$3))</f>
        <v>0.8613024749961341</v>
      </c>
      <c r="DJ88" s="183" cm="1">
        <f t="array" ref="DJ88">((Sheet3!DA88-Sheet3!DB88)/New!$LQ$3)/(((Sheet3!DA88-Sheet3!DB88)/New!$LQ$3)+((Sheet3!DB88-(SUM(Sheet3!B88:E88*0.004)))/New!$LP$3))</f>
        <v>0.87521694261411798</v>
      </c>
      <c r="DK88" s="183" cm="1">
        <f t="array" ref="DK88">((Sheet3!DA88-Sheet3!DB88)/New!$LQ$3)/(((Sheet3!DA88-Sheet3!DB88)/New!$LQ$3)+((Sheet3!DB88-(SUM(Sheet3!B88:F88*0.004)))/New!$LP$3))</f>
        <v>0.87544879513037099</v>
      </c>
      <c r="DL88" s="183" cm="1">
        <f t="array" ref="DL88">((Sheet3!DA88-Sheet3!DB88)/New!$LQ$3)/(((Sheet3!DA88-Sheet3!DB88)/New!$LQ$3)+((Sheet3!DB88-(SUM(Sheet3!B88:G88*0.004)))/New!$LP$3))</f>
        <v>0.88958837305764604</v>
      </c>
      <c r="DM88" s="183" cm="1">
        <f t="array" ref="DM88">((Sheet3!DA88-Sheet3!DB88)/New!$LQ$3)/(((Sheet3!DA88-Sheet3!DB88)/New!$LQ$3)+((Sheet3!DB88-(SUM(Sheet3!B88:H88*0.004)))/New!$LP$3))</f>
        <v>0.88990777546420496</v>
      </c>
      <c r="DN88" s="183" cm="1">
        <f t="array" ref="DN88">((Sheet3!DA88-Sheet3!DB88)/New!$LQ$3)/(((Sheet3!DA88-Sheet3!DB88)/New!$LQ$3)+((Sheet3!DB88-(SUM(Sheet3!B88:I88*0.004)))/New!$LP$3))</f>
        <v>0.90266917378007161</v>
      </c>
      <c r="DO88" s="186">
        <f>(Sheet3!DB88/$LP$3) / ((Sheet3!DB88/$LP$3) + ((Sheet3!DA88-Sheet3!DB88)/$LQ$3))</f>
        <v>0.15456234420046139</v>
      </c>
      <c r="DP88" s="183">
        <f>((Sheet3!$DB88-(Sheet3!B88/4000)) / $LP$3) / (((Sheet3!$DA88-Sheet3!DB88) / $LQ$3) + (Sheet3!$DB88-((Sheet3!B88/4000)))/$LP$3)</f>
        <v>0.15455107915157273</v>
      </c>
      <c r="DQ88" s="183">
        <f>((Sheet3!$DB88-(SUM(Sheet3!B88:C88)/4000))/$LP$3)/(((Sheet3!$DA88-Sheet3!$DB88)/$LQ$3)+(Sheet3!$DB88-(SUM(Sheet3!B88:C88)/4000))/$LP$3)</f>
        <v>0.1536127743910804</v>
      </c>
      <c r="DR88" s="183">
        <f>((Sheet3!$DB88-(SUM(Sheet3!B88:D88)/4000))/$LP$3)/(((Sheet3!$DA88-Sheet3!$DB88)/$LQ$3)+(Sheet3!$DB88-(SUM(Sheet3!B88:D88)/4000))/$LP$3)</f>
        <v>0.15358793518301669</v>
      </c>
      <c r="DS88" s="183">
        <f>((Sheet3!$DB88-(SUM(Sheet3!B88:E88)/4000))/$LP$3)/(((Sheet3!$DA88-Sheet3!$DB88)/$LQ$3)+(Sheet3!$DB88-(SUM(Sheet3!B88:E88)/4000))/$LP$3)</f>
        <v>0.15276063490235819</v>
      </c>
      <c r="DT88" s="183">
        <f>((Sheet3!$DB88-(SUM(Sheet3!B88:F88)/4000))/$LP$3)/(((Sheet3!$DA88-Sheet3!$DB88)/$LQ$3)+(Sheet3!$DB88-(SUM(Sheet3!B88:F88)/4000))/$LP$3)</f>
        <v>0.15274705912908065</v>
      </c>
      <c r="DU88" s="183">
        <f>((Sheet3!$DB88-(SUM(Sheet3!B88:G88)/4000))/$LP$3)/(((Sheet3!$DA88-Sheet3!$DB88)/$LQ$3)+(Sheet3!$DB88-(SUM(Sheet3!B88:G88)/4000))/$LP$3)</f>
        <v>0.15193171579935785</v>
      </c>
      <c r="DV88" s="183">
        <f>((Sheet3!$DB88-(SUM(Sheet3!B88:H88)/4000))/$LP$3)/(((Sheet3!$DA88-Sheet3!$DB88)/$LQ$3)+(Sheet3!$DB88-(SUM(Sheet3!B88:H88)/4000))/$LP$3)</f>
        <v>0.15191357923449714</v>
      </c>
      <c r="DW88" s="183">
        <f>((Sheet3!$DB88-(SUM(Sheet3!B88:I88)/4000))/$LP$3)/(((Sheet3!$DA88-Sheet3!$DB88)/$LQ$3)+(Sheet3!$DB88-(SUM(Sheet3!B88:I88)/4000))/$LP$3)</f>
        <v>0.15119883486090965</v>
      </c>
      <c r="DX88" s="186">
        <f>($LR$2*($LP$3/1000))/($LP$2*(Sheet3!DF88+273))*DO88</f>
        <v>8.1183593855324199E-2</v>
      </c>
      <c r="DY88" s="183">
        <f>(($LR$2*($LP$3/1000))/($LP$2*(Sheet3!BZ88+273)))*(DP88)</f>
        <v>8.1134535008216005E-2</v>
      </c>
      <c r="DZ88" s="183">
        <f>(($LR$2*($LP$3/1000))/($LP$2*(Sheet3!CA88+273)))*(DQ88)</f>
        <v>8.2673763843597703E-2</v>
      </c>
      <c r="EA88" s="183">
        <f>(($LR$2*($LP$3/1000))/($LP$2*(Sheet3!CB88+273)))*(DR88)</f>
        <v>8.4417909765927029E-2</v>
      </c>
      <c r="EB88" s="183">
        <f>(($LR$2*($LP$3/1000))/($LP$2*(Sheet3!CC88+273)))*(DS88)</f>
        <v>8.6028677405354456E-2</v>
      </c>
      <c r="EC88" s="183">
        <f>(($LR$2*($LP$3/1000))/($LP$2*(Sheet3!CD88+273)))*(DT88)</f>
        <v>8.7143840701690442E-2</v>
      </c>
      <c r="ED88" s="183">
        <f>(($LR$2*($LP$3/1000))/($LP$2*(Sheet3!CE88+273)))*(DU88)</f>
        <v>8.8411478994917872E-2</v>
      </c>
      <c r="EE88" s="183">
        <f>(($LR$2*($LP$3/1000))/($LP$2*(Sheet3!CF88+273)))*(DV88)</f>
        <v>8.969883221325059E-2</v>
      </c>
      <c r="EF88" s="183">
        <f>(($LR$2*($LP$3/1000))/($LP$2*(Sheet3!CG88+273)))*(DW88)</f>
        <v>9.0927666591491735E-2</v>
      </c>
      <c r="EG88" s="186">
        <f>(($LR$2*($LQ$3/1000))/($LQ$2*(Sheet3!DF88+273)))*(1-DO88)</f>
        <v>0.71385573907267841</v>
      </c>
      <c r="EH88" s="183">
        <f>(($LR$2*($LQ$3/1000))/($LQ$2*(Sheet3!BZ88+273)))*(1-DP88)</f>
        <v>0.71348586695732685</v>
      </c>
      <c r="EI88" s="183">
        <f>(($LR$2*($LQ$3/1000))/($LQ$2*(Sheet3!CA88+273)))*(1-DQ88)</f>
        <v>0.73227425902212318</v>
      </c>
      <c r="EJ88" s="183">
        <f>(($LR$2*($LQ$3/1000))/($LQ$2*(Sheet3!CB88+273)))*(1-DR88)</f>
        <v>0.74786572367674387</v>
      </c>
      <c r="EK88" s="183">
        <f>(($LR$2*($LQ$3/1000))/($LQ$2*(Sheet3!CC88+273)))*(1-DS88)</f>
        <v>0.76701208833136558</v>
      </c>
      <c r="EL88" s="183">
        <f>(($LR$2*($LQ$3/1000))/($LQ$2*(Sheet3!CD88+273)))*(1-DT88)</f>
        <v>0.77703613465735588</v>
      </c>
      <c r="EM88" s="183">
        <f>(($LR$2*($LQ$3/1000))/($LQ$2*(Sheet3!CE88+273)))*(1-DU88)</f>
        <v>0.7933326463404905</v>
      </c>
      <c r="EN88" s="183">
        <f>(($LR$2*($LQ$3/1000))/($LQ$2*(Sheet3!CF88+273)))*(1-DV88)</f>
        <v>0.80499761435837625</v>
      </c>
      <c r="EO88" s="183">
        <f>(($LR$2*($LQ$3/1000))/($LQ$2*(Sheet3!CG88+273)))*(1-DW88)</f>
        <v>0.82057420348699928</v>
      </c>
      <c r="EP88" s="186">
        <f t="shared" si="350"/>
        <v>2944.4556468094097</v>
      </c>
      <c r="EQ88" s="183">
        <f xml:space="preserve"> (($FV88-(Sheet3!B88/4000))*0.018)/(0.011*JO88*3600)</f>
        <v>2943.1953573787723</v>
      </c>
      <c r="ER88" s="183">
        <f>((($FV88-(SUM(Sheet3!B88:C88)/4000))*0.018)/(0.011*JP88*3600))</f>
        <v>2997.2805803860524</v>
      </c>
      <c r="ES88" s="183">
        <f>((($FV88-(SUM(Sheet3!B88:D88)/4000))*0.018)/(0.011*JQ88*3600))</f>
        <v>3046.3873746505101</v>
      </c>
      <c r="ET88" s="183">
        <f>((($FV88-(SUM(Sheet3!B88:E88)/4000))*0.018)/(0.011*JR88))/3600</f>
        <v>3100.7910679516995</v>
      </c>
      <c r="EU88" s="183">
        <f>((($FV88-(SUM(Sheet3!B88:F88)/4000))*0.018)/(0.011*JS88))/3600</f>
        <v>3131.7365345811691</v>
      </c>
      <c r="EV88" s="183">
        <f>((($FV88-(SUM(Sheet3!B88:G88)/4000))*0.018)/(0.011*JT88))/3600</f>
        <v>3176.2687794777735</v>
      </c>
      <c r="EW88" s="183">
        <f>((($FV88-(SUM(Sheet3!B88:H88)/4000))*0.018)/(0.011*JU88))/3600</f>
        <v>3211.6398610658121</v>
      </c>
      <c r="EX88" s="183">
        <f>((($FV88-(SUM(Sheet3!B88:I88)/4000))*0.018)/(0.011*JV88))/3600</f>
        <v>3253.6900085225357</v>
      </c>
      <c r="EY88" s="186">
        <f t="shared" si="351"/>
        <v>36.318746247507242</v>
      </c>
      <c r="EZ88" s="183">
        <f t="shared" si="352"/>
        <v>36.307464896144559</v>
      </c>
      <c r="FA88" s="183">
        <f t="shared" si="353"/>
        <v>36.774585633399965</v>
      </c>
      <c r="FB88" s="183">
        <f t="shared" si="354"/>
        <v>37.2091698341479</v>
      </c>
      <c r="FC88" s="183">
        <f t="shared" si="355"/>
        <v>37.680794830391875</v>
      </c>
      <c r="FD88" s="183">
        <f t="shared" si="356"/>
        <v>37.955315030171221</v>
      </c>
      <c r="FE88" s="183">
        <f t="shared" si="357"/>
        <v>38.339768963459711</v>
      </c>
      <c r="FF88" s="183">
        <f t="shared" si="358"/>
        <v>38.654191289387313</v>
      </c>
      <c r="FG88" s="183">
        <f t="shared" si="359"/>
        <v>39.018330674383556</v>
      </c>
      <c r="FH88" s="186">
        <f t="shared" si="274"/>
        <v>70.833188606968591</v>
      </c>
      <c r="FI88" s="183">
        <f t="shared" si="275"/>
        <v>70.85055599991918</v>
      </c>
      <c r="FJ88" s="183">
        <f t="shared" si="276"/>
        <v>69.897450691721673</v>
      </c>
      <c r="FK88" s="183">
        <f t="shared" si="277"/>
        <v>69.173288810601733</v>
      </c>
      <c r="FL88" s="183">
        <f t="shared" si="278"/>
        <v>68.27076729214717</v>
      </c>
      <c r="FM88" s="183">
        <f t="shared" si="279"/>
        <v>67.831199062660502</v>
      </c>
      <c r="FN88" s="183">
        <f t="shared" si="280"/>
        <v>67.096207967004119</v>
      </c>
      <c r="FO88" s="183">
        <f t="shared" si="281"/>
        <v>66.608014268496746</v>
      </c>
      <c r="FP88" s="183">
        <f t="shared" si="282"/>
        <v>65.942063426556103</v>
      </c>
      <c r="FQ88" s="314">
        <f>Sheet3!CV88</f>
        <v>4</v>
      </c>
      <c r="FR88" s="183">
        <v>3000</v>
      </c>
      <c r="FS88" s="183">
        <v>10</v>
      </c>
      <c r="FT88" s="183">
        <v>9.8585635359115992E-2</v>
      </c>
      <c r="FU88" s="183">
        <v>40.79</v>
      </c>
      <c r="FV88" s="183">
        <v>142</v>
      </c>
      <c r="FW88" s="183">
        <v>14.5</v>
      </c>
      <c r="FX88" s="183">
        <v>576</v>
      </c>
      <c r="FY88" s="183">
        <v>6.48</v>
      </c>
      <c r="FZ88" s="183">
        <v>9.73</v>
      </c>
      <c r="GA88" s="183">
        <v>145</v>
      </c>
      <c r="GB88" s="186">
        <f>EXP($LP$6-($LQ$6/('Trial and Error method'!T88+$LP$8))) / ($LR$2/1000)</f>
        <v>2.6261516701352697E-2</v>
      </c>
      <c r="GC88" s="183">
        <f>EXP($LP$6-($LQ$6/('Trial and Error method'!U88+$LP$8))) / ($LR$2/1000)</f>
        <v>3.7097646043267235E-2</v>
      </c>
      <c r="GD88" s="183">
        <f>EXP($LP$6-($LQ$6/('Trial and Error method'!V88+$LP$8))) / ($LR$2/1000)</f>
        <v>3.4472521926544597E-2</v>
      </c>
      <c r="GE88" s="183">
        <f>EXP($LP$6-($LQ$6/('Trial and Error method'!W88+$LP$8))) / ($LR$2/1000)</f>
        <v>3.2395471207300137E-2</v>
      </c>
      <c r="GF88" s="183">
        <f>EXP($LP$6-($LQ$6/('Trial and Error method'!X88+$LP$8))) / ($LR$2/1000)</f>
        <v>3.0322771317039417E-2</v>
      </c>
      <c r="GG88" s="183">
        <f>EXP($LP$6-($LQ$6/('Trial and Error method'!Y88+$LP$8))) / ($LR$2/1000)</f>
        <v>2.8819355774980036E-2</v>
      </c>
      <c r="GH88" s="183">
        <f>EXP($LP$6-($LQ$6/('Trial and Error method'!Z88+$LP$8))) / ($LR$2/1000)</f>
        <v>2.7145553067117838E-2</v>
      </c>
      <c r="GI88" s="183">
        <f>EXP($LP$6-($LQ$6/('Trial and Error method'!AA88+$LP$8))) / ($LR$2/1000)</f>
        <v>2.5787538100874752E-2</v>
      </c>
      <c r="GJ88" s="183">
        <f>EXP($LP$6-($LQ$6/('Trial and Error method'!AB88+$LP$8))) / ($LR$2/1000)</f>
        <v>2.4311815202615907E-2</v>
      </c>
      <c r="GK88" s="188">
        <f t="shared" si="411"/>
        <v>0.90807795431583982</v>
      </c>
      <c r="GL88" s="165">
        <f t="shared" si="360"/>
        <v>0.90290275948615328</v>
      </c>
      <c r="GM88" s="165">
        <f t="shared" si="361"/>
        <v>0.90465018928351759</v>
      </c>
      <c r="GN88" s="165">
        <f t="shared" si="362"/>
        <v>0.90565723086370542</v>
      </c>
      <c r="GO88" s="165">
        <f t="shared" si="363"/>
        <v>0.90708149297277341</v>
      </c>
      <c r="GP88" s="165">
        <f t="shared" si="364"/>
        <v>0.90780741620166561</v>
      </c>
      <c r="GQ88" s="165">
        <f t="shared" si="365"/>
        <v>0.90903432942599827</v>
      </c>
      <c r="GR88" s="165">
        <f t="shared" si="366"/>
        <v>0.90969265957924694</v>
      </c>
      <c r="GS88" s="165">
        <f t="shared" si="367"/>
        <v>0.91077201316735446</v>
      </c>
      <c r="GT88" s="188">
        <f t="shared" si="283"/>
        <v>4.6805429849864522E-2</v>
      </c>
      <c r="GU88" s="165">
        <f t="shared" si="284"/>
        <v>4.7070846629229758E-2</v>
      </c>
      <c r="GV88" s="165">
        <f t="shared" si="285"/>
        <v>4.6952234866957127E-2</v>
      </c>
      <c r="GW88" s="165">
        <f t="shared" si="286"/>
        <v>4.6896961026212845E-2</v>
      </c>
      <c r="GX88" s="165">
        <f t="shared" si="287"/>
        <v>4.6812507475174195E-2</v>
      </c>
      <c r="GY88" s="165">
        <f t="shared" si="288"/>
        <v>4.6780400865829248E-2</v>
      </c>
      <c r="GZ88" s="165">
        <f t="shared" si="289"/>
        <v>4.6715056967595321E-2</v>
      </c>
      <c r="HA88" s="165">
        <f t="shared" si="290"/>
        <v>4.6693795079686323E-2</v>
      </c>
      <c r="HB88" s="165">
        <f t="shared" si="291"/>
        <v>4.6640182879714435E-2</v>
      </c>
      <c r="HC88" s="188">
        <f>BV88*Sheet3!DF88</f>
        <v>161.57305063254654</v>
      </c>
      <c r="HD88" s="165">
        <f>BW88*Sheet3!BZ88</f>
        <v>161.82439966692036</v>
      </c>
      <c r="HE88" s="165">
        <f>BX88*Sheet3!CA88</f>
        <v>149.80944161441087</v>
      </c>
      <c r="HF88" s="165">
        <f>BY88*Sheet3!CB88</f>
        <v>140.14267131136873</v>
      </c>
      <c r="HG88" s="165">
        <f>BZ88*Sheet3!CC88</f>
        <v>129.07772938471913</v>
      </c>
      <c r="HH88" s="165">
        <f>CA88*Sheet3!CD88</f>
        <v>123.40695172620083</v>
      </c>
      <c r="HI88" s="165">
        <f>CB88*Sheet3!CE88</f>
        <v>114.74711968183131</v>
      </c>
      <c r="HJ88" s="165">
        <f>CC88*Sheet3!CF88</f>
        <v>108.62391142790649</v>
      </c>
      <c r="HK88" s="165">
        <f>CD88*Sheet3!CG88</f>
        <v>100.9436240998772</v>
      </c>
      <c r="HL88" s="188">
        <f>(CE88*Sheet3!DF88)+2501</f>
        <v>2777.9002721684374</v>
      </c>
      <c r="HM88" s="165">
        <f>(CF88*Sheet3!BZ88)+2501</f>
        <v>2778.3407193328981</v>
      </c>
      <c r="HN88" s="165">
        <f>(CG88*Sheet3!CA88)+2501</f>
        <v>2758.0340858523678</v>
      </c>
      <c r="HO88" s="165">
        <f>(CH88*Sheet3!CB88)+2501</f>
        <v>2741.3476582543576</v>
      </c>
      <c r="HP88" s="165">
        <f>(CI88*Sheet3!CC88)+2501</f>
        <v>2722.6037654102547</v>
      </c>
      <c r="HQ88" s="165">
        <f>(CJ88*Sheet3!CD88)+2501</f>
        <v>2712.8271456335146</v>
      </c>
      <c r="HR88" s="165">
        <f>(CK88*Sheet3!CE88)+2501</f>
        <v>2698.1983593963091</v>
      </c>
      <c r="HS88" s="165">
        <f>(CL88*Sheet3!CF88)+2501</f>
        <v>2687.6474825918217</v>
      </c>
      <c r="HT88" s="165">
        <f>(CM88*Sheet3!CG88)+2501</f>
        <v>2674.6426121100712</v>
      </c>
      <c r="HU88" s="188">
        <f>-0.0021*(Sheet3!DF88^2) - 2.2115*(Sheet3!DF88) + 2499</f>
        <v>2134.1799999999998</v>
      </c>
      <c r="HV88" s="165">
        <f>-0.0021*(Sheet3!BZ88^2) - 2.2115*(Sheet3!BZ88) + 2499</f>
        <v>2133.5529996688906</v>
      </c>
      <c r="HW88" s="165">
        <f>-0.0021*(Sheet3!CA88^2) - 2.2115*(Sheet3!CA88) + 2499</f>
        <v>2162.3307674591479</v>
      </c>
      <c r="HX88" s="165">
        <f>-0.0021*(Sheet3!CB88^2) - 2.2115*(Sheet3!CB88) + 2499</f>
        <v>2185.7752873914051</v>
      </c>
      <c r="HY88" s="165">
        <f>-0.0021*(Sheet3!CC88^2) - 2.2115*(Sheet3!CC88) + 2499</f>
        <v>2211.8850216700657</v>
      </c>
      <c r="HZ88" s="165">
        <f>-0.0021*(Sheet3!CD88^2) - 2.2115*(Sheet3!CD88) + 2499</f>
        <v>2225.4062212142935</v>
      </c>
      <c r="IA88" s="165">
        <f>-0.0021*(Sheet3!CE88^2) - 2.2115*(Sheet3!CE88) + 2499</f>
        <v>2245.5098997232035</v>
      </c>
      <c r="IB88" s="165">
        <f>-0.0021*(Sheet3!CF88^2) - 2.2115*(Sheet3!CF88) + 2499</f>
        <v>2259.9119490815033</v>
      </c>
      <c r="IC88" s="165">
        <f>-0.0021*(Sheet3!CG88^2) - 2.2115*(Sheet3!CG88) + 2499</f>
        <v>2277.5483639168469</v>
      </c>
      <c r="ID88" s="188">
        <f t="shared" si="292"/>
        <v>0.69579791000989666</v>
      </c>
      <c r="IE88" s="165">
        <f t="shared" si="293"/>
        <v>0.69571875244411274</v>
      </c>
      <c r="IF88" s="165">
        <f t="shared" si="294"/>
        <v>0.69825813655480995</v>
      </c>
      <c r="IG88" s="165">
        <f t="shared" si="295"/>
        <v>0.70119327239067031</v>
      </c>
      <c r="IH88" s="165">
        <f t="shared" si="296"/>
        <v>0.70401105875196712</v>
      </c>
      <c r="II88" s="165">
        <f t="shared" si="297"/>
        <v>0.70597496611091004</v>
      </c>
      <c r="IJ88" s="165">
        <f t="shared" si="298"/>
        <v>0.70829843892288924</v>
      </c>
      <c r="IK88" s="165">
        <f t="shared" si="299"/>
        <v>0.71064474901225438</v>
      </c>
      <c r="IL88" s="165">
        <f t="shared" si="300"/>
        <v>0.71298039358787924</v>
      </c>
      <c r="IM88" s="188">
        <f t="shared" si="301"/>
        <v>12.816125195026155</v>
      </c>
      <c r="IN88" s="165">
        <f t="shared" si="368"/>
        <v>11.795630531073904</v>
      </c>
      <c r="IO88" s="165">
        <f t="shared" si="369"/>
        <v>12.09586449286911</v>
      </c>
      <c r="IP88" s="165">
        <f t="shared" si="370"/>
        <v>12.422981188588739</v>
      </c>
      <c r="IQ88" s="165">
        <f t="shared" si="371"/>
        <v>12.677691957895748</v>
      </c>
      <c r="IR88" s="165">
        <f t="shared" si="372"/>
        <v>12.90154252370961</v>
      </c>
      <c r="IS88" s="165">
        <f t="shared" si="373"/>
        <v>13.089959019030042</v>
      </c>
      <c r="IT88" s="165">
        <f t="shared" si="374"/>
        <v>13.309307394142175</v>
      </c>
      <c r="IU88" s="165">
        <f t="shared" si="375"/>
        <v>13.478608203178291</v>
      </c>
      <c r="IV88" s="188">
        <f>_xlfn.FORECAST.LINEAR(Sheet3!DF88,Sheet2!$AK$2:$AK$69,Sheet2!$AJ$2:$AJ$69)</f>
        <v>1.386217343669711E-5</v>
      </c>
      <c r="IW88" s="165">
        <f>_xlfn.FORECAST.LINEAR(Sheet3!BZ88,Sheet2!$AK$2:$AK$69,Sheet2!$AJ$2:$AJ$69)</f>
        <v>1.3869955425256275E-5</v>
      </c>
      <c r="IX88" s="165">
        <f>_xlfn.FORECAST.LINEAR(Sheet3!CA88,Sheet2!$AK$2:$AK$69,Sheet2!$AJ$2:$AJ$69)</f>
        <v>1.3510087386716659E-5</v>
      </c>
      <c r="IY88" s="165">
        <f>_xlfn.FORECAST.LINEAR(Sheet3!CB88,Sheet2!$AK$2:$AK$69,Sheet2!$AJ$2:$AJ$69)</f>
        <v>1.3212725340956994E-5</v>
      </c>
      <c r="IZ88" s="165">
        <f>_xlfn.FORECAST.LINEAR(Sheet3!CC88,Sheet2!$AK$2:$AK$69,Sheet2!$AJ$2:$AJ$69)</f>
        <v>1.2876939206225413E-5</v>
      </c>
      <c r="JA88" s="165">
        <f>_xlfn.FORECAST.LINEAR(Sheet3!CD88,Sheet2!$AK$2:$AK$69,Sheet2!$AJ$2:$AJ$69)</f>
        <v>1.2701066317135261E-5</v>
      </c>
      <c r="JB88" s="165">
        <f>_xlfn.FORECAST.LINEAR(Sheet3!CE88,Sheet2!$AK$2:$AK$69,Sheet2!$AJ$2:$AJ$69)</f>
        <v>1.2436984987523176E-5</v>
      </c>
      <c r="JC88" s="165">
        <f>_xlfn.FORECAST.LINEAR(Sheet3!CF88,Sheet2!$AK$2:$AK$69,Sheet2!$AJ$2:$AJ$69)</f>
        <v>1.2245842041635661E-5</v>
      </c>
      <c r="JD88" s="165">
        <f>_xlfn.FORECAST.LINEAR(Sheet3!CG88,Sheet2!$AK$2:$AK$69,Sheet2!$AJ$2:$AJ$69)</f>
        <v>1.2009475395880991E-5</v>
      </c>
      <c r="JE88" s="188">
        <f>_xlfn.FORECAST.LINEAR(Sheet3!DF88,New!$MC$2:$MC$18,New!$MB$2:$MB$18)</f>
        <v>2.337798370672098E-5</v>
      </c>
      <c r="JF88" s="165">
        <f>_xlfn.FORECAST.LINEAR(Sheet3!BZ88,New!$MC$2:$MC$18,New!$MB$2:$MB$18)</f>
        <v>2.3387131622103988E-5</v>
      </c>
      <c r="JG88" s="165">
        <f>_xlfn.FORECAST.LINEAR(Sheet3!CA88,New!$MC$2:$MC$18,New!$MB$2:$MB$18)</f>
        <v>2.2964098056765279E-5</v>
      </c>
      <c r="JH88" s="165">
        <f>_xlfn.FORECAST.LINEAR(Sheet3!CB88,New!$MC$2:$MC$18,New!$MB$2:$MB$18)</f>
        <v>2.2614541794629276E-5</v>
      </c>
      <c r="JI88" s="165">
        <f>_xlfn.FORECAST.LINEAR(Sheet3!CC88,New!$MC$2:$MC$18,New!$MB$2:$MB$18)</f>
        <v>2.221981708847517E-5</v>
      </c>
      <c r="JJ88" s="165">
        <f>_xlfn.FORECAST.LINEAR(Sheet3!CD88,New!$MC$2:$MC$18,New!$MB$2:$MB$18)</f>
        <v>2.2013074262354378E-5</v>
      </c>
      <c r="JK88" s="165">
        <f>_xlfn.FORECAST.LINEAR(Sheet3!CE88,New!$MC$2:$MC$18,New!$MB$2:$MB$18)</f>
        <v>2.1702640285337303E-5</v>
      </c>
      <c r="JL88" s="165">
        <f>_xlfn.FORECAST.LINEAR(Sheet3!CF88,New!$MC$2:$MC$18,New!$MB$2:$MB$18)</f>
        <v>2.1477947138882072E-5</v>
      </c>
      <c r="JM88" s="165">
        <f>_xlfn.FORECAST.LINEAR(Sheet3!CG88,New!$MC$2:$MC$18,New!$MB$2:$MB$18)</f>
        <v>2.1200092441681053E-5</v>
      </c>
      <c r="JN88" s="188">
        <f t="shared" si="376"/>
        <v>2.192101436997209E-5</v>
      </c>
      <c r="JO88" s="165">
        <f t="shared" si="377"/>
        <v>2.1930207997175027E-5</v>
      </c>
      <c r="JP88" s="165">
        <f t="shared" si="378"/>
        <v>2.1518710680084639E-5</v>
      </c>
      <c r="JQ88" s="165">
        <f t="shared" si="379"/>
        <v>2.1171425595132278E-5</v>
      </c>
      <c r="JR88" s="165">
        <f t="shared" si="380"/>
        <v>2.0786557789541702E-5</v>
      </c>
      <c r="JS88" s="165">
        <f t="shared" si="381"/>
        <v>2.0580942936092434E-5</v>
      </c>
      <c r="JT88" s="165">
        <f t="shared" si="382"/>
        <v>2.0279512311540684E-5</v>
      </c>
      <c r="JU88" s="165">
        <f t="shared" si="383"/>
        <v>2.00558828242644E-5</v>
      </c>
      <c r="JV88" s="165">
        <f t="shared" si="384"/>
        <v>1.9785682441813171E-5</v>
      </c>
      <c r="JW88" s="188">
        <f t="shared" si="302"/>
        <v>1.0152024173422087</v>
      </c>
      <c r="JX88" s="165">
        <f t="shared" si="385"/>
        <v>1.0151099887836625</v>
      </c>
      <c r="JY88" s="165">
        <f t="shared" si="386"/>
        <v>1.0194916146412949</v>
      </c>
      <c r="JZ88" s="165">
        <f t="shared" si="387"/>
        <v>1.023285707443264</v>
      </c>
      <c r="KA88" s="165">
        <f t="shared" si="388"/>
        <v>1.0277729003013321</v>
      </c>
      <c r="KB88" s="165">
        <f t="shared" si="389"/>
        <v>1.0302142777620469</v>
      </c>
      <c r="KC88" s="165">
        <f t="shared" si="390"/>
        <v>1.0340048952160641</v>
      </c>
      <c r="KD88" s="165">
        <f t="shared" si="391"/>
        <v>1.0368466598518098</v>
      </c>
      <c r="KE88" s="165">
        <f t="shared" si="392"/>
        <v>1.0404810435233705</v>
      </c>
      <c r="KF88" s="188">
        <f t="shared" si="393"/>
        <v>0.9677010468805306</v>
      </c>
      <c r="KG88" s="165">
        <f t="shared" si="394"/>
        <v>0.96777744863478821</v>
      </c>
      <c r="KH88" s="165">
        <f t="shared" si="395"/>
        <v>0.96417688289507364</v>
      </c>
      <c r="KI88" s="165">
        <f t="shared" si="396"/>
        <v>0.96109388448939803</v>
      </c>
      <c r="KJ88" s="165">
        <f t="shared" si="397"/>
        <v>0.95748861596755752</v>
      </c>
      <c r="KK88" s="165">
        <f t="shared" si="398"/>
        <v>0.95554543158103</v>
      </c>
      <c r="KL88" s="165">
        <f t="shared" si="399"/>
        <v>0.95255360243033171</v>
      </c>
      <c r="KM88" s="165">
        <f t="shared" si="400"/>
        <v>0.9503305881244164</v>
      </c>
      <c r="KN88" s="165">
        <f t="shared" si="401"/>
        <v>0.94751205778124992</v>
      </c>
      <c r="KO88" s="188">
        <f t="shared" si="304"/>
        <v>0.62439789784645483</v>
      </c>
      <c r="KP88" s="165">
        <f t="shared" si="305"/>
        <v>0.62459209194994936</v>
      </c>
      <c r="KQ88" s="165">
        <f t="shared" si="306"/>
        <v>0.61826894624011219</v>
      </c>
      <c r="KR88" s="165">
        <f t="shared" si="307"/>
        <v>0.61286274299885146</v>
      </c>
      <c r="KS88" s="165">
        <f t="shared" si="308"/>
        <v>0.60659202675569457</v>
      </c>
      <c r="KT88" s="165">
        <f t="shared" si="309"/>
        <v>0.60321267775750942</v>
      </c>
      <c r="KU88" s="165">
        <f t="shared" si="310"/>
        <v>0.59805539125552243</v>
      </c>
      <c r="KV88" s="165">
        <f t="shared" si="311"/>
        <v>0.59421730824551178</v>
      </c>
      <c r="KW88" s="165">
        <f t="shared" si="312"/>
        <v>0.58949579152634757</v>
      </c>
      <c r="KX88" s="188">
        <f>AVERAGE(Sheet3!J88:P88)*KO88^(1/3)/ID88^(1/3)</f>
        <v>74.447973976420585</v>
      </c>
      <c r="KY88" s="165">
        <f>Sheet3!J88*KP88^(1/3)/IE88^(1/3)</f>
        <v>65.559410989532068</v>
      </c>
      <c r="KZ88" s="165">
        <f>Sheet3!K88*KQ88^(1/3)/IF88^(1/3)</f>
        <v>65.104807039826625</v>
      </c>
      <c r="LA88" s="165">
        <f>Sheet3!L88*KR88^(1/3)/IG88^(1/3)</f>
        <v>67.274092399163706</v>
      </c>
      <c r="LB88" s="165">
        <f>Sheet3!M88*KS88^(1/3)/IH88^(1/3)</f>
        <v>69.967708834094893</v>
      </c>
      <c r="LC88" s="165">
        <f>Sheet3!N88*KT88^(1/3)/II88^(1/3)</f>
        <v>74.878826181030064</v>
      </c>
      <c r="LD88" s="165">
        <f>Sheet3!O88*KU88^(1/3)/IJ88^(1/3)</f>
        <v>81.561487966390871</v>
      </c>
      <c r="LE88" s="165">
        <f>Sheet3!P88*KV88^(1/3)/IK88^(1/3)</f>
        <v>89.908950926957687</v>
      </c>
      <c r="LF88" s="165">
        <f>Sheet3!Q88*KW88^(1/3)/IL88^(1/3)</f>
        <v>98.887942314117481</v>
      </c>
      <c r="LG88" s="186">
        <f t="shared" si="402"/>
        <v>27.26831514272595</v>
      </c>
      <c r="LH88" s="183">
        <f t="shared" si="403"/>
        <v>27.273333019396176</v>
      </c>
      <c r="LI88" s="183">
        <f t="shared" si="404"/>
        <v>27.698741132285328</v>
      </c>
      <c r="LJ88" s="183">
        <f t="shared" si="405"/>
        <v>27.710206328210091</v>
      </c>
      <c r="LK88" s="183">
        <f t="shared" si="406"/>
        <v>28.098265495870841</v>
      </c>
      <c r="LL88" s="183">
        <f t="shared" si="407"/>
        <v>28.104735377185932</v>
      </c>
      <c r="LM88" s="183">
        <f t="shared" si="408"/>
        <v>28.499529143874863</v>
      </c>
      <c r="LN88" s="183">
        <f t="shared" si="409"/>
        <v>28.50845230735284</v>
      </c>
      <c r="LO88" s="183">
        <f t="shared" si="410"/>
        <v>28.865146282690162</v>
      </c>
      <c r="LT88" s="165"/>
      <c r="MF88" s="165"/>
      <c r="MJ88"/>
      <c r="MK88"/>
      <c r="ML88"/>
      <c r="MM88"/>
      <c r="MN88"/>
      <c r="MO88"/>
      <c r="MP88"/>
      <c r="MQ88"/>
      <c r="MR88"/>
    </row>
    <row r="89" spans="1:356" x14ac:dyDescent="0.3">
      <c r="A89" s="184" t="str">
        <f>Sheet3!A89</f>
        <v>2023.02.21-1</v>
      </c>
      <c r="B89" s="186">
        <f t="shared" si="313"/>
        <v>0.96464108711368157</v>
      </c>
      <c r="C89" s="183">
        <f t="shared" si="257"/>
        <v>0.96480539263438425</v>
      </c>
      <c r="D89" s="183">
        <f t="shared" si="258"/>
        <v>0.94783724052363505</v>
      </c>
      <c r="E89" s="183">
        <f t="shared" si="259"/>
        <v>0.93418598375871698</v>
      </c>
      <c r="F89" s="183">
        <f t="shared" si="260"/>
        <v>0.92043598934634785</v>
      </c>
      <c r="G89" s="183">
        <f t="shared" si="261"/>
        <v>0.91263849112703321</v>
      </c>
      <c r="H89" s="183">
        <f t="shared" si="262"/>
        <v>0.89897503544402935</v>
      </c>
      <c r="I89" s="183">
        <f t="shared" si="263"/>
        <v>0.8886389621671833</v>
      </c>
      <c r="J89" s="183">
        <f t="shared" si="264"/>
        <v>0.87500784554790245</v>
      </c>
      <c r="K89" s="186">
        <f xml:space="preserve"> (6.057 * (10^(-6)))
+ (4.055 * (10^(-8)) * (Sheet3!DF89 + 273))
+ (1.25 * (10^(-10)) * (Sheet3!DF89 + 273)^2)
- (3.367 * (10^(-14)) * (DD89 + 273)^3)</f>
        <v>5.3312525254134695E-5</v>
      </c>
      <c r="L89" s="183">
        <f xml:space="preserve"> (6.057 * (10^(-6)))
+ (4.055 * (10^(-8)) * (Sheet3!BZ89 + 273))
+ (1.25 * (10^(-10)) * (Sheet3!BZ89 + 273)^2)
- (3.367 * (10^(-14)) * (BX89 + 273)^3)</f>
        <v>5.3315570913862261E-5</v>
      </c>
      <c r="M89" s="183">
        <f xml:space="preserve"> (6.057 * (10^(-6)))
+ (4.055 * (10^(-8)) * (Sheet3!CA89 + 273))
+ (1.25 * (10^(-10)) * (Sheet3!CA89 + 273)^2)
- (3.367 * (10^(-14)) * (BY89 + 273)^3)</f>
        <v>5.0621706511685902E-5</v>
      </c>
      <c r="N89" s="183">
        <f xml:space="preserve"> (6.057 * (10^(-6)))
+ (4.055 * (10^(-8)) * (Sheet3!CB89 + 273))
+ (1.25 * (10^(-10)) * (Sheet3!CB89 + 273)^2)
- (3.367 * (10^(-14)) * (BZ89 + 273)^3)</f>
        <v>4.8678725356793703E-5</v>
      </c>
      <c r="O89" s="183">
        <f xml:space="preserve"> (6.057 * (10^(-6)))
+ (4.055 * (10^(-8)) * (Sheet3!CC89 + 273))
+ (1.25 * (10^(-10)) * (Sheet3!CC89 + 273)^2)
- (3.367 * (10^(-14)) * (CA89 + 273)^3)</f>
        <v>4.676623833199824E-5</v>
      </c>
      <c r="P89" s="183">
        <f xml:space="preserve"> (6.057 * (10^(-6)))
+ (4.055 * (10^(-8)) * (Sheet3!CD89 + 273))
+ (1.25 * (10^(-10)) * (Sheet3!CD89 + 273)^2)
- (3.367 * (10^(-14)) * (CB89 + 273)^3)</f>
        <v>4.5788365898843928E-5</v>
      </c>
      <c r="Q89" s="183">
        <f xml:space="preserve"> (6.057 * (10^(-6)))
+ (4.055 * (10^(-8)) * (Sheet3!CE89 + 273))
+ (1.25 * (10^(-10)) * (Sheet3!CE89 + 273)^2)
- (3.367 * (10^(-14)) * (CC89 + 273)^3)</f>
        <v>4.4074595491500306E-5</v>
      </c>
      <c r="R89" s="183">
        <f xml:space="preserve"> (6.057 * (10^(-6)))
+ (4.055 * (10^(-8)) * (Sheet3!CF89 + 273))
+ (1.25 * (10^(-10)) * (Sheet3!CF89 + 273)^2)
- (3.367 * (10^(-14)) * (CD89 + 273)^3)</f>
        <v>4.2906814811361278E-5</v>
      </c>
      <c r="S89" s="183">
        <f xml:space="preserve"> (6.057 * (10^(-6)))
+ (4.055 * (10^(-8)) * (Sheet3!CG89 + 273))
+ (1.25 * (10^(-10)) * (Sheet3!CG89 + 273)^2)
- (3.367 * (10^(-14)) * (CE89 + 273)^3)</f>
        <v>4.1347361811796454E-5</v>
      </c>
      <c r="T89" s="188">
        <f t="shared" si="314"/>
        <v>5.3312525254134695E-5</v>
      </c>
      <c r="U89" s="165">
        <f t="shared" si="315"/>
        <v>5.3315570913862261E-5</v>
      </c>
      <c r="V89" s="165">
        <f t="shared" si="316"/>
        <v>5.0621706511685902E-5</v>
      </c>
      <c r="W89" s="165">
        <f t="shared" si="317"/>
        <v>4.8678725356793703E-5</v>
      </c>
      <c r="X89" s="165">
        <f t="shared" si="318"/>
        <v>4.676623833199824E-5</v>
      </c>
      <c r="Y89" s="165">
        <f t="shared" si="319"/>
        <v>4.5788365898843928E-5</v>
      </c>
      <c r="Z89" s="165">
        <f t="shared" si="320"/>
        <v>4.4074595491500306E-5</v>
      </c>
      <c r="AA89" s="165">
        <f t="shared" si="321"/>
        <v>4.2906814811361278E-5</v>
      </c>
      <c r="AB89" s="165">
        <f t="shared" si="322"/>
        <v>4.1347361811796454E-5</v>
      </c>
      <c r="AC89" s="186">
        <f t="shared" si="265"/>
        <v>5.1427452317924097E-5</v>
      </c>
      <c r="AD89" s="183">
        <f t="shared" si="266"/>
        <v>5.1439150329075238E-5</v>
      </c>
      <c r="AE89" s="183">
        <f t="shared" si="267"/>
        <v>4.7981138610633693E-5</v>
      </c>
      <c r="AF89" s="183">
        <f t="shared" si="268"/>
        <v>4.5474982935556725E-5</v>
      </c>
      <c r="AG89" s="183">
        <f t="shared" si="269"/>
        <v>4.3045328847119896E-5</v>
      </c>
      <c r="AH89" s="183">
        <f t="shared" si="270"/>
        <v>4.1788225165093426E-5</v>
      </c>
      <c r="AI89" s="183">
        <f t="shared" si="271"/>
        <v>3.9621961044152745E-5</v>
      </c>
      <c r="AJ89" s="183">
        <f t="shared" si="272"/>
        <v>3.8128667383867616E-5</v>
      </c>
      <c r="AK89" s="183">
        <f t="shared" si="273"/>
        <v>3.6179265978029634E-5</v>
      </c>
      <c r="AL89" s="186">
        <f t="shared" si="323"/>
        <v>4.0292003252217393E-2</v>
      </c>
      <c r="AM89" s="183">
        <f t="shared" si="324"/>
        <v>4.0296544365447745E-2</v>
      </c>
      <c r="AN89" s="183">
        <f t="shared" si="325"/>
        <v>3.8807746939130729E-2</v>
      </c>
      <c r="AO89" s="183">
        <f t="shared" si="326"/>
        <v>3.7714200595450519E-2</v>
      </c>
      <c r="AP89" s="183">
        <f t="shared" si="327"/>
        <v>3.6606471216875498E-2</v>
      </c>
      <c r="AQ89" s="183">
        <f t="shared" si="328"/>
        <v>3.6035094702008483E-2</v>
      </c>
      <c r="AR89" s="183">
        <f t="shared" si="329"/>
        <v>3.5011383444540217E-2</v>
      </c>
      <c r="AS89" s="183">
        <f t="shared" si="330"/>
        <v>3.4304959622235238E-2</v>
      </c>
      <c r="AT89" s="183">
        <f t="shared" si="331"/>
        <v>3.3345368796156544E-2</v>
      </c>
      <c r="AU89" s="186">
        <f>_xlfn.FORECAST.LINEAR(Sheet3!DF89,Sheet2!$AH$2:$AH$40,Sheet2!$AG$2:$AG$40)</f>
        <v>5.615110757455756E-2</v>
      </c>
      <c r="AV89" s="183">
        <f>_xlfn.FORECAST.LINEAR(Sheet3!BZ89,Sheet2!$AH$2:$AH$40,Sheet2!$AG$2:$AG$40)</f>
        <v>5.6164921956595414E-2</v>
      </c>
      <c r="AW89" s="183">
        <f>_xlfn.FORECAST.LINEAR(Sheet3!CA89,Sheet2!$AH$2:$AH$40,Sheet2!$AG$2:$AG$40)</f>
        <v>5.1829889482045595E-2</v>
      </c>
      <c r="AX89" s="183">
        <f>_xlfn.FORECAST.LINEAR(Sheet3!CB89,Sheet2!$AH$2:$AH$40,Sheet2!$AG$2:$AG$40)</f>
        <v>4.8628016031435684E-2</v>
      </c>
      <c r="AY89" s="183">
        <f>_xlfn.FORECAST.LINEAR(Sheet3!CC89,Sheet2!$AH$2:$AH$40,Sheet2!$AG$2:$AG$40)</f>
        <v>4.5410560454245359E-2</v>
      </c>
      <c r="AZ89" s="183">
        <f>_xlfn.FORECAST.LINEAR(Sheet3!CD89,Sheet2!$AH$2:$AH$40,Sheet2!$AG$2:$AG$40)</f>
        <v>4.3738793237633911E-2</v>
      </c>
      <c r="BA89" s="183">
        <f>_xlfn.FORECAST.LINEAR(Sheet3!CE89,Sheet2!$AH$2:$AH$40,Sheet2!$AG$2:$AG$40)</f>
        <v>4.0763252943680293E-2</v>
      </c>
      <c r="BB89" s="183">
        <f>_xlfn.FORECAST.LINEAR(Sheet3!CF89,Sheet2!$AH$2:$AH$40,Sheet2!$AG$2:$AG$40)</f>
        <v>3.8700741430123801E-2</v>
      </c>
      <c r="BC89" s="183">
        <f>_xlfn.FORECAST.LINEAR(Sheet3!CG89,Sheet2!$AH$2:$AH$40,Sheet2!$AG$2:$AG$40)</f>
        <v>3.5911568324780895E-2</v>
      </c>
      <c r="BD89" s="186">
        <f>_xlfn.FORECAST.LINEAR(Sheet3!DF89,Sheet2!$AB$12:$AB$37,Sheet2!$AA$12:$AA$37)/1000</f>
        <v>3.7324862686859299E-2</v>
      </c>
      <c r="BE89" s="183">
        <f>_xlfn.FORECAST.LINEAR(Sheet3!BZ89,Sheet2!$AB$12:$AB$37,Sheet2!$AA$12:$AA$37)/1000</f>
        <v>3.7327951262927955E-2</v>
      </c>
      <c r="BF89" s="183">
        <f>_xlfn.FORECAST.LINEAR(Sheet3!CA89,Sheet2!$AB$12:$AB$37,Sheet2!$AA$12:$AA$37)/1000</f>
        <v>3.6358738342575921E-2</v>
      </c>
      <c r="BG89" s="183">
        <f>_xlfn.FORECAST.LINEAR(Sheet3!CB89,Sheet2!$AB$12:$AB$37,Sheet2!$AA$12:$AA$37)/1000</f>
        <v>3.5642873551278001E-2</v>
      </c>
      <c r="BH89" s="183">
        <f>_xlfn.FORECAST.LINEAR(Sheet3!CC89,Sheet2!$AB$12:$AB$37,Sheet2!$AA$12:$AA$37)/1000</f>
        <v>3.4923524957148865E-2</v>
      </c>
      <c r="BI89" s="183">
        <f>_xlfn.FORECAST.LINEAR(Sheet3!CD89,Sheet2!$AB$12:$AB$37,Sheet2!$AA$12:$AA$37)/1000</f>
        <v>3.4549756503123828E-2</v>
      </c>
      <c r="BJ89" s="183">
        <f>_xlfn.FORECAST.LINEAR(Sheet3!CE89,Sheet2!$AB$12:$AB$37,Sheet2!$AA$12:$AA$37)/1000</f>
        <v>3.3884494566827163E-2</v>
      </c>
      <c r="BK89" s="183">
        <f>_xlfn.FORECAST.LINEAR(Sheet3!CF89,Sheet2!$AB$12:$AB$37,Sheet2!$AA$12:$AA$37)/1000</f>
        <v>3.342336473237964E-2</v>
      </c>
      <c r="BL89" s="183">
        <f>_xlfn.FORECAST.LINEAR(Sheet3!CG89,Sheet2!$AB$12:$AB$37,Sheet2!$AA$12:$AA$37)/1000</f>
        <v>3.2799770185702688E-2</v>
      </c>
      <c r="BM89" s="186">
        <f t="shared" si="332"/>
        <v>0.69634053303488053</v>
      </c>
      <c r="BN89" s="183">
        <f t="shared" si="333"/>
        <v>0.69626366007659912</v>
      </c>
      <c r="BO89" s="183">
        <f t="shared" si="334"/>
        <v>0.72222805682939439</v>
      </c>
      <c r="BP89" s="183">
        <f t="shared" si="335"/>
        <v>0.74255241365640368</v>
      </c>
      <c r="BQ89" s="183">
        <f t="shared" si="336"/>
        <v>0.76435327441729606</v>
      </c>
      <c r="BR89" s="183">
        <f t="shared" si="337"/>
        <v>0.77607156192355753</v>
      </c>
      <c r="BS89" s="183">
        <f t="shared" si="338"/>
        <v>0.79805615811105024</v>
      </c>
      <c r="BT89" s="183">
        <f t="shared" si="339"/>
        <v>0.8138824330488208</v>
      </c>
      <c r="BU89" s="183">
        <f t="shared" si="340"/>
        <v>0.83653123490566039</v>
      </c>
      <c r="BV89" s="186">
        <f t="shared" si="341"/>
        <v>1.1251286265407607</v>
      </c>
      <c r="BW89" s="183">
        <f t="shared" si="342"/>
        <v>1.1251237435447907</v>
      </c>
      <c r="BX89" s="183">
        <f t="shared" si="343"/>
        <v>1.1198852489758933</v>
      </c>
      <c r="BY89" s="183">
        <f t="shared" si="344"/>
        <v>1.1168767435287017</v>
      </c>
      <c r="BZ89" s="183">
        <f t="shared" si="345"/>
        <v>1.112596541210864</v>
      </c>
      <c r="CA89" s="183">
        <f t="shared" si="346"/>
        <v>1.1111430444769257</v>
      </c>
      <c r="CB89" s="183">
        <f t="shared" si="347"/>
        <v>1.1072351188069116</v>
      </c>
      <c r="CC89" s="183">
        <f t="shared" si="348"/>
        <v>1.1054614722080409</v>
      </c>
      <c r="CD89" s="183">
        <f t="shared" si="349"/>
        <v>1.101776771585389</v>
      </c>
      <c r="CE89" s="187">
        <f xml:space="preserve"> -0.0000000019505*Sheet3!DF89^3 + 0.0000015497*Sheet3!DF89^2  + 0.00016911*Sheet3!DF89 + 1.8585</f>
        <v>1.9414898911875</v>
      </c>
      <c r="CF89" s="185">
        <f xml:space="preserve"> -0.0000000019505*Sheet3!BZ89^3 + 0.0000015497*Sheet3!BZ89^2  + 0.00016911*Sheet3!BZ89 + 1.8585</f>
        <v>1.9415202544451851</v>
      </c>
      <c r="CG89" s="185">
        <f xml:space="preserve"> -0.0000000019505*Sheet3!CA89^3 + 0.0000015497*Sheet3!CA89^2  + 0.00016911*Sheet3!CA89 + 1.8585</f>
        <v>1.9321032275184096</v>
      </c>
      <c r="CH89" s="185">
        <f xml:space="preserve"> -0.0000000019505*Sheet3!CB89^3 + 0.0000015497*Sheet3!CB89^2  + 0.00016911*Sheet3!CB89 + 1.8585</f>
        <v>1.9253125163898248</v>
      </c>
      <c r="CI89" s="185">
        <f xml:space="preserve"> -0.0000000019505*Sheet3!CC89^3 + 0.0000015497*Sheet3!CC89^2  + 0.00016911*Sheet3!CC89 + 1.8585</f>
        <v>1.918656150227243</v>
      </c>
      <c r="CJ89" s="185">
        <f xml:space="preserve"> -0.0000000019505*Sheet3!CD89^3 + 0.0000015497*Sheet3!CD89^2  + 0.00016911*Sheet3!CD89 + 1.8585</f>
        <v>1.915271651962142</v>
      </c>
      <c r="CK89" s="185">
        <f xml:space="preserve"> -0.0000000019505*Sheet3!CE89^3 + 0.0000015497*Sheet3!CE89^2  + 0.00016911*Sheet3!CE89 + 1.8585</f>
        <v>1.909385951092599</v>
      </c>
      <c r="CL89" s="185">
        <f xml:space="preserve"> -0.0000000019505*Sheet3!CF89^3 + 0.0000015497*Sheet3!CF89^2  + 0.00016911*Sheet3!CF89 + 1.8585</f>
        <v>1.9054184472183242</v>
      </c>
      <c r="CM89" s="185">
        <f xml:space="preserve"> -0.0000000019505*Sheet3!CG89^3 + 0.0000015497*Sheet3!CG89^2  + 0.00016911*Sheet3!CG89 + 1.8585</f>
        <v>1.9002118213119867</v>
      </c>
      <c r="CN89" s="186">
        <f>_xlfn.FORECAST.LINEAR(Sheet3!DF89,New!$LU$2:$LU$14,New!$LT$2:$LT$14)</f>
        <v>1.0350674194089138</v>
      </c>
      <c r="CO89" s="183">
        <f>_xlfn.FORECAST.LINEAR(Sheet3!BZ89,New!$LU$2:$LU$14,New!$LT$2:$LT$14)</f>
        <v>1.0350775869753284</v>
      </c>
      <c r="CP89" s="183">
        <f>_xlfn.FORECAST.LINEAR(Sheet3!CA89,New!$LU$2:$LU$14,New!$LT$2:$LT$14)</f>
        <v>1.0318869462015599</v>
      </c>
      <c r="CQ89" s="183">
        <f>_xlfn.FORECAST.LINEAR(Sheet3!CB89,New!$LU$2:$LU$14,New!$LT$2:$LT$14)</f>
        <v>1.0295303253356405</v>
      </c>
      <c r="CR89" s="183">
        <f>_xlfn.FORECAST.LINEAR(Sheet3!CC89,New!$LU$2:$LU$14,New!$LT$2:$LT$14)</f>
        <v>1.0271622358201316</v>
      </c>
      <c r="CS89" s="183">
        <f>_xlfn.FORECAST.LINEAR(Sheet3!CD89,New!$LU$2:$LU$14,New!$LT$2:$LT$14)</f>
        <v>1.0259317932163252</v>
      </c>
      <c r="CT89" s="183">
        <f>_xlfn.FORECAST.LINEAR(Sheet3!CE89,New!$LU$2:$LU$14,New!$LT$2:$LT$14)</f>
        <v>1.0237417565230325</v>
      </c>
      <c r="CU89" s="183">
        <f>_xlfn.FORECAST.LINEAR(Sheet3!CF89,New!$LU$2:$LU$14,New!$LT$2:$LT$14)</f>
        <v>1.0222237209903913</v>
      </c>
      <c r="CV89" s="183">
        <f>_xlfn.FORECAST.LINEAR(Sheet3!CG89,New!$LU$2:$LU$14,New!$LT$2:$LT$14)</f>
        <v>1.0201708529929192</v>
      </c>
      <c r="CW89" s="186">
        <f>EXP((17.625*Sheet3!BA89)/(243.04+Sheet3!BA89)) / EXP((17.625*Sheet3!DF89)/(243.04+Sheet3!DF89))</f>
        <v>7.1697599584682617E-3</v>
      </c>
      <c r="CX89" s="183">
        <f>EXP((17.625*(Sheet3!BC89+273))/(243.04+(Sheet3!BC89+273)))/EXP((17.625*(Sheet3!BZ89+273))/(243.04+(Sheet3!BZ89+273)))</f>
        <v>0.20286873100283653</v>
      </c>
      <c r="CY89" s="183">
        <f>EXP((17.625*(Sheet3!BE89+273))/(243.04+(Sheet3!BE89+273))) / EXP((17.625*(Sheet3!CA89+273))/(243.04+(Sheet3!CA89+273)))</f>
        <v>0.23397072730694116</v>
      </c>
      <c r="CZ89" s="183">
        <f>EXP((17.625*(Sheet3!BG89+273))/(243.04+(Sheet3!BG89+273))) / EXP((17.625*(Sheet3!CB89+273))/(243.04+(Sheet3!CB89+273)))</f>
        <v>0.2601661111558517</v>
      </c>
      <c r="DA89" s="183">
        <f>EXP((17.625*(Sheet3!BI89+273))/(243.04+(Sheet3!BI89+273))) / EXP((17.625*(Sheet3!CC89+273))/(243.04+(Sheet3!CC89+273)))</f>
        <v>0.29039230232704932</v>
      </c>
      <c r="DB89" s="183">
        <f>EXP((17.625*(Sheet3!BK89+273))/(243.04+(Sheet3!BK89+273)))/EXP((17.625*(Sheet3!CD89+273))/(243.04+(Sheet3!CD89+273)))</f>
        <v>0.30887034552198905</v>
      </c>
      <c r="DC89" s="183" t="e">
        <f>EXP((17.625*(Sheet3!#REF!+273))/(243.04+(Sheet3!#REF!+273))) / EXP((17.625*(Sheet3!CE89+273))/(243.04+(Sheet3!CE89+273)))</f>
        <v>#REF!</v>
      </c>
      <c r="DD89" s="183">
        <f>EXP((17.625*(Sheet3!BM89+273))/(243.04+(Sheet3!BM89+273))) / EXP((17.625*(Sheet3!CF89+273))/(243.04+(Sheet3!CF89+273)))</f>
        <v>0.3728725795514527</v>
      </c>
      <c r="DE89" s="183">
        <f>EXP((17.625*(Sheet3!BQ89+273))/(243.04+(Sheet3!BQ89+273))) / EXP((17.625*(Sheet3!CG89+273))/(243.04+(Sheet3!CG89+273)))</f>
        <v>0.41491874327510148</v>
      </c>
      <c r="DF89" s="186">
        <f>((Sheet3!DA89-Sheet3!DB89)/New!$LQ$3)/(((Sheet3!DA89-Sheet3!DB89)/New!$LQ$3)+(Sheet3!DB89/New!$LP$3))</f>
        <v>0.84936849567322015</v>
      </c>
      <c r="DG89" s="183">
        <f>((Sheet3!DA89-Sheet3!DB89)/New!$LQ$3)/(((Sheet3!DA89-Sheet3!DB89)/New!$LQ$3)+((Sheet3!DB89-(Sheet3!B89*0.004))/New!$LP$3))</f>
        <v>0.84950058501623682</v>
      </c>
      <c r="DH89" s="183" cm="1">
        <f t="array" ref="DH89">((Sheet3!DA89-Sheet3!DB89)/New!$LQ$3)/(((Sheet3!DA89-Sheet3!DB89)/New!$LQ$3)+((Sheet3!DB89-(SUM(Sheet3!B89:C89*0.004)))/New!$LP$3))</f>
        <v>0.86081252040431833</v>
      </c>
      <c r="DI89" s="183" cm="1">
        <f t="array" ref="DI89">((Sheet3!DA89-Sheet3!DB89)/New!$LQ$3)/(((Sheet3!DA89-Sheet3!DB89)/New!$LQ$3)+((Sheet3!DB89-(SUM(Sheet3!B89:D89*0.004)))/New!$LP$3))</f>
        <v>0.8625796120181497</v>
      </c>
      <c r="DJ89" s="183" cm="1">
        <f t="array" ref="DJ89">((Sheet3!DA89-Sheet3!DB89)/New!$LQ$3)/(((Sheet3!DA89-Sheet3!DB89)/New!$LQ$3)+((Sheet3!DB89-(SUM(Sheet3!B89:E89*0.004)))/New!$LP$3))</f>
        <v>0.8749450918359849</v>
      </c>
      <c r="DK89" s="183" cm="1">
        <f t="array" ref="DK89">((Sheet3!DA89-Sheet3!DB89)/New!$LQ$3)/(((Sheet3!DA89-Sheet3!DB89)/New!$LQ$3)+((Sheet3!DB89-(SUM(Sheet3!B89:F89*0.004)))/New!$LP$3))</f>
        <v>0.87508525668569426</v>
      </c>
      <c r="DL89" s="183" cm="1">
        <f t="array" ref="DL89">((Sheet3!DA89-Sheet3!DB89)/New!$LQ$3)/(((Sheet3!DA89-Sheet3!DB89)/New!$LQ$3)+((Sheet3!DB89-(SUM(Sheet3!B89:G89*0.004)))/New!$LP$3))</f>
        <v>0.88680560980824341</v>
      </c>
      <c r="DM89" s="183" cm="1">
        <f t="array" ref="DM89">((Sheet3!DA89-Sheet3!DB89)/New!$LQ$3)/(((Sheet3!DA89-Sheet3!DB89)/New!$LQ$3)+((Sheet3!DB89-(SUM(Sheet3!B89:H89*0.004)))/New!$LP$3))</f>
        <v>0.88702161383262079</v>
      </c>
      <c r="DN89" s="183" cm="1">
        <f t="array" ref="DN89">((Sheet3!DA89-Sheet3!DB89)/New!$LQ$3)/(((Sheet3!DA89-Sheet3!DB89)/New!$LQ$3)+((Sheet3!DB89-(SUM(Sheet3!B89:I89*0.004)))/New!$LP$3))</f>
        <v>0.89891813280521948</v>
      </c>
      <c r="DO89" s="186">
        <f>(Sheet3!DB89/$LP$3) / ((Sheet3!DB89/$LP$3) + ((Sheet3!DA89-Sheet3!DB89)/$LQ$3))</f>
        <v>0.15063150432677991</v>
      </c>
      <c r="DP89" s="183">
        <f>((Sheet3!$DB89-(Sheet3!B89/4000)) / $LP$3) / (((Sheet3!$DA89-Sheet3!DB89) / $LQ$3) + (Sheet3!$DB89-((Sheet3!B89/4000)))/$LP$3)</f>
        <v>0.15062324994628953</v>
      </c>
      <c r="DQ89" s="183">
        <f>((Sheet3!$DB89-(SUM(Sheet3!B89:C89)/4000))/$LP$3)/(((Sheet3!$DA89-Sheet3!$DB89)/$LQ$3)+(Sheet3!$DB89-(SUM(Sheet3!B89:C89)/4000))/$LP$3)</f>
        <v>0.14992517476221806</v>
      </c>
      <c r="DR89" s="183">
        <f>((Sheet3!$DB89-(SUM(Sheet3!B89:D89)/4000))/$LP$3)/(((Sheet3!$DA89-Sheet3!$DB89)/$LQ$3)+(Sheet3!$DB89-(SUM(Sheet3!B89:D89)/4000))/$LP$3)</f>
        <v>0.14981767672243973</v>
      </c>
      <c r="DS89" s="183">
        <f>((Sheet3!$DB89-(SUM(Sheet3!B89:E89)/4000))/$LP$3)/(((Sheet3!$DA89-Sheet3!$DB89)/$LQ$3)+(Sheet3!$DB89-(SUM(Sheet3!B89:E89)/4000))/$LP$3)</f>
        <v>0.14907685550972463</v>
      </c>
      <c r="DT89" s="183">
        <f>((Sheet3!$DB89-(SUM(Sheet3!B89:F89)/4000))/$LP$3)/(((Sheet3!$DA89-Sheet3!$DB89)/$LQ$3)+(Sheet3!$DB89-(SUM(Sheet3!B89:F89)/4000))/$LP$3)</f>
        <v>0.14906857088448255</v>
      </c>
      <c r="DU89" s="183">
        <f>((Sheet3!$DB89-(SUM(Sheet3!B89:G89)/4000))/$LP$3)/(((Sheet3!$DA89-Sheet3!$DB89)/$LQ$3)+(Sheet3!$DB89-(SUM(Sheet3!B89:G89)/4000))/$LP$3)</f>
        <v>0.14838453321237657</v>
      </c>
      <c r="DV89" s="183">
        <f>((Sheet3!$DB89-(SUM(Sheet3!B89:H89)/4000))/$LP$3)/(((Sheet3!$DA89-Sheet3!$DB89)/$LQ$3)+(Sheet3!$DB89-(SUM(Sheet3!B89:H89)/4000))/$LP$3)</f>
        <v>0.1483720859841047</v>
      </c>
      <c r="DW89" s="183">
        <f>((Sheet3!$DB89-(SUM(Sheet3!B89:I89)/4000))/$LP$3)/(((Sheet3!$DA89-Sheet3!$DB89)/$LQ$3)+(Sheet3!$DB89-(SUM(Sheet3!B89:I89)/4000))/$LP$3)</f>
        <v>0.14769523918740413</v>
      </c>
      <c r="DX89" s="186">
        <f>($LR$2*($LP$3/1000))/($LP$2*(Sheet3!DF89+273))*DO89</f>
        <v>6.9187681166927237E-2</v>
      </c>
      <c r="DY89" s="183">
        <f>(($LR$2*($LP$3/1000))/($LP$2*(Sheet3!BZ89+273)))*(DP89)</f>
        <v>6.9176023356093366E-2</v>
      </c>
      <c r="DZ89" s="183">
        <f>(($LR$2*($LP$3/1000))/($LP$2*(Sheet3!CA89+273)))*(DQ89)</f>
        <v>7.14031368602452E-2</v>
      </c>
      <c r="EA89" s="183">
        <f>(($LR$2*($LP$3/1000))/($LP$2*(Sheet3!CB89+273)))*(DR89)</f>
        <v>7.3356709197339998E-2</v>
      </c>
      <c r="EB89" s="183">
        <f>(($LR$2*($LP$3/1000))/($LP$2*(Sheet3!CC89+273)))*(DS89)</f>
        <v>7.5114736592031647E-2</v>
      </c>
      <c r="EC89" s="183">
        <f>(($LR$2*($LP$3/1000))/($LP$2*(Sheet3!CD89+273)))*(DT89)</f>
        <v>7.6261828013500899E-2</v>
      </c>
      <c r="ED89" s="183">
        <f>(($LR$2*($LP$3/1000))/($LP$2*(Sheet3!CE89+273)))*(DU89)</f>
        <v>7.8040937938746793E-2</v>
      </c>
      <c r="EE89" s="183">
        <f>(($LR$2*($LP$3/1000))/($LP$2*(Sheet3!CF89+273)))*(DV89)</f>
        <v>7.9581497158709755E-2</v>
      </c>
      <c r="EF89" s="183">
        <f>(($LR$2*($LP$3/1000))/($LP$2*(Sheet3!CG89+273)))*(DW89)</f>
        <v>8.140090023973505E-2</v>
      </c>
      <c r="EG89" s="186">
        <f>(($LR$2*($LQ$3/1000))/($LQ$2*(Sheet3!DF89+273)))*(1-DO89)</f>
        <v>0.62715285186795333</v>
      </c>
      <c r="EH89" s="183">
        <f>(($LR$2*($LQ$3/1000))/($LQ$2*(Sheet3!BZ89+273)))*(1-DP89)</f>
        <v>0.62708763672050571</v>
      </c>
      <c r="EI89" s="183">
        <f>(($LR$2*($LQ$3/1000))/($LQ$2*(Sheet3!CA89+273)))*(1-DQ89)</f>
        <v>0.65082491996914915</v>
      </c>
      <c r="EJ89" s="183">
        <f>(($LR$2*($LQ$3/1000))/($LQ$2*(Sheet3!CB89+273)))*(1-DR89)</f>
        <v>0.66919570445906373</v>
      </c>
      <c r="EK89" s="183">
        <f>(($LR$2*($LQ$3/1000))/($LQ$2*(Sheet3!CC89+273)))*(1-DS89)</f>
        <v>0.68923853782526445</v>
      </c>
      <c r="EL89" s="183">
        <f>(($LR$2*($LQ$3/1000))/($LQ$2*(Sheet3!CD89+273)))*(1-DT89)</f>
        <v>0.69980973391005663</v>
      </c>
      <c r="EM89" s="183">
        <f>(($LR$2*($LQ$3/1000))/($LQ$2*(Sheet3!CE89+273)))*(1-DU89)</f>
        <v>0.72001522017230346</v>
      </c>
      <c r="EN89" s="183">
        <f>(($LR$2*($LQ$3/1000))/($LQ$2*(Sheet3!CF89+273)))*(1-DV89)</f>
        <v>0.73430093589011103</v>
      </c>
      <c r="EO89" s="183">
        <f>(($LR$2*($LQ$3/1000))/($LQ$2*(Sheet3!CG89+273)))*(1-DW89)</f>
        <v>0.75513033466592538</v>
      </c>
      <c r="EP89" s="186">
        <f t="shared" si="350"/>
        <v>2905.074647839564</v>
      </c>
      <c r="EQ89" s="183">
        <f xml:space="preserve"> (($FV89-(Sheet3!B89/4000))*0.018)/(0.011*JO89*3600)</f>
        <v>2904.7826811044097</v>
      </c>
      <c r="ER89" s="183">
        <f>((($FV89-(SUM(Sheet3!B89:C89)/4000))*0.018)/(0.011*JP89*3600))</f>
        <v>2987.5842360276629</v>
      </c>
      <c r="ES89" s="183">
        <f>((($FV89-(SUM(Sheet3!B89:D89)/4000))*0.018)/(0.011*JQ89*3600))</f>
        <v>3053.4207729346422</v>
      </c>
      <c r="ET89" s="183">
        <f>((($FV89-(SUM(Sheet3!B89:E89)/4000))*0.018)/(0.011*JR89))/3600</f>
        <v>3120.2583378298418</v>
      </c>
      <c r="EU89" s="183">
        <f>((($FV89-(SUM(Sheet3!B89:F89)/4000))*0.018)/(0.011*JS89))/3600</f>
        <v>3157.6291487542694</v>
      </c>
      <c r="EV89" s="183">
        <f>((($FV89-(SUM(Sheet3!B89:G89)/4000))*0.018)/(0.011*JT89))/3600</f>
        <v>3223.8382603398709</v>
      </c>
      <c r="EW89" s="183">
        <f>((($FV89-(SUM(Sheet3!B89:H89)/4000))*0.018)/(0.011*JU89))/3600</f>
        <v>3273.2839908540527</v>
      </c>
      <c r="EX89" s="183">
        <f>((($FV89-(SUM(Sheet3!B89:I89)/4000))*0.018)/(0.011*JV89))/3600</f>
        <v>3339.9665200227705</v>
      </c>
      <c r="EY89" s="186">
        <f t="shared" si="351"/>
        <v>35.745626863654685</v>
      </c>
      <c r="EZ89" s="183">
        <f t="shared" si="352"/>
        <v>35.74306833282477</v>
      </c>
      <c r="FA89" s="183">
        <f t="shared" si="353"/>
        <v>36.438376456710195</v>
      </c>
      <c r="FB89" s="183">
        <f t="shared" si="354"/>
        <v>36.995612738427226</v>
      </c>
      <c r="FC89" s="183">
        <f t="shared" si="355"/>
        <v>37.554338391502093</v>
      </c>
      <c r="FD89" s="183">
        <f t="shared" si="356"/>
        <v>37.871313927910165</v>
      </c>
      <c r="FE89" s="183">
        <f t="shared" si="357"/>
        <v>38.425179088204914</v>
      </c>
      <c r="FF89" s="183">
        <f t="shared" si="358"/>
        <v>38.84502596526977</v>
      </c>
      <c r="FG89" s="183">
        <f t="shared" si="359"/>
        <v>39.403250154566017</v>
      </c>
      <c r="FH89" s="186">
        <f t="shared" si="274"/>
        <v>80.014606324606888</v>
      </c>
      <c r="FI89" s="183">
        <f t="shared" si="275"/>
        <v>80.017896601716885</v>
      </c>
      <c r="FJ89" s="183">
        <f t="shared" si="276"/>
        <v>78.56062735582158</v>
      </c>
      <c r="FK89" s="183">
        <f t="shared" si="277"/>
        <v>77.51444222048049</v>
      </c>
      <c r="FL89" s="183">
        <f t="shared" si="278"/>
        <v>76.373989299851331</v>
      </c>
      <c r="FM89" s="183">
        <f t="shared" si="279"/>
        <v>75.816465771207547</v>
      </c>
      <c r="FN89" s="183">
        <f t="shared" si="280"/>
        <v>74.739926610126133</v>
      </c>
      <c r="FO89" s="183">
        <f t="shared" si="281"/>
        <v>74.032058181292157</v>
      </c>
      <c r="FP89" s="183">
        <f t="shared" si="282"/>
        <v>72.995328231734234</v>
      </c>
      <c r="FQ89" s="314">
        <f>Sheet3!CV89</f>
        <v>4</v>
      </c>
      <c r="FR89" s="183">
        <v>3000</v>
      </c>
      <c r="FS89" s="183">
        <v>10</v>
      </c>
      <c r="FT89" s="183">
        <v>9.4533333333333344E-2</v>
      </c>
      <c r="FU89" s="183">
        <v>36.590000000000003</v>
      </c>
      <c r="FV89" s="183">
        <v>156</v>
      </c>
      <c r="FW89" s="183">
        <v>15.5</v>
      </c>
      <c r="FX89" s="183">
        <v>627</v>
      </c>
      <c r="FY89" s="183">
        <v>6.21</v>
      </c>
      <c r="FZ89" s="183">
        <v>10.72</v>
      </c>
      <c r="GA89" s="183">
        <v>205</v>
      </c>
      <c r="GB89" s="186">
        <f>EXP($LP$6-($LQ$6/('Trial and Error method'!T89+$LP$8))) / ($LR$2/1000)</f>
        <v>2.8944031973014754E-2</v>
      </c>
      <c r="GC89" s="183">
        <f>EXP($LP$6-($LQ$6/('Trial and Error method'!U89+$LP$8))) / ($LR$2/1000)</f>
        <v>4.1532772857782618E-2</v>
      </c>
      <c r="GD89" s="183">
        <f>EXP($LP$6-($LQ$6/('Trial and Error method'!V89+$LP$8))) / ($LR$2/1000)</f>
        <v>3.7764247805526445E-2</v>
      </c>
      <c r="GE89" s="183">
        <f>EXP($LP$6-($LQ$6/('Trial and Error method'!W89+$LP$8))) / ($LR$2/1000)</f>
        <v>3.4952457155579576E-2</v>
      </c>
      <c r="GF89" s="183">
        <f>EXP($LP$6-($LQ$6/('Trial and Error method'!X89+$LP$8))) / ($LR$2/1000)</f>
        <v>3.2358922975628646E-2</v>
      </c>
      <c r="GG89" s="183">
        <f>EXP($LP$6-($LQ$6/('Trial and Error method'!Y89+$LP$8))) / ($LR$2/1000)</f>
        <v>3.0565242650404098E-2</v>
      </c>
      <c r="GH89" s="183">
        <f>EXP($LP$6-($LQ$6/('Trial and Error method'!Z89+$LP$8))) / ($LR$2/1000)</f>
        <v>2.8457492770038024E-2</v>
      </c>
      <c r="GI89" s="183">
        <f>EXP($LP$6-($LQ$6/('Trial and Error method'!AA89+$LP$8))) / ($LR$2/1000)</f>
        <v>2.6781680206785775E-2</v>
      </c>
      <c r="GJ89" s="183">
        <f>EXP($LP$6-($LQ$6/('Trial and Error method'!AB89+$LP$8))) / ($LR$2/1000)</f>
        <v>2.4887579855124797E-2</v>
      </c>
      <c r="GK89" s="188">
        <f t="shared" si="411"/>
        <v>0.90885489944027387</v>
      </c>
      <c r="GL89" s="165">
        <f t="shared" si="360"/>
        <v>0.90282378266135821</v>
      </c>
      <c r="GM89" s="165">
        <f t="shared" si="361"/>
        <v>0.90499719541885071</v>
      </c>
      <c r="GN89" s="165">
        <f t="shared" si="362"/>
        <v>0.90640221827174339</v>
      </c>
      <c r="GO89" s="165">
        <f t="shared" si="363"/>
        <v>0.90803221697897418</v>
      </c>
      <c r="GP89" s="165">
        <f t="shared" si="364"/>
        <v>0.90889590313277813</v>
      </c>
      <c r="GQ89" s="165">
        <f t="shared" si="365"/>
        <v>0.91026266953590285</v>
      </c>
      <c r="GR89" s="165">
        <f t="shared" si="366"/>
        <v>0.91107124312645316</v>
      </c>
      <c r="GS89" s="165">
        <f t="shared" si="367"/>
        <v>0.91233142568769976</v>
      </c>
      <c r="GT89" s="188">
        <f t="shared" si="283"/>
        <v>4.9857567263966278E-2</v>
      </c>
      <c r="GU89" s="165">
        <f t="shared" si="284"/>
        <v>5.0187212855144145E-2</v>
      </c>
      <c r="GV89" s="165">
        <f t="shared" si="285"/>
        <v>4.9972458449644069E-2</v>
      </c>
      <c r="GW89" s="165">
        <f t="shared" si="286"/>
        <v>4.9842891602205813E-2</v>
      </c>
      <c r="GX89" s="165">
        <f t="shared" si="287"/>
        <v>4.9698867710794375E-2</v>
      </c>
      <c r="GY89" s="165">
        <f t="shared" si="288"/>
        <v>4.9634380507196062E-2</v>
      </c>
      <c r="GZ89" s="165">
        <f t="shared" si="289"/>
        <v>4.9524112766408022E-2</v>
      </c>
      <c r="HA89" s="165">
        <f t="shared" si="290"/>
        <v>4.947008788550273E-2</v>
      </c>
      <c r="HB89" s="165">
        <f t="shared" si="291"/>
        <v>4.9379106817483295E-2</v>
      </c>
      <c r="HC89" s="188">
        <f>BV89*Sheet3!DF89</f>
        <v>230.65136844085595</v>
      </c>
      <c r="HD89" s="165">
        <f>BW89*Sheet3!BZ89</f>
        <v>230.71152500200589</v>
      </c>
      <c r="HE89" s="165">
        <f>BX89*Sheet3!CA89</f>
        <v>210.53510495333541</v>
      </c>
      <c r="HF89" s="165">
        <f>BY89*Sheet3!CB89</f>
        <v>195.89841912108864</v>
      </c>
      <c r="HG89" s="165">
        <f>BZ89*Sheet3!CC89</f>
        <v>181.06229177799136</v>
      </c>
      <c r="HH89" s="165">
        <f>CA89*Sheet3!CD89</f>
        <v>173.51664551193488</v>
      </c>
      <c r="HI89" s="165">
        <f>CB89*Sheet3!CE89</f>
        <v>159.94282452154138</v>
      </c>
      <c r="HJ89" s="165">
        <f>CC89*Sheet3!CF89</f>
        <v>150.71525248018779</v>
      </c>
      <c r="HK89" s="165">
        <f>CD89*Sheet3!CG89</f>
        <v>138.12118537127589</v>
      </c>
      <c r="HL89" s="188">
        <f>(CE89*Sheet3!DF89)+2501</f>
        <v>2899.0054276934375</v>
      </c>
      <c r="HM89" s="165">
        <f>(CF89*Sheet3!BZ89)+2501</f>
        <v>2899.1171860386567</v>
      </c>
      <c r="HN89" s="165">
        <f>(CG89*Sheet3!CA89)+2501</f>
        <v>2864.2296756817295</v>
      </c>
      <c r="HO89" s="165">
        <f>(CH89*Sheet3!CB89)+2501</f>
        <v>2838.696778503222</v>
      </c>
      <c r="HP89" s="165">
        <f>(CI89*Sheet3!CC89)+2501</f>
        <v>2813.2392231383387</v>
      </c>
      <c r="HQ89" s="165">
        <f>(CJ89*Sheet3!CD89)+2501</f>
        <v>2800.08976521472</v>
      </c>
      <c r="HR89" s="165">
        <f>(CK89*Sheet3!CE89)+2501</f>
        <v>2776.8154767061328</v>
      </c>
      <c r="HS89" s="165">
        <f>(CL89*Sheet3!CF89)+2501</f>
        <v>2760.7789516619828</v>
      </c>
      <c r="HT89" s="165">
        <f>(CM89*Sheet3!CG89)+2501</f>
        <v>2739.2147781518934</v>
      </c>
      <c r="HU89" s="188">
        <f>-0.0021*(Sheet3!DF89^2) - 2.2115*(Sheet3!DF89) + 2499</f>
        <v>1957.3899999999999</v>
      </c>
      <c r="HV89" s="165">
        <f>-0.0021*(Sheet3!BZ89^2) - 2.2115*(Sheet3!BZ89) + 2499</f>
        <v>1957.2229840319426</v>
      </c>
      <c r="HW89" s="165">
        <f>-0.0021*(Sheet3!CA89^2) - 2.2115*(Sheet3!CA89) + 2499</f>
        <v>2009.024501979693</v>
      </c>
      <c r="HX89" s="165">
        <f>-0.0021*(Sheet3!CB89^2) - 2.2115*(Sheet3!CB89) + 2499</f>
        <v>2046.5007142756517</v>
      </c>
      <c r="HY89" s="165">
        <f>-0.0021*(Sheet3!CC89^2) - 2.2115*(Sheet3!CC89) + 2499</f>
        <v>2083.4877877021904</v>
      </c>
      <c r="HZ89" s="165">
        <f>-0.0021*(Sheet3!CD89^2) - 2.2115*(Sheet3!CD89) + 2499</f>
        <v>2102.4402609014787</v>
      </c>
      <c r="IA89" s="165">
        <f>-0.0021*(Sheet3!CE89^2) - 2.2115*(Sheet3!CE89) + 2499</f>
        <v>2135.7237380128063</v>
      </c>
      <c r="IB89" s="165">
        <f>-0.0021*(Sheet3!CF89^2) - 2.2115*(Sheet3!CF89) + 2499</f>
        <v>2158.4565131389027</v>
      </c>
      <c r="IC89" s="165">
        <f>-0.0021*(Sheet3!CG89^2) - 2.2115*(Sheet3!CG89) + 2499</f>
        <v>2188.7585011405558</v>
      </c>
      <c r="ID89" s="188">
        <f t="shared" si="292"/>
        <v>0.68159741611054292</v>
      </c>
      <c r="IE89" s="165">
        <f t="shared" si="293"/>
        <v>0.68158177936385678</v>
      </c>
      <c r="IF89" s="165">
        <f t="shared" si="294"/>
        <v>0.68453989016323502</v>
      </c>
      <c r="IG89" s="165">
        <f t="shared" si="295"/>
        <v>0.68729201491702319</v>
      </c>
      <c r="IH89" s="165">
        <f t="shared" si="296"/>
        <v>0.68987039585765386</v>
      </c>
      <c r="II89" s="165">
        <f t="shared" si="297"/>
        <v>0.69160578270699502</v>
      </c>
      <c r="IJ89" s="165">
        <f t="shared" si="298"/>
        <v>0.69438887562810692</v>
      </c>
      <c r="IK89" s="165">
        <f t="shared" si="299"/>
        <v>0.69685793321820699</v>
      </c>
      <c r="IL89" s="165">
        <f t="shared" si="300"/>
        <v>0.69989011813670177</v>
      </c>
      <c r="IM89" s="188">
        <f t="shared" si="301"/>
        <v>11.875566044705032</v>
      </c>
      <c r="IN89" s="165">
        <f t="shared" si="368"/>
        <v>10.715692093228927</v>
      </c>
      <c r="IO89" s="165">
        <f t="shared" si="369"/>
        <v>11.260496471940836</v>
      </c>
      <c r="IP89" s="165">
        <f t="shared" si="370"/>
        <v>11.716655947830272</v>
      </c>
      <c r="IQ89" s="165">
        <f t="shared" si="371"/>
        <v>12.085789885392401</v>
      </c>
      <c r="IR89" s="165">
        <f t="shared" si="372"/>
        <v>12.36621572080856</v>
      </c>
      <c r="IS89" s="165">
        <f t="shared" si="373"/>
        <v>12.684661869191418</v>
      </c>
      <c r="IT89" s="165">
        <f t="shared" si="374"/>
        <v>12.983305999861175</v>
      </c>
      <c r="IU89" s="165">
        <f t="shared" si="375"/>
        <v>13.272921623083203</v>
      </c>
      <c r="IV89" s="188">
        <f>_xlfn.FORECAST.LINEAR(Sheet3!DF89,Sheet2!$AK$2:$AK$69,Sheet2!$AJ$2:$AJ$69)</f>
        <v>1.5962912137298422E-5</v>
      </c>
      <c r="IW89" s="165">
        <f>_xlfn.FORECAST.LINEAR(Sheet3!BZ89,Sheet2!$AK$2:$AK$69,Sheet2!$AJ$2:$AJ$69)</f>
        <v>1.5964815277376044E-5</v>
      </c>
      <c r="IX89" s="165">
        <f>_xlfn.FORECAST.LINEAR(Sheet3!CA89,Sheet2!$AK$2:$AK$69,Sheet2!$AJ$2:$AJ$69)</f>
        <v>1.5367598983696759E-5</v>
      </c>
      <c r="IY89" s="165">
        <f>_xlfn.FORECAST.LINEAR(Sheet3!CB89,Sheet2!$AK$2:$AK$69,Sheet2!$AJ$2:$AJ$69)</f>
        <v>1.4926492485364947E-5</v>
      </c>
      <c r="IZ89" s="165">
        <f>_xlfn.FORECAST.LINEAR(Sheet3!CC89,Sheet2!$AK$2:$AK$69,Sheet2!$AJ$2:$AJ$69)</f>
        <v>1.448323931340644E-5</v>
      </c>
      <c r="JA89" s="165">
        <f>_xlfn.FORECAST.LINEAR(Sheet3!CD89,Sheet2!$AK$2:$AK$69,Sheet2!$AJ$2:$AJ$69)</f>
        <v>1.4252928092703782E-5</v>
      </c>
      <c r="JB89" s="165">
        <f>_xlfn.FORECAST.LINEAR(Sheet3!CE89,Sheet2!$AK$2:$AK$69,Sheet2!$AJ$2:$AJ$69)</f>
        <v>1.3843002410144071E-5</v>
      </c>
      <c r="JC89" s="165">
        <f>_xlfn.FORECAST.LINEAR(Sheet3!CF89,Sheet2!$AK$2:$AK$69,Sheet2!$AJ$2:$AJ$69)</f>
        <v>1.3558860252264393E-5</v>
      </c>
      <c r="JD89" s="165">
        <f>_xlfn.FORECAST.LINEAR(Sheet3!CG89,Sheet2!$AK$2:$AK$69,Sheet2!$AJ$2:$AJ$69)</f>
        <v>1.3174609468866095E-5</v>
      </c>
      <c r="JE89" s="188">
        <f>_xlfn.FORECAST.LINEAR(Sheet3!DF89,New!$MC$2:$MC$18,New!$MB$2:$MB$18)</f>
        <v>2.5847452754227255E-5</v>
      </c>
      <c r="JF89" s="165">
        <f>_xlfn.FORECAST.LINEAR(Sheet3!BZ89,New!$MC$2:$MC$18,New!$MB$2:$MB$18)</f>
        <v>2.584968994132407E-5</v>
      </c>
      <c r="JG89" s="165">
        <f>_xlfn.FORECAST.LINEAR(Sheet3!CA89,New!$MC$2:$MC$18,New!$MB$2:$MB$18)</f>
        <v>2.5147647773259442E-5</v>
      </c>
      <c r="JH89" s="165">
        <f>_xlfn.FORECAST.LINEAR(Sheet3!CB89,New!$MC$2:$MC$18,New!$MB$2:$MB$18)</f>
        <v>2.4629116437604754E-5</v>
      </c>
      <c r="JI89" s="165">
        <f>_xlfn.FORECAST.LINEAR(Sheet3!CC89,New!$MC$2:$MC$18,New!$MB$2:$MB$18)</f>
        <v>2.4108061635288219E-5</v>
      </c>
      <c r="JJ89" s="165">
        <f>_xlfn.FORECAST.LINEAR(Sheet3!CD89,New!$MC$2:$MC$18,New!$MB$2:$MB$18)</f>
        <v>2.3837325236393964E-5</v>
      </c>
      <c r="JK89" s="165">
        <f>_xlfn.FORECAST.LINEAR(Sheet3!CE89,New!$MC$2:$MC$18,New!$MB$2:$MB$18)</f>
        <v>2.3355447702282113E-5</v>
      </c>
      <c r="JL89" s="165">
        <f>_xlfn.FORECAST.LINEAR(Sheet3!CF89,New!$MC$2:$MC$18,New!$MB$2:$MB$18)</f>
        <v>2.3021431737433817E-5</v>
      </c>
      <c r="JM89" s="165">
        <f>_xlfn.FORECAST.LINEAR(Sheet3!CG89,New!$MC$2:$MC$18,New!$MB$2:$MB$18)</f>
        <v>2.2569735666994154E-5</v>
      </c>
      <c r="JN89" s="188">
        <f t="shared" si="376"/>
        <v>2.4408698400168251E-5</v>
      </c>
      <c r="JO89" s="165">
        <f t="shared" si="377"/>
        <v>2.4410995295757071E-5</v>
      </c>
      <c r="JP89" s="165">
        <f t="shared" si="378"/>
        <v>2.372158294922502E-5</v>
      </c>
      <c r="JQ89" s="165">
        <f t="shared" si="379"/>
        <v>2.32081732101765E-5</v>
      </c>
      <c r="JR89" s="165">
        <f t="shared" si="380"/>
        <v>2.2698004041836688E-5</v>
      </c>
      <c r="JS89" s="165">
        <f t="shared" si="381"/>
        <v>2.2429227272025467E-5</v>
      </c>
      <c r="JT89" s="165">
        <f t="shared" si="382"/>
        <v>2.1956958166604572E-5</v>
      </c>
      <c r="JU89" s="165">
        <f t="shared" si="383"/>
        <v>2.1625071395510371E-5</v>
      </c>
      <c r="JV89" s="165">
        <f t="shared" si="384"/>
        <v>2.1182234648559353E-5</v>
      </c>
      <c r="JW89" s="188">
        <f t="shared" si="302"/>
        <v>0.99342087640971777</v>
      </c>
      <c r="JX89" s="165">
        <f t="shared" si="385"/>
        <v>0.99340366029368676</v>
      </c>
      <c r="JY89" s="165">
        <f t="shared" si="386"/>
        <v>0.99900850559646759</v>
      </c>
      <c r="JZ89" s="165">
        <f t="shared" si="387"/>
        <v>1.0034264682171878</v>
      </c>
      <c r="KA89" s="165">
        <f t="shared" si="388"/>
        <v>1.0081276380758906</v>
      </c>
      <c r="KB89" s="165">
        <f t="shared" si="389"/>
        <v>1.01068175053645</v>
      </c>
      <c r="KC89" s="165">
        <f t="shared" si="390"/>
        <v>1.0154305439847138</v>
      </c>
      <c r="KD89" s="165">
        <f t="shared" si="391"/>
        <v>1.0188846352510428</v>
      </c>
      <c r="KE89" s="165">
        <f t="shared" si="392"/>
        <v>1.0237839673367415</v>
      </c>
      <c r="KF89" s="188">
        <f t="shared" si="393"/>
        <v>0.98626119619886909</v>
      </c>
      <c r="KG89" s="165">
        <f t="shared" si="394"/>
        <v>0.98627632110696217</v>
      </c>
      <c r="KH89" s="165">
        <f t="shared" si="395"/>
        <v>0.98139112720203636</v>
      </c>
      <c r="KI89" s="165">
        <f t="shared" si="396"/>
        <v>0.97759456491550767</v>
      </c>
      <c r="KJ89" s="165">
        <f t="shared" si="397"/>
        <v>0.97360596479084283</v>
      </c>
      <c r="KK89" s="165">
        <f t="shared" si="398"/>
        <v>0.97146081388987637</v>
      </c>
      <c r="KL89" s="165">
        <f t="shared" si="399"/>
        <v>0.96751255998859398</v>
      </c>
      <c r="KM89" s="165">
        <f t="shared" si="400"/>
        <v>0.96467307976807848</v>
      </c>
      <c r="KN89" s="165">
        <f t="shared" si="401"/>
        <v>0.9606913776975663</v>
      </c>
      <c r="KO89" s="188">
        <f t="shared" si="304"/>
        <v>0.6574968724507505</v>
      </c>
      <c r="KP89" s="165">
        <f t="shared" si="305"/>
        <v>0.6575937762515881</v>
      </c>
      <c r="KQ89" s="165">
        <f t="shared" si="306"/>
        <v>0.64883240052067281</v>
      </c>
      <c r="KR89" s="165">
        <f t="shared" si="307"/>
        <v>0.64205856708477005</v>
      </c>
      <c r="KS89" s="165">
        <f t="shared" si="308"/>
        <v>0.63498154033199627</v>
      </c>
      <c r="KT89" s="165">
        <f t="shared" si="309"/>
        <v>0.63118605798444283</v>
      </c>
      <c r="KU89" s="165">
        <f t="shared" si="310"/>
        <v>0.62423826407971716</v>
      </c>
      <c r="KV89" s="165">
        <f t="shared" si="311"/>
        <v>0.61925511055299576</v>
      </c>
      <c r="KW89" s="165">
        <f t="shared" si="312"/>
        <v>0.61240934439106243</v>
      </c>
      <c r="KX89" s="188">
        <f>AVERAGE(Sheet3!J89:P89)*KO89^(1/3)/ID89^(1/3)</f>
        <v>55.888400953641195</v>
      </c>
      <c r="KY89" s="165">
        <f>Sheet3!J89*KP89^(1/3)/IE89^(1/3)</f>
        <v>50.921861044757328</v>
      </c>
      <c r="KZ89" s="165">
        <f>Sheet3!K89*KQ89^(1/3)/IF89^(1/3)</f>
        <v>49.746304763522502</v>
      </c>
      <c r="LA89" s="165">
        <f>Sheet3!L89*KR89^(1/3)/IG89^(1/3)</f>
        <v>50.000852481369279</v>
      </c>
      <c r="LB89" s="165">
        <f>Sheet3!M89*KS89^(1/3)/IH89^(1/3)</f>
        <v>50.746889446637141</v>
      </c>
      <c r="LC89" s="165">
        <f>Sheet3!N89*KT89^(1/3)/II89^(1/3)</f>
        <v>54.338827309121065</v>
      </c>
      <c r="LD89" s="165">
        <f>Sheet3!O89*KU89^(1/3)/IJ89^(1/3)</f>
        <v>60.254218027404349</v>
      </c>
      <c r="LE89" s="165">
        <f>Sheet3!P89*KV89^(1/3)/IK89^(1/3)</f>
        <v>69.217778620134993</v>
      </c>
      <c r="LF89" s="165">
        <f>Sheet3!Q89*KW89^(1/3)/IL89^(1/3)</f>
        <v>79.900037589886423</v>
      </c>
      <c r="LG89" s="186">
        <f t="shared" si="402"/>
        <v>27.311338185143395</v>
      </c>
      <c r="LH89" s="183">
        <f t="shared" si="403"/>
        <v>27.315014789852626</v>
      </c>
      <c r="LI89" s="183">
        <f t="shared" si="404"/>
        <v>27.630032614250418</v>
      </c>
      <c r="LJ89" s="183">
        <f t="shared" si="405"/>
        <v>27.679271010200367</v>
      </c>
      <c r="LK89" s="183">
        <f t="shared" si="406"/>
        <v>28.024029411577814</v>
      </c>
      <c r="LL89" s="183">
        <f t="shared" si="407"/>
        <v>28.02793933810166</v>
      </c>
      <c r="LM89" s="183">
        <f t="shared" si="408"/>
        <v>28.355037825867694</v>
      </c>
      <c r="LN89" s="183">
        <f t="shared" si="409"/>
        <v>28.361069065596343</v>
      </c>
      <c r="LO89" s="183">
        <f t="shared" si="410"/>
        <v>28.693398860000244</v>
      </c>
      <c r="LT89" s="165"/>
      <c r="MF89" s="165"/>
      <c r="MJ89"/>
      <c r="MK89"/>
      <c r="ML89"/>
      <c r="MM89"/>
      <c r="MN89"/>
      <c r="MO89"/>
      <c r="MP89"/>
      <c r="MQ89"/>
      <c r="MR89"/>
    </row>
    <row r="90" spans="1:356" x14ac:dyDescent="0.3">
      <c r="A90" s="184" t="str">
        <f>Sheet3!A90</f>
        <v>2023.02.21-2</v>
      </c>
      <c r="B90" s="186">
        <f t="shared" si="313"/>
        <v>0.96509266027704077</v>
      </c>
      <c r="C90" s="183">
        <f t="shared" si="257"/>
        <v>0.96478413632931947</v>
      </c>
      <c r="D90" s="183">
        <f t="shared" si="258"/>
        <v>0.95169701426446496</v>
      </c>
      <c r="E90" s="183">
        <f t="shared" si="259"/>
        <v>0.94187454466876463</v>
      </c>
      <c r="F90" s="183">
        <f t="shared" si="260"/>
        <v>0.92873101216661913</v>
      </c>
      <c r="G90" s="183">
        <f t="shared" si="261"/>
        <v>0.92209962417590607</v>
      </c>
      <c r="H90" s="183">
        <f t="shared" si="262"/>
        <v>0.91087917934804963</v>
      </c>
      <c r="I90" s="183">
        <f t="shared" si="263"/>
        <v>0.90096977414188861</v>
      </c>
      <c r="J90" s="183">
        <f t="shared" si="264"/>
        <v>0.88988126252926325</v>
      </c>
      <c r="K90" s="186">
        <f xml:space="preserve"> (6.057 * (10^(-6)))
+ (4.055 * (10^(-8)) * (Sheet3!DF90 + 273))
+ (1.25 * (10^(-10)) * (Sheet3!DF90 + 273)^2)
- (3.367 * (10^(-14)) * (DD90 + 273)^3)</f>
        <v>5.3312776320800573E-5</v>
      </c>
      <c r="L90" s="183">
        <f xml:space="preserve"> (6.057 * (10^(-6)))
+ (4.055 * (10^(-8)) * (Sheet3!BZ90 + 273))
+ (1.25 * (10^(-10)) * (Sheet3!BZ90 + 273)^2)
- (3.367 * (10^(-14)) * (BX90 + 273)^3)</f>
        <v>5.3240823698962132E-5</v>
      </c>
      <c r="M90" s="183">
        <f xml:space="preserve"> (6.057 * (10^(-6)))
+ (4.055 * (10^(-8)) * (Sheet3!CA90 + 273))
+ (1.25 * (10^(-10)) * (Sheet3!CA90 + 273)^2)
- (3.367 * (10^(-14)) * (BY90 + 273)^3)</f>
        <v>5.1208699550818892E-5</v>
      </c>
      <c r="N90" s="183">
        <f xml:space="preserve"> (6.057 * (10^(-6)))
+ (4.055 * (10^(-8)) * (Sheet3!CB90 + 273))
+ (1.25 * (10^(-10)) * (Sheet3!CB90 + 273)^2)
- (3.367 * (10^(-14)) * (BZ90 + 273)^3)</f>
        <v>4.9789280093298361E-5</v>
      </c>
      <c r="O90" s="183">
        <f xml:space="preserve"> (6.057 * (10^(-6)))
+ (4.055 * (10^(-8)) * (Sheet3!CC90 + 273))
+ (1.25 * (10^(-10)) * (Sheet3!CC90 + 273)^2)
- (3.367 * (10^(-14)) * (CA90 + 273)^3)</f>
        <v>4.7919071544176534E-5</v>
      </c>
      <c r="P90" s="183">
        <f xml:space="preserve"> (6.057 * (10^(-6)))
+ (4.055 * (10^(-8)) * (Sheet3!CD90 + 273))
+ (1.25 * (10^(-10)) * (Sheet3!CD90 + 273)^2)
- (3.367 * (10^(-14)) * (CB90 + 273)^3)</f>
        <v>4.7056944543534043E-5</v>
      </c>
      <c r="Q90" s="183">
        <f xml:space="preserve"> (6.057 * (10^(-6)))
+ (4.055 * (10^(-8)) * (Sheet3!CE90 + 273))
+ (1.25 * (10^(-10)) * (Sheet3!CE90 + 273)^2)
- (3.367 * (10^(-14)) * (CC90 + 273)^3)</f>
        <v>4.5577898467104088E-5</v>
      </c>
      <c r="R90" s="183">
        <f xml:space="preserve"> (6.057 * (10^(-6)))
+ (4.055 * (10^(-8)) * (Sheet3!CF90 + 273))
+ (1.25 * (10^(-10)) * (Sheet3!CF90 + 273)^2)
- (3.367 * (10^(-14)) * (CD90 + 273)^3)</f>
        <v>4.4402094742930331E-5</v>
      </c>
      <c r="S90" s="183">
        <f xml:space="preserve"> (6.057 * (10^(-6)))
+ (4.055 * (10^(-8)) * (Sheet3!CG90 + 273))
+ (1.25 * (10^(-10)) * (Sheet3!CG90 + 273)^2)
- (3.367 * (10^(-14)) * (CE90 + 273)^3)</f>
        <v>4.3059931734547218E-5</v>
      </c>
      <c r="T90" s="188">
        <f t="shared" si="314"/>
        <v>5.3312776320800573E-5</v>
      </c>
      <c r="U90" s="165">
        <f t="shared" si="315"/>
        <v>5.3240823698962132E-5</v>
      </c>
      <c r="V90" s="165">
        <f t="shared" si="316"/>
        <v>5.1208699550818892E-5</v>
      </c>
      <c r="W90" s="165">
        <f t="shared" si="317"/>
        <v>4.9789280093298361E-5</v>
      </c>
      <c r="X90" s="165">
        <f t="shared" si="318"/>
        <v>4.7919071544176534E-5</v>
      </c>
      <c r="Y90" s="165">
        <f t="shared" si="319"/>
        <v>4.7056944543534043E-5</v>
      </c>
      <c r="Z90" s="165">
        <f t="shared" si="320"/>
        <v>4.5577898467104088E-5</v>
      </c>
      <c r="AA90" s="165">
        <f t="shared" si="321"/>
        <v>4.4402094742930331E-5</v>
      </c>
      <c r="AB90" s="165">
        <f t="shared" si="322"/>
        <v>4.3059931734547218E-5</v>
      </c>
      <c r="AC90" s="186">
        <f t="shared" si="265"/>
        <v>5.145176912619625E-5</v>
      </c>
      <c r="AD90" s="183">
        <f t="shared" si="266"/>
        <v>5.1365902109864742E-5</v>
      </c>
      <c r="AE90" s="183">
        <f t="shared" si="267"/>
        <v>4.8735166466880387E-5</v>
      </c>
      <c r="AF90" s="183">
        <f t="shared" si="268"/>
        <v>4.6895255517260979E-5</v>
      </c>
      <c r="AG90" s="183">
        <f t="shared" si="269"/>
        <v>4.4503927817307708E-5</v>
      </c>
      <c r="AH90" s="183">
        <f t="shared" si="270"/>
        <v>4.3391190878459196E-5</v>
      </c>
      <c r="AI90" s="183">
        <f t="shared" si="271"/>
        <v>4.1515958752124503E-5</v>
      </c>
      <c r="AJ90" s="183">
        <f t="shared" si="272"/>
        <v>4.0004945271964678E-5</v>
      </c>
      <c r="AK90" s="183">
        <f t="shared" si="273"/>
        <v>3.8318226416362765E-5</v>
      </c>
      <c r="AL90" s="186">
        <f t="shared" si="323"/>
        <v>4.0320682097139383E-2</v>
      </c>
      <c r="AM90" s="183">
        <f t="shared" si="324"/>
        <v>4.0284860762176064E-2</v>
      </c>
      <c r="AN90" s="183">
        <f t="shared" si="325"/>
        <v>3.9166667252500759E-2</v>
      </c>
      <c r="AO90" s="183">
        <f t="shared" si="326"/>
        <v>3.8372997117911763E-2</v>
      </c>
      <c r="AP90" s="183">
        <f t="shared" si="327"/>
        <v>3.7300036031451163E-2</v>
      </c>
      <c r="AQ90" s="183">
        <f t="shared" si="328"/>
        <v>3.6801245845759042E-2</v>
      </c>
      <c r="AR90" s="183">
        <f t="shared" si="329"/>
        <v>3.592708774319623E-2</v>
      </c>
      <c r="AS90" s="183">
        <f t="shared" si="330"/>
        <v>3.5226077221193905E-2</v>
      </c>
      <c r="AT90" s="183">
        <f t="shared" si="331"/>
        <v>3.4413082426491229E-2</v>
      </c>
      <c r="AU90" s="186">
        <f>_xlfn.FORECAST.LINEAR(Sheet3!DF90,Sheet2!$AH$2:$AH$40,Sheet2!$AG$2:$AG$40)</f>
        <v>5.615110757455756E-2</v>
      </c>
      <c r="AV90" s="183">
        <f>_xlfn.FORECAST.LINEAR(Sheet3!BZ90,Sheet2!$AH$2:$AH$40,Sheet2!$AG$2:$AG$40)</f>
        <v>5.6046231070361441E-2</v>
      </c>
      <c r="AW90" s="183">
        <f>_xlfn.FORECAST.LINEAR(Sheet3!CA90,Sheet2!$AH$2:$AH$40,Sheet2!$AG$2:$AG$40)</f>
        <v>5.2784581983035837E-2</v>
      </c>
      <c r="AX90" s="183">
        <f>_xlfn.FORECAST.LINEAR(Sheet3!CB90,Sheet2!$AH$2:$AH$40,Sheet2!$AG$2:$AG$40)</f>
        <v>5.0466135735934739E-2</v>
      </c>
      <c r="AY90" s="183">
        <f>_xlfn.FORECAST.LINEAR(Sheet3!CC90,Sheet2!$AH$2:$AH$40,Sheet2!$AG$2:$AG$40)</f>
        <v>4.7358116695787301E-2</v>
      </c>
      <c r="AZ90" s="183">
        <f>_xlfn.FORECAST.LINEAR(Sheet3!CD90,Sheet2!$AH$2:$AH$40,Sheet2!$AG$2:$AG$40)</f>
        <v>4.5904013414286515E-2</v>
      </c>
      <c r="BA90" s="183">
        <f>_xlfn.FORECAST.LINEAR(Sheet3!CE90,Sheet2!$AH$2:$AH$40,Sheet2!$AG$2:$AG$40)</f>
        <v>4.3376593022748974E-2</v>
      </c>
      <c r="BB90" s="183">
        <f>_xlfn.FORECAST.LINEAR(Sheet3!CF90,Sheet2!$AH$2:$AH$40,Sheet2!$AG$2:$AG$40)</f>
        <v>4.1336521533608901E-2</v>
      </c>
      <c r="BC90" s="183">
        <f>_xlfn.FORECAST.LINEAR(Sheet3!CG90,Sheet2!$AH$2:$AH$40,Sheet2!$AG$2:$AG$40)</f>
        <v>3.8984180105822885E-2</v>
      </c>
      <c r="BD90" s="186">
        <f>_xlfn.FORECAST.LINEAR(Sheet3!DF90,Sheet2!$AB$12:$AB$37,Sheet2!$AA$12:$AA$37)/1000</f>
        <v>3.7324862686859299E-2</v>
      </c>
      <c r="BE90" s="183">
        <f>_xlfn.FORECAST.LINEAR(Sheet3!BZ90,Sheet2!$AB$12:$AB$37,Sheet2!$AA$12:$AA$37)/1000</f>
        <v>3.7301414728048141E-2</v>
      </c>
      <c r="BF90" s="183">
        <f>_xlfn.FORECAST.LINEAR(Sheet3!CA90,Sheet2!$AB$12:$AB$37,Sheet2!$AA$12:$AA$37)/1000</f>
        <v>3.6572185487979143E-2</v>
      </c>
      <c r="BG90" s="183">
        <f>_xlfn.FORECAST.LINEAR(Sheet3!CB90,Sheet2!$AB$12:$AB$37,Sheet2!$AA$12:$AA$37)/1000</f>
        <v>3.6053834571111922E-2</v>
      </c>
      <c r="BH90" s="183">
        <f>_xlfn.FORECAST.LINEAR(Sheet3!CC90,Sheet2!$AB$12:$AB$37,Sheet2!$AA$12:$AA$37)/1000</f>
        <v>3.5358953453589533E-2</v>
      </c>
      <c r="BI90" s="183">
        <f>_xlfn.FORECAST.LINEAR(Sheet3!CD90,Sheet2!$AB$12:$AB$37,Sheet2!$AA$12:$AA$37)/1000</f>
        <v>3.5033849617290544E-2</v>
      </c>
      <c r="BJ90" s="183">
        <f>_xlfn.FORECAST.LINEAR(Sheet3!CE90,Sheet2!$AB$12:$AB$37,Sheet2!$AA$12:$AA$37)/1000</f>
        <v>3.4468776918753538E-2</v>
      </c>
      <c r="BK90" s="183">
        <f>_xlfn.FORECAST.LINEAR(Sheet3!CF90,Sheet2!$AB$12:$AB$37,Sheet2!$AA$12:$AA$37)/1000</f>
        <v>3.4012664154356838E-2</v>
      </c>
      <c r="BL90" s="183">
        <f>_xlfn.FORECAST.LINEAR(Sheet3!CG90,Sheet2!$AB$12:$AB$37,Sheet2!$AA$12:$AA$37)/1000</f>
        <v>3.3486735059644272E-2</v>
      </c>
      <c r="BM90" s="186">
        <f t="shared" si="332"/>
        <v>0.6959309746489577</v>
      </c>
      <c r="BN90" s="183">
        <f t="shared" si="333"/>
        <v>0.69653230077622708</v>
      </c>
      <c r="BO90" s="183">
        <f t="shared" si="334"/>
        <v>0.7158184827056302</v>
      </c>
      <c r="BP90" s="183">
        <f t="shared" si="335"/>
        <v>0.7301504297166338</v>
      </c>
      <c r="BQ90" s="183">
        <f t="shared" si="336"/>
        <v>0.75045764423213479</v>
      </c>
      <c r="BR90" s="183">
        <f t="shared" si="337"/>
        <v>0.76026796316622347</v>
      </c>
      <c r="BS90" s="183">
        <f t="shared" si="338"/>
        <v>0.77813872082029523</v>
      </c>
      <c r="BT90" s="183">
        <f t="shared" si="339"/>
        <v>0.79302153575462542</v>
      </c>
      <c r="BU90" s="183">
        <f t="shared" si="340"/>
        <v>0.81108055198366213</v>
      </c>
      <c r="BV90" s="186">
        <f t="shared" si="341"/>
        <v>1.1260596366530962</v>
      </c>
      <c r="BW90" s="183">
        <f t="shared" si="342"/>
        <v>1.1259670615250246</v>
      </c>
      <c r="BX90" s="183">
        <f t="shared" si="343"/>
        <v>1.1227194765301878</v>
      </c>
      <c r="BY90" s="183">
        <f t="shared" si="344"/>
        <v>1.1206873489485814</v>
      </c>
      <c r="BZ90" s="183">
        <f t="shared" si="345"/>
        <v>1.1168239612159883</v>
      </c>
      <c r="CA90" s="183">
        <f t="shared" si="346"/>
        <v>1.1155634108307018</v>
      </c>
      <c r="CB90" s="183">
        <f t="shared" si="347"/>
        <v>1.1121155574003529</v>
      </c>
      <c r="CC90" s="183">
        <f t="shared" si="348"/>
        <v>1.1103646341310451</v>
      </c>
      <c r="CD90" s="183">
        <f t="shared" si="349"/>
        <v>1.1072716672691478</v>
      </c>
      <c r="CE90" s="187">
        <f xml:space="preserve"> -0.0000000019505*Sheet3!DF90^3 + 0.0000015497*Sheet3!DF90^2  + 0.00016911*Sheet3!DF90 + 1.8585</f>
        <v>1.9414898911875</v>
      </c>
      <c r="CF90" s="185">
        <f xml:space="preserve"> -0.0000000019505*Sheet3!BZ90^3 + 0.0000015497*Sheet3!BZ90^2  + 0.00016911*Sheet3!BZ90 + 1.8585</f>
        <v>1.9412594459708343</v>
      </c>
      <c r="CG90" s="185">
        <f xml:space="preserve"> -0.0000000019505*Sheet3!CA90^3 + 0.0000015497*Sheet3!CA90^2  + 0.00016911*Sheet3!CA90 + 1.8585</f>
        <v>1.9341566765905611</v>
      </c>
      <c r="CH90" s="185">
        <f xml:space="preserve"> -0.0000000019505*Sheet3!CB90^3 + 0.0000015497*Sheet3!CB90^2  + 0.00016911*Sheet3!CB90 + 1.8585</f>
        <v>1.929192092407443</v>
      </c>
      <c r="CI90" s="185">
        <f xml:space="preserve"> -0.0000000019505*Sheet3!CC90^3 + 0.0000015497*Sheet3!CC90^2  + 0.00016911*Sheet3!CC90 + 1.8585</f>
        <v>1.9226639529905589</v>
      </c>
      <c r="CJ90" s="185">
        <f xml:space="preserve"> -0.0000000019505*Sheet3!CD90^3 + 0.0000015497*Sheet3!CD90^2  + 0.00016911*Sheet3!CD90 + 1.8585</f>
        <v>1.9196651796798443</v>
      </c>
      <c r="CK90" s="185">
        <f xml:space="preserve"> -0.0000000019505*Sheet3!CE90^3 + 0.0000015497*Sheet3!CE90^2  + 0.00016911*Sheet3!CE90 + 1.8585</f>
        <v>1.914545515112561</v>
      </c>
      <c r="CL90" s="185">
        <f xml:space="preserve"> -0.0000000019505*Sheet3!CF90^3 + 0.0000015497*Sheet3!CF90^2  + 0.00016911*Sheet3!CF90 + 1.8585</f>
        <v>1.9105054532842416</v>
      </c>
      <c r="CM90" s="185">
        <f xml:space="preserve"> -0.0000000019505*Sheet3!CG90^3 + 0.0000015497*Sheet3!CG90^2  + 0.00016911*Sheet3!CG90 + 1.8585</f>
        <v>1.9059579478644995</v>
      </c>
      <c r="CN90" s="186">
        <f>_xlfn.FORECAST.LINEAR(Sheet3!DF90,New!$LU$2:$LU$14,New!$LT$2:$LT$14)</f>
        <v>1.0350674194089138</v>
      </c>
      <c r="CO90" s="183">
        <f>_xlfn.FORECAST.LINEAR(Sheet3!BZ90,New!$LU$2:$LU$14,New!$LT$2:$LT$14)</f>
        <v>1.0349902289259214</v>
      </c>
      <c r="CP90" s="183">
        <f>_xlfn.FORECAST.LINEAR(Sheet3!CA90,New!$LU$2:$LU$14,New!$LT$2:$LT$14)</f>
        <v>1.0325896124071658</v>
      </c>
      <c r="CQ90" s="183">
        <f>_xlfn.FORECAST.LINEAR(Sheet3!CB90,New!$LU$2:$LU$14,New!$LT$2:$LT$14)</f>
        <v>1.0308832055529566</v>
      </c>
      <c r="CR90" s="183">
        <f>_xlfn.FORECAST.LINEAR(Sheet3!CC90,New!$LU$2:$LU$14,New!$LT$2:$LT$14)</f>
        <v>1.0285956627644397</v>
      </c>
      <c r="CS90" s="183">
        <f>_xlfn.FORECAST.LINEAR(Sheet3!CD90,New!$LU$2:$LU$14,New!$LT$2:$LT$14)</f>
        <v>1.0275254236724687</v>
      </c>
      <c r="CT90" s="183">
        <f>_xlfn.FORECAST.LINEAR(Sheet3!CE90,New!$LU$2:$LU$14,New!$LT$2:$LT$14)</f>
        <v>1.0256652091063643</v>
      </c>
      <c r="CU90" s="183">
        <f>_xlfn.FORECAST.LINEAR(Sheet3!CF90,New!$LU$2:$LU$14,New!$LT$2:$LT$14)</f>
        <v>1.0241636897260904</v>
      </c>
      <c r="CV90" s="183">
        <f>_xlfn.FORECAST.LINEAR(Sheet3!CG90,New!$LU$2:$LU$14,New!$LT$2:$LT$14)</f>
        <v>1.0224323355742169</v>
      </c>
      <c r="CW90" s="186">
        <f>EXP((17.625*Sheet3!BA90)/(243.04+Sheet3!BA90)) / EXP((17.625*Sheet3!DF90)/(243.04+Sheet3!DF90))</f>
        <v>7.2340424926925677E-3</v>
      </c>
      <c r="CX90" s="183">
        <f>EXP((17.625*(Sheet3!BC90+273))/(243.04+(Sheet3!BC90+273)))/EXP((17.625*(Sheet3!BZ90+273))/(243.04+(Sheet3!BZ90+273)))</f>
        <v>0.20414572725013408</v>
      </c>
      <c r="CY90" s="183">
        <f>EXP((17.625*(Sheet3!BE90+273))/(243.04+(Sheet3!BE90+273))) / EXP((17.625*(Sheet3!CA90+273))/(243.04+(Sheet3!CA90+273)))</f>
        <v>0.22730316268799125</v>
      </c>
      <c r="CZ90" s="183">
        <f>EXP((17.625*(Sheet3!BG90+273))/(243.04+(Sheet3!BG90+273))) / EXP((17.625*(Sheet3!CB90+273))/(243.04+(Sheet3!CB90+273)))</f>
        <v>0.24574930811816309</v>
      </c>
      <c r="DA90" s="183">
        <f>EXP((17.625*(Sheet3!BI90+273))/(243.04+(Sheet3!BI90+273))) / EXP((17.625*(Sheet3!CC90+273))/(243.04+(Sheet3!CC90+273)))</f>
        <v>0.2729810972285634</v>
      </c>
      <c r="DB90" s="183">
        <f>EXP((17.625*(Sheet3!BK90+273))/(243.04+(Sheet3!BK90+273)))/EXP((17.625*(Sheet3!CD90+273))/(243.04+(Sheet3!CD90+273)))</f>
        <v>0.28768119495950956</v>
      </c>
      <c r="DC90" s="183">
        <f>EXP((17.625*(Sheet3!BM90+273))/(243.04+(Sheet3!BM90+273))) / EXP((17.625*(Sheet3!CE90+273))/(243.04+(Sheet3!CE90+273)))</f>
        <v>0.31433567671469226</v>
      </c>
      <c r="DD90" s="183">
        <f>EXP((17.625*(Sheet3!BO90+273))/(243.04+(Sheet3!BO90+273))) / EXP((17.625*(Sheet3!CF90+273))/(243.04+(Sheet3!CF90+273)))</f>
        <v>0.33960917509108607</v>
      </c>
      <c r="DE90" s="183">
        <f>EXP((17.625*(Sheet3!BQ90+273))/(243.04+(Sheet3!BQ90+273))) / EXP((17.625*(Sheet3!CG90+273))/(243.04+(Sheet3!CG90+273)))</f>
        <v>0.37062625206359878</v>
      </c>
      <c r="DF90" s="186">
        <f>((Sheet3!DA90-Sheet3!DB90)/New!$LQ$3)/(((Sheet3!DA90-Sheet3!DB90)/New!$LQ$3)+(Sheet3!DB90/New!$LP$3))</f>
        <v>0.84790084951787259</v>
      </c>
      <c r="DG90" s="183">
        <f>((Sheet3!DA90-Sheet3!DB90)/New!$LQ$3)/(((Sheet3!DA90-Sheet3!DB90)/New!$LQ$3)+((Sheet3!DB90-(Sheet3!B90*0.004))/New!$LP$3))</f>
        <v>0.84790084951787259</v>
      </c>
      <c r="DH90" s="183" cm="1">
        <f t="array" ref="DH90">((Sheet3!DA90-Sheet3!DB90)/New!$LQ$3)/(((Sheet3!DA90-Sheet3!DB90)/New!$LQ$3)+((Sheet3!DB90-(SUM(Sheet3!B90:C90*0.004)))/New!$LP$3))</f>
        <v>0.85080753213599658</v>
      </c>
      <c r="DI90" s="183" cm="1">
        <f t="array" ref="DI90">((Sheet3!DA90-Sheet3!DB90)/New!$LQ$3)/(((Sheet3!DA90-Sheet3!DB90)/New!$LQ$3)+((Sheet3!DB90-(SUM(Sheet3!B90:D90*0.004)))/New!$LP$3))</f>
        <v>0.85080753213599658</v>
      </c>
      <c r="DJ90" s="183" cm="1">
        <f t="array" ref="DJ90">((Sheet3!DA90-Sheet3!DB90)/New!$LQ$3)/(((Sheet3!DA90-Sheet3!DB90)/New!$LQ$3)+((Sheet3!DB90-(SUM(Sheet3!B90:E90*0.004)))/New!$LP$3))</f>
        <v>0.85995441930887395</v>
      </c>
      <c r="DK90" s="183" cm="1">
        <f t="array" ref="DK90">((Sheet3!DA90-Sheet3!DB90)/New!$LQ$3)/(((Sheet3!DA90-Sheet3!DB90)/New!$LQ$3)+((Sheet3!DB90-(SUM(Sheet3!B90:F90*0.004)))/New!$LP$3))</f>
        <v>0.85995441930887395</v>
      </c>
      <c r="DL90" s="183" cm="1">
        <f t="array" ref="DL90">((Sheet3!DA90-Sheet3!DB90)/New!$LQ$3)/(((Sheet3!DA90-Sheet3!DB90)/New!$LQ$3)+((Sheet3!DB90-(SUM(Sheet3!B90:G90*0.004)))/New!$LP$3))</f>
        <v>0.87032320925172568</v>
      </c>
      <c r="DM90" s="183" cm="1">
        <f t="array" ref="DM90">((Sheet3!DA90-Sheet3!DB90)/New!$LQ$3)/(((Sheet3!DA90-Sheet3!DB90)/New!$LQ$3)+((Sheet3!DB90-(SUM(Sheet3!B90:H90*0.004)))/New!$LP$3))</f>
        <v>0.87034411375839715</v>
      </c>
      <c r="DN90" s="183" cm="1">
        <f t="array" ref="DN90">((Sheet3!DA90-Sheet3!DB90)/New!$LQ$3)/(((Sheet3!DA90-Sheet3!DB90)/New!$LQ$3)+((Sheet3!DB90-(SUM(Sheet3!B90:I90*0.004)))/New!$LP$3))</f>
        <v>0.87953380994015906</v>
      </c>
      <c r="DO90" s="186">
        <f>(Sheet3!DB90/$LP$3) / ((Sheet3!DB90/$LP$3) + ((Sheet3!DA90-Sheet3!DB90)/$LQ$3))</f>
        <v>0.15209915048212741</v>
      </c>
      <c r="DP90" s="183">
        <f>((Sheet3!$DB90-(Sheet3!B90/4000)) / $LP$3) / (((Sheet3!$DA90-Sheet3!DB90) / $LQ$3) + (Sheet3!$DB90-((Sheet3!B90/4000)))/$LP$3)</f>
        <v>0.15209915048212741</v>
      </c>
      <c r="DQ90" s="183">
        <f>((Sheet3!$DB90-(SUM(Sheet3!B90:C90)/4000))/$LP$3)/(((Sheet3!$DA90-Sheet3!$DB90)/$LQ$3)+(Sheet3!$DB90-(SUM(Sheet3!B90:C90)/4000))/$LP$3)</f>
        <v>0.15191806479832953</v>
      </c>
      <c r="DR90" s="183">
        <f>((Sheet3!$DB90-(SUM(Sheet3!B90:D90)/4000))/$LP$3)/(((Sheet3!$DA90-Sheet3!$DB90)/$LQ$3)+(Sheet3!$DB90-(SUM(Sheet3!B90:D90)/4000))/$LP$3)</f>
        <v>0.15191806479832953</v>
      </c>
      <c r="DS90" s="183">
        <f>((Sheet3!$DB90-(SUM(Sheet3!B90:E90)/4000))/$LP$3)/(((Sheet3!$DA90-Sheet3!$DB90)/$LQ$3)+(Sheet3!$DB90-(SUM(Sheet3!B90:E90)/4000))/$LP$3)</f>
        <v>0.15135571041261642</v>
      </c>
      <c r="DT90" s="183">
        <f>((Sheet3!$DB90-(SUM(Sheet3!B90:F90)/4000))/$LP$3)/(((Sheet3!$DA90-Sheet3!$DB90)/$LQ$3)+(Sheet3!$DB90-(SUM(Sheet3!B90:F90)/4000))/$LP$3)</f>
        <v>0.15135571041261642</v>
      </c>
      <c r="DU90" s="183">
        <f>((Sheet3!$DB90-(SUM(Sheet3!B90:G90)/4000))/$LP$3)/(((Sheet3!$DA90-Sheet3!$DB90)/$LQ$3)+(Sheet3!$DB90-(SUM(Sheet3!B90:G90)/4000))/$LP$3)</f>
        <v>0.15073165561600146</v>
      </c>
      <c r="DV90" s="183">
        <f>((Sheet3!$DB90-(SUM(Sheet3!B90:H90)/4000))/$LP$3)/(((Sheet3!$DA90-Sheet3!$DB90)/$LQ$3)+(Sheet3!$DB90-(SUM(Sheet3!B90:H90)/4000))/$LP$3)</f>
        <v>0.15073041156298705</v>
      </c>
      <c r="DW90" s="183">
        <f>((Sheet3!$DB90-(SUM(Sheet3!B90:I90)/4000))/$LP$3)/(((Sheet3!$DA90-Sheet3!$DB90)/$LQ$3)+(Sheet3!$DB90-(SUM(Sheet3!B90:I90)/4000))/$LP$3)</f>
        <v>0.15018890265360679</v>
      </c>
      <c r="DX90" s="186">
        <f>($LR$2*($LP$3/1000))/($LP$2*(Sheet3!DF90+273))*DO90</f>
        <v>6.9861796682906957E-2</v>
      </c>
      <c r="DY90" s="183">
        <f>(($LR$2*($LP$3/1000))/($LP$2*(Sheet3!BZ90+273)))*(DP90)</f>
        <v>6.9922161467883798E-2</v>
      </c>
      <c r="DZ90" s="183">
        <f>(($LR$2*($LP$3/1000))/($LP$2*(Sheet3!CA90+273)))*(DQ90)</f>
        <v>7.1767462116196404E-2</v>
      </c>
      <c r="EA90" s="183">
        <f>(($LR$2*($LP$3/1000))/($LP$2*(Sheet3!CB90+273)))*(DR90)</f>
        <v>7.3204373133464076E-2</v>
      </c>
      <c r="EB90" s="183">
        <f>(($LR$2*($LP$3/1000))/($LP$2*(Sheet3!CC90+273)))*(DS90)</f>
        <v>7.4944944877633854E-2</v>
      </c>
      <c r="EC90" s="183">
        <f>(($LR$2*($LP$3/1000))/($LP$2*(Sheet3!CD90+273)))*(DT90)</f>
        <v>7.5924658812721521E-2</v>
      </c>
      <c r="ED90" s="183">
        <f>(($LR$2*($LP$3/1000))/($LP$2*(Sheet3!CE90+273)))*(DU90)</f>
        <v>7.7369575421067704E-2</v>
      </c>
      <c r="EE90" s="183">
        <f>(($LR$2*($LP$3/1000))/($LP$2*(Sheet3!CF90+273)))*(DV90)</f>
        <v>7.8848669130754376E-2</v>
      </c>
      <c r="EF90" s="183">
        <f>(($LR$2*($LP$3/1000))/($LP$2*(Sheet3!CG90+273)))*(DW90)</f>
        <v>8.0337089483047686E-2</v>
      </c>
      <c r="EG90" s="186">
        <f>(($LR$2*($LQ$3/1000))/($LQ$2*(Sheet3!DF90+273)))*(1-DO90)</f>
        <v>0.62606917796605077</v>
      </c>
      <c r="EH90" s="183">
        <f>(($LR$2*($LQ$3/1000))/($LQ$2*(Sheet3!BZ90+273)))*(1-DP90)</f>
        <v>0.62661013930834331</v>
      </c>
      <c r="EI90" s="183">
        <f>(($LR$2*($LQ$3/1000))/($LQ$2*(Sheet3!CA90+273)))*(1-DQ90)</f>
        <v>0.64405102058943375</v>
      </c>
      <c r="EJ90" s="183">
        <f>(($LR$2*($LQ$3/1000))/($LQ$2*(Sheet3!CB90+273)))*(1-DR90)</f>
        <v>0.65694605658316974</v>
      </c>
      <c r="EK90" s="183">
        <f>(($LR$2*($LQ$3/1000))/($LQ$2*(Sheet3!CC90+273)))*(1-DS90)</f>
        <v>0.67551269935450098</v>
      </c>
      <c r="EL90" s="183">
        <f>(($LR$2*($LQ$3/1000))/($LQ$2*(Sheet3!CD90+273)))*(1-DT90)</f>
        <v>0.68434330435350199</v>
      </c>
      <c r="EM90" s="183">
        <f>(($LR$2*($LQ$3/1000))/($LQ$2*(Sheet3!CE90+273)))*(1-DU90)</f>
        <v>0.70076914539922752</v>
      </c>
      <c r="EN90" s="183">
        <f>(($LR$2*($LQ$3/1000))/($LQ$2*(Sheet3!CF90+273)))*(1-DV90)</f>
        <v>0.71417286662387103</v>
      </c>
      <c r="EO90" s="183">
        <f>(($LR$2*($LQ$3/1000))/($LQ$2*(Sheet3!CG90+273)))*(1-DW90)</f>
        <v>0.73074346250061439</v>
      </c>
      <c r="EP90" s="186">
        <f t="shared" si="350"/>
        <v>4825.9577898075913</v>
      </c>
      <c r="EQ90" s="183">
        <f xml:space="preserve"> (($FV90-(Sheet3!B90/4000))*0.018)/(0.011*JO90*3600)</f>
        <v>4829.2902759505641</v>
      </c>
      <c r="ER90" s="183">
        <f>((($FV90-(SUM(Sheet3!B90:C90)/4000))*0.018)/(0.011*JP90*3600))</f>
        <v>4934.2483689095798</v>
      </c>
      <c r="ES90" s="183">
        <f>((($FV90-(SUM(Sheet3!B90:D90)/4000))*0.018)/(0.011*JQ90*3600))</f>
        <v>5012.4885576267488</v>
      </c>
      <c r="ET90" s="183">
        <f>((($FV90-(SUM(Sheet3!B90:E90)/4000))*0.018)/(0.011*JR90))/3600</f>
        <v>5117.9663967011111</v>
      </c>
      <c r="EU90" s="183">
        <f>((($FV90-(SUM(Sheet3!B90:F90)/4000))*0.018)/(0.011*JS90))/3600</f>
        <v>5170.5353461989871</v>
      </c>
      <c r="EV90" s="183">
        <f>((($FV90-(SUM(Sheet3!B90:G90)/4000))*0.018)/(0.011*JT90))/3600</f>
        <v>5260.6125608295024</v>
      </c>
      <c r="EW90" s="183">
        <f>((($FV90-(SUM(Sheet3!B90:H90)/4000))*0.018)/(0.011*JU90))/3600</f>
        <v>5338.9824691772255</v>
      </c>
      <c r="EX90" s="183">
        <f>((($FV90-(SUM(Sheet3!B90:I90)/4000))*0.018)/(0.011*JV90))/3600</f>
        <v>5428.7835623648798</v>
      </c>
      <c r="EY90" s="186">
        <f t="shared" si="351"/>
        <v>49.206121189311354</v>
      </c>
      <c r="EZ90" s="183">
        <f t="shared" si="352"/>
        <v>49.229585920943855</v>
      </c>
      <c r="FA90" s="183">
        <f t="shared" si="353"/>
        <v>49.966027278584725</v>
      </c>
      <c r="FB90" s="183">
        <f t="shared" si="354"/>
        <v>50.516941077362489</v>
      </c>
      <c r="FC90" s="183">
        <f t="shared" si="355"/>
        <v>51.25126237007143</v>
      </c>
      <c r="FD90" s="183">
        <f t="shared" si="356"/>
        <v>51.62155771884062</v>
      </c>
      <c r="FE90" s="183">
        <f t="shared" si="357"/>
        <v>52.246249579104962</v>
      </c>
      <c r="FF90" s="183">
        <f t="shared" si="358"/>
        <v>52.798720066877173</v>
      </c>
      <c r="FG90" s="183">
        <f t="shared" si="359"/>
        <v>53.422977723835558</v>
      </c>
      <c r="FH90" s="186">
        <f t="shared" si="274"/>
        <v>110.22357609486319</v>
      </c>
      <c r="FI90" s="183">
        <f t="shared" si="275"/>
        <v>110.17816745582259</v>
      </c>
      <c r="FJ90" s="183">
        <f t="shared" si="276"/>
        <v>108.72237579720579</v>
      </c>
      <c r="FK90" s="183">
        <f t="shared" si="277"/>
        <v>107.69369079818607</v>
      </c>
      <c r="FL90" s="183">
        <f t="shared" si="278"/>
        <v>106.20410739227898</v>
      </c>
      <c r="FM90" s="183">
        <f t="shared" si="279"/>
        <v>105.54097980844968</v>
      </c>
      <c r="FN90" s="183">
        <f t="shared" si="280"/>
        <v>104.28086627119073</v>
      </c>
      <c r="FO90" s="183">
        <f t="shared" si="281"/>
        <v>103.32732168088975</v>
      </c>
      <c r="FP90" s="183">
        <f t="shared" si="282"/>
        <v>102.13607421549766</v>
      </c>
      <c r="FQ90" s="314">
        <f>Sheet3!CV90</f>
        <v>4</v>
      </c>
      <c r="FR90" s="183">
        <v>5000</v>
      </c>
      <c r="FS90" s="183">
        <v>10</v>
      </c>
      <c r="FT90" s="183">
        <v>0.10246666666666666</v>
      </c>
      <c r="FU90" s="183">
        <v>23.65</v>
      </c>
      <c r="FV90" s="183">
        <v>259</v>
      </c>
      <c r="FW90" s="183">
        <v>26</v>
      </c>
      <c r="FX90" s="183">
        <v>1038</v>
      </c>
      <c r="FY90" s="183">
        <v>6.39</v>
      </c>
      <c r="FZ90" s="183">
        <v>9.17</v>
      </c>
      <c r="GA90" s="183">
        <v>205</v>
      </c>
      <c r="GB90" s="186">
        <f>EXP($LP$6-($LQ$6/('Trial and Error method'!T90+$LP$8))) / ($LR$2/1000)</f>
        <v>2.3679343738872954E-2</v>
      </c>
      <c r="GC90" s="183">
        <f>EXP($LP$6-($LQ$6/('Trial and Error method'!U90+$LP$8))) / ($LR$2/1000)</f>
        <v>3.4814065783179804E-2</v>
      </c>
      <c r="GD90" s="183">
        <f>EXP($LP$6-($LQ$6/('Trial and Error method'!V90+$LP$8))) / ($LR$2/1000)</f>
        <v>3.210464125474443E-2</v>
      </c>
      <c r="GE90" s="183">
        <f>EXP($LP$6-($LQ$6/('Trial and Error method'!W90+$LP$8))) / ($LR$2/1000)</f>
        <v>3.0056862081374962E-2</v>
      </c>
      <c r="GF90" s="183">
        <f>EXP($LP$6-($LQ$6/('Trial and Error method'!X90+$LP$8))) / ($LR$2/1000)</f>
        <v>2.8034091338666692E-2</v>
      </c>
      <c r="GG90" s="183">
        <f>EXP($LP$6-($LQ$6/('Trial and Error method'!Y90+$LP$8))) / ($LR$2/1000)</f>
        <v>2.6602581176929849E-2</v>
      </c>
      <c r="GH90" s="183">
        <f>EXP($LP$6-($LQ$6/('Trial and Error method'!Z90+$LP$8))) / ($LR$2/1000)</f>
        <v>2.497527128712097E-2</v>
      </c>
      <c r="GI90" s="183">
        <f>EXP($LP$6-($LQ$6/('Trial and Error method'!AA90+$LP$8))) / ($LR$2/1000)</f>
        <v>2.3533991765200723E-2</v>
      </c>
      <c r="GJ90" s="183">
        <f>EXP($LP$6-($LQ$6/('Trial and Error method'!AB90+$LP$8))) / ($LR$2/1000)</f>
        <v>2.1957998254814731E-2</v>
      </c>
      <c r="GK90" s="188">
        <f t="shared" si="411"/>
        <v>0.91060202732223194</v>
      </c>
      <c r="GL90" s="165">
        <f t="shared" si="360"/>
        <v>0.90527748678655628</v>
      </c>
      <c r="GM90" s="165">
        <f t="shared" si="361"/>
        <v>0.90666961816456071</v>
      </c>
      <c r="GN90" s="165">
        <f t="shared" si="362"/>
        <v>0.9076495202490712</v>
      </c>
      <c r="GO90" s="165">
        <f t="shared" si="363"/>
        <v>0.90891116407118555</v>
      </c>
      <c r="GP90" s="165">
        <f t="shared" si="364"/>
        <v>0.9095954525711597</v>
      </c>
      <c r="GQ90" s="165">
        <f t="shared" si="365"/>
        <v>0.91069987952459686</v>
      </c>
      <c r="GR90" s="165">
        <f t="shared" si="366"/>
        <v>0.91138894935297476</v>
      </c>
      <c r="GS90" s="165">
        <f t="shared" si="367"/>
        <v>0.91242526178389705</v>
      </c>
      <c r="GT90" s="188">
        <f t="shared" si="283"/>
        <v>6.8471134933811489E-2</v>
      </c>
      <c r="GU90" s="165">
        <f t="shared" si="284"/>
        <v>6.8865823451314256E-2</v>
      </c>
      <c r="GV90" s="165">
        <f t="shared" si="285"/>
        <v>6.8670232629831088E-2</v>
      </c>
      <c r="GW90" s="165">
        <f t="shared" si="286"/>
        <v>6.8542711114477725E-2</v>
      </c>
      <c r="GX90" s="165">
        <f t="shared" si="287"/>
        <v>6.8371886452663955E-2</v>
      </c>
      <c r="GY90" s="165">
        <f t="shared" si="288"/>
        <v>6.8296071856099053E-2</v>
      </c>
      <c r="GZ90" s="165">
        <f t="shared" si="289"/>
        <v>6.8161838157929963E-2</v>
      </c>
      <c r="HA90" s="165">
        <f t="shared" si="290"/>
        <v>6.808864440061918E-2</v>
      </c>
      <c r="HB90" s="165">
        <f t="shared" si="291"/>
        <v>6.7973871598124166E-2</v>
      </c>
      <c r="HC90" s="188">
        <f>BV90*Sheet3!DF90</f>
        <v>230.84222551388473</v>
      </c>
      <c r="HD90" s="165">
        <f>BW90*Sheet3!BZ90</f>
        <v>230.35860140622543</v>
      </c>
      <c r="HE90" s="165">
        <f>BX90*Sheet3!CA90</f>
        <v>215.28541368670608</v>
      </c>
      <c r="HF90" s="165">
        <f>BY90*Sheet3!CB90</f>
        <v>204.67223650408309</v>
      </c>
      <c r="HG90" s="165">
        <f>BZ90*Sheet3!CC90</f>
        <v>190.30866872339595</v>
      </c>
      <c r="HH90" s="165">
        <f>CA90*Sheet3!CD90</f>
        <v>183.71111606024868</v>
      </c>
      <c r="HI90" s="165">
        <f>CB90*Sheet3!CE90</f>
        <v>172.08355791455097</v>
      </c>
      <c r="HJ90" s="165">
        <f>CC90*Sheet3!CF90</f>
        <v>162.89951315605705</v>
      </c>
      <c r="HK90" s="165">
        <f>CD90*Sheet3!CG90</f>
        <v>152.19694900451108</v>
      </c>
      <c r="HL90" s="188">
        <f>(CE90*Sheet3!DF90)+2501</f>
        <v>2899.0054276934375</v>
      </c>
      <c r="HM90" s="165">
        <f>(CF90*Sheet3!BZ90)+2501</f>
        <v>2898.157098303383</v>
      </c>
      <c r="HN90" s="165">
        <f>(CG90*Sheet3!CA90)+2501</f>
        <v>2871.881354567387</v>
      </c>
      <c r="HO90" s="165">
        <f>(CH90*Sheet3!CB90)+2501</f>
        <v>2853.3302556859144</v>
      </c>
      <c r="HP90" s="165">
        <f>(CI90*Sheet3!CC90)+2501</f>
        <v>2828.6251495335996</v>
      </c>
      <c r="HQ90" s="165">
        <f>(CJ90*Sheet3!CD90)+2501</f>
        <v>2817.1306916281628</v>
      </c>
      <c r="HR90" s="165">
        <f>(CK90*Sheet3!CE90)+2501</f>
        <v>2797.2478151101996</v>
      </c>
      <c r="HS90" s="165">
        <f>(CL90*Sheet3!CF90)+2501</f>
        <v>2781.2866721935461</v>
      </c>
      <c r="HT90" s="165">
        <f>(CM90*Sheet3!CG90)+2501</f>
        <v>2762.9781514967322</v>
      </c>
      <c r="HU90" s="188">
        <f>-0.0021*(Sheet3!DF90^2) - 2.2115*(Sheet3!DF90) + 2499</f>
        <v>1957.3899999999999</v>
      </c>
      <c r="HV90" s="165">
        <f>-0.0021*(Sheet3!BZ90^2) - 2.2115*(Sheet3!BZ90) + 2499</f>
        <v>1958.6575528956662</v>
      </c>
      <c r="HW90" s="165">
        <f>-0.0021*(Sheet3!CA90^2) - 2.2115*(Sheet3!CA90) + 2499</f>
        <v>1997.7213187973148</v>
      </c>
      <c r="HX90" s="165">
        <f>-0.0021*(Sheet3!CB90^2) - 2.2115*(Sheet3!CB90) + 2499</f>
        <v>2025.0680100891882</v>
      </c>
      <c r="HY90" s="165">
        <f>-0.0021*(Sheet3!CC90^2) - 2.2115*(Sheet3!CC90) + 2499</f>
        <v>2061.1795739361301</v>
      </c>
      <c r="HZ90" s="165">
        <f>-0.0021*(Sheet3!CD90^2) - 2.2115*(Sheet3!CD90) + 2499</f>
        <v>2077.8588773696783</v>
      </c>
      <c r="IA90" s="165">
        <f>-0.0021*(Sheet3!CE90^2) - 2.2115*(Sheet3!CE90) + 2499</f>
        <v>2106.5224961332533</v>
      </c>
      <c r="IB90" s="165">
        <f>-0.0021*(Sheet3!CF90^2) - 2.2115*(Sheet3!CF90) + 2499</f>
        <v>2129.3561072632997</v>
      </c>
      <c r="IC90" s="165">
        <f>-0.0021*(Sheet3!CG90^2) - 2.2115*(Sheet3!CG90) + 2499</f>
        <v>2155.3488781340507</v>
      </c>
      <c r="ID90" s="188">
        <f t="shared" si="292"/>
        <v>0.68128226781078449</v>
      </c>
      <c r="IE90" s="165">
        <f t="shared" si="293"/>
        <v>0.68136150250786209</v>
      </c>
      <c r="IF90" s="165">
        <f t="shared" si="294"/>
        <v>0.68383213788496178</v>
      </c>
      <c r="IG90" s="165">
        <f t="shared" si="295"/>
        <v>0.68583750273779009</v>
      </c>
      <c r="IH90" s="165">
        <f t="shared" si="296"/>
        <v>0.68834149318859084</v>
      </c>
      <c r="II90" s="165">
        <f t="shared" si="297"/>
        <v>0.68979832717028522</v>
      </c>
      <c r="IJ90" s="165">
        <f t="shared" si="298"/>
        <v>0.69200125018037095</v>
      </c>
      <c r="IK90" s="165">
        <f t="shared" si="299"/>
        <v>0.69431687170188383</v>
      </c>
      <c r="IL90" s="165">
        <f t="shared" si="300"/>
        <v>0.69672336474635566</v>
      </c>
      <c r="IM90" s="188">
        <f t="shared" si="301"/>
        <v>17.211427974475129</v>
      </c>
      <c r="IN90" s="165">
        <f t="shared" si="368"/>
        <v>15.819947658671575</v>
      </c>
      <c r="IO90" s="165">
        <f t="shared" si="369"/>
        <v>16.436483220665821</v>
      </c>
      <c r="IP90" s="165">
        <f t="shared" si="370"/>
        <v>16.914779925811807</v>
      </c>
      <c r="IQ90" s="165">
        <f t="shared" si="371"/>
        <v>17.379313228147296</v>
      </c>
      <c r="IR90" s="165">
        <f t="shared" si="372"/>
        <v>17.703666568242259</v>
      </c>
      <c r="IS90" s="165">
        <f t="shared" si="373"/>
        <v>18.056660706599214</v>
      </c>
      <c r="IT90" s="165">
        <f t="shared" si="374"/>
        <v>18.441569208941246</v>
      </c>
      <c r="IU90" s="165">
        <f t="shared" si="375"/>
        <v>18.786777415042707</v>
      </c>
      <c r="IV90" s="188">
        <f>_xlfn.FORECAST.LINEAR(Sheet3!DF90,Sheet2!$AK$2:$AK$69,Sheet2!$AJ$2:$AJ$69)</f>
        <v>1.5962912137298422E-5</v>
      </c>
      <c r="IW90" s="165">
        <f>_xlfn.FORECAST.LINEAR(Sheet3!BZ90,Sheet2!$AK$2:$AK$69,Sheet2!$AJ$2:$AJ$69)</f>
        <v>1.594846381251706E-5</v>
      </c>
      <c r="IX90" s="165">
        <f>_xlfn.FORECAST.LINEAR(Sheet3!CA90,Sheet2!$AK$2:$AK$69,Sheet2!$AJ$2:$AJ$69)</f>
        <v>1.5499122316080562E-5</v>
      </c>
      <c r="IY90" s="165">
        <f>_xlfn.FORECAST.LINEAR(Sheet3!CB90,Sheet2!$AK$2:$AK$69,Sheet2!$AJ$2:$AJ$69)</f>
        <v>1.517972127746847E-5</v>
      </c>
      <c r="IZ90" s="165">
        <f>_xlfn.FORECAST.LINEAR(Sheet3!CC90,Sheet2!$AK$2:$AK$69,Sheet2!$AJ$2:$AJ$69)</f>
        <v>1.4751544643789558E-5</v>
      </c>
      <c r="JA90" s="165">
        <f>_xlfn.FORECAST.LINEAR(Sheet3!CD90,Sheet2!$AK$2:$AK$69,Sheet2!$AJ$2:$AJ$69)</f>
        <v>1.4551219922463226E-5</v>
      </c>
      <c r="JB90" s="165">
        <f>_xlfn.FORECAST.LINEAR(Sheet3!CE90,Sheet2!$AK$2:$AK$69,Sheet2!$AJ$2:$AJ$69)</f>
        <v>1.4203029534579166E-5</v>
      </c>
      <c r="JC90" s="165">
        <f>_xlfn.FORECAST.LINEAR(Sheet3!CF90,Sheet2!$AK$2:$AK$69,Sheet2!$AJ$2:$AJ$69)</f>
        <v>1.3921978829483458E-5</v>
      </c>
      <c r="JD90" s="165">
        <f>_xlfn.FORECAST.LINEAR(Sheet3!CG90,Sheet2!$AK$2:$AK$69,Sheet2!$AJ$2:$AJ$69)</f>
        <v>1.3597908217044392E-5</v>
      </c>
      <c r="JE90" s="188">
        <f>_xlfn.FORECAST.LINEAR(Sheet3!DF90,New!$MC$2:$MC$18,New!$MB$2:$MB$18)</f>
        <v>2.5847452754227255E-5</v>
      </c>
      <c r="JF90" s="165">
        <f>_xlfn.FORECAST.LINEAR(Sheet3!BZ90,New!$MC$2:$MC$18,New!$MB$2:$MB$18)</f>
        <v>2.5830468399711543E-5</v>
      </c>
      <c r="JG90" s="165">
        <f>_xlfn.FORECAST.LINEAR(Sheet3!CA90,New!$MC$2:$MC$18,New!$MB$2:$MB$18)</f>
        <v>2.5302256625018927E-5</v>
      </c>
      <c r="JH90" s="165">
        <f>_xlfn.FORECAST.LINEAR(Sheet3!CB90,New!$MC$2:$MC$18,New!$MB$2:$MB$18)</f>
        <v>2.4926792994835817E-5</v>
      </c>
      <c r="JI90" s="165">
        <f>_xlfn.FORECAST.LINEAR(Sheet3!CC90,New!$MC$2:$MC$18,New!$MB$2:$MB$18)</f>
        <v>2.4423461027165184E-5</v>
      </c>
      <c r="JJ90" s="165">
        <f>_xlfn.FORECAST.LINEAR(Sheet3!CD90,New!$MC$2:$MC$18,New!$MB$2:$MB$18)</f>
        <v>2.4187974482063647E-5</v>
      </c>
      <c r="JK90" s="165">
        <f>_xlfn.FORECAST.LINEAR(Sheet3!CE90,New!$MC$2:$MC$18,New!$MB$2:$MB$18)</f>
        <v>2.377866827693077E-5</v>
      </c>
      <c r="JL90" s="165">
        <f>_xlfn.FORECAST.LINEAR(Sheet3!CF90,New!$MC$2:$MC$18,New!$MB$2:$MB$18)</f>
        <v>2.3448286389447571E-5</v>
      </c>
      <c r="JM90" s="165">
        <f>_xlfn.FORECAST.LINEAR(Sheet3!CG90,New!$MC$2:$MC$18,New!$MB$2:$MB$18)</f>
        <v>2.3067333562522639E-5</v>
      </c>
      <c r="JN90" s="188">
        <f t="shared" si="376"/>
        <v>2.4394592297494271E-5</v>
      </c>
      <c r="JO90" s="165">
        <f t="shared" si="377"/>
        <v>2.4377758635372174E-5</v>
      </c>
      <c r="JP90" s="165">
        <f t="shared" si="378"/>
        <v>2.3855848554335079E-5</v>
      </c>
      <c r="JQ90" s="165">
        <f t="shared" si="379"/>
        <v>2.3483481401484535E-5</v>
      </c>
      <c r="JR90" s="165">
        <f t="shared" si="380"/>
        <v>2.2989444522592834E-5</v>
      </c>
      <c r="JS90" s="165">
        <f t="shared" si="381"/>
        <v>2.2755710321552931E-5</v>
      </c>
      <c r="JT90" s="165">
        <f t="shared" si="382"/>
        <v>2.235522151290407E-5</v>
      </c>
      <c r="JU90" s="165">
        <f t="shared" si="383"/>
        <v>2.2027052183347732E-5</v>
      </c>
      <c r="JV90" s="165">
        <f t="shared" si="384"/>
        <v>2.1653582664687323E-5</v>
      </c>
      <c r="JW90" s="188">
        <f t="shared" si="302"/>
        <v>0.99342087640971777</v>
      </c>
      <c r="JX90" s="165">
        <f t="shared" si="385"/>
        <v>0.99355170800744796</v>
      </c>
      <c r="JY90" s="165">
        <f t="shared" si="386"/>
        <v>0.99773829667194003</v>
      </c>
      <c r="JZ90" s="165">
        <f t="shared" si="387"/>
        <v>1.0008598720720212</v>
      </c>
      <c r="KA90" s="165">
        <f t="shared" si="388"/>
        <v>1.0052493680810608</v>
      </c>
      <c r="KB90" s="165">
        <f t="shared" si="389"/>
        <v>1.0073886731064492</v>
      </c>
      <c r="KC90" s="165">
        <f t="shared" si="390"/>
        <v>1.0112456551367421</v>
      </c>
      <c r="KD90" s="165">
        <f t="shared" si="391"/>
        <v>1.0144946555347008</v>
      </c>
      <c r="KE90" s="165">
        <f t="shared" si="392"/>
        <v>1.0184017093663882</v>
      </c>
      <c r="KF90" s="188">
        <f t="shared" si="393"/>
        <v>0.98626119619886909</v>
      </c>
      <c r="KG90" s="165">
        <f t="shared" si="394"/>
        <v>0.98614628066991539</v>
      </c>
      <c r="KH90" s="165">
        <f t="shared" si="395"/>
        <v>0.98249145704880614</v>
      </c>
      <c r="KI90" s="165">
        <f t="shared" si="396"/>
        <v>0.97979441266613843</v>
      </c>
      <c r="KJ90" s="165">
        <f t="shared" si="397"/>
        <v>0.97604173966381458</v>
      </c>
      <c r="KK90" s="165">
        <f t="shared" si="398"/>
        <v>0.97422945796118454</v>
      </c>
      <c r="KL90" s="165">
        <f t="shared" si="399"/>
        <v>0.97098924947416299</v>
      </c>
      <c r="KM90" s="165">
        <f t="shared" si="400"/>
        <v>0.96828658218736474</v>
      </c>
      <c r="KN90" s="165">
        <f t="shared" si="401"/>
        <v>0.96506845551073017</v>
      </c>
      <c r="KO90" s="188">
        <f t="shared" si="304"/>
        <v>0.65750051624108541</v>
      </c>
      <c r="KP90" s="165">
        <f t="shared" si="305"/>
        <v>0.65736676872509514</v>
      </c>
      <c r="KQ90" s="165">
        <f t="shared" si="306"/>
        <v>0.65080100388320394</v>
      </c>
      <c r="KR90" s="165">
        <f t="shared" si="307"/>
        <v>0.64597288560791855</v>
      </c>
      <c r="KS90" s="165">
        <f t="shared" si="308"/>
        <v>0.63928409168532196</v>
      </c>
      <c r="KT90" s="165">
        <f t="shared" si="309"/>
        <v>0.63606277824088864</v>
      </c>
      <c r="KU90" s="165">
        <f t="shared" si="310"/>
        <v>0.63032953087212074</v>
      </c>
      <c r="KV90" s="165">
        <f t="shared" si="311"/>
        <v>0.62555851508014904</v>
      </c>
      <c r="KW90" s="165">
        <f t="shared" si="312"/>
        <v>0.62000106745412331</v>
      </c>
      <c r="KX90" s="188">
        <f>AVERAGE(Sheet3!J90:P90)*KO90^(1/3)/ID90^(1/3)</f>
        <v>71.065672281998161</v>
      </c>
      <c r="KY90" s="165">
        <f>Sheet3!J90*KP90^(1/3)/IE90^(1/3)</f>
        <v>69.870657641815725</v>
      </c>
      <c r="KZ90" s="165">
        <f>Sheet3!K90*KQ90^(1/3)/IF90^(1/3)</f>
        <v>64.369008592249472</v>
      </c>
      <c r="LA90" s="165">
        <f>Sheet3!L90*KR90^(1/3)/IG90^(1/3)</f>
        <v>62.438038506399863</v>
      </c>
      <c r="LB90" s="165">
        <f>Sheet3!M90*KS90^(1/3)/IH90^(1/3)</f>
        <v>62.444941837320535</v>
      </c>
      <c r="LC90" s="165">
        <f>Sheet3!N90*KT90^(1/3)/II90^(1/3)</f>
        <v>66.690051019264374</v>
      </c>
      <c r="LD90" s="165">
        <f>Sheet3!O90*KU90^(1/3)/IJ90^(1/3)</f>
        <v>75.640694118778526</v>
      </c>
      <c r="LE90" s="165">
        <f>Sheet3!P90*KV90^(1/3)/IK90^(1/3)</f>
        <v>89.810239650000298</v>
      </c>
      <c r="LF90" s="165">
        <f>Sheet3!Q90*KW90^(1/3)/IL90^(1/3)</f>
        <v>108.69842997094396</v>
      </c>
      <c r="LG90" s="186">
        <f t="shared" si="402"/>
        <v>27.295274797973118</v>
      </c>
      <c r="LH90" s="183">
        <f t="shared" si="403"/>
        <v>27.295274797973118</v>
      </c>
      <c r="LI90" s="183">
        <f t="shared" si="404"/>
        <v>27.376190068000369</v>
      </c>
      <c r="LJ90" s="183">
        <f t="shared" si="405"/>
        <v>27.376190068000369</v>
      </c>
      <c r="LK90" s="183">
        <f t="shared" si="406"/>
        <v>27.630953106268276</v>
      </c>
      <c r="LL90" s="183">
        <f t="shared" si="407"/>
        <v>27.630953106268276</v>
      </c>
      <c r="LM90" s="183">
        <f t="shared" si="408"/>
        <v>27.919990915852246</v>
      </c>
      <c r="LN90" s="183">
        <f t="shared" si="409"/>
        <v>27.920573898750394</v>
      </c>
      <c r="LO90" s="183">
        <f t="shared" si="410"/>
        <v>28.176952217171731</v>
      </c>
      <c r="LT90" s="165"/>
      <c r="MF90" s="165"/>
      <c r="MJ90"/>
      <c r="MK90"/>
      <c r="ML90"/>
      <c r="MM90"/>
      <c r="MN90"/>
      <c r="MO90"/>
      <c r="MP90"/>
      <c r="MQ90"/>
      <c r="MR90"/>
    </row>
    <row r="91" spans="1:356" x14ac:dyDescent="0.3">
      <c r="A91" s="184" t="str">
        <f>Sheet3!A91</f>
        <v>2023.02.22-1</v>
      </c>
      <c r="B91" s="186">
        <f t="shared" si="313"/>
        <v>0.81168532147758865</v>
      </c>
      <c r="C91" s="183">
        <f t="shared" si="257"/>
        <v>0.81130373387262034</v>
      </c>
      <c r="D91" s="183">
        <f t="shared" si="258"/>
        <v>0.80481232238679312</v>
      </c>
      <c r="E91" s="183">
        <f t="shared" si="259"/>
        <v>0.7991943655934578</v>
      </c>
      <c r="F91" s="183">
        <f t="shared" si="260"/>
        <v>0.79296809064126539</v>
      </c>
      <c r="G91" s="183">
        <f t="shared" si="261"/>
        <v>0.78820644782892124</v>
      </c>
      <c r="H91" s="183">
        <f t="shared" si="262"/>
        <v>0.78447581204066674</v>
      </c>
      <c r="I91" s="183">
        <f t="shared" si="263"/>
        <v>0.77993085428029274</v>
      </c>
      <c r="J91" s="183">
        <f t="shared" si="264"/>
        <v>0.77541372324793512</v>
      </c>
      <c r="K91" s="186">
        <f xml:space="preserve"> (6.057 * (10^(-6)))
+ (4.055 * (10^(-8)) * (Sheet3!DF91 + 273))
+ (1.25 * (10^(-10)) * (Sheet3!DF91 + 273)^2)
- (3.367 * (10^(-14)) * (DD91 + 273)^3)</f>
        <v>3.5902945225936336E-5</v>
      </c>
      <c r="L91" s="183">
        <f xml:space="preserve"> (6.057 * (10^(-6)))
+ (4.055 * (10^(-8)) * (Sheet3!BZ91 + 273))
+ (1.25 * (10^(-10)) * (Sheet3!BZ91 + 273)^2)
- (3.367 * (10^(-14)) * (BX91 + 273)^3)</f>
        <v>3.5863693835544247E-5</v>
      </c>
      <c r="M91" s="183">
        <f xml:space="preserve"> (6.057 * (10^(-6)))
+ (4.055 * (10^(-8)) * (Sheet3!CA91 + 273))
+ (1.25 * (10^(-10)) * (Sheet3!CA91 + 273)^2)
- (3.367 * (10^(-14)) * (BY91 + 273)^3)</f>
        <v>3.5292000263260402E-5</v>
      </c>
      <c r="N91" s="183">
        <f xml:space="preserve"> (6.057 * (10^(-6)))
+ (4.055 * (10^(-8)) * (Sheet3!CB91 + 273))
+ (1.25 * (10^(-10)) * (Sheet3!CB91 + 273)^2)
- (3.367 * (10^(-14)) * (BZ91 + 273)^3)</f>
        <v>3.4849215992738226E-5</v>
      </c>
      <c r="O91" s="183">
        <f xml:space="preserve"> (6.057 * (10^(-6)))
+ (4.055 * (10^(-8)) * (Sheet3!CC91 + 273))
+ (1.25 * (10^(-10)) * (Sheet3!CC91 + 273)^2)
- (3.367 * (10^(-14)) * (CA91 + 273)^3)</f>
        <v>3.4291774673023477E-5</v>
      </c>
      <c r="P91" s="183">
        <f xml:space="preserve"> (6.057 * (10^(-6)))
+ (4.055 * (10^(-8)) * (Sheet3!CD91 + 273))
+ (1.25 * (10^(-10)) * (Sheet3!CD91 + 273)^2)
- (3.367 * (10^(-14)) * (CB91 + 273)^3)</f>
        <v>3.3932583353849865E-5</v>
      </c>
      <c r="Q91" s="183">
        <f xml:space="preserve"> (6.057 * (10^(-6)))
+ (4.055 * (10^(-8)) * (Sheet3!CE91 + 273))
+ (1.25 * (10^(-10)) * (Sheet3!CE91 + 273)^2)
- (3.367 * (10^(-14)) * (CC91 + 273)^3)</f>
        <v>3.3588746094859855E-5</v>
      </c>
      <c r="R91" s="183">
        <f xml:space="preserve"> (6.057 * (10^(-6)))
+ (4.055 * (10^(-8)) * (Sheet3!CF91 + 273))
+ (1.25 * (10^(-10)) * (Sheet3!CF91 + 273)^2)
- (3.367 * (10^(-14)) * (CD91 + 273)^3)</f>
        <v>3.3256266359560345E-5</v>
      </c>
      <c r="S91" s="183">
        <f xml:space="preserve"> (6.057 * (10^(-6)))
+ (4.055 * (10^(-8)) * (Sheet3!CG91 + 273))
+ (1.25 * (10^(-10)) * (Sheet3!CG91 + 273)^2)
- (3.367 * (10^(-14)) * (CE91 + 273)^3)</f>
        <v>3.2857959408727581E-5</v>
      </c>
      <c r="T91" s="188">
        <f t="shared" si="314"/>
        <v>3.5902945225936336E-5</v>
      </c>
      <c r="U91" s="165">
        <f t="shared" si="315"/>
        <v>3.5863693835544247E-5</v>
      </c>
      <c r="V91" s="165">
        <f t="shared" si="316"/>
        <v>3.5292000263260402E-5</v>
      </c>
      <c r="W91" s="165">
        <f t="shared" si="317"/>
        <v>3.4849215992738226E-5</v>
      </c>
      <c r="X91" s="165">
        <f t="shared" si="318"/>
        <v>3.4291774673023477E-5</v>
      </c>
      <c r="Y91" s="165">
        <f t="shared" si="319"/>
        <v>3.3932583353849865E-5</v>
      </c>
      <c r="Z91" s="165">
        <f t="shared" si="320"/>
        <v>3.3588746094859855E-5</v>
      </c>
      <c r="AA91" s="165">
        <f t="shared" si="321"/>
        <v>3.3256266359560345E-5</v>
      </c>
      <c r="AB91" s="165">
        <f t="shared" si="322"/>
        <v>3.2857959408727581E-5</v>
      </c>
      <c r="AC91" s="186">
        <f t="shared" si="265"/>
        <v>2.914189363770639E-5</v>
      </c>
      <c r="AD91" s="183">
        <f t="shared" si="266"/>
        <v>2.9096348719241526E-5</v>
      </c>
      <c r="AE91" s="183">
        <f t="shared" si="267"/>
        <v>2.8403436693549918E-5</v>
      </c>
      <c r="AF91" s="183">
        <f t="shared" si="268"/>
        <v>2.7851297066745811E-5</v>
      </c>
      <c r="AG91" s="183">
        <f t="shared" si="269"/>
        <v>2.7192283087167931E-5</v>
      </c>
      <c r="AH91" s="183">
        <f t="shared" si="270"/>
        <v>2.6745880990996784E-5</v>
      </c>
      <c r="AI91" s="183">
        <f t="shared" si="271"/>
        <v>2.634955886819296E-5</v>
      </c>
      <c r="AJ91" s="183">
        <f t="shared" si="272"/>
        <v>2.5937588231984859E-5</v>
      </c>
      <c r="AK91" s="183">
        <f t="shared" si="273"/>
        <v>2.5478512643450973E-5</v>
      </c>
      <c r="AL91" s="186">
        <f t="shared" si="323"/>
        <v>2.978675621783014E-2</v>
      </c>
      <c r="AM91" s="183">
        <f t="shared" si="324"/>
        <v>2.9761303795776163E-2</v>
      </c>
      <c r="AN91" s="183">
        <f t="shared" si="325"/>
        <v>2.9370442898157125E-2</v>
      </c>
      <c r="AO91" s="183">
        <f t="shared" si="326"/>
        <v>2.9063303248765118E-2</v>
      </c>
      <c r="AP91" s="183">
        <f t="shared" si="327"/>
        <v>2.8678887957913794E-2</v>
      </c>
      <c r="AQ91" s="183">
        <f t="shared" si="328"/>
        <v>2.8425901980426244E-2</v>
      </c>
      <c r="AR91" s="183">
        <f t="shared" si="329"/>
        <v>2.8187964622552478E-2</v>
      </c>
      <c r="AS91" s="183">
        <f t="shared" si="330"/>
        <v>2.7951211661806852E-2</v>
      </c>
      <c r="AT91" s="183">
        <f t="shared" si="331"/>
        <v>2.7675746098213362E-2</v>
      </c>
      <c r="AU91" s="186">
        <f>_xlfn.FORECAST.LINEAR(Sheet3!DF91,Sheet2!$AH$2:$AH$40,Sheet2!$AG$2:$AG$40)</f>
        <v>2.5653712965492358E-2</v>
      </c>
      <c r="AV91" s="183">
        <f>_xlfn.FORECAST.LINEAR(Sheet3!BZ91,Sheet2!$AH$2:$AH$40,Sheet2!$AG$2:$AG$40)</f>
        <v>2.55807170626433E-2</v>
      </c>
      <c r="AW91" s="183">
        <f>_xlfn.FORECAST.LINEAR(Sheet3!CA91,Sheet2!$AH$2:$AH$40,Sheet2!$AG$2:$AG$40)</f>
        <v>2.445811057951168E-2</v>
      </c>
      <c r="AX91" s="183">
        <f>_xlfn.FORECAST.LINEAR(Sheet3!CB91,Sheet2!$AH$2:$AH$40,Sheet2!$AG$2:$AG$40)</f>
        <v>2.3581953697927642E-2</v>
      </c>
      <c r="AY91" s="183">
        <f>_xlfn.FORECAST.LINEAR(Sheet3!CC91,Sheet2!$AH$2:$AH$40,Sheet2!$AG$2:$AG$40)</f>
        <v>2.2470498121823706E-2</v>
      </c>
      <c r="AZ91" s="183">
        <f>_xlfn.FORECAST.LINEAR(Sheet3!CD91,Sheet2!$AH$2:$AH$40,Sheet2!$AG$2:$AG$40)</f>
        <v>2.1749199656013369E-2</v>
      </c>
      <c r="BA91" s="183">
        <f>_xlfn.FORECAST.LINEAR(Sheet3!CE91,Sheet2!$AH$2:$AH$40,Sheet2!$AG$2:$AG$40)</f>
        <v>2.1054934007165609E-2</v>
      </c>
      <c r="BB91" s="183">
        <f>_xlfn.FORECAST.LINEAR(Sheet3!CF91,Sheet2!$AH$2:$AH$40,Sheet2!$AG$2:$AG$40)</f>
        <v>2.0379970235808564E-2</v>
      </c>
      <c r="BC91" s="183">
        <f>_xlfn.FORECAST.LINEAR(Sheet3!CG91,Sheet2!$AH$2:$AH$40,Sheet2!$AG$2:$AG$40)</f>
        <v>1.9579012744800967E-2</v>
      </c>
      <c r="BD91" s="186">
        <f>_xlfn.FORECAST.LINEAR(Sheet3!DF91,Sheet2!$AB$12:$AB$37,Sheet2!$AA$12:$AA$37)/1000</f>
        <v>3.0506351161118033E-2</v>
      </c>
      <c r="BE91" s="183">
        <f>_xlfn.FORECAST.LINEAR(Sheet3!BZ91,Sheet2!$AB$12:$AB$37,Sheet2!$AA$12:$AA$37)/1000</f>
        <v>3.0490030966842805E-2</v>
      </c>
      <c r="BF91" s="183">
        <f>_xlfn.FORECAST.LINEAR(Sheet3!CA91,Sheet2!$AB$12:$AB$37,Sheet2!$AA$12:$AA$37)/1000</f>
        <v>3.0239042141658717E-2</v>
      </c>
      <c r="BG91" s="183">
        <f>_xlfn.FORECAST.LINEAR(Sheet3!CB91,Sheet2!$AB$12:$AB$37,Sheet2!$AA$12:$AA$37)/1000</f>
        <v>3.0043153742927681E-2</v>
      </c>
      <c r="BH91" s="183">
        <f>_xlfn.FORECAST.LINEAR(Sheet3!CC91,Sheet2!$AB$12:$AB$37,Sheet2!$AA$12:$AA$37)/1000</f>
        <v>2.9794658002450184E-2</v>
      </c>
      <c r="BI91" s="183">
        <f>_xlfn.FORECAST.LINEAR(Sheet3!CD91,Sheet2!$AB$12:$AB$37,Sheet2!$AA$12:$AA$37)/1000</f>
        <v>2.9633392361051249E-2</v>
      </c>
      <c r="BJ91" s="183">
        <f>_xlfn.FORECAST.LINEAR(Sheet3!CE91,Sheet2!$AB$12:$AB$37,Sheet2!$AA$12:$AA$37)/1000</f>
        <v>2.9478170631809252E-2</v>
      </c>
      <c r="BK91" s="183">
        <f>_xlfn.FORECAST.LINEAR(Sheet3!CF91,Sheet2!$AB$12:$AB$37,Sheet2!$AA$12:$AA$37)/1000</f>
        <v>2.9327264355602702E-2</v>
      </c>
      <c r="BL91" s="183">
        <f>_xlfn.FORECAST.LINEAR(Sheet3!CG91,Sheet2!$AB$12:$AB$37,Sheet2!$AA$12:$AA$37)/1000</f>
        <v>2.9148188799999641E-2</v>
      </c>
      <c r="BM91" s="186">
        <f t="shared" si="332"/>
        <v>0.92915478169515142</v>
      </c>
      <c r="BN91" s="183">
        <f t="shared" si="333"/>
        <v>0.92991114906568928</v>
      </c>
      <c r="BO91" s="183">
        <f t="shared" si="334"/>
        <v>0.94172746703406884</v>
      </c>
      <c r="BP91" s="183">
        <f t="shared" si="335"/>
        <v>0.95101857083088603</v>
      </c>
      <c r="BQ91" s="183">
        <f t="shared" si="336"/>
        <v>0.96336713423311937</v>
      </c>
      <c r="BR91" s="183">
        <f t="shared" si="337"/>
        <v>0.97135472575951531</v>
      </c>
      <c r="BS91" s="183">
        <f t="shared" si="338"/>
        <v>0.97943380013516612</v>
      </c>
      <c r="BT91" s="183">
        <f t="shared" si="339"/>
        <v>0.98715473811437127</v>
      </c>
      <c r="BU91" s="183">
        <f t="shared" si="340"/>
        <v>0.9967103455312325</v>
      </c>
      <c r="BV91" s="186">
        <f t="shared" si="341"/>
        <v>1.1000625399403221</v>
      </c>
      <c r="BW91" s="183">
        <f t="shared" si="342"/>
        <v>1.0999476223726425</v>
      </c>
      <c r="BX91" s="183">
        <f t="shared" si="343"/>
        <v>1.09803040752203</v>
      </c>
      <c r="BY91" s="183">
        <f t="shared" si="344"/>
        <v>1.0972625332839816</v>
      </c>
      <c r="BZ91" s="183">
        <f t="shared" si="345"/>
        <v>1.0947748410909997</v>
      </c>
      <c r="CA91" s="183">
        <f t="shared" si="346"/>
        <v>1.0941566113979653</v>
      </c>
      <c r="CB91" s="183">
        <f t="shared" si="347"/>
        <v>1.0922329689027279</v>
      </c>
      <c r="CC91" s="183">
        <f t="shared" si="348"/>
        <v>1.0916560177530943</v>
      </c>
      <c r="CD91" s="183">
        <f t="shared" si="349"/>
        <v>1.0898238299562852</v>
      </c>
      <c r="CE91" s="187">
        <f xml:space="preserve"> -0.0000000019505*Sheet3!DF91^3 + 0.0000015497*Sheet3!DF91^2  + 0.00016911*Sheet3!DF91 + 1.8585</f>
        <v>1.8828730816875001</v>
      </c>
      <c r="CF91" s="185">
        <f xml:space="preserve"> -0.0000000019505*Sheet3!BZ91^3 + 0.0000015497*Sheet3!BZ91^2  + 0.00016911*Sheet3!BZ91 + 1.8585</f>
        <v>1.8827610711782761</v>
      </c>
      <c r="CG91" s="185">
        <f xml:space="preserve"> -0.0000000019505*Sheet3!CA91^3 + 0.0000015497*Sheet3!CA91^2  + 0.00016911*Sheet3!CA91 + 1.8585</f>
        <v>1.8810605276047128</v>
      </c>
      <c r="CH91" s="185">
        <f xml:space="preserve"> -0.0000000019505*Sheet3!CB91^3 + 0.0000015497*Sheet3!CB91^2  + 0.00016911*Sheet3!CB91 + 1.8585</f>
        <v>1.879762537000367</v>
      </c>
      <c r="CI91" s="185">
        <f xml:space="preserve"> -0.0000000019505*Sheet3!CC91^3 + 0.0000015497*Sheet3!CC91^2  + 0.00016911*Sheet3!CC91 + 1.8585</f>
        <v>1.8781536465667417</v>
      </c>
      <c r="CJ91" s="185">
        <f xml:space="preserve"> -0.0000000019505*Sheet3!CD91^3 + 0.0000015497*Sheet3!CD91^2  + 0.00016911*Sheet3!CD91 + 1.8585</f>
        <v>1.8771325058374451</v>
      </c>
      <c r="CK91" s="185">
        <f xml:space="preserve"> -0.0000000019505*Sheet3!CE91^3 + 0.0000015497*Sheet3!CE91^2  + 0.00016911*Sheet3!CE91 + 1.8585</f>
        <v>1.8761670119583642</v>
      </c>
      <c r="CL91" s="185">
        <f xml:space="preserve"> -0.0000000019505*Sheet3!CF91^3 + 0.0000015497*Sheet3!CF91^2  + 0.00016911*Sheet3!CF91 + 1.8585</f>
        <v>1.8752449306616836</v>
      </c>
      <c r="CM91" s="185">
        <f xml:space="preserve"> -0.0000000019505*Sheet3!CG91^3 + 0.0000015497*Sheet3!CG91^2  + 0.00016911*Sheet3!CG91 + 1.8585</f>
        <v>1.8741722270210701</v>
      </c>
      <c r="CN91" s="186">
        <f>_xlfn.FORECAST.LINEAR(Sheet3!DF91,New!$LU$2:$LU$14,New!$LT$2:$LT$14)</f>
        <v>1.0126209368728181</v>
      </c>
      <c r="CO91" s="183">
        <f>_xlfn.FORECAST.LINEAR(Sheet3!BZ91,New!$LU$2:$LU$14,New!$LT$2:$LT$14)</f>
        <v>1.0125672109306676</v>
      </c>
      <c r="CP91" s="183">
        <f>_xlfn.FORECAST.LINEAR(Sheet3!CA91,New!$LU$2:$LU$14,New!$LT$2:$LT$14)</f>
        <v>1.0117409578312953</v>
      </c>
      <c r="CQ91" s="183">
        <f>_xlfn.FORECAST.LINEAR(Sheet3!CB91,New!$LU$2:$LU$14,New!$LT$2:$LT$14)</f>
        <v>1.011096094871903</v>
      </c>
      <c r="CR91" s="183">
        <f>_xlfn.FORECAST.LINEAR(Sheet3!CC91,New!$LU$2:$LU$14,New!$LT$2:$LT$14)</f>
        <v>1.0102780489863947</v>
      </c>
      <c r="CS91" s="183">
        <f>_xlfn.FORECAST.LINEAR(Sheet3!CD91,New!$LU$2:$LU$14,New!$LT$2:$LT$14)</f>
        <v>1.0097471638526427</v>
      </c>
      <c r="CT91" s="183">
        <f>_xlfn.FORECAST.LINEAR(Sheet3!CE91,New!$LU$2:$LU$14,New!$LT$2:$LT$14)</f>
        <v>1.009236175226826</v>
      </c>
      <c r="CU91" s="183">
        <f>_xlfn.FORECAST.LINEAR(Sheet3!CF91,New!$LU$2:$LU$14,New!$LT$2:$LT$14)</f>
        <v>1.0087393930360693</v>
      </c>
      <c r="CV91" s="183">
        <f>_xlfn.FORECAST.LINEAR(Sheet3!CG91,New!$LU$2:$LU$14,New!$LT$2:$LT$14)</f>
        <v>1.0081498778147031</v>
      </c>
      <c r="CW91" s="186">
        <f>EXP((17.625*Sheet3!BA91)/(243.04+Sheet3!BA91)) / EXP((17.625*Sheet3!DF91)/(243.04+Sheet3!DF91))</f>
        <v>0.23912250065846649</v>
      </c>
      <c r="CX91" s="183">
        <f>EXP((17.625*(Sheet3!BC91+273))/(243.04+(Sheet3!BC91+273)))/EXP((17.625*(Sheet3!BZ91+273))/(243.04+(Sheet3!BZ91+273)))</f>
        <v>0.66854896798989971</v>
      </c>
      <c r="CY91" s="183">
        <f>EXP((17.625*(Sheet3!BE91+273))/(243.04+(Sheet3!BE91+273))) / EXP((17.625*(Sheet3!CA91+273))/(243.04+(Sheet3!CA91+273)))</f>
        <v>0.70416420674335478</v>
      </c>
      <c r="CZ91" s="183">
        <f>EXP((17.625*(Sheet3!BG91+273))/(243.04+(Sheet3!BG91+273))) / EXP((17.625*(Sheet3!CB91+273))/(243.04+(Sheet3!CB91+273)))</f>
        <v>0.73190531582003426</v>
      </c>
      <c r="DA91" s="183">
        <f>EXP((17.625*(Sheet3!BI91+273))/(243.04+(Sheet3!BI91+273))) / EXP((17.625*(Sheet3!CC91+273))/(243.04+(Sheet3!CC91+273)))</f>
        <v>0.76765576212393671</v>
      </c>
      <c r="DB91" s="183">
        <f>EXP((17.625*(Sheet3!BK91+273))/(243.04+(Sheet3!BK91+273)))/EXP((17.625*(Sheet3!CD91+273))/(243.04+(Sheet3!CD91+273)))</f>
        <v>0.79508863906372595</v>
      </c>
      <c r="DC91" s="183">
        <f>EXP((17.625*(Sheet3!BM91+273))/(243.04+(Sheet3!BM91+273))) / EXP((17.625*(Sheet3!CE91+273))/(243.04+(Sheet3!CE91+273)))</f>
        <v>0.81844862244050198</v>
      </c>
      <c r="DD91" s="183">
        <f>EXP((17.625*(Sheet3!BO91+273))/(243.04+(Sheet3!BO91+273))) / EXP((17.625*(Sheet3!CF91+273))/(243.04+(Sheet3!CF91+273)))</f>
        <v>0.84630646504371254</v>
      </c>
      <c r="DE91" s="183">
        <f>EXP((17.625*(Sheet3!BQ91+273))/(243.04+(Sheet3!BQ91+273))) / EXP((17.625*(Sheet3!CG91+273))/(243.04+(Sheet3!CG91+273)))</f>
        <v>0.87691735915112312</v>
      </c>
      <c r="DF91" s="186">
        <f>((Sheet3!DA91-Sheet3!DB91)/New!$LQ$3)/(((Sheet3!DA91-Sheet3!DB91)/New!$LQ$3)+(Sheet3!DB91/New!$LP$3))</f>
        <v>0.84776895003229058</v>
      </c>
      <c r="DG91" s="183">
        <f>((Sheet3!DA91-Sheet3!DB91)/New!$LQ$3)/(((Sheet3!DA91-Sheet3!DB91)/New!$LQ$3)+((Sheet3!DB91-(Sheet3!B91*0.004))/New!$LP$3))</f>
        <v>0.84821166140992921</v>
      </c>
      <c r="DH91" s="183" cm="1">
        <f t="array" ref="DH91">((Sheet3!DA91-Sheet3!DB91)/New!$LQ$3)/(((Sheet3!DA91-Sheet3!DB91)/New!$LQ$3)+((Sheet3!DB91-(SUM(Sheet3!B91:C91*0.004)))/New!$LP$3))</f>
        <v>0.85633552053099571</v>
      </c>
      <c r="DI91" s="183" cm="1">
        <f t="array" ref="DI91">((Sheet3!DA91-Sheet3!DB91)/New!$LQ$3)/(((Sheet3!DA91-Sheet3!DB91)/New!$LQ$3)+((Sheet3!DB91-(SUM(Sheet3!B91:D91*0.004)))/New!$LP$3))</f>
        <v>0.85681233530468159</v>
      </c>
      <c r="DJ91" s="183" cm="1">
        <f t="array" ref="DJ91">((Sheet3!DA91-Sheet3!DB91)/New!$LQ$3)/(((Sheet3!DA91-Sheet3!DB91)/New!$LQ$3)+((Sheet3!DB91-(SUM(Sheet3!B91:E91*0.004)))/New!$LP$3))</f>
        <v>0.87009721560258946</v>
      </c>
      <c r="DK91" s="183" cm="1">
        <f t="array" ref="DK91">((Sheet3!DA91-Sheet3!DB91)/New!$LQ$3)/(((Sheet3!DA91-Sheet3!DB91)/New!$LQ$3)+((Sheet3!DB91-(SUM(Sheet3!B91:F91*0.004)))/New!$LP$3))</f>
        <v>0.87043397009343482</v>
      </c>
      <c r="DL91" s="183" cm="1">
        <f t="array" ref="DL91">((Sheet3!DA91-Sheet3!DB91)/New!$LQ$3)/(((Sheet3!DA91-Sheet3!DB91)/New!$LQ$3)+((Sheet3!DB91-(SUM(Sheet3!B91:G91*0.004)))/New!$LP$3))</f>
        <v>0.88225371970851274</v>
      </c>
      <c r="DM91" s="183" cm="1">
        <f t="array" ref="DM91">((Sheet3!DA91-Sheet3!DB91)/New!$LQ$3)/(((Sheet3!DA91-Sheet3!DB91)/New!$LQ$3)+((Sheet3!DB91-(SUM(Sheet3!B91:H91*0.004)))/New!$LP$3))</f>
        <v>0.88259995169130667</v>
      </c>
      <c r="DN91" s="183" cm="1">
        <f t="array" ref="DN91">((Sheet3!DA91-Sheet3!DB91)/New!$LQ$3)/(((Sheet3!DA91-Sheet3!DB91)/New!$LQ$3)+((Sheet3!DB91-(SUM(Sheet3!B91:I91*0.004)))/New!$LP$3))</f>
        <v>0.89325121308220978</v>
      </c>
      <c r="DO91" s="186">
        <f>(Sheet3!DB91/$LP$3) / ((Sheet3!DB91/$LP$3) + ((Sheet3!DA91-Sheet3!DB91)/$LQ$3))</f>
        <v>0.15223104996770948</v>
      </c>
      <c r="DP91" s="183">
        <f>((Sheet3!$DB91-(Sheet3!B91/4000)) / $LP$3) / (((Sheet3!$DA91-Sheet3!DB91) / $LQ$3) + (Sheet3!$DB91-((Sheet3!B91/4000)))/$LP$3)</f>
        <v>0.15220339404610589</v>
      </c>
      <c r="DQ91" s="183">
        <f>((Sheet3!$DB91-(SUM(Sheet3!B91:C91)/4000))/$LP$3)/(((Sheet3!$DA91-Sheet3!$DB91)/$LQ$3)+(Sheet3!$DB91-(SUM(Sheet3!B91:C91)/4000))/$LP$3)</f>
        <v>0.15170066381260258</v>
      </c>
      <c r="DR91" s="183">
        <f>((Sheet3!$DB91-(SUM(Sheet3!B91:D91)/4000))/$LP$3)/(((Sheet3!$DA91-Sheet3!$DB91)/$LQ$3)+(Sheet3!$DB91-(SUM(Sheet3!B91:D91)/4000))/$LP$3)</f>
        <v>0.15167143485889034</v>
      </c>
      <c r="DS91" s="183">
        <f>((Sheet3!$DB91-(SUM(Sheet3!B91:E91)/4000))/$LP$3)/(((Sheet3!$DA91-Sheet3!$DB91)/$LQ$3)+(Sheet3!$DB91-(SUM(Sheet3!B91:E91)/4000))/$LP$3)</f>
        <v>0.15086916056134969</v>
      </c>
      <c r="DT91" s="183">
        <f>((Sheet3!$DB91-(SUM(Sheet3!B91:F91)/4000))/$LP$3)/(((Sheet3!$DA91-Sheet3!$DB91)/$LQ$3)+(Sheet3!$DB91-(SUM(Sheet3!B91:F91)/4000))/$LP$3)</f>
        <v>0.15084912279632004</v>
      </c>
      <c r="DU91" s="183">
        <f>((Sheet3!$DB91-(SUM(Sheet3!B91:G91)/4000))/$LP$3)/(((Sheet3!$DA91-Sheet3!$DB91)/$LQ$3)+(Sheet3!$DB91-(SUM(Sheet3!B91:G91)/4000))/$LP$3)</f>
        <v>0.15015492442716746</v>
      </c>
      <c r="DV91" s="183">
        <f>((Sheet3!$DB91-(SUM(Sheet3!B91:H91)/4000))/$LP$3)/(((Sheet3!$DA91-Sheet3!$DB91)/$LQ$3)+(Sheet3!$DB91-(SUM(Sheet3!B91:H91)/4000))/$LP$3)</f>
        <v>0.15013485293851511</v>
      </c>
      <c r="DW91" s="183">
        <f>((Sheet3!$DB91-(SUM(Sheet3!B91:I91)/4000))/$LP$3)/(((Sheet3!$DA91-Sheet3!$DB91)/$LQ$3)+(Sheet3!$DB91-(SUM(Sheet3!B91:I91)/4000))/$LP$3)</f>
        <v>0.14952453609735253</v>
      </c>
      <c r="DX91" s="186">
        <f>($LR$2*($LP$3/1000))/($LP$2*(Sheet3!DF91+273))*DO91</f>
        <v>9.3360049835398001E-2</v>
      </c>
      <c r="DY91" s="183">
        <f>(($LR$2*($LP$3/1000))/($LP$2*(Sheet3!BZ91+273)))*(DP91)</f>
        <v>9.3418037853488109E-2</v>
      </c>
      <c r="DZ91" s="183">
        <f>(($LR$2*($LP$3/1000))/($LP$2*(Sheet3!CA91+273)))*(DQ91)</f>
        <v>9.4273607235922749E-2</v>
      </c>
      <c r="EA91" s="183">
        <f>(($LR$2*($LP$3/1000))/($LP$2*(Sheet3!CB91+273)))*(DR91)</f>
        <v>9.5184253897644427E-2</v>
      </c>
      <c r="EB91" s="183">
        <f>(($LR$2*($LP$3/1000))/($LP$2*(Sheet3!CC91+273)))*(DS91)</f>
        <v>9.5879321245320365E-2</v>
      </c>
      <c r="EC91" s="183">
        <f>(($LR$2*($LP$3/1000))/($LP$2*(Sheet3!CD91+273)))*(DT91)</f>
        <v>9.6660671894052738E-2</v>
      </c>
      <c r="ED91" s="183">
        <f>(($LR$2*($LP$3/1000))/($LP$2*(Sheet3!CE91+273)))*(DU91)</f>
        <v>9.6989119356057085E-2</v>
      </c>
      <c r="EE91" s="183">
        <f>(($LR$2*($LP$3/1000))/($LP$2*(Sheet3!CF91+273)))*(DV91)</f>
        <v>9.7739837705922594E-2</v>
      </c>
      <c r="EF91" s="183">
        <f>(($LR$2*($LP$3/1000))/($LP$2*(Sheet3!CG91+273)))*(DW91)</f>
        <v>9.8260755435904443E-2</v>
      </c>
      <c r="EG91" s="186">
        <f>(($LR$2*($LQ$3/1000))/($LQ$2*(Sheet3!DF91+273)))*(1-DO91)</f>
        <v>0.83579473185975339</v>
      </c>
      <c r="EH91" s="183">
        <f>(($LR$2*($LQ$3/1000))/($LQ$2*(Sheet3!BZ91+273)))*(1-DP91)</f>
        <v>0.83649311121220116</v>
      </c>
      <c r="EI91" s="183">
        <f>(($LR$2*($LQ$3/1000))/($LQ$2*(Sheet3!CA91+273)))*(1-DQ91)</f>
        <v>0.84745385979814614</v>
      </c>
      <c r="EJ91" s="183">
        <f>(($LR$2*($LQ$3/1000))/($LQ$2*(Sheet3!CB91+273)))*(1-DR91)</f>
        <v>0.85583431693324163</v>
      </c>
      <c r="EK91" s="183">
        <f>(($LR$2*($LQ$3/1000))/($LQ$2*(Sheet3!CC91+273)))*(1-DS91)</f>
        <v>0.86748781298779898</v>
      </c>
      <c r="EL91" s="183">
        <f>(($LR$2*($LQ$3/1000))/($LQ$2*(Sheet3!CD91+273)))*(1-DT91)</f>
        <v>0.87469405386546262</v>
      </c>
      <c r="EM91" s="183">
        <f>(($LR$2*($LQ$3/1000))/($LQ$2*(Sheet3!CE91+273)))*(1-DU91)</f>
        <v>0.88244468077910898</v>
      </c>
      <c r="EN91" s="183">
        <f>(($LR$2*($LQ$3/1000))/($LQ$2*(Sheet3!CF91+273)))*(1-DV91)</f>
        <v>0.88941490040844862</v>
      </c>
      <c r="EO91" s="183">
        <f>(($LR$2*($LQ$3/1000))/($LQ$2*(Sheet3!CG91+273)))*(1-DW91)</f>
        <v>0.8984495900953281</v>
      </c>
      <c r="EP91" s="186">
        <f t="shared" si="350"/>
        <v>4875.4515530618473</v>
      </c>
      <c r="EQ91" s="183">
        <f xml:space="preserve"> (($FV91-(Sheet3!B91/4000))*0.018)/(0.011*JO91*3600)</f>
        <v>4878.2333681083519</v>
      </c>
      <c r="ER91" s="183">
        <f>((($FV91-(SUM(Sheet3!B91:C91)/4000))*0.018)/(0.011*JP91*3600))</f>
        <v>4920.9639115276077</v>
      </c>
      <c r="ES91" s="183">
        <f>((($FV91-(SUM(Sheet3!B91:D91)/4000))*0.018)/(0.011*JQ91*3600))</f>
        <v>4957.1486035795324</v>
      </c>
      <c r="ET91" s="183">
        <f>((($FV91-(SUM(Sheet3!B91:E91)/4000))*0.018)/(0.011*JR91))/3600</f>
        <v>4998.9931238023328</v>
      </c>
      <c r="EU91" s="183">
        <f>((($FV91-(SUM(Sheet3!B91:F91)/4000))*0.018)/(0.011*JS91))/3600</f>
        <v>5029.7652636911744</v>
      </c>
      <c r="EV91" s="183">
        <f>((($FV91-(SUM(Sheet3!B91:G91)/4000))*0.018)/(0.011*JT91))/3600</f>
        <v>5055.412693435439</v>
      </c>
      <c r="EW91" s="183">
        <f>((($FV91-(SUM(Sheet3!B91:H91)/4000))*0.018)/(0.011*JU91))/3600</f>
        <v>5084.8759122162637</v>
      </c>
      <c r="EX91" s="183">
        <f>((($FV91-(SUM(Sheet3!B91:I91)/4000))*0.018)/(0.011*JV91))/3600</f>
        <v>5116.4668766090163</v>
      </c>
      <c r="EY91" s="186">
        <f t="shared" si="351"/>
        <v>50.509162756691197</v>
      </c>
      <c r="EZ91" s="183">
        <f t="shared" si="352"/>
        <v>50.530199060524517</v>
      </c>
      <c r="FA91" s="183">
        <f t="shared" si="353"/>
        <v>50.851839820583891</v>
      </c>
      <c r="FB91" s="183">
        <f t="shared" si="354"/>
        <v>51.132426659677627</v>
      </c>
      <c r="FC91" s="183">
        <f t="shared" si="355"/>
        <v>51.441242582262539</v>
      </c>
      <c r="FD91" s="183">
        <f t="shared" si="356"/>
        <v>51.680368171665087</v>
      </c>
      <c r="FE91" s="183">
        <f t="shared" si="357"/>
        <v>51.865289800330657</v>
      </c>
      <c r="FF91" s="183">
        <f t="shared" si="358"/>
        <v>52.094501257272022</v>
      </c>
      <c r="FG91" s="183">
        <f t="shared" si="359"/>
        <v>52.32749763162608</v>
      </c>
      <c r="FH91" s="186">
        <f t="shared" si="274"/>
        <v>83.583562100014788</v>
      </c>
      <c r="FI91" s="183">
        <f t="shared" si="275"/>
        <v>83.54692250562853</v>
      </c>
      <c r="FJ91" s="183">
        <f t="shared" si="276"/>
        <v>82.974503206482893</v>
      </c>
      <c r="FK91" s="183">
        <f t="shared" si="277"/>
        <v>82.559845658636277</v>
      </c>
      <c r="FL91" s="183">
        <f t="shared" si="278"/>
        <v>81.959868468476188</v>
      </c>
      <c r="FM91" s="183">
        <f t="shared" si="279"/>
        <v>81.614504442227343</v>
      </c>
      <c r="FN91" s="183">
        <f t="shared" si="280"/>
        <v>81.220941890564021</v>
      </c>
      <c r="FO91" s="183">
        <f t="shared" si="281"/>
        <v>80.894690614348519</v>
      </c>
      <c r="FP91" s="183">
        <f t="shared" si="282"/>
        <v>80.455696578208034</v>
      </c>
      <c r="FQ91" s="314">
        <f>Sheet3!CV91</f>
        <v>4</v>
      </c>
      <c r="FR91" s="183">
        <v>5000</v>
      </c>
      <c r="FS91" s="183">
        <v>10</v>
      </c>
      <c r="FT91" s="183">
        <v>0.11706666666666668</v>
      </c>
      <c r="FU91" s="183">
        <v>33.450000000000003</v>
      </c>
      <c r="FV91" s="183">
        <v>209</v>
      </c>
      <c r="FW91" s="183">
        <v>21</v>
      </c>
      <c r="FX91" s="183">
        <v>834</v>
      </c>
      <c r="FY91" s="183">
        <v>6.36</v>
      </c>
      <c r="FZ91" s="183">
        <v>6.82</v>
      </c>
      <c r="GA91" s="183">
        <v>85</v>
      </c>
      <c r="GB91" s="186">
        <f>EXP($LP$6-($LQ$6/('Trial and Error method'!T91+$LP$8))) / ($LR$2/1000)</f>
        <v>1.9675283528274443E-2</v>
      </c>
      <c r="GC91" s="183">
        <f>EXP($LP$6-($LQ$6/('Trial and Error method'!U91+$LP$8))) / ($LR$2/1000)</f>
        <v>2.6743633531665111E-2</v>
      </c>
      <c r="GD91" s="183">
        <f>EXP($LP$6-($LQ$6/('Trial and Error method'!V91+$LP$8))) / ($LR$2/1000)</f>
        <v>2.5489676126282512E-2</v>
      </c>
      <c r="GE91" s="183">
        <f>EXP($LP$6-($LQ$6/('Trial and Error method'!W91+$LP$8))) / ($LR$2/1000)</f>
        <v>2.4430639645283109E-2</v>
      </c>
      <c r="GF91" s="183">
        <f>EXP($LP$6-($LQ$6/('Trial and Error method'!X91+$LP$8))) / ($LR$2/1000)</f>
        <v>2.3330960116543675E-2</v>
      </c>
      <c r="GG91" s="183">
        <f>EXP($LP$6-($LQ$6/('Trial and Error method'!Y91+$LP$8))) / ($LR$2/1000)</f>
        <v>2.2426008592297677E-2</v>
      </c>
      <c r="GH91" s="183">
        <f>EXP($LP$6-($LQ$6/('Trial and Error method'!Z91+$LP$8))) / ($LR$2/1000)</f>
        <v>2.149380797537561E-2</v>
      </c>
      <c r="GI91" s="183">
        <f>EXP($LP$6-($LQ$6/('Trial and Error method'!AA91+$LP$8))) / ($LR$2/1000)</f>
        <v>2.0649670793056584E-2</v>
      </c>
      <c r="GJ91" s="183">
        <f>EXP($LP$6-($LQ$6/('Trial and Error method'!AB91+$LP$8))) / ($LR$2/1000)</f>
        <v>1.973651983994882E-2</v>
      </c>
      <c r="GK91" s="188">
        <f t="shared" si="411"/>
        <v>0.91244263617675114</v>
      </c>
      <c r="GL91" s="165">
        <f t="shared" si="360"/>
        <v>0.9090840859607271</v>
      </c>
      <c r="GM91" s="165">
        <f t="shared" si="361"/>
        <v>0.90994649260706195</v>
      </c>
      <c r="GN91" s="165">
        <f t="shared" si="362"/>
        <v>0.91046758544088258</v>
      </c>
      <c r="GO91" s="165">
        <f t="shared" si="363"/>
        <v>0.91141317466546812</v>
      </c>
      <c r="GP91" s="165">
        <f t="shared" si="364"/>
        <v>0.91185570407479288</v>
      </c>
      <c r="GQ91" s="165">
        <f t="shared" si="365"/>
        <v>0.91266465507452499</v>
      </c>
      <c r="GR91" s="165">
        <f t="shared" si="366"/>
        <v>0.91307804090567912</v>
      </c>
      <c r="GS91" s="165">
        <f t="shared" si="367"/>
        <v>0.91383388397217558</v>
      </c>
      <c r="GT91" s="188">
        <f t="shared" si="283"/>
        <v>5.9530817035080778E-2</v>
      </c>
      <c r="GU91" s="165">
        <f t="shared" si="284"/>
        <v>5.9749524802539568E-2</v>
      </c>
      <c r="GV91" s="165">
        <f t="shared" si="285"/>
        <v>5.9706333509219389E-2</v>
      </c>
      <c r="GW91" s="165">
        <f t="shared" si="286"/>
        <v>5.9693622333066854E-2</v>
      </c>
      <c r="GX91" s="165">
        <f t="shared" si="287"/>
        <v>5.9643031613072731E-2</v>
      </c>
      <c r="GY91" s="165">
        <f t="shared" si="288"/>
        <v>5.9635398637065608E-2</v>
      </c>
      <c r="GZ91" s="165">
        <f t="shared" si="289"/>
        <v>5.95878220531409E-2</v>
      </c>
      <c r="HA91" s="165">
        <f t="shared" si="290"/>
        <v>5.9583308509290604E-2</v>
      </c>
      <c r="HB91" s="165">
        <f t="shared" si="291"/>
        <v>5.9540612213006272E-2</v>
      </c>
      <c r="HC91" s="188">
        <f>BV91*Sheet3!DF91</f>
        <v>93.505315894927378</v>
      </c>
      <c r="HD91" s="165">
        <f>BW91*Sheet3!BZ91</f>
        <v>93.179619262611524</v>
      </c>
      <c r="HE91" s="165">
        <f>BX91*Sheet3!CA91</f>
        <v>88.166998036551917</v>
      </c>
      <c r="HF91" s="165">
        <f>BY91*Sheet3!CB91</f>
        <v>84.322562435629649</v>
      </c>
      <c r="HG91" s="165">
        <f>BZ91*Sheet3!CC91</f>
        <v>79.343594319853281</v>
      </c>
      <c r="HH91" s="165">
        <f>CA91*Sheet3!CD91</f>
        <v>76.193420737313474</v>
      </c>
      <c r="HI91" s="165">
        <f>CB91*Sheet3!CE91</f>
        <v>73.07573506101248</v>
      </c>
      <c r="HJ91" s="165">
        <f>CC91*Sheet3!CF91</f>
        <v>70.13789009856275</v>
      </c>
      <c r="HK91" s="165">
        <f>CD91*Sheet3!CG91</f>
        <v>66.585509598260344</v>
      </c>
      <c r="HL91" s="188">
        <f>(CE91*Sheet3!DF91)+2501</f>
        <v>2661.0442119434374</v>
      </c>
      <c r="HM91" s="165">
        <f>(CF91*Sheet3!BZ91)+2501</f>
        <v>2660.4939215345876</v>
      </c>
      <c r="HN91" s="165">
        <f>(CG91*Sheet3!CA91)+2501</f>
        <v>2652.040862536981</v>
      </c>
      <c r="HO91" s="165">
        <f>(CH91*Sheet3!CB91)+2501</f>
        <v>2645.4562163404771</v>
      </c>
      <c r="HP91" s="165">
        <f>(CI91*Sheet3!CC91)+2501</f>
        <v>2637.1188213414175</v>
      </c>
      <c r="HQ91" s="165">
        <f>(CJ91*Sheet3!CD91)+2501</f>
        <v>2631.7172531857409</v>
      </c>
      <c r="HR91" s="165">
        <f>(CK91*Sheet3!CE91)+2501</f>
        <v>2626.524762023816</v>
      </c>
      <c r="HS91" s="165">
        <f>(CL91*Sheet3!CF91)+2501</f>
        <v>2621.4827534641813</v>
      </c>
      <c r="HT91" s="165">
        <f>(CM91*Sheet3!CG91)+2501</f>
        <v>2615.5072344546825</v>
      </c>
      <c r="HU91" s="188">
        <f>-0.0021*(Sheet3!DF91^2) - 2.2115*(Sheet3!DF91) + 2499</f>
        <v>2295.85</v>
      </c>
      <c r="HV91" s="165">
        <f>-0.0021*(Sheet3!BZ91^2) - 2.2115*(Sheet3!BZ91) + 2499</f>
        <v>2296.5875552578755</v>
      </c>
      <c r="HW91" s="165">
        <f>-0.0021*(Sheet3!CA91^2) - 2.2115*(Sheet3!CA91) + 2499</f>
        <v>2307.8868041786168</v>
      </c>
      <c r="HX91" s="165">
        <f>-0.0021*(Sheet3!CB91^2) - 2.2115*(Sheet3!CB91) + 2499</f>
        <v>2316.6485530794339</v>
      </c>
      <c r="HY91" s="165">
        <f>-0.0021*(Sheet3!CC91^2) - 2.2115*(Sheet3!CC91) + 2499</f>
        <v>2327.6915115456027</v>
      </c>
      <c r="HZ91" s="165">
        <f>-0.0021*(Sheet3!CD91^2) - 2.2115*(Sheet3!CD91) + 2499</f>
        <v>2334.8150509916763</v>
      </c>
      <c r="IA91" s="165">
        <f>-0.0021*(Sheet3!CE91^2) - 2.2115*(Sheet3!CE91) + 2499</f>
        <v>2341.6396615029275</v>
      </c>
      <c r="IB91" s="165">
        <f>-0.0021*(Sheet3!CF91^2) - 2.2115*(Sheet3!CF91) + 2499</f>
        <v>2348.2444873155096</v>
      </c>
      <c r="IC91" s="165">
        <f>-0.0021*(Sheet3!CG91^2) - 2.2115*(Sheet3!CG91) + 2499</f>
        <v>2356.0437834821928</v>
      </c>
      <c r="ID91" s="188">
        <f t="shared" si="292"/>
        <v>0.71961950304356148</v>
      </c>
      <c r="IE91" s="165">
        <f t="shared" si="293"/>
        <v>0.71973352760615339</v>
      </c>
      <c r="IF91" s="165">
        <f t="shared" si="294"/>
        <v>0.72143637421491214</v>
      </c>
      <c r="IG91" s="165">
        <f t="shared" si="295"/>
        <v>0.72321613709174637</v>
      </c>
      <c r="IH91" s="165">
        <f t="shared" si="296"/>
        <v>0.72467549184855196</v>
      </c>
      <c r="II91" s="165">
        <f t="shared" si="297"/>
        <v>0.72623030739476024</v>
      </c>
      <c r="IJ91" s="165">
        <f t="shared" si="298"/>
        <v>0.72697205272413823</v>
      </c>
      <c r="IK91" s="165">
        <f t="shared" si="299"/>
        <v>0.72848534078951721</v>
      </c>
      <c r="IL91" s="165">
        <f t="shared" si="300"/>
        <v>0.72962081457207051</v>
      </c>
      <c r="IM91" s="188">
        <f t="shared" si="301"/>
        <v>18.116903796079857</v>
      </c>
      <c r="IN91" s="165">
        <f t="shared" si="368"/>
        <v>17.215590231491745</v>
      </c>
      <c r="IO91" s="165">
        <f t="shared" si="369"/>
        <v>17.391301008337422</v>
      </c>
      <c r="IP91" s="165">
        <f t="shared" si="370"/>
        <v>17.596020627280446</v>
      </c>
      <c r="IQ91" s="165">
        <f t="shared" si="371"/>
        <v>17.706202136943805</v>
      </c>
      <c r="IR91" s="165">
        <f t="shared" si="372"/>
        <v>17.881329585068784</v>
      </c>
      <c r="IS91" s="165">
        <f t="shared" si="373"/>
        <v>17.952498254187887</v>
      </c>
      <c r="IT91" s="165">
        <f t="shared" si="374"/>
        <v>18.117071501173285</v>
      </c>
      <c r="IU91" s="165">
        <f t="shared" si="375"/>
        <v>18.206700464261289</v>
      </c>
      <c r="IV91" s="188">
        <f>_xlfn.FORECAST.LINEAR(Sheet3!DF91,Sheet2!$AK$2:$AK$69,Sheet2!$AJ$2:$AJ$69)</f>
        <v>1.1761434736095797E-5</v>
      </c>
      <c r="IW91" s="165">
        <f>_xlfn.FORECAST.LINEAR(Sheet3!BZ91,Sheet2!$AK$2:$AK$69,Sheet2!$AJ$2:$AJ$69)</f>
        <v>1.1751378446365738E-5</v>
      </c>
      <c r="IX91" s="165">
        <f>_xlfn.FORECAST.LINEAR(Sheet3!CA91,Sheet2!$AK$2:$AK$69,Sheet2!$AJ$2:$AJ$69)</f>
        <v>1.1596722423128951E-5</v>
      </c>
      <c r="IY91" s="165">
        <f>_xlfn.FORECAST.LINEAR(Sheet3!CB91,Sheet2!$AK$2:$AK$69,Sheet2!$AJ$2:$AJ$69)</f>
        <v>1.1476018560222928E-5</v>
      </c>
      <c r="IZ91" s="165">
        <f>_xlfn.FORECAST.LINEAR(Sheet3!CC91,Sheet2!$AK$2:$AK$69,Sheet2!$AJ$2:$AJ$69)</f>
        <v>1.1322898743094245E-5</v>
      </c>
      <c r="JA91" s="165">
        <f>_xlfn.FORECAST.LINEAR(Sheet3!CD91,Sheet2!$AK$2:$AK$69,Sheet2!$AJ$2:$AJ$69)</f>
        <v>1.1223528969299751E-5</v>
      </c>
      <c r="JB91" s="165">
        <f>_xlfn.FORECAST.LINEAR(Sheet3!CE91,Sheet2!$AK$2:$AK$69,Sheet2!$AJ$2:$AJ$69)</f>
        <v>1.1127883374931566E-5</v>
      </c>
      <c r="JC91" s="165">
        <f>_xlfn.FORECAST.LINEAR(Sheet3!CF91,Sheet2!$AK$2:$AK$69,Sheet2!$AJ$2:$AJ$69)</f>
        <v>1.1034896906141731E-5</v>
      </c>
      <c r="JD91" s="165">
        <f>_xlfn.FORECAST.LINEAR(Sheet3!CG91,Sheet2!$AK$2:$AK$69,Sheet2!$AJ$2:$AJ$69)</f>
        <v>1.092455289672946E-5</v>
      </c>
      <c r="JE91" s="188">
        <f>_xlfn.FORECAST.LINEAR(Sheet3!DF91,New!$MC$2:$MC$18,New!$MB$2:$MB$18)</f>
        <v>2.0908514659214704E-5</v>
      </c>
      <c r="JF91" s="165">
        <f>_xlfn.FORECAST.LINEAR(Sheet3!BZ91,New!$MC$2:$MC$18,New!$MB$2:$MB$18)</f>
        <v>2.0896693247911135E-5</v>
      </c>
      <c r="JG91" s="165">
        <f>_xlfn.FORECAST.LINEAR(Sheet3!CA91,New!$MC$2:$MC$18,New!$MB$2:$MB$18)</f>
        <v>2.0714891359706601E-5</v>
      </c>
      <c r="JH91" s="165">
        <f>_xlfn.FORECAST.LINEAR(Sheet3!CB91,New!$MC$2:$MC$18,New!$MB$2:$MB$18)</f>
        <v>2.0573001055464788E-5</v>
      </c>
      <c r="JI91" s="165">
        <f>_xlfn.FORECAST.LINEAR(Sheet3!CC91,New!$MC$2:$MC$18,New!$MB$2:$MB$18)</f>
        <v>2.0393005014619314E-5</v>
      </c>
      <c r="JJ91" s="165">
        <f>_xlfn.FORECAST.LINEAR(Sheet3!CD91,New!$MC$2:$MC$18,New!$MB$2:$MB$18)</f>
        <v>2.0276193447063117E-5</v>
      </c>
      <c r="JK91" s="165">
        <f>_xlfn.FORECAST.LINEAR(Sheet3!CE91,New!$MC$2:$MC$18,New!$MB$2:$MB$18)</f>
        <v>2.0163759742312041E-5</v>
      </c>
      <c r="JL91" s="165">
        <f>_xlfn.FORECAST.LINEAR(Sheet3!CF91,New!$MC$2:$MC$18,New!$MB$2:$MB$18)</f>
        <v>2.0054451903860891E-5</v>
      </c>
      <c r="JM91" s="165">
        <f>_xlfn.FORECAST.LINEAR(Sheet3!CG91,New!$MC$2:$MC$18,New!$MB$2:$MB$18)</f>
        <v>1.9924739857453908E-5</v>
      </c>
      <c r="JN91" s="188">
        <f t="shared" si="376"/>
        <v>1.9485374629625591E-5</v>
      </c>
      <c r="JO91" s="165">
        <f t="shared" si="377"/>
        <v>1.9473843782568401E-5</v>
      </c>
      <c r="JP91" s="165">
        <f t="shared" si="378"/>
        <v>1.9297194037959713E-5</v>
      </c>
      <c r="JQ91" s="165">
        <f t="shared" si="379"/>
        <v>1.9155898674303853E-5</v>
      </c>
      <c r="JR91" s="165">
        <f t="shared" si="380"/>
        <v>1.898370921262629E-5</v>
      </c>
      <c r="JS91" s="165">
        <f t="shared" si="381"/>
        <v>1.8867273037670978E-5</v>
      </c>
      <c r="JT91" s="165">
        <f t="shared" si="382"/>
        <v>1.8761439259939907E-5</v>
      </c>
      <c r="JU91" s="165">
        <f t="shared" si="383"/>
        <v>1.8652439616319405E-5</v>
      </c>
      <c r="JV91" s="165">
        <f t="shared" si="384"/>
        <v>1.852849961344505E-5</v>
      </c>
      <c r="JW91" s="188">
        <f t="shared" si="302"/>
        <v>1.0444458673781256</v>
      </c>
      <c r="JX91" s="165">
        <f t="shared" si="385"/>
        <v>1.0446100059823524</v>
      </c>
      <c r="JY91" s="165">
        <f t="shared" si="386"/>
        <v>1.0471687462192882</v>
      </c>
      <c r="JZ91" s="165">
        <f t="shared" si="387"/>
        <v>1.0492117821409279</v>
      </c>
      <c r="KA91" s="165">
        <f t="shared" si="388"/>
        <v>1.0518636717143617</v>
      </c>
      <c r="KB91" s="165">
        <f t="shared" si="389"/>
        <v>1.0536218301751574</v>
      </c>
      <c r="KC91" s="165">
        <f t="shared" si="390"/>
        <v>1.0553425628653401</v>
      </c>
      <c r="KD91" s="165">
        <f t="shared" si="391"/>
        <v>1.0570428995756154</v>
      </c>
      <c r="KE91" s="165">
        <f t="shared" si="392"/>
        <v>1.0590966649089062</v>
      </c>
      <c r="KF91" s="188">
        <f t="shared" si="393"/>
        <v>0.94446821821306282</v>
      </c>
      <c r="KG91" s="165">
        <f t="shared" si="394"/>
        <v>0.94434289619645839</v>
      </c>
      <c r="KH91" s="165">
        <f t="shared" si="395"/>
        <v>0.94239628407024179</v>
      </c>
      <c r="KI91" s="165">
        <f t="shared" si="396"/>
        <v>0.94085141741886724</v>
      </c>
      <c r="KJ91" s="165">
        <f t="shared" si="397"/>
        <v>0.938858504752068</v>
      </c>
      <c r="KK91" s="165">
        <f t="shared" si="398"/>
        <v>0.93754486004557325</v>
      </c>
      <c r="KL91" s="165">
        <f t="shared" si="399"/>
        <v>0.93626501672748785</v>
      </c>
      <c r="KM91" s="165">
        <f t="shared" si="400"/>
        <v>0.93500597772058358</v>
      </c>
      <c r="KN91" s="165">
        <f t="shared" si="401"/>
        <v>0.93349265156419281</v>
      </c>
      <c r="KO91" s="188">
        <f t="shared" si="304"/>
        <v>0.58410458766945572</v>
      </c>
      <c r="KP91" s="165">
        <f t="shared" si="305"/>
        <v>0.58392249834018495</v>
      </c>
      <c r="KQ91" s="165">
        <f t="shared" si="306"/>
        <v>0.58062088378621102</v>
      </c>
      <c r="KR91" s="165">
        <f t="shared" si="307"/>
        <v>0.57799026186998936</v>
      </c>
      <c r="KS91" s="165">
        <f t="shared" si="308"/>
        <v>0.57464454110566621</v>
      </c>
      <c r="KT91" s="165">
        <f t="shared" si="309"/>
        <v>0.57241941089732939</v>
      </c>
      <c r="KU91" s="165">
        <f t="shared" si="310"/>
        <v>0.57029199139163866</v>
      </c>
      <c r="KV91" s="165">
        <f t="shared" si="311"/>
        <v>0.56816819417263831</v>
      </c>
      <c r="KW91" s="165">
        <f t="shared" si="312"/>
        <v>0.56575799238652036</v>
      </c>
      <c r="KX91" s="188">
        <f>AVERAGE(Sheet3!J91:P91)*KO91^(1/3)/ID91^(1/3)</f>
        <v>139.13878051444618</v>
      </c>
      <c r="KY91" s="165">
        <f>Sheet3!J91*KP91^(1/3)/IE91^(1/3)</f>
        <v>129.6249150346691</v>
      </c>
      <c r="KZ91" s="165">
        <f>Sheet3!K91*KQ91^(1/3)/IF91^(1/3)</f>
        <v>125.22862672908893</v>
      </c>
      <c r="LA91" s="165">
        <f>Sheet3!L91*KR91^(1/3)/IG91^(1/3)</f>
        <v>127.13317351647279</v>
      </c>
      <c r="LB91" s="165">
        <f>Sheet3!M91*KS91^(1/3)/IH91^(1/3)</f>
        <v>132.6268803408764</v>
      </c>
      <c r="LC91" s="165">
        <f>Sheet3!N91*KT91^(1/3)/II91^(1/3)</f>
        <v>140.41547976472447</v>
      </c>
      <c r="LD91" s="165">
        <f>Sheet3!O91*KU91^(1/3)/IJ91^(1/3)</f>
        <v>150.22669078190327</v>
      </c>
      <c r="LE91" s="165">
        <f>Sheet3!P91*KV91^(1/3)/IK91^(1/3)</f>
        <v>161.3866330828121</v>
      </c>
      <c r="LF91" s="165">
        <f>Sheet3!Q91*KW91^(1/3)/IL91^(1/3)</f>
        <v>169.38360289052443</v>
      </c>
      <c r="LG91" s="186">
        <f t="shared" si="402"/>
        <v>27.293831158103423</v>
      </c>
      <c r="LH91" s="183">
        <f t="shared" si="403"/>
        <v>27.306153858172149</v>
      </c>
      <c r="LI91" s="183">
        <f t="shared" si="404"/>
        <v>27.532364133161671</v>
      </c>
      <c r="LJ91" s="183">
        <f t="shared" si="405"/>
        <v>27.545646129406492</v>
      </c>
      <c r="LK91" s="183">
        <f t="shared" si="406"/>
        <v>27.915923291363708</v>
      </c>
      <c r="LL91" s="183">
        <f t="shared" si="407"/>
        <v>27.925314721081577</v>
      </c>
      <c r="LM91" s="183">
        <f t="shared" si="408"/>
        <v>28.255108686313953</v>
      </c>
      <c r="LN91" s="183">
        <f t="shared" si="409"/>
        <v>28.264773976667591</v>
      </c>
      <c r="LO91" s="183">
        <f t="shared" si="410"/>
        <v>28.5622396486546</v>
      </c>
      <c r="LT91" s="165"/>
      <c r="MF91" s="165"/>
      <c r="MJ91"/>
      <c r="MK91"/>
      <c r="ML91"/>
      <c r="MM91"/>
      <c r="MN91"/>
      <c r="MO91"/>
      <c r="MP91"/>
      <c r="MQ91"/>
      <c r="MR91"/>
    </row>
    <row r="92" spans="1:356" x14ac:dyDescent="0.3">
      <c r="A92" s="184" t="str">
        <f>Sheet3!A92</f>
        <v>2023.02.22-2</v>
      </c>
      <c r="B92" s="186">
        <f t="shared" si="313"/>
        <v>0.89718518561499183</v>
      </c>
      <c r="C92" s="183">
        <f t="shared" si="257"/>
        <v>0.89404768018287684</v>
      </c>
      <c r="D92" s="183">
        <f t="shared" si="258"/>
        <v>0.88694210502449611</v>
      </c>
      <c r="E92" s="183">
        <f t="shared" si="259"/>
        <v>0.87822397901176585</v>
      </c>
      <c r="F92" s="183">
        <f t="shared" si="260"/>
        <v>0.86783893209207918</v>
      </c>
      <c r="G92" s="183">
        <f t="shared" si="261"/>
        <v>0.86166512834478914</v>
      </c>
      <c r="H92" s="183">
        <f t="shared" si="262"/>
        <v>0.85367278811844904</v>
      </c>
      <c r="I92" s="183">
        <f t="shared" si="263"/>
        <v>0.84713896363615104</v>
      </c>
      <c r="J92" s="183">
        <f t="shared" si="264"/>
        <v>0.83943051584874306</v>
      </c>
      <c r="K92" s="186">
        <f xml:space="preserve"> (6.057 * (10^(-6)))
+ (4.055 * (10^(-8)) * (Sheet3!DF92 + 273))
+ (1.25 * (10^(-10)) * (Sheet3!DF92 + 273)^2)
- (3.367 * (10^(-14)) * (DD92 + 273)^3)</f>
        <v>4.4158470568722673E-5</v>
      </c>
      <c r="L92" s="183">
        <f xml:space="preserve"> (6.057 * (10^(-6)))
+ (4.055 * (10^(-8)) * (Sheet3!BZ92 + 273))
+ (1.25 * (10^(-10)) * (Sheet3!BZ92 + 273)^2)
- (3.367 * (10^(-14)) * (BX92 + 273)^3)</f>
        <v>4.3784394098561693E-5</v>
      </c>
      <c r="M92" s="183">
        <f xml:space="preserve"> (6.057 * (10^(-6)))
+ (4.055 * (10^(-8)) * (Sheet3!CA92 + 273))
+ (1.25 * (10^(-10)) * (Sheet3!CA92 + 273)^2)
- (3.367 * (10^(-14)) * (BY92 + 273)^3)</f>
        <v>4.294125235125979E-5</v>
      </c>
      <c r="N92" s="183">
        <f xml:space="preserve"> (6.057 * (10^(-6)))
+ (4.055 * (10^(-8)) * (Sheet3!CB92 + 273))
+ (1.25 * (10^(-10)) * (Sheet3!CB92 + 273)^2)
- (3.367 * (10^(-14)) * (BZ92 + 273)^3)</f>
        <v>4.2000767652034222E-5</v>
      </c>
      <c r="O92" s="183">
        <f xml:space="preserve"> (6.057 * (10^(-6)))
+ (4.055 * (10^(-8)) * (Sheet3!CC92 + 273))
+ (1.25 * (10^(-10)) * (Sheet3!CC92 + 273)^2)
- (3.367 * (10^(-14)) * (CA92 + 273)^3)</f>
        <v>4.0844497071202345E-5</v>
      </c>
      <c r="P92" s="183">
        <f xml:space="preserve"> (6.057 * (10^(-6)))
+ (4.055 * (10^(-8)) * (Sheet3!CD92 + 273))
+ (1.25 * (10^(-10)) * (Sheet3!CD92 + 273)^2)
- (3.367 * (10^(-14)) * (CB92 + 273)^3)</f>
        <v>4.0227710041577793E-5</v>
      </c>
      <c r="Q92" s="183">
        <f xml:space="preserve"> (6.057 * (10^(-6)))
+ (4.055 * (10^(-8)) * (Sheet3!CE92 + 273))
+ (1.25 * (10^(-10)) * (Sheet3!CE92 + 273)^2)
- (3.367 * (10^(-14)) * (CC92 + 273)^3)</f>
        <v>3.9384149167499968E-5</v>
      </c>
      <c r="R92" s="183">
        <f xml:space="preserve"> (6.057 * (10^(-6)))
+ (4.055 * (10^(-8)) * (Sheet3!CF92 + 273))
+ (1.25 * (10^(-10)) * (Sheet3!CF92 + 273)^2)
- (3.367 * (10^(-14)) * (CD92 + 273)^3)</f>
        <v>3.8768685379061236E-5</v>
      </c>
      <c r="S92" s="183">
        <f xml:space="preserve"> (6.057 * (10^(-6)))
+ (4.055 * (10^(-8)) * (Sheet3!CG92 + 273))
+ (1.25 * (10^(-10)) * (Sheet3!CG92 + 273)^2)
- (3.367 * (10^(-14)) * (CE92 + 273)^3)</f>
        <v>3.7986817756869895E-5</v>
      </c>
      <c r="T92" s="188">
        <f t="shared" si="314"/>
        <v>4.4158470568722673E-5</v>
      </c>
      <c r="U92" s="165">
        <f t="shared" si="315"/>
        <v>4.3784394098561693E-5</v>
      </c>
      <c r="V92" s="165">
        <f t="shared" si="316"/>
        <v>4.294125235125979E-5</v>
      </c>
      <c r="W92" s="165">
        <f t="shared" si="317"/>
        <v>4.2000767652034222E-5</v>
      </c>
      <c r="X92" s="165">
        <f t="shared" si="318"/>
        <v>4.0844497071202345E-5</v>
      </c>
      <c r="Y92" s="165">
        <f t="shared" si="319"/>
        <v>4.0227710041577793E-5</v>
      </c>
      <c r="Z92" s="165">
        <f t="shared" si="320"/>
        <v>3.9384149167499968E-5</v>
      </c>
      <c r="AA92" s="165">
        <f t="shared" si="321"/>
        <v>3.8768685379061236E-5</v>
      </c>
      <c r="AB92" s="165">
        <f t="shared" si="322"/>
        <v>3.7986817756869895E-5</v>
      </c>
      <c r="AC92" s="186">
        <f t="shared" si="265"/>
        <v>3.9618325613673603E-5</v>
      </c>
      <c r="AD92" s="183">
        <f t="shared" si="266"/>
        <v>3.9145335972031925E-5</v>
      </c>
      <c r="AE92" s="183">
        <f t="shared" si="267"/>
        <v>3.808640475281445E-5</v>
      </c>
      <c r="AF92" s="183">
        <f t="shared" si="268"/>
        <v>3.6886081288918155E-5</v>
      </c>
      <c r="AG92" s="183">
        <f t="shared" si="269"/>
        <v>3.5446444720110299E-5</v>
      </c>
      <c r="AH92" s="183">
        <f t="shared" si="270"/>
        <v>3.4662814935993092E-5</v>
      </c>
      <c r="AI92" s="183">
        <f t="shared" si="271"/>
        <v>3.3621176427492592E-5</v>
      </c>
      <c r="AJ92" s="183">
        <f t="shared" si="272"/>
        <v>3.2842463953553935E-5</v>
      </c>
      <c r="AK92" s="183">
        <f t="shared" si="273"/>
        <v>3.1887294025101488E-5</v>
      </c>
      <c r="AL92" s="186">
        <f t="shared" si="323"/>
        <v>3.5078462956586023E-2</v>
      </c>
      <c r="AM92" s="183">
        <f t="shared" si="324"/>
        <v>3.4855010692703088E-2</v>
      </c>
      <c r="AN92" s="183">
        <f t="shared" si="325"/>
        <v>3.4338695864937124E-2</v>
      </c>
      <c r="AO92" s="183">
        <f t="shared" si="326"/>
        <v>3.3758893107309056E-2</v>
      </c>
      <c r="AP92" s="183">
        <f t="shared" si="327"/>
        <v>3.3033466662626527E-2</v>
      </c>
      <c r="AQ92" s="183">
        <f t="shared" si="328"/>
        <v>3.2643184255765297E-2</v>
      </c>
      <c r="AR92" s="183">
        <f t="shared" si="329"/>
        <v>3.2103175194251515E-2</v>
      </c>
      <c r="AS92" s="183">
        <f t="shared" si="330"/>
        <v>3.1705640643701238E-2</v>
      </c>
      <c r="AT92" s="183">
        <f t="shared" si="331"/>
        <v>3.1199946383800709E-2</v>
      </c>
      <c r="AU92" s="186">
        <f>_xlfn.FORECAST.LINEAR(Sheet3!DF92,Sheet2!$AH$2:$AH$40,Sheet2!$AG$2:$AG$40)</f>
        <v>4.0902410270024961E-2</v>
      </c>
      <c r="AV92" s="183">
        <f>_xlfn.FORECAST.LINEAR(Sheet3!BZ92,Sheet2!$AH$2:$AH$40,Sheet2!$AG$2:$AG$40)</f>
        <v>4.0253475362147531E-2</v>
      </c>
      <c r="AW92" s="183">
        <f>_xlfn.FORECAST.LINEAR(Sheet3!CA92,Sheet2!$AH$2:$AH$40,Sheet2!$AG$2:$AG$40)</f>
        <v>3.8762065134056639E-2</v>
      </c>
      <c r="AX92" s="183">
        <f>_xlfn.FORECAST.LINEAR(Sheet3!CB92,Sheet2!$AH$2:$AH$40,Sheet2!$AG$2:$AG$40)</f>
        <v>3.7080176352228468E-2</v>
      </c>
      <c r="AY92" s="183">
        <f>_xlfn.FORECAST.LINEAR(Sheet3!CC92,Sheet2!$AH$2:$AH$40,Sheet2!$AG$2:$AG$40)</f>
        <v>3.4985046163687021E-2</v>
      </c>
      <c r="AZ92" s="183">
        <f>_xlfn.FORECAST.LINEAR(Sheet3!CD92,Sheet2!$AH$2:$AH$40,Sheet2!$AG$2:$AG$40)</f>
        <v>3.385463162183365E-2</v>
      </c>
      <c r="BA92" s="183">
        <f>_xlfn.FORECAST.LINEAR(Sheet3!CE92,Sheet2!$AH$2:$AH$40,Sheet2!$AG$2:$AG$40)</f>
        <v>3.2293732658987516E-2</v>
      </c>
      <c r="BB92" s="183">
        <f>_xlfn.FORECAST.LINEAR(Sheet3!CF92,Sheet2!$AH$2:$AH$40,Sheet2!$AG$2:$AG$40)</f>
        <v>3.114371147836573E-2</v>
      </c>
      <c r="BC92" s="183">
        <f>_xlfn.FORECAST.LINEAR(Sheet3!CG92,Sheet2!$AH$2:$AH$40,Sheet2!$AG$2:$AG$40)</f>
        <v>2.9680513461371776E-2</v>
      </c>
      <c r="BD92" s="186">
        <f>_xlfn.FORECAST.LINEAR(Sheet3!DF92,Sheet2!$AB$12:$AB$37,Sheet2!$AA$12:$AA$37)/1000</f>
        <v>3.3915606923988664E-2</v>
      </c>
      <c r="BE92" s="183">
        <f>_xlfn.FORECAST.LINEAR(Sheet3!BZ92,Sheet2!$AB$12:$AB$37,Sheet2!$AA$12:$AA$37)/1000</f>
        <v>3.3770520099178296E-2</v>
      </c>
      <c r="BF92" s="183">
        <f>_xlfn.FORECAST.LINEAR(Sheet3!CA92,Sheet2!$AB$12:$AB$37,Sheet2!$AA$12:$AA$37)/1000</f>
        <v>3.34370752931481E-2</v>
      </c>
      <c r="BG92" s="183">
        <f>_xlfn.FORECAST.LINEAR(Sheet3!CB92,Sheet2!$AB$12:$AB$37,Sheet2!$AA$12:$AA$37)/1000</f>
        <v>3.3061043891419721E-2</v>
      </c>
      <c r="BH92" s="183">
        <f>_xlfn.FORECAST.LINEAR(Sheet3!CC92,Sheet2!$AB$12:$AB$37,Sheet2!$AA$12:$AA$37)/1000</f>
        <v>3.2592621276254681E-2</v>
      </c>
      <c r="BI92" s="183">
        <f>_xlfn.FORECAST.LINEAR(Sheet3!CD92,Sheet2!$AB$12:$AB$37,Sheet2!$AA$12:$AA$37)/1000</f>
        <v>3.233988674986988E-2</v>
      </c>
      <c r="BJ92" s="183">
        <f>_xlfn.FORECAST.LINEAR(Sheet3!CE92,Sheet2!$AB$12:$AB$37,Sheet2!$AA$12:$AA$37)/1000</f>
        <v>3.1990905871171454E-2</v>
      </c>
      <c r="BK92" s="183">
        <f>_xlfn.FORECAST.LINEAR(Sheet3!CF92,Sheet2!$AB$12:$AB$37,Sheet2!$AA$12:$AA$37)/1000</f>
        <v>3.1733787754183673E-2</v>
      </c>
      <c r="BL92" s="183">
        <f>_xlfn.FORECAST.LINEAR(Sheet3!CG92,Sheet2!$AB$12:$AB$37,Sheet2!$AA$12:$AA$37)/1000</f>
        <v>3.1406650545539976E-2</v>
      </c>
      <c r="BM92" s="186">
        <f t="shared" si="332"/>
        <v>0.79619058122994335</v>
      </c>
      <c r="BN92" s="183">
        <f t="shared" si="333"/>
        <v>0.8010858170915065</v>
      </c>
      <c r="BO92" s="183">
        <f t="shared" si="334"/>
        <v>0.81269714445817565</v>
      </c>
      <c r="BP92" s="183">
        <f t="shared" si="335"/>
        <v>0.82604586682157199</v>
      </c>
      <c r="BQ92" s="183">
        <f t="shared" si="336"/>
        <v>0.84353461106025418</v>
      </c>
      <c r="BR92" s="183">
        <f t="shared" si="337"/>
        <v>0.8531493345703397</v>
      </c>
      <c r="BS92" s="183">
        <f t="shared" si="338"/>
        <v>0.86700144128682988</v>
      </c>
      <c r="BT92" s="183">
        <f t="shared" si="339"/>
        <v>0.87733892450860151</v>
      </c>
      <c r="BU92" s="183">
        <f t="shared" si="340"/>
        <v>0.89104169815868917</v>
      </c>
      <c r="BV92" s="186">
        <f t="shared" si="341"/>
        <v>1.1120579080625226</v>
      </c>
      <c r="BW92" s="183">
        <f t="shared" si="342"/>
        <v>1.1114915175341533</v>
      </c>
      <c r="BX92" s="183">
        <f t="shared" si="343"/>
        <v>1.1093921410666299</v>
      </c>
      <c r="BY92" s="183">
        <f t="shared" si="344"/>
        <v>1.1079534570847476</v>
      </c>
      <c r="BZ92" s="183">
        <f t="shared" si="345"/>
        <v>1.1047870219349993</v>
      </c>
      <c r="CA92" s="183">
        <f t="shared" si="346"/>
        <v>1.1038336558852515</v>
      </c>
      <c r="CB92" s="183">
        <f t="shared" si="347"/>
        <v>1.1013244065326844</v>
      </c>
      <c r="CC92" s="183">
        <f t="shared" si="348"/>
        <v>1.100356474288037</v>
      </c>
      <c r="CD92" s="183">
        <f t="shared" si="349"/>
        <v>1.0980905476267107</v>
      </c>
      <c r="CE92" s="187">
        <f xml:space="preserve"> -0.0000000019505*Sheet3!DF92^3 + 0.0000015497*Sheet3!DF92^2  + 0.00016911*Sheet3!DF92 + 1.8585</f>
        <v>1.9096570494375</v>
      </c>
      <c r="CF92" s="185">
        <f xml:space="preserve"> -0.0000000019505*Sheet3!BZ92^3 + 0.0000015497*Sheet3!BZ92^2  + 0.00016911*Sheet3!BZ92 + 1.8585</f>
        <v>1.9083964540822325</v>
      </c>
      <c r="CG92" s="185">
        <f xml:space="preserve"> -0.0000000019505*Sheet3!CA92^3 + 0.0000015497*Sheet3!CA92^2  + 0.00016911*Sheet3!CA92 + 1.8585</f>
        <v>1.9055350134966651</v>
      </c>
      <c r="CH92" s="185">
        <f xml:space="preserve"> -0.0000000019505*Sheet3!CB92^3 + 0.0000015497*Sheet3!CB92^2  + 0.00016911*Sheet3!CB92 + 1.8585</f>
        <v>1.9023702547949985</v>
      </c>
      <c r="CI92" s="185">
        <f xml:space="preserve"> -0.0000000019505*Sheet3!CC92^3 + 0.0000015497*Sheet3!CC92^2  + 0.00016911*Sheet3!CC92 + 1.8585</f>
        <v>1.8985249960281085</v>
      </c>
      <c r="CJ92" s="185">
        <f xml:space="preserve"> -0.0000000019505*Sheet3!CD92^3 + 0.0000015497*Sheet3!CD92^2  + 0.00016911*Sheet3!CD92 + 1.8585</f>
        <v>1.8964971694625903</v>
      </c>
      <c r="CK92" s="185">
        <f xml:space="preserve"> -0.0000000019505*Sheet3!CE92^3 + 0.0000015497*Sheet3!CE92^2  + 0.00016911*Sheet3!CE92 + 1.8585</f>
        <v>1.8937534825683155</v>
      </c>
      <c r="CL92" s="185">
        <f xml:space="preserve"> -0.0000000019505*Sheet3!CF92^3 + 0.0000015497*Sheet3!CF92^2  + 0.00016911*Sheet3!CF92 + 1.8585</f>
        <v>1.8917752825381213</v>
      </c>
      <c r="CM92" s="185">
        <f xml:space="preserve"> -0.0000000019505*Sheet3!CG92^3 + 0.0000015497*Sheet3!CG92^2  + 0.00016911*Sheet3!CG92 + 1.8585</f>
        <v>1.8893133297851987</v>
      </c>
      <c r="CN92" s="186">
        <f>_xlfn.FORECAST.LINEAR(Sheet3!DF92,New!$LU$2:$LU$14,New!$LT$2:$LT$14)</f>
        <v>1.023844178140866</v>
      </c>
      <c r="CO92" s="183">
        <f>_xlfn.FORECAST.LINEAR(Sheet3!BZ92,New!$LU$2:$LU$14,New!$LT$2:$LT$14)</f>
        <v>1.0233665535351102</v>
      </c>
      <c r="CP92" s="183">
        <f>_xlfn.FORECAST.LINEAR(Sheet3!CA92,New!$LU$2:$LU$14,New!$LT$2:$LT$14)</f>
        <v>1.0222688560410087</v>
      </c>
      <c r="CQ92" s="183">
        <f>_xlfn.FORECAST.LINEAR(Sheet3!CB92,New!$LU$2:$LU$14,New!$LT$2:$LT$14)</f>
        <v>1.0210309638324151</v>
      </c>
      <c r="CR92" s="183">
        <f>_xlfn.FORECAST.LINEAR(Sheet3!CC92,New!$LU$2:$LU$14,New!$LT$2:$LT$14)</f>
        <v>1.0194889205270514</v>
      </c>
      <c r="CS92" s="183">
        <f>_xlfn.FORECAST.LINEAR(Sheet3!CD92,New!$LU$2:$LU$14,New!$LT$2:$LT$14)</f>
        <v>1.0186569205940239</v>
      </c>
      <c r="CT92" s="183">
        <f>_xlfn.FORECAST.LINEAR(Sheet3!CE92,New!$LU$2:$LU$14,New!$LT$2:$LT$14)</f>
        <v>1.0175080784795003</v>
      </c>
      <c r="CU92" s="183">
        <f>_xlfn.FORECAST.LINEAR(Sheet3!CF92,New!$LU$2:$LU$14,New!$LT$2:$LT$14)</f>
        <v>1.0166616478031141</v>
      </c>
      <c r="CV92" s="183">
        <f>_xlfn.FORECAST.LINEAR(Sheet3!CG92,New!$LU$2:$LU$14,New!$LT$2:$LT$14)</f>
        <v>1.0155847148665038</v>
      </c>
      <c r="CW92" s="186">
        <f>EXP((17.625*Sheet3!BA92)/(243.04+Sheet3!BA92)) / EXP((17.625*Sheet3!DF92)/(243.04+Sheet3!DF92))</f>
        <v>3.1504883654517264E-2</v>
      </c>
      <c r="CX92" s="183">
        <f>EXP((17.625*(Sheet3!BC92+273))/(243.04+(Sheet3!BC92+273)))/EXP((17.625*(Sheet3!BZ92+273))/(243.04+(Sheet3!BZ92+273)))</f>
        <v>0.35705544445862442</v>
      </c>
      <c r="CY92" s="183">
        <f>EXP((17.625*(Sheet3!BE92+273))/(243.04+(Sheet3!BE92+273))) / EXP((17.625*(Sheet3!CA92+273))/(243.04+(Sheet3!CA92+273)))</f>
        <v>0.37828331474120941</v>
      </c>
      <c r="CZ92" s="183">
        <f>EXP((17.625*(Sheet3!BG92+273))/(243.04+(Sheet3!BG92+273))) / EXP((17.625*(Sheet3!CB92+273))/(243.04+(Sheet3!CB92+273)))</f>
        <v>0.40364534266112734</v>
      </c>
      <c r="DA92" s="183">
        <f>EXP((17.625*(Sheet3!BI92+273))/(243.04+(Sheet3!BI92+273))) / EXP((17.625*(Sheet3!CC92+273))/(243.04+(Sheet3!CC92+273)))</f>
        <v>0.4374751055160927</v>
      </c>
      <c r="DB92" s="183">
        <f>EXP((17.625*(Sheet3!BK92+273))/(243.04+(Sheet3!BK92+273)))/EXP((17.625*(Sheet3!CD92+273))/(243.04+(Sheet3!CD92+273)))</f>
        <v>0.45859439725040668</v>
      </c>
      <c r="DC92" s="183">
        <f>EXP((17.625*(Sheet3!BM92+273))/(243.04+(Sheet3!BM92+273))) / EXP((17.625*(Sheet3!CE92+273))/(243.04+(Sheet3!CE92+273)))</f>
        <v>0.48772467165119948</v>
      </c>
      <c r="DD92" s="183">
        <f>EXP((17.625*(Sheet3!BO92+273))/(243.04+(Sheet3!BO92+273))) / EXP((17.625*(Sheet3!CF92+273))/(243.04+(Sheet3!CF92+273)))</f>
        <v>0.51251774553024787</v>
      </c>
      <c r="DE92" s="183">
        <f>EXP((17.625*(Sheet3!BQ92+273))/(243.04+(Sheet3!BQ92+273))) / EXP((17.625*(Sheet3!CG92+273))/(243.04+(Sheet3!CG92+273)))</f>
        <v>0.54422580372261098</v>
      </c>
      <c r="DF92" s="186">
        <f>((Sheet3!DA92-Sheet3!DB92)/New!$LQ$3)/(((Sheet3!DA92-Sheet3!DB92)/New!$LQ$3)+(Sheet3!DB92/New!$LP$3))</f>
        <v>0.84904529357914738</v>
      </c>
      <c r="DG92" s="183">
        <f>((Sheet3!DA92-Sheet3!DB92)/New!$LQ$3)/(((Sheet3!DA92-Sheet3!DB92)/New!$LQ$3)+((Sheet3!DB92-(Sheet3!B92*0.004))/New!$LP$3))</f>
        <v>0.84913074710090841</v>
      </c>
      <c r="DH92" s="183" cm="1">
        <f t="array" ref="DH92">((Sheet3!DA92-Sheet3!DB92)/New!$LQ$3)/(((Sheet3!DA92-Sheet3!DB92)/New!$LQ$3)+((Sheet3!DB92-(SUM(Sheet3!B92:C92*0.004)))/New!$LP$3))</f>
        <v>0.85574102693555187</v>
      </c>
      <c r="DI92" s="183" cm="1">
        <f t="array" ref="DI92">((Sheet3!DA92-Sheet3!DB92)/New!$LQ$3)/(((Sheet3!DA92-Sheet3!DB92)/New!$LQ$3)+((Sheet3!DB92-(SUM(Sheet3!B92:D92*0.004)))/New!$LP$3))</f>
        <v>0.85582783364632831</v>
      </c>
      <c r="DJ92" s="183" cm="1">
        <f t="array" ref="DJ92">((Sheet3!DA92-Sheet3!DB92)/New!$LQ$3)/(((Sheet3!DA92-Sheet3!DB92)/New!$LQ$3)+((Sheet3!DB92-(SUM(Sheet3!B92:E92*0.004)))/New!$LP$3))</f>
        <v>0.86733153990307488</v>
      </c>
      <c r="DK92" s="183" cm="1">
        <f t="array" ref="DK92">((Sheet3!DA92-Sheet3!DB92)/New!$LQ$3)/(((Sheet3!DA92-Sheet3!DB92)/New!$LQ$3)+((Sheet3!DB92-(SUM(Sheet3!B92:F92*0.004)))/New!$LP$3))</f>
        <v>0.86737612473639281</v>
      </c>
      <c r="DL92" s="183" cm="1">
        <f t="array" ref="DL92">((Sheet3!DA92-Sheet3!DB92)/New!$LQ$3)/(((Sheet3!DA92-Sheet3!DB92)/New!$LQ$3)+((Sheet3!DB92-(SUM(Sheet3!B92:G92*0.004)))/New!$LP$3))</f>
        <v>0.87761690017266614</v>
      </c>
      <c r="DM92" s="183" cm="1">
        <f t="array" ref="DM92">((Sheet3!DA92-Sheet3!DB92)/New!$LQ$3)/(((Sheet3!DA92-Sheet3!DB92)/New!$LQ$3)+((Sheet3!DB92-(SUM(Sheet3!B92:H92*0.004)))/New!$LP$3))</f>
        <v>0.87773103047900358</v>
      </c>
      <c r="DN92" s="183" cm="1">
        <f t="array" ref="DN92">((Sheet3!DA92-Sheet3!DB92)/New!$LQ$3)/(((Sheet3!DA92-Sheet3!DB92)/New!$LQ$3)+((Sheet3!DB92-(SUM(Sheet3!B92:I92*0.004)))/New!$LP$3))</f>
        <v>0.88695864326949936</v>
      </c>
      <c r="DO92" s="186">
        <f>(Sheet3!DB92/$LP$3) / ((Sheet3!DB92/$LP$3) + ((Sheet3!DA92-Sheet3!DB92)/$LQ$3))</f>
        <v>0.15095470642085274</v>
      </c>
      <c r="DP92" s="183">
        <f>((Sheet3!$DB92-(Sheet3!B92/4000)) / $LP$3) / (((Sheet3!$DA92-Sheet3!DB92) / $LQ$3) + (Sheet3!$DB92-((Sheet3!B92/4000)))/$LP$3)</f>
        <v>0.15094936607963685</v>
      </c>
      <c r="DQ92" s="183">
        <f>((Sheet3!$DB92-(SUM(Sheet3!B92:C92)/4000))/$LP$3)/(((Sheet3!$DA92-Sheet3!$DB92)/$LQ$3)+(Sheet3!$DB92-(SUM(Sheet3!B92:C92)/4000))/$LP$3)</f>
        <v>0.15053929435380198</v>
      </c>
      <c r="DR92" s="183">
        <f>((Sheet3!$DB92-(SUM(Sheet3!B92:D92)/4000))/$LP$3)/(((Sheet3!$DA92-Sheet3!$DB92)/$LQ$3)+(Sheet3!$DB92-(SUM(Sheet3!B92:D92)/4000))/$LP$3)</f>
        <v>0.15053394878555793</v>
      </c>
      <c r="DS92" s="183">
        <f>((Sheet3!$DB92-(SUM(Sheet3!B92:E92)/4000))/$LP$3)/(((Sheet3!$DA92-Sheet3!$DB92)/$LQ$3)+(Sheet3!$DB92-(SUM(Sheet3!B92:E92)/4000))/$LP$3)</f>
        <v>0.14983443578268243</v>
      </c>
      <c r="DT92" s="183">
        <f>((Sheet3!$DB92-(SUM(Sheet3!B92:F92)/4000))/$LP$3)/(((Sheet3!$DA92-Sheet3!$DB92)/$LQ$3)+(Sheet3!$DB92-(SUM(Sheet3!B92:F92)/4000))/$LP$3)</f>
        <v>0.14983175856953485</v>
      </c>
      <c r="DU92" s="183">
        <f>((Sheet3!$DB92-(SUM(Sheet3!B92:G92)/4000))/$LP$3)/(((Sheet3!$DA92-Sheet3!$DB92)/$LQ$3)+(Sheet3!$DB92-(SUM(Sheet3!B92:G92)/4000))/$LP$3)</f>
        <v>0.14922359453484527</v>
      </c>
      <c r="DV92" s="183">
        <f>((Sheet3!$DB92-(SUM(Sheet3!B92:H92)/4000))/$LP$3)/(((Sheet3!$DA92-Sheet3!$DB92)/$LQ$3)+(Sheet3!$DB92-(SUM(Sheet3!B92:H92)/4000))/$LP$3)</f>
        <v>0.14921689184897699</v>
      </c>
      <c r="DW92" s="183">
        <f>((Sheet3!$DB92-(SUM(Sheet3!B92:I92)/4000))/$LP$3)/(((Sheet3!$DA92-Sheet3!$DB92)/$LQ$3)+(Sheet3!$DB92-(SUM(Sheet3!B92:I92)/4000))/$LP$3)</f>
        <v>0.14868033458160435</v>
      </c>
      <c r="DX92" s="186">
        <f>($LR$2*($LP$3/1000))/($LP$2*(Sheet3!DF92+273))*DO92</f>
        <v>7.9288688587214287E-2</v>
      </c>
      <c r="DY92" s="183">
        <f>(($LR$2*($LP$3/1000))/($LP$2*(Sheet3!BZ92+273)))*(DP92)</f>
        <v>7.977318795670961E-2</v>
      </c>
      <c r="DZ92" s="183">
        <f>(($LR$2*($LP$3/1000))/($LP$2*(Sheet3!CA92+273)))*(DQ92)</f>
        <v>8.0696341927798662E-2</v>
      </c>
      <c r="EA92" s="183">
        <f>(($LR$2*($LP$3/1000))/($LP$2*(Sheet3!CB92+273)))*(DR92)</f>
        <v>8.2018708153413333E-2</v>
      </c>
      <c r="EB92" s="183">
        <f>(($LR$2*($LP$3/1000))/($LP$2*(Sheet3!CC92+273)))*(DS92)</f>
        <v>8.3342615943855669E-2</v>
      </c>
      <c r="EC92" s="183">
        <f>(($LR$2*($LP$3/1000))/($LP$2*(Sheet3!CD92+273)))*(DT92)</f>
        <v>8.4290970012992142E-2</v>
      </c>
      <c r="ED92" s="183">
        <f>(($LR$2*($LP$3/1000))/($LP$2*(Sheet3!CE92+273)))*(DU92)</f>
        <v>8.5291084192381156E-2</v>
      </c>
      <c r="EE92" s="183">
        <f>(($LR$2*($LP$3/1000))/($LP$2*(Sheet3!CF92+273)))*(DV92)</f>
        <v>8.6303923533775362E-2</v>
      </c>
      <c r="EF92" s="183">
        <f>(($LR$2*($LP$3/1000))/($LP$2*(Sheet3!CG92+273)))*(DW92)</f>
        <v>8.7317921500718113E-2</v>
      </c>
      <c r="EG92" s="186">
        <f>(($LR$2*($LQ$3/1000))/($LQ$2*(Sheet3!DF92+273)))*(1-DO92)</f>
        <v>0.71690189264272908</v>
      </c>
      <c r="EH92" s="183">
        <f>(($LR$2*($LQ$3/1000))/($LQ$2*(Sheet3!BZ92+273)))*(1-DP92)</f>
        <v>0.72131262913479688</v>
      </c>
      <c r="EI92" s="183">
        <f>(($LR$2*($LQ$3/1000))/($LQ$2*(Sheet3!CA92+273)))*(1-DQ92)</f>
        <v>0.73200080253037703</v>
      </c>
      <c r="EJ92" s="183">
        <f>(($LR$2*($LQ$3/1000))/($LQ$2*(Sheet3!CB92+273)))*(1-DR92)</f>
        <v>0.74402715866815872</v>
      </c>
      <c r="EK92" s="183">
        <f>(($LR$2*($LQ$3/1000))/($LQ$2*(Sheet3!CC92+273)))*(1-DS92)</f>
        <v>0.76019199511639857</v>
      </c>
      <c r="EL92" s="183">
        <f>(($LR$2*($LQ$3/1000))/($LQ$2*(Sheet3!CD92+273)))*(1-DT92)</f>
        <v>0.76885836455734757</v>
      </c>
      <c r="EM92" s="183">
        <f>(($LR$2*($LQ$3/1000))/($LQ$2*(Sheet3!CE92+273)))*(1-DU92)</f>
        <v>0.78171035709444869</v>
      </c>
      <c r="EN92" s="183">
        <f>(($LR$2*($LQ$3/1000))/($LQ$2*(Sheet3!CF92+273)))*(1-DV92)</f>
        <v>0.79103500097482615</v>
      </c>
      <c r="EO92" s="183">
        <f>(($LR$2*($LQ$3/1000))/($LQ$2*(Sheet3!CG92+273)))*(1-DW92)</f>
        <v>0.80372377665797101</v>
      </c>
      <c r="EP92" s="186">
        <f t="shared" si="350"/>
        <v>4989.5257225062242</v>
      </c>
      <c r="EQ92" s="183">
        <f xml:space="preserve"> (($FV92-(Sheet3!B92/4000))*0.018)/(0.011*JO92*3600)</f>
        <v>5013.3386885604577</v>
      </c>
      <c r="ER92" s="183">
        <f>((($FV92-(SUM(Sheet3!B92:C92)/4000))*0.018)/(0.011*JP92*3600))</f>
        <v>5066.5056869504351</v>
      </c>
      <c r="ES92" s="183">
        <f>((($FV92-(SUM(Sheet3!B92:D92)/4000))*0.018)/(0.011*JQ92*3600))</f>
        <v>5130.7537114944271</v>
      </c>
      <c r="ET92" s="183">
        <f>((($FV92-(SUM(Sheet3!B92:E92)/4000))*0.018)/(0.011*JR92))/3600</f>
        <v>5208.7228813950333</v>
      </c>
      <c r="EU92" s="183">
        <f>((($FV92-(SUM(Sheet3!B92:F92)/4000))*0.018)/(0.011*JS92))/3600</f>
        <v>5254.2530048308872</v>
      </c>
      <c r="EV92" s="183">
        <f>((($FV92-(SUM(Sheet3!B92:G92)/4000))*0.018)/(0.011*JT92))/3600</f>
        <v>5314.5135804247348</v>
      </c>
      <c r="EW92" s="183">
        <f>((($FV92-(SUM(Sheet3!B92:H92)/4000))*0.018)/(0.011*JU92))/3600</f>
        <v>5362.7799554516105</v>
      </c>
      <c r="EX92" s="183">
        <f>((($FV92-(SUM(Sheet3!B92:I92)/4000))*0.018)/(0.011*JV92))/3600</f>
        <v>5421.9491767146801</v>
      </c>
      <c r="EY92" s="186">
        <f t="shared" si="351"/>
        <v>50.638986054349417</v>
      </c>
      <c r="EZ92" s="183">
        <f t="shared" si="352"/>
        <v>50.81151260349219</v>
      </c>
      <c r="FA92" s="183">
        <f t="shared" si="353"/>
        <v>51.190226919319031</v>
      </c>
      <c r="FB92" s="183">
        <f t="shared" si="354"/>
        <v>51.656330003944895</v>
      </c>
      <c r="FC92" s="183">
        <f t="shared" si="355"/>
        <v>52.210276202349583</v>
      </c>
      <c r="FD92" s="183">
        <f t="shared" si="356"/>
        <v>52.54112968259733</v>
      </c>
      <c r="FE92" s="183">
        <f t="shared" si="357"/>
        <v>52.968185540102667</v>
      </c>
      <c r="FF92" s="183">
        <f t="shared" si="358"/>
        <v>53.319378873603377</v>
      </c>
      <c r="FG92" s="183">
        <f t="shared" si="359"/>
        <v>53.740073853965136</v>
      </c>
      <c r="FH92" s="186">
        <f t="shared" si="274"/>
        <v>98.685433137031808</v>
      </c>
      <c r="FI92" s="183">
        <f t="shared" si="275"/>
        <v>98.390878617063223</v>
      </c>
      <c r="FJ92" s="183">
        <f t="shared" si="276"/>
        <v>97.655868524422985</v>
      </c>
      <c r="FK92" s="183">
        <f t="shared" si="277"/>
        <v>96.881140162169856</v>
      </c>
      <c r="FL92" s="183">
        <f t="shared" si="278"/>
        <v>95.815912132046563</v>
      </c>
      <c r="FM92" s="183">
        <f t="shared" si="279"/>
        <v>95.283876513060221</v>
      </c>
      <c r="FN92" s="183">
        <f t="shared" si="280"/>
        <v>94.469274450863111</v>
      </c>
      <c r="FO92" s="183">
        <f t="shared" si="281"/>
        <v>93.918059217323574</v>
      </c>
      <c r="FP92" s="183">
        <f t="shared" si="282"/>
        <v>93.149301272511266</v>
      </c>
      <c r="FQ92" s="314">
        <f>Sheet3!CV92</f>
        <v>4</v>
      </c>
      <c r="FR92" s="183">
        <v>5000</v>
      </c>
      <c r="FS92" s="183">
        <v>10</v>
      </c>
      <c r="FT92" s="183">
        <v>0.11326666666666665</v>
      </c>
      <c r="FU92" s="183">
        <v>28.32</v>
      </c>
      <c r="FV92" s="183">
        <v>241</v>
      </c>
      <c r="FW92" s="183">
        <v>24</v>
      </c>
      <c r="FX92" s="183">
        <v>960</v>
      </c>
      <c r="FY92" s="183">
        <v>6.7</v>
      </c>
      <c r="FZ92" s="183">
        <v>7.71</v>
      </c>
      <c r="GA92" s="183">
        <v>145</v>
      </c>
      <c r="GB92" s="186">
        <f>EXP($LP$6-($LQ$6/('Trial and Error method'!T92+$LP$8))) / ($LR$2/1000)</f>
        <v>2.1523108065029987E-2</v>
      </c>
      <c r="GC92" s="183">
        <f>EXP($LP$6-($LQ$6/('Trial and Error method'!U92+$LP$8))) / ($LR$2/1000)</f>
        <v>3.0075574453553834E-2</v>
      </c>
      <c r="GD92" s="183">
        <f>EXP($LP$6-($LQ$6/('Trial and Error method'!V92+$LP$8))) / ($LR$2/1000)</f>
        <v>2.8392677989607911E-2</v>
      </c>
      <c r="GE92" s="183">
        <f>EXP($LP$6-($LQ$6/('Trial and Error method'!W92+$LP$8))) / ($LR$2/1000)</f>
        <v>2.6926424656582165E-2</v>
      </c>
      <c r="GF92" s="183">
        <f>EXP($LP$6-($LQ$6/('Trial and Error method'!X92+$LP$8))) / ($LR$2/1000)</f>
        <v>2.5453711005528939E-2</v>
      </c>
      <c r="GG92" s="183">
        <f>EXP($LP$6-($LQ$6/('Trial and Error method'!Y92+$LP$8))) / ($LR$2/1000)</f>
        <v>2.4326823708184665E-2</v>
      </c>
      <c r="GH92" s="183">
        <f>EXP($LP$6-($LQ$6/('Trial and Error method'!Z92+$LP$8))) / ($LR$2/1000)</f>
        <v>2.3110909654185018E-2</v>
      </c>
      <c r="GI92" s="183">
        <f>EXP($LP$6-($LQ$6/('Trial and Error method'!AA92+$LP$8))) / ($LR$2/1000)</f>
        <v>2.2034790507111577E-2</v>
      </c>
      <c r="GJ92" s="183">
        <f>EXP($LP$6-($LQ$6/('Trial and Error method'!AB92+$LP$8))) / ($LR$2/1000)</f>
        <v>2.0844285550217084E-2</v>
      </c>
      <c r="GK92" s="188">
        <f t="shared" si="411"/>
        <v>0.91223124303896563</v>
      </c>
      <c r="GL92" s="165">
        <f t="shared" si="360"/>
        <v>0.90814724033019334</v>
      </c>
      <c r="GM92" s="165">
        <f t="shared" si="361"/>
        <v>0.9091668913924924</v>
      </c>
      <c r="GN92" s="165">
        <f t="shared" si="362"/>
        <v>0.90987088563613605</v>
      </c>
      <c r="GO92" s="165">
        <f t="shared" si="363"/>
        <v>0.91094111142514411</v>
      </c>
      <c r="GP92" s="165">
        <f t="shared" si="364"/>
        <v>0.91148106352108416</v>
      </c>
      <c r="GQ92" s="165">
        <f t="shared" si="365"/>
        <v>0.912380562655425</v>
      </c>
      <c r="GR92" s="165">
        <f t="shared" si="366"/>
        <v>0.9128980852516928</v>
      </c>
      <c r="GS92" s="165">
        <f t="shared" si="367"/>
        <v>0.9137477887539367</v>
      </c>
      <c r="GT92" s="188">
        <f t="shared" si="283"/>
        <v>6.5053153301650096E-2</v>
      </c>
      <c r="GU92" s="165">
        <f t="shared" si="284"/>
        <v>6.5336270465300411E-2</v>
      </c>
      <c r="GV92" s="165">
        <f t="shared" si="285"/>
        <v>6.5244190042003672E-2</v>
      </c>
      <c r="GW92" s="165">
        <f t="shared" si="286"/>
        <v>6.5188372333526146E-2</v>
      </c>
      <c r="GX92" s="165">
        <f t="shared" si="287"/>
        <v>6.5094614798906061E-2</v>
      </c>
      <c r="GY92" s="165">
        <f t="shared" si="288"/>
        <v>6.5059616602947803E-2</v>
      </c>
      <c r="GZ92" s="165">
        <f t="shared" si="289"/>
        <v>6.4989127814852957E-2</v>
      </c>
      <c r="HA92" s="165">
        <f t="shared" si="290"/>
        <v>6.4961994079139704E-2</v>
      </c>
      <c r="HB92" s="165">
        <f t="shared" si="291"/>
        <v>6.4897452555476562E-2</v>
      </c>
      <c r="HC92" s="188">
        <f>BV92*Sheet3!DF92</f>
        <v>161.24839666906578</v>
      </c>
      <c r="HD92" s="165">
        <f>BW92*Sheet3!BZ92</f>
        <v>158.32818244270757</v>
      </c>
      <c r="HE92" s="165">
        <f>BX92*Sheet3!CA92</f>
        <v>151.51883779931239</v>
      </c>
      <c r="HF92" s="165">
        <f>BY92*Sheet3!CB92</f>
        <v>143.99009429370631</v>
      </c>
      <c r="HG92" s="165">
        <f>BZ92*Sheet3!CC92</f>
        <v>134.47089630193113</v>
      </c>
      <c r="HH92" s="165">
        <f>CA92*Sheet3!CD92</f>
        <v>129.44510024825635</v>
      </c>
      <c r="HI92" s="165">
        <f>CB92*Sheet3!CE92</f>
        <v>122.38676661480653</v>
      </c>
      <c r="HJ92" s="165">
        <f>CC92*Sheet3!CF92</f>
        <v>117.3000241938191</v>
      </c>
      <c r="HK92" s="165">
        <f>CD92*Sheet3!CG92</f>
        <v>110.73639549308866</v>
      </c>
      <c r="HL92" s="188">
        <f>(CE92*Sheet3!DF92)+2501</f>
        <v>2777.9002721684374</v>
      </c>
      <c r="HM92" s="165">
        <f>(CF92*Sheet3!BZ92)+2501</f>
        <v>2772.8445774784454</v>
      </c>
      <c r="HN92" s="165">
        <f>(CG92*Sheet3!CA92)+2501</f>
        <v>2761.2546385025917</v>
      </c>
      <c r="HO92" s="165">
        <f>(CH92*Sheet3!CB92)+2501</f>
        <v>2748.232833308919</v>
      </c>
      <c r="HP92" s="165">
        <f>(CI92*Sheet3!CC92)+2501</f>
        <v>2732.0819667490086</v>
      </c>
      <c r="HQ92" s="165">
        <f>(CJ92*Sheet3!CD92)+2501</f>
        <v>2723.3996930268809</v>
      </c>
      <c r="HR92" s="165">
        <f>(CK92*Sheet3!CE92)+2501</f>
        <v>2711.4469528889781</v>
      </c>
      <c r="HS92" s="165">
        <f>(CL92*Sheet3!CF92)+2501</f>
        <v>2702.6667249170955</v>
      </c>
      <c r="HT92" s="165">
        <f>(CM92*Sheet3!CG92)+2501</f>
        <v>2691.5268636995679</v>
      </c>
      <c r="HU92" s="188">
        <f>-0.0021*(Sheet3!DF92^2) - 2.2115*(Sheet3!DF92) + 2499</f>
        <v>2134.1799999999998</v>
      </c>
      <c r="HV92" s="165">
        <f>-0.0021*(Sheet3!BZ92^2) - 2.2115*(Sheet3!BZ92) + 2499</f>
        <v>2141.3681860530073</v>
      </c>
      <c r="HW92" s="165">
        <f>-0.0021*(Sheet3!CA92^2) - 2.2115*(Sheet3!CA92) + 2499</f>
        <v>2157.7846000134805</v>
      </c>
      <c r="HX92" s="165">
        <f>-0.0021*(Sheet3!CB92^2) - 2.2115*(Sheet3!CB92) + 2499</f>
        <v>2176.1241443575018</v>
      </c>
      <c r="HY92" s="165">
        <f>-0.0021*(Sheet3!CC92^2) - 2.2115*(Sheet3!CC92) + 2499</f>
        <v>2198.7124430843246</v>
      </c>
      <c r="HZ92" s="165">
        <f>-0.0021*(Sheet3!CD92^2) - 2.2115*(Sheet3!CD92) + 2499</f>
        <v>2210.7812712427076</v>
      </c>
      <c r="IA92" s="165">
        <f>-0.0021*(Sheet3!CE92^2) - 2.2115*(Sheet3!CE92) + 2499</f>
        <v>2227.3095674568258</v>
      </c>
      <c r="IB92" s="165">
        <f>-0.0021*(Sheet3!CF92^2) - 2.2115*(Sheet3!CF92) + 2499</f>
        <v>2239.3857325293384</v>
      </c>
      <c r="IC92" s="165">
        <f>-0.0021*(Sheet3!CG92^2) - 2.2115*(Sheet3!CG92) + 2499</f>
        <v>2254.6261927415035</v>
      </c>
      <c r="ID92" s="188">
        <f t="shared" si="292"/>
        <v>0.69602035900673731</v>
      </c>
      <c r="IE92" s="165">
        <f t="shared" si="293"/>
        <v>0.69679727988195117</v>
      </c>
      <c r="IF92" s="165">
        <f t="shared" si="294"/>
        <v>0.69830794445706779</v>
      </c>
      <c r="IG92" s="165">
        <f t="shared" si="295"/>
        <v>0.70049425442101776</v>
      </c>
      <c r="IH92" s="165">
        <f t="shared" si="296"/>
        <v>0.70276451859486722</v>
      </c>
      <c r="II92" s="165">
        <f t="shared" si="297"/>
        <v>0.70439440836137091</v>
      </c>
      <c r="IJ92" s="165">
        <f t="shared" si="298"/>
        <v>0.70617893751368466</v>
      </c>
      <c r="IK92" s="165">
        <f t="shared" si="299"/>
        <v>0.70797128537368803</v>
      </c>
      <c r="IL92" s="165">
        <f t="shared" si="300"/>
        <v>0.70983454015301239</v>
      </c>
      <c r="IM92" s="188">
        <f t="shared" si="301"/>
        <v>17.969653911616799</v>
      </c>
      <c r="IN92" s="165">
        <f t="shared" si="368"/>
        <v>16.911332638568805</v>
      </c>
      <c r="IO92" s="165">
        <f t="shared" si="369"/>
        <v>17.196155916771424</v>
      </c>
      <c r="IP92" s="165">
        <f t="shared" si="370"/>
        <v>17.534715041261482</v>
      </c>
      <c r="IQ92" s="165">
        <f t="shared" si="371"/>
        <v>17.801909084755973</v>
      </c>
      <c r="IR92" s="165">
        <f t="shared" si="372"/>
        <v>18.051698822302843</v>
      </c>
      <c r="IS92" s="165">
        <f t="shared" si="373"/>
        <v>18.254925415086166</v>
      </c>
      <c r="IT92" s="165">
        <f t="shared" si="374"/>
        <v>18.501811448495094</v>
      </c>
      <c r="IU92" s="165">
        <f t="shared" si="375"/>
        <v>18.704906312685981</v>
      </c>
      <c r="IV92" s="188">
        <f>_xlfn.FORECAST.LINEAR(Sheet3!DF92,Sheet2!$AK$2:$AK$69,Sheet2!$AJ$2:$AJ$69)</f>
        <v>1.386217343669711E-5</v>
      </c>
      <c r="IW92" s="165">
        <f>_xlfn.FORECAST.LINEAR(Sheet3!BZ92,Sheet2!$AK$2:$AK$69,Sheet2!$AJ$2:$AJ$69)</f>
        <v>1.3772772837555829E-5</v>
      </c>
      <c r="IX92" s="165">
        <f>_xlfn.FORECAST.LINEAR(Sheet3!CA92,Sheet2!$AK$2:$AK$69,Sheet2!$AJ$2:$AJ$69)</f>
        <v>1.3567308520043808E-5</v>
      </c>
      <c r="IY92" s="165">
        <f>_xlfn.FORECAST.LINEAR(Sheet3!CB92,Sheet2!$AK$2:$AK$69,Sheet2!$AJ$2:$AJ$69)</f>
        <v>1.3335602900637001E-5</v>
      </c>
      <c r="IZ92" s="165">
        <f>_xlfn.FORECAST.LINEAR(Sheet3!CC92,Sheet2!$AK$2:$AK$69,Sheet2!$AJ$2:$AJ$69)</f>
        <v>1.3046967026898536E-5</v>
      </c>
      <c r="JA92" s="165">
        <f>_xlfn.FORECAST.LINEAR(Sheet3!CD92,Sheet2!$AK$2:$AK$69,Sheet2!$AJ$2:$AJ$69)</f>
        <v>1.2891235325470637E-5</v>
      </c>
      <c r="JB92" s="165">
        <f>_xlfn.FORECAST.LINEAR(Sheet3!CE92,Sheet2!$AK$2:$AK$69,Sheet2!$AJ$2:$AJ$69)</f>
        <v>1.267619788368178E-5</v>
      </c>
      <c r="JC92" s="165">
        <f>_xlfn.FORECAST.LINEAR(Sheet3!CF92,Sheet2!$AK$2:$AK$69,Sheet2!$AJ$2:$AJ$69)</f>
        <v>1.2517765071199806E-5</v>
      </c>
      <c r="JD92" s="165">
        <f>_xlfn.FORECAST.LINEAR(Sheet3!CG92,Sheet2!$AK$2:$AK$69,Sheet2!$AJ$2:$AJ$69)</f>
        <v>1.2316187412495242E-5</v>
      </c>
      <c r="JE92" s="188">
        <f>_xlfn.FORECAST.LINEAR(Sheet3!DF92,New!$MC$2:$MC$18,New!$MB$2:$MB$18)</f>
        <v>2.337798370672098E-5</v>
      </c>
      <c r="JF92" s="165">
        <f>_xlfn.FORECAST.LINEAR(Sheet3!BZ92,New!$MC$2:$MC$18,New!$MB$2:$MB$18)</f>
        <v>2.3272891144592848E-5</v>
      </c>
      <c r="JG92" s="165">
        <f>_xlfn.FORECAST.LINEAR(Sheet3!CA92,New!$MC$2:$MC$18,New!$MB$2:$MB$18)</f>
        <v>2.3031362880122022E-5</v>
      </c>
      <c r="JH92" s="165">
        <f>_xlfn.FORECAST.LINEAR(Sheet3!CB92,New!$MC$2:$MC$18,New!$MB$2:$MB$18)</f>
        <v>2.2758987331894822E-5</v>
      </c>
      <c r="JI92" s="165">
        <f>_xlfn.FORECAST.LINEAR(Sheet3!CC92,New!$MC$2:$MC$18,New!$MB$2:$MB$18)</f>
        <v>2.2419688895590943E-5</v>
      </c>
      <c r="JJ92" s="165">
        <f>_xlfn.FORECAST.LINEAR(Sheet3!CD92,New!$MC$2:$MC$18,New!$MB$2:$MB$18)</f>
        <v>2.2236622521709408E-5</v>
      </c>
      <c r="JK92" s="165">
        <f>_xlfn.FORECAST.LINEAR(Sheet3!CE92,New!$MC$2:$MC$18,New!$MB$2:$MB$18)</f>
        <v>2.1983840818587305E-5</v>
      </c>
      <c r="JL92" s="165">
        <f>_xlfn.FORECAST.LINEAR(Sheet3!CF92,New!$MC$2:$MC$18,New!$MB$2:$MB$18)</f>
        <v>2.1797599223465737E-5</v>
      </c>
      <c r="JM92" s="165">
        <f>_xlfn.FORECAST.LINEAR(Sheet3!CG92,New!$MC$2:$MC$18,New!$MB$2:$MB$18)</f>
        <v>2.1560639820234283E-5</v>
      </c>
      <c r="JN92" s="188">
        <f t="shared" si="376"/>
        <v>2.1955083636773033E-5</v>
      </c>
      <c r="JO92" s="165">
        <f t="shared" si="377"/>
        <v>2.1850708042120132E-5</v>
      </c>
      <c r="JP92" s="165">
        <f t="shared" si="378"/>
        <v>2.1614524961143098E-5</v>
      </c>
      <c r="JQ92" s="165">
        <f t="shared" si="379"/>
        <v>2.1343776226400148E-5</v>
      </c>
      <c r="JR92" s="165">
        <f t="shared" si="380"/>
        <v>2.1012872015839249E-5</v>
      </c>
      <c r="JS92" s="165">
        <f t="shared" si="381"/>
        <v>2.0830744141815976E-5</v>
      </c>
      <c r="JT92" s="165">
        <f t="shared" si="382"/>
        <v>2.0584839503254403E-5</v>
      </c>
      <c r="JU92" s="165">
        <f t="shared" si="383"/>
        <v>2.0399464795843614E-5</v>
      </c>
      <c r="JV92" s="165">
        <f t="shared" si="384"/>
        <v>2.0168463923134044E-5</v>
      </c>
      <c r="JW92" s="188">
        <f t="shared" si="302"/>
        <v>1.0152024173422087</v>
      </c>
      <c r="JX92" s="165">
        <f t="shared" si="385"/>
        <v>1.0162714772907973</v>
      </c>
      <c r="JY92" s="165">
        <f t="shared" si="386"/>
        <v>1.018779924007631</v>
      </c>
      <c r="JZ92" s="165">
        <f t="shared" si="387"/>
        <v>1.0216981174654705</v>
      </c>
      <c r="KA92" s="165">
        <f t="shared" si="388"/>
        <v>1.025472963264801</v>
      </c>
      <c r="KB92" s="165">
        <f t="shared" si="389"/>
        <v>1.0275772690126461</v>
      </c>
      <c r="KC92" s="165">
        <f t="shared" si="390"/>
        <v>1.0305647520228634</v>
      </c>
      <c r="KD92" s="165">
        <f t="shared" si="391"/>
        <v>1.0328290362641612</v>
      </c>
      <c r="KE92" s="165">
        <f t="shared" si="392"/>
        <v>1.0357909494636335</v>
      </c>
      <c r="KF92" s="188">
        <f t="shared" si="393"/>
        <v>0.9677010468805306</v>
      </c>
      <c r="KG92" s="165">
        <f t="shared" si="394"/>
        <v>0.96681877200577349</v>
      </c>
      <c r="KH92" s="165">
        <f t="shared" si="395"/>
        <v>0.96475876330175614</v>
      </c>
      <c r="KI92" s="165">
        <f t="shared" si="396"/>
        <v>0.9623800354767198</v>
      </c>
      <c r="KJ92" s="165">
        <f t="shared" si="397"/>
        <v>0.95933102224330802</v>
      </c>
      <c r="KK92" s="165">
        <f t="shared" si="398"/>
        <v>0.95764488290048921</v>
      </c>
      <c r="KL92" s="165">
        <f t="shared" si="399"/>
        <v>0.95526752733317488</v>
      </c>
      <c r="KM92" s="165">
        <f t="shared" si="400"/>
        <v>0.95347840939627193</v>
      </c>
      <c r="KN92" s="165">
        <f t="shared" si="401"/>
        <v>0.95115445691456812</v>
      </c>
      <c r="KO92" s="188">
        <f t="shared" si="304"/>
        <v>0.62445915498727289</v>
      </c>
      <c r="KP92" s="165">
        <f t="shared" si="305"/>
        <v>0.62296999163619715</v>
      </c>
      <c r="KQ92" s="165">
        <f t="shared" si="306"/>
        <v>0.61935871821208066</v>
      </c>
      <c r="KR92" s="165">
        <f t="shared" si="307"/>
        <v>0.6151908513925064</v>
      </c>
      <c r="KS92" s="165">
        <f t="shared" si="308"/>
        <v>0.60988640932957372</v>
      </c>
      <c r="KT92" s="165">
        <f t="shared" si="309"/>
        <v>0.60695209828605257</v>
      </c>
      <c r="KU92" s="165">
        <f t="shared" si="310"/>
        <v>0.60284574249783129</v>
      </c>
      <c r="KV92" s="165">
        <f t="shared" si="311"/>
        <v>0.59975006097561967</v>
      </c>
      <c r="KW92" s="165">
        <f t="shared" si="312"/>
        <v>0.59585677420789862</v>
      </c>
      <c r="KX92" s="188">
        <f>AVERAGE(Sheet3!J92:P92)*KO92^(1/3)/ID92^(1/3)</f>
        <v>87.99879185713624</v>
      </c>
      <c r="KY92" s="165">
        <f>Sheet3!J92*KP92^(1/3)/IE92^(1/3)</f>
        <v>83.246696756410714</v>
      </c>
      <c r="KZ92" s="165">
        <f>Sheet3!K92*KQ92^(1/3)/IF92^(1/3)</f>
        <v>78.181228558753688</v>
      </c>
      <c r="LA92" s="165">
        <f>Sheet3!L92*KR92^(1/3)/IG92^(1/3)</f>
        <v>78.094604302842427</v>
      </c>
      <c r="LB92" s="165">
        <f>Sheet3!M92*KS92^(1/3)/IH92^(1/3)</f>
        <v>80.302840756831699</v>
      </c>
      <c r="LC92" s="165">
        <f>Sheet3!N92*KT92^(1/3)/II92^(1/3)</f>
        <v>86.102474847592902</v>
      </c>
      <c r="LD92" s="165">
        <f>Sheet3!O92*KU92^(1/3)/IJ92^(1/3)</f>
        <v>95.292423596755555</v>
      </c>
      <c r="LE92" s="165">
        <f>Sheet3!P92*KV92^(1/3)/IK92^(1/3)</f>
        <v>108.07387039790213</v>
      </c>
      <c r="LF92" s="165">
        <f>Sheet3!Q92*KW92^(1/3)/IL92^(1/3)</f>
        <v>124.06128215539999</v>
      </c>
      <c r="LG92" s="186">
        <f t="shared" si="402"/>
        <v>27.307800738223769</v>
      </c>
      <c r="LH92" s="183">
        <f t="shared" si="403"/>
        <v>27.310179265966969</v>
      </c>
      <c r="LI92" s="183">
        <f t="shared" si="404"/>
        <v>27.494225527837326</v>
      </c>
      <c r="LJ92" s="183">
        <f t="shared" si="405"/>
        <v>27.496643149769497</v>
      </c>
      <c r="LK92" s="183">
        <f t="shared" si="406"/>
        <v>27.817188756218073</v>
      </c>
      <c r="LL92" s="183">
        <f t="shared" si="407"/>
        <v>27.818431702996104</v>
      </c>
      <c r="LM92" s="183">
        <f t="shared" si="408"/>
        <v>28.10404848454565</v>
      </c>
      <c r="LN92" s="183">
        <f t="shared" si="409"/>
        <v>28.107232949331262</v>
      </c>
      <c r="LO92" s="183">
        <f t="shared" si="410"/>
        <v>28.364798536572305</v>
      </c>
      <c r="LT92" s="165"/>
      <c r="MF92" s="165"/>
      <c r="MJ92"/>
      <c r="MK92"/>
      <c r="ML92"/>
      <c r="MM92"/>
      <c r="MN92"/>
      <c r="MO92"/>
      <c r="MP92"/>
      <c r="MQ92"/>
      <c r="MR92"/>
    </row>
    <row r="93" spans="1:356" x14ac:dyDescent="0.3">
      <c r="A93" s="184" t="str">
        <f>Sheet3!A93</f>
        <v>2023.02.23-1</v>
      </c>
      <c r="B93" s="186">
        <f t="shared" si="313"/>
        <v>0.80967726689506991</v>
      </c>
      <c r="C93" s="183">
        <f t="shared" si="257"/>
        <v>0.80981453364027423</v>
      </c>
      <c r="D93" s="183">
        <f t="shared" si="258"/>
        <v>0.80305679057449664</v>
      </c>
      <c r="E93" s="183">
        <f t="shared" si="259"/>
        <v>0.79664702847990487</v>
      </c>
      <c r="F93" s="183">
        <f t="shared" si="260"/>
        <v>0.78872485997834585</v>
      </c>
      <c r="G93" s="183">
        <f t="shared" si="261"/>
        <v>0.78394012616285447</v>
      </c>
      <c r="H93" s="183">
        <f t="shared" si="262"/>
        <v>0.78011416125914101</v>
      </c>
      <c r="I93" s="183">
        <f t="shared" si="263"/>
        <v>0.77381028281131115</v>
      </c>
      <c r="J93" s="183">
        <f t="shared" si="264"/>
        <v>0.76828269646466107</v>
      </c>
      <c r="K93" s="186">
        <f xml:space="preserve"> (6.057 * (10^(-6)))
+ (4.055 * (10^(-8)) * (Sheet3!DF93 + 273))
+ (1.25 * (10^(-10)) * (Sheet3!DF93 + 273)^2)
- (3.367 * (10^(-14)) * (DD93 + 273)^3)</f>
        <v>3.5902691340774392E-5</v>
      </c>
      <c r="L93" s="183">
        <f xml:space="preserve"> (6.057 * (10^(-6)))
+ (4.055 * (10^(-8)) * (Sheet3!BZ93 + 273))
+ (1.25 * (10^(-10)) * (Sheet3!BZ93 + 273)^2)
- (3.367 * (10^(-14)) * (BX93 + 273)^3)</f>
        <v>3.5903294532879895E-5</v>
      </c>
      <c r="M93" s="183">
        <f xml:space="preserve"> (6.057 * (10^(-6)))
+ (4.055 * (10^(-8)) * (Sheet3!CA93 + 273))
+ (1.25 * (10^(-10)) * (Sheet3!CA93 + 273)^2)
- (3.367 * (10^(-14)) * (BY93 + 273)^3)</f>
        <v>3.5262610004666282E-5</v>
      </c>
      <c r="N93" s="183">
        <f xml:space="preserve"> (6.057 * (10^(-6)))
+ (4.055 * (10^(-8)) * (Sheet3!CB93 + 273))
+ (1.25 * (10^(-10)) * (Sheet3!CB93 + 273)^2)
- (3.367 * (10^(-14)) * (BZ93 + 273)^3)</f>
        <v>3.4770362433133853E-5</v>
      </c>
      <c r="O93" s="183">
        <f xml:space="preserve"> (6.057 * (10^(-6)))
+ (4.055 * (10^(-8)) * (Sheet3!CC93 + 273))
+ (1.25 * (10^(-10)) * (Sheet3!CC93 + 273)^2)
- (3.367 * (10^(-14)) * (CA93 + 273)^3)</f>
        <v>3.4112659137978391E-5</v>
      </c>
      <c r="P93" s="183">
        <f xml:space="preserve"> (6.057 * (10^(-6)))
+ (4.055 * (10^(-8)) * (Sheet3!CD93 + 273))
+ (1.25 * (10^(-10)) * (Sheet3!CD93 + 273)^2)
- (3.367 * (10^(-14)) * (CB93 + 273)^3)</f>
        <v>3.3761919452289192E-5</v>
      </c>
      <c r="Q93" s="183">
        <f xml:space="preserve"> (6.057 * (10^(-6)))
+ (4.055 * (10^(-8)) * (Sheet3!CE93 + 273))
+ (1.25 * (10^(-10)) * (Sheet3!CE93 + 273)^2)
- (3.367 * (10^(-14)) * (CC93 + 273)^3)</f>
        <v>3.3393288499582707E-5</v>
      </c>
      <c r="R93" s="183">
        <f xml:space="preserve"> (6.057 * (10^(-6)))
+ (4.055 * (10^(-8)) * (Sheet3!CF93 + 273))
+ (1.25 * (10^(-10)) * (Sheet3!CF93 + 273)^2)
- (3.367 * (10^(-14)) * (CD93 + 273)^3)</f>
        <v>3.2947606888656145E-5</v>
      </c>
      <c r="S93" s="183">
        <f xml:space="preserve"> (6.057 * (10^(-6)))
+ (4.055 * (10^(-8)) * (Sheet3!CG93 + 273))
+ (1.25 * (10^(-10)) * (Sheet3!CG93 + 273)^2)
- (3.367 * (10^(-14)) * (CE93 + 273)^3)</f>
        <v>3.2474678832042323E-5</v>
      </c>
      <c r="T93" s="188">
        <f t="shared" si="314"/>
        <v>3.5902691340774392E-5</v>
      </c>
      <c r="U93" s="165">
        <f t="shared" si="315"/>
        <v>3.5903294532879895E-5</v>
      </c>
      <c r="V93" s="165">
        <f t="shared" si="316"/>
        <v>3.5262610004666282E-5</v>
      </c>
      <c r="W93" s="165">
        <f t="shared" si="317"/>
        <v>3.4770362433133853E-5</v>
      </c>
      <c r="X93" s="165">
        <f t="shared" si="318"/>
        <v>3.4112659137978391E-5</v>
      </c>
      <c r="Y93" s="165">
        <f t="shared" si="319"/>
        <v>3.3761919452289192E-5</v>
      </c>
      <c r="Z93" s="165">
        <f t="shared" si="320"/>
        <v>3.3393288499582707E-5</v>
      </c>
      <c r="AA93" s="165">
        <f t="shared" si="321"/>
        <v>3.2947606888656145E-5</v>
      </c>
      <c r="AB93" s="165">
        <f t="shared" si="322"/>
        <v>3.2474678832042323E-5</v>
      </c>
      <c r="AC93" s="186">
        <f t="shared" si="265"/>
        <v>2.9069592998975505E-5</v>
      </c>
      <c r="AD93" s="183">
        <f t="shared" si="266"/>
        <v>2.9075009718293541E-5</v>
      </c>
      <c r="AE93" s="183">
        <f t="shared" si="267"/>
        <v>2.8317878417627442E-5</v>
      </c>
      <c r="AF93" s="183">
        <f t="shared" si="268"/>
        <v>2.7699705911525398E-5</v>
      </c>
      <c r="AG93" s="183">
        <f t="shared" si="269"/>
        <v>2.6905502302091045E-5</v>
      </c>
      <c r="AH93" s="183">
        <f t="shared" si="270"/>
        <v>2.6467323394927719E-5</v>
      </c>
      <c r="AI93" s="183">
        <f t="shared" si="271"/>
        <v>2.6050577249536484E-5</v>
      </c>
      <c r="AJ93" s="183">
        <f t="shared" si="272"/>
        <v>2.5495197004466914E-5</v>
      </c>
      <c r="AK93" s="183">
        <f t="shared" si="273"/>
        <v>2.4949733819905328E-5</v>
      </c>
      <c r="AL93" s="186">
        <f t="shared" si="323"/>
        <v>2.9748980645433836E-2</v>
      </c>
      <c r="AM93" s="183">
        <f t="shared" si="324"/>
        <v>2.9750825575677532E-2</v>
      </c>
      <c r="AN93" s="183">
        <f t="shared" si="325"/>
        <v>2.9307685687706295E-2</v>
      </c>
      <c r="AO93" s="183">
        <f t="shared" si="326"/>
        <v>2.8960074650878891E-2</v>
      </c>
      <c r="AP93" s="183">
        <f t="shared" si="327"/>
        <v>2.8495790279342476E-2</v>
      </c>
      <c r="AQ93" s="183">
        <f t="shared" si="328"/>
        <v>2.8243754625161328E-2</v>
      </c>
      <c r="AR93" s="183">
        <f t="shared" si="329"/>
        <v>2.7985370658263144E-2</v>
      </c>
      <c r="AS93" s="183">
        <f t="shared" si="330"/>
        <v>2.7661220110945167E-2</v>
      </c>
      <c r="AT93" s="183">
        <f t="shared" si="331"/>
        <v>2.7326697118000395E-2</v>
      </c>
      <c r="AU93" s="186">
        <f>_xlfn.FORECAST.LINEAR(Sheet3!DF93,Sheet2!$AH$2:$AH$40,Sheet2!$AG$2:$AG$40)</f>
        <v>2.5653712965492358E-2</v>
      </c>
      <c r="AV93" s="183">
        <f>_xlfn.FORECAST.LINEAR(Sheet3!BZ93,Sheet2!$AH$2:$AH$40,Sheet2!$AG$2:$AG$40)</f>
        <v>2.5658177030908919E-2</v>
      </c>
      <c r="AW93" s="183">
        <f>_xlfn.FORECAST.LINEAR(Sheet3!CA93,Sheet2!$AH$2:$AH$40,Sheet2!$AG$2:$AG$40)</f>
        <v>2.4400189497888192E-2</v>
      </c>
      <c r="AX93" s="183">
        <f>_xlfn.FORECAST.LINEAR(Sheet3!CB93,Sheet2!$AH$2:$AH$40,Sheet2!$AG$2:$AG$40)</f>
        <v>2.3425360778372005E-2</v>
      </c>
      <c r="AY93" s="183">
        <f>_xlfn.FORECAST.LINEAR(Sheet3!CC93,Sheet2!$AH$2:$AH$40,Sheet2!$AG$2:$AG$40)</f>
        <v>2.2111384161899481E-2</v>
      </c>
      <c r="AZ93" s="183">
        <f>_xlfn.FORECAST.LINEAR(Sheet3!CD93,Sheet2!$AH$2:$AH$40,Sheet2!$AG$2:$AG$40)</f>
        <v>2.1405116878654533E-2</v>
      </c>
      <c r="BA93" s="183">
        <f>_xlfn.FORECAST.LINEAR(Sheet3!CE93,Sheet2!$AH$2:$AH$40,Sheet2!$AG$2:$AG$40)</f>
        <v>2.0658625934193622E-2</v>
      </c>
      <c r="BB93" s="183">
        <f>_xlfn.FORECAST.LINEAR(Sheet3!CF93,Sheet2!$AH$2:$AH$40,Sheet2!$AG$2:$AG$40)</f>
        <v>1.9750190988759662E-2</v>
      </c>
      <c r="BC93" s="183">
        <f>_xlfn.FORECAST.LINEAR(Sheet3!CG93,Sheet2!$AH$2:$AH$40,Sheet2!$AG$2:$AG$40)</f>
        <v>1.8791469955580706E-2</v>
      </c>
      <c r="BD93" s="186">
        <f>_xlfn.FORECAST.LINEAR(Sheet3!DF93,Sheet2!$AB$12:$AB$37,Sheet2!$AA$12:$AA$37)/1000</f>
        <v>3.0506351161118033E-2</v>
      </c>
      <c r="BE93" s="183">
        <f>_xlfn.FORECAST.LINEAR(Sheet3!BZ93,Sheet2!$AB$12:$AB$37,Sheet2!$AA$12:$AA$37)/1000</f>
        <v>3.0507349222817552E-2</v>
      </c>
      <c r="BF93" s="183">
        <f>_xlfn.FORECAST.LINEAR(Sheet3!CA93,Sheet2!$AB$12:$AB$37,Sheet2!$AA$12:$AA$37)/1000</f>
        <v>3.0226092328479733E-2</v>
      </c>
      <c r="BG93" s="183">
        <f>_xlfn.FORECAST.LINEAR(Sheet3!CB93,Sheet2!$AB$12:$AB$37,Sheet2!$AA$12:$AA$37)/1000</f>
        <v>3.0008143190697681E-2</v>
      </c>
      <c r="BH93" s="183">
        <f>_xlfn.FORECAST.LINEAR(Sheet3!CC93,Sheet2!$AB$12:$AB$37,Sheet2!$AA$12:$AA$37)/1000</f>
        <v>2.9714368433253015E-2</v>
      </c>
      <c r="BI93" s="183">
        <f>_xlfn.FORECAST.LINEAR(Sheet3!CD93,Sheet2!$AB$12:$AB$37,Sheet2!$AA$12:$AA$37)/1000</f>
        <v>2.9556463416355993E-2</v>
      </c>
      <c r="BJ93" s="183">
        <f>_xlfn.FORECAST.LINEAR(Sheet3!CE93,Sheet2!$AB$12:$AB$37,Sheet2!$AA$12:$AA$37)/1000</f>
        <v>2.9389565319849244E-2</v>
      </c>
      <c r="BK93" s="183">
        <f>_xlfn.FORECAST.LINEAR(Sheet3!CF93,Sheet2!$AB$12:$AB$37,Sheet2!$AA$12:$AA$37)/1000</f>
        <v>2.9186460293166523E-2</v>
      </c>
      <c r="BL93" s="183">
        <f>_xlfn.FORECAST.LINEAR(Sheet3!CG93,Sheet2!$AB$12:$AB$37,Sheet2!$AA$12:$AA$37)/1000</f>
        <v>2.8972112461212441E-2</v>
      </c>
      <c r="BM93" s="186">
        <f t="shared" si="332"/>
        <v>0.92619438378270835</v>
      </c>
      <c r="BN93" s="183">
        <f t="shared" si="333"/>
        <v>0.92616863383201609</v>
      </c>
      <c r="BO93" s="183">
        <f t="shared" si="334"/>
        <v>0.93956397318625828</v>
      </c>
      <c r="BP93" s="183">
        <f t="shared" si="335"/>
        <v>0.94990004669670869</v>
      </c>
      <c r="BQ93" s="183">
        <f t="shared" si="336"/>
        <v>0.96444236444044806</v>
      </c>
      <c r="BR93" s="183">
        <f t="shared" si="337"/>
        <v>0.97231070553296528</v>
      </c>
      <c r="BS93" s="183">
        <f t="shared" si="338"/>
        <v>0.9811325594361574</v>
      </c>
      <c r="BT93" s="183">
        <f t="shared" si="339"/>
        <v>0.99162486253995363</v>
      </c>
      <c r="BU93" s="183">
        <f t="shared" si="340"/>
        <v>1.00325116837146</v>
      </c>
      <c r="BV93" s="186">
        <f t="shared" si="341"/>
        <v>1.1049204067774057</v>
      </c>
      <c r="BW93" s="183">
        <f t="shared" si="342"/>
        <v>1.1048137849285753</v>
      </c>
      <c r="BX93" s="183">
        <f t="shared" si="343"/>
        <v>1.1015252497367845</v>
      </c>
      <c r="BY93" s="183">
        <f t="shared" si="344"/>
        <v>1.1006433395055923</v>
      </c>
      <c r="BZ93" s="183">
        <f t="shared" si="345"/>
        <v>1.0981541885765767</v>
      </c>
      <c r="CA93" s="183">
        <f t="shared" si="346"/>
        <v>1.0975070997330709</v>
      </c>
      <c r="CB93" s="183">
        <f t="shared" si="347"/>
        <v>1.0949291649147772</v>
      </c>
      <c r="CC93" s="183">
        <f t="shared" si="348"/>
        <v>1.0941215026801763</v>
      </c>
      <c r="CD93" s="183">
        <f t="shared" si="349"/>
        <v>1.0917207185860072</v>
      </c>
      <c r="CE93" s="187">
        <f xml:space="preserve"> -0.0000000019505*Sheet3!DF93^3 + 0.0000015497*Sheet3!DF93^2  + 0.00016911*Sheet3!DF93 + 1.8585</f>
        <v>1.8828730816875001</v>
      </c>
      <c r="CF93" s="185">
        <f xml:space="preserve"> -0.0000000019505*Sheet3!BZ93^3 + 0.0000015497*Sheet3!BZ93^2  + 0.00016911*Sheet3!BZ93 + 1.8585</f>
        <v>1.8828799373282081</v>
      </c>
      <c r="CG93" s="185">
        <f xml:space="preserve"> -0.0000000019505*Sheet3!CA93^3 + 0.0000015497*Sheet3!CA93^2  + 0.00016911*Sheet3!CA93 + 1.8585</f>
        <v>1.8809739222822539</v>
      </c>
      <c r="CH93" s="185">
        <f xml:space="preserve"> -0.0000000019505*Sheet3!CB93^3 + 0.0000015497*Sheet3!CB93^2  + 0.00016911*Sheet3!CB93 + 1.8585</f>
        <v>1.8795332914314167</v>
      </c>
      <c r="CI93" s="185">
        <f xml:space="preserve"> -0.0000000019505*Sheet3!CC93^3 + 0.0000015497*Sheet3!CC93^2  + 0.00016911*Sheet3!CC93 + 1.8585</f>
        <v>1.877642966316063</v>
      </c>
      <c r="CJ93" s="185">
        <f xml:space="preserve"> -0.0000000019505*Sheet3!CD93^3 + 0.0000015497*Sheet3!CD93^2  + 0.00016911*Sheet3!CD93 + 1.8585</f>
        <v>1.8766518548268831</v>
      </c>
      <c r="CK93" s="185">
        <f xml:space="preserve"> -0.0000000019505*Sheet3!CE93^3 + 0.0000015497*Sheet3!CE93^2  + 0.00016911*Sheet3!CE93 + 1.8585</f>
        <v>1.8756236133734663</v>
      </c>
      <c r="CL93" s="185">
        <f xml:space="preserve"> -0.0000000019505*Sheet3!CF93^3 + 0.0000015497*Sheet3!CF93^2  + 0.00016911*Sheet3!CF93 + 1.8585</f>
        <v>1.8743995046513147</v>
      </c>
      <c r="CM93" s="185">
        <f xml:space="preserve"> -0.0000000019505*Sheet3!CG93^3 + 0.0000015497*Sheet3!CG93^2  + 0.00016911*Sheet3!CG93 + 1.8585</f>
        <v>1.8731405784077986</v>
      </c>
      <c r="CN93" s="186">
        <f>_xlfn.FORECAST.LINEAR(Sheet3!DF93,New!$LU$2:$LU$14,New!$LT$2:$LT$14)</f>
        <v>1.0126209368728181</v>
      </c>
      <c r="CO93" s="183">
        <f>_xlfn.FORECAST.LINEAR(Sheet3!BZ93,New!$LU$2:$LU$14,New!$LT$2:$LT$14)</f>
        <v>1.01262422248353</v>
      </c>
      <c r="CP93" s="183">
        <f>_xlfn.FORECAST.LINEAR(Sheet3!CA93,New!$LU$2:$LU$14,New!$LT$2:$LT$14)</f>
        <v>1.0116983271553375</v>
      </c>
      <c r="CQ93" s="183">
        <f>_xlfn.FORECAST.LINEAR(Sheet3!CB93,New!$LU$2:$LU$14,New!$LT$2:$LT$14)</f>
        <v>1.0109808404287237</v>
      </c>
      <c r="CR93" s="183">
        <f>_xlfn.FORECAST.LINEAR(Sheet3!CC93,New!$LU$2:$LU$14,New!$LT$2:$LT$14)</f>
        <v>1.0100137364005743</v>
      </c>
      <c r="CS93" s="183">
        <f>_xlfn.FORECAST.LINEAR(Sheet3!CD93,New!$LU$2:$LU$14,New!$LT$2:$LT$14)</f>
        <v>1.0094939144143886</v>
      </c>
      <c r="CT93" s="183">
        <f>_xlfn.FORECAST.LINEAR(Sheet3!CE93,New!$LU$2:$LU$14,New!$LT$2:$LT$14)</f>
        <v>1.0089444872858426</v>
      </c>
      <c r="CU93" s="183">
        <f>_xlfn.FORECAST.LINEAR(Sheet3!CF93,New!$LU$2:$LU$14,New!$LT$2:$LT$14)</f>
        <v>1.0082758672479919</v>
      </c>
      <c r="CV93" s="183">
        <f>_xlfn.FORECAST.LINEAR(Sheet3!CG93,New!$LU$2:$LU$14,New!$LT$2:$LT$14)</f>
        <v>1.0075702359898435</v>
      </c>
      <c r="CW93" s="186">
        <f>EXP((17.625*Sheet3!BA93)/(243.04+Sheet3!BA93)) / EXP((17.625*Sheet3!DF93)/(243.04+Sheet3!DF93))</f>
        <v>0.25054222724360542</v>
      </c>
      <c r="CX93" s="183">
        <f>EXP((17.625*(Sheet3!BC93+273))/(243.04+(Sheet3!BC93+273)))/EXP((17.625*(Sheet3!BZ93+273))/(243.04+(Sheet3!BZ93+273)))</f>
        <v>0.67438898987322593</v>
      </c>
      <c r="CY93" s="183">
        <f>EXP((17.625*(Sheet3!BE93+273))/(243.04+(Sheet3!BE93+273))) / EXP((17.625*(Sheet3!CA93+273))/(243.04+(Sheet3!CA93+273)))</f>
        <v>0.71002896648391622</v>
      </c>
      <c r="CZ93" s="183">
        <f>EXP((17.625*(Sheet3!BG93+273))/(243.04+(Sheet3!BG93+273))) / EXP((17.625*(Sheet3!CB93+273))/(243.04+(Sheet3!CB93+273)))</f>
        <v>0.74362691491337407</v>
      </c>
      <c r="DA93" s="183">
        <f>EXP((17.625*(Sheet3!BI93+273))/(243.04+(Sheet3!BI93+273))) / EXP((17.625*(Sheet3!CC93+273))/(243.04+(Sheet3!CC93+273)))</f>
        <v>0.78856291057470895</v>
      </c>
      <c r="DB93" s="183">
        <f>EXP((17.625*(Sheet3!BK93+273))/(243.04+(Sheet3!BK93+273)))/EXP((17.625*(Sheet3!CD93+273))/(243.04+(Sheet3!CD93+273)))</f>
        <v>0.81616830114869576</v>
      </c>
      <c r="DC93" s="183">
        <f>EXP((17.625*(Sheet3!BM93+273))/(243.04+(Sheet3!BM93+273))) / EXP((17.625*(Sheet3!CE93+273))/(243.04+(Sheet3!CE93+273)))</f>
        <v>0.84087414514958969</v>
      </c>
      <c r="DD93" s="183">
        <f>EXP((17.625*(Sheet3!BO93+273))/(243.04+(Sheet3!BO93+273))) / EXP((17.625*(Sheet3!CF93+273))/(243.04+(Sheet3!CF93+273)))</f>
        <v>0.87981890329032231</v>
      </c>
      <c r="DE93" s="183">
        <f>EXP((17.625*(Sheet3!BQ93+273))/(243.04+(Sheet3!BQ93+273))) / EXP((17.625*(Sheet3!CG93+273))/(243.04+(Sheet3!CG93+273)))</f>
        <v>0.9180286884329999</v>
      </c>
      <c r="DF93" s="186">
        <f>((Sheet3!DA93-Sheet3!DB93)/New!$LQ$3)/(((Sheet3!DA93-Sheet3!DB93)/New!$LQ$3)+(Sheet3!DB93/New!$LP$3))</f>
        <v>0.83982364165754719</v>
      </c>
      <c r="DG93" s="183">
        <f>((Sheet3!DA93-Sheet3!DB93)/New!$LQ$3)/(((Sheet3!DA93-Sheet3!DB93)/New!$LQ$3)+((Sheet3!DB93-(Sheet3!B93*0.004))/New!$LP$3))</f>
        <v>0.84067004744865981</v>
      </c>
      <c r="DH93" s="183" cm="1">
        <f t="array" ref="DH93">((Sheet3!DA93-Sheet3!DB93)/New!$LQ$3)/(((Sheet3!DA93-Sheet3!DB93)/New!$LQ$3)+((Sheet3!DB93-(SUM(Sheet3!B93:C93*0.004)))/New!$LP$3))</f>
        <v>0.85844543086879921</v>
      </c>
      <c r="DI93" s="183" cm="1">
        <f t="array" ref="DI93">((Sheet3!DA93-Sheet3!DB93)/New!$LQ$3)/(((Sheet3!DA93-Sheet3!DB93)/New!$LQ$3)+((Sheet3!DB93-(SUM(Sheet3!B93:D93*0.004)))/New!$LP$3))</f>
        <v>0.85916887668595177</v>
      </c>
      <c r="DJ93" s="183" cm="1">
        <f t="array" ref="DJ93">((Sheet3!DA93-Sheet3!DB93)/New!$LQ$3)/(((Sheet3!DA93-Sheet3!DB93)/New!$LQ$3)+((Sheet3!DB93-(SUM(Sheet3!B93:E93*0.004)))/New!$LP$3))</f>
        <v>0.8708707778640058</v>
      </c>
      <c r="DK93" s="183" cm="1">
        <f t="array" ref="DK93">((Sheet3!DA93-Sheet3!DB93)/New!$LQ$3)/(((Sheet3!DA93-Sheet3!DB93)/New!$LQ$3)+((Sheet3!DB93-(SUM(Sheet3!B93:F93*0.004)))/New!$LP$3))</f>
        <v>0.87153253644392326</v>
      </c>
      <c r="DL93" s="183" cm="1">
        <f t="array" ref="DL93">((Sheet3!DA93-Sheet3!DB93)/New!$LQ$3)/(((Sheet3!DA93-Sheet3!DB93)/New!$LQ$3)+((Sheet3!DB93-(SUM(Sheet3!B93:G93*0.004)))/New!$LP$3))</f>
        <v>0.88840968827404698</v>
      </c>
      <c r="DM93" s="183" cm="1">
        <f t="array" ref="DM93">((Sheet3!DA93-Sheet3!DB93)/New!$LQ$3)/(((Sheet3!DA93-Sheet3!DB93)/New!$LQ$3)+((Sheet3!DB93-(SUM(Sheet3!B93:H93*0.004)))/New!$LP$3))</f>
        <v>0.8891414595255992</v>
      </c>
      <c r="DN93" s="183" cm="1">
        <f t="array" ref="DN93">((Sheet3!DA93-Sheet3!DB93)/New!$LQ$3)/(((Sheet3!DA93-Sheet3!DB93)/New!$LQ$3)+((Sheet3!DB93-(SUM(Sheet3!B93:I93*0.004)))/New!$LP$3))</f>
        <v>0.9037226347750984</v>
      </c>
      <c r="DO93" s="186">
        <f>(Sheet3!DB93/$LP$3) / ((Sheet3!DB93/$LP$3) + ((Sheet3!DA93-Sheet3!DB93)/$LQ$3))</f>
        <v>0.16017635834245281</v>
      </c>
      <c r="DP93" s="183">
        <f>((Sheet3!$DB93-(Sheet3!B93/4000)) / $LP$3) / (((Sheet3!$DA93-Sheet3!DB93) / $LQ$3) + (Sheet3!$DB93-((Sheet3!B93/4000)))/$LP$3)</f>
        <v>0.16012350791611163</v>
      </c>
      <c r="DQ93" s="183">
        <f>((Sheet3!$DB93-(SUM(Sheet3!B93:C93)/4000))/$LP$3)/(((Sheet3!$DA93-Sheet3!$DB93)/$LQ$3)+(Sheet3!$DB93-(SUM(Sheet3!B93:C93)/4000))/$LP$3)</f>
        <v>0.15903619773228209</v>
      </c>
      <c r="DR93" s="183">
        <f>((Sheet3!$DB93-(SUM(Sheet3!B93:D93)/4000))/$LP$3)/(((Sheet3!$DA93-Sheet3!$DB93)/$LQ$3)+(Sheet3!$DB93-(SUM(Sheet3!B93:D93)/4000))/$LP$3)</f>
        <v>0.15899283947742215</v>
      </c>
      <c r="DS93" s="183">
        <f>((Sheet3!$DB93-(SUM(Sheet3!B93:E93)/4000))/$LP$3)/(((Sheet3!$DA93-Sheet3!$DB93)/$LQ$3)+(Sheet3!$DB93-(SUM(Sheet3!B93:E93)/4000))/$LP$3)</f>
        <v>0.15830091174188934</v>
      </c>
      <c r="DT93" s="183">
        <f>((Sheet3!$DB93-(SUM(Sheet3!B93:F93)/4000))/$LP$3)/(((Sheet3!$DA93-Sheet3!$DB93)/$LQ$3)+(Sheet3!$DB93-(SUM(Sheet3!B93:F93)/4000))/$LP$3)</f>
        <v>0.15826230386597387</v>
      </c>
      <c r="DU93" s="183">
        <f>((Sheet3!$DB93-(SUM(Sheet3!B93:G93)/4000))/$LP$3)/(((Sheet3!$DA93-Sheet3!$DB93)/$LQ$3)+(Sheet3!$DB93-(SUM(Sheet3!B93:G93)/4000))/$LP$3)</f>
        <v>0.15729595455914555</v>
      </c>
      <c r="DV93" s="183">
        <f>((Sheet3!$DB93-(SUM(Sheet3!B93:H93)/4000))/$LP$3)/(((Sheet3!$DA93-Sheet3!$DB93)/$LQ$3)+(Sheet3!$DB93-(SUM(Sheet3!B93:H93)/4000))/$LP$3)</f>
        <v>0.1572548355574751</v>
      </c>
      <c r="DW93" s="183">
        <f>((Sheet3!$DB93-(SUM(Sheet3!B93:I93)/4000))/$LP$3)/(((Sheet3!$DA93-Sheet3!$DB93)/$LQ$3)+(Sheet3!$DB93-(SUM(Sheet3!B93:I93)/4000))/$LP$3)</f>
        <v>0.15644857696207837</v>
      </c>
      <c r="DX93" s="186">
        <f>($LR$2*($LP$3/1000))/($LP$2*(Sheet3!DF93+273))*DO93</f>
        <v>9.8232737673923612E-2</v>
      </c>
      <c r="DY93" s="183">
        <f>(($LR$2*($LP$3/1000))/($LP$2*(Sheet3!BZ93+273)))*(DP93)</f>
        <v>9.8195507738293275E-2</v>
      </c>
      <c r="DZ93" s="183">
        <f>(($LR$2*($LP$3/1000))/($LP$2*(Sheet3!CA93+273)))*(DQ93)</f>
        <v>9.8896033892434079E-2</v>
      </c>
      <c r="EA93" s="183">
        <f>(($LR$2*($LP$3/1000))/($LP$2*(Sheet3!CB93+273)))*(DR93)</f>
        <v>9.9954980383313435E-2</v>
      </c>
      <c r="EB93" s="183">
        <f>(($LR$2*($LP$3/1000))/($LP$2*(Sheet3!CC93+273)))*(DS93)</f>
        <v>0.10101545994329887</v>
      </c>
      <c r="EC93" s="183">
        <f>(($LR$2*($LP$3/1000))/($LP$2*(Sheet3!CD93+273)))*(DT93)</f>
        <v>0.10181317039661486</v>
      </c>
      <c r="ED93" s="183">
        <f>(($LR$2*($LP$3/1000))/($LP$2*(Sheet3!CE93+273)))*(DU93)</f>
        <v>0.10206996881179679</v>
      </c>
      <c r="EE93" s="183">
        <f>(($LR$2*($LP$3/1000))/($LP$2*(Sheet3!CF93+273)))*(DV93)</f>
        <v>0.10313284085597808</v>
      </c>
      <c r="EF93" s="183">
        <f>(($LR$2*($LP$3/1000))/($LP$2*(Sheet3!CG93+273)))*(DW93)</f>
        <v>0.10377343243708929</v>
      </c>
      <c r="EG93" s="186">
        <f>(($LR$2*($LQ$3/1000))/($LQ$2*(Sheet3!DF93+273)))*(1-DO93)</f>
        <v>0.82796164610878475</v>
      </c>
      <c r="EH93" s="183">
        <f>(($LR$2*($LQ$3/1000))/($LQ$2*(Sheet3!BZ93+273)))*(1-DP93)</f>
        <v>0.82797312609372287</v>
      </c>
      <c r="EI93" s="183">
        <f>(($LR$2*($LQ$3/1000))/($LQ$2*(Sheet3!CA93+273)))*(1-DQ93)</f>
        <v>0.84066793929382422</v>
      </c>
      <c r="EJ93" s="183">
        <f>(($LR$2*($LQ$3/1000))/($LQ$2*(Sheet3!CB93+273)))*(1-DR93)</f>
        <v>0.84994506631339528</v>
      </c>
      <c r="EK93" s="183">
        <f>(($LR$2*($LQ$3/1000))/($LQ$2*(Sheet3!CC93+273)))*(1-DS93)</f>
        <v>0.86342690449714921</v>
      </c>
      <c r="EL93" s="183">
        <f>(($LR$2*($LQ$3/1000))/($LQ$2*(Sheet3!CD93+273)))*(1-DT93)</f>
        <v>0.87049753513635042</v>
      </c>
      <c r="EM93" s="183">
        <f>(($LR$2*($LQ$3/1000))/($LQ$2*(Sheet3!CE93+273)))*(1-DU93)</f>
        <v>0.87906259062436065</v>
      </c>
      <c r="EN93" s="183">
        <f>(($LR$2*($LQ$3/1000))/($LQ$2*(Sheet3!CF93+273)))*(1-DV93)</f>
        <v>0.88849202168397556</v>
      </c>
      <c r="EO93" s="183">
        <f>(($LR$2*($LQ$3/1000))/($LQ$2*(Sheet3!CG93+273)))*(1-DW93)</f>
        <v>0.89947773593437064</v>
      </c>
      <c r="EP93" s="186">
        <f t="shared" si="350"/>
        <v>3090.9670348924938</v>
      </c>
      <c r="EQ93" s="183">
        <f xml:space="preserve"> (($FV93-(Sheet3!B93/4000))*0.018)/(0.011*JO93*3600)</f>
        <v>3090.645174641701</v>
      </c>
      <c r="ER93" s="183">
        <f>((($FV93-(SUM(Sheet3!B93:C93)/4000))*0.018)/(0.011*JP93*3600))</f>
        <v>3119.0103660191266</v>
      </c>
      <c r="ES93" s="183">
        <f>((($FV93-(SUM(Sheet3!B93:D93)/4000))*0.018)/(0.011*JQ93*3600))</f>
        <v>3144.6019517564741</v>
      </c>
      <c r="ET93" s="183">
        <f>((($FV93-(SUM(Sheet3!B93:E93)/4000))*0.018)/(0.011*JR93))/3600</f>
        <v>3177.2105944986401</v>
      </c>
      <c r="EU93" s="183">
        <f>((($FV93-(SUM(Sheet3!B93:F93)/4000))*0.018)/(0.011*JS93))/3600</f>
        <v>3196.4070985649819</v>
      </c>
      <c r="EV93" s="183">
        <f>((($FV93-(SUM(Sheet3!B93:G93)/4000))*0.018)/(0.011*JT93))/3600</f>
        <v>3213.1384327048677</v>
      </c>
      <c r="EW93" s="183">
        <f>((($FV93-(SUM(Sheet3!B93:H93)/4000))*0.018)/(0.011*JU93))/3600</f>
        <v>3238.5106951134408</v>
      </c>
      <c r="EX93" s="183">
        <f>((($FV93-(SUM(Sheet3!B93:I93)/4000))*0.018)/(0.011*JV93))/3600</f>
        <v>3262.5258617134077</v>
      </c>
      <c r="EY93" s="186">
        <f t="shared" si="351"/>
        <v>37.929131737905465</v>
      </c>
      <c r="EZ93" s="183">
        <f t="shared" si="352"/>
        <v>37.925332086309716</v>
      </c>
      <c r="FA93" s="183">
        <f t="shared" si="353"/>
        <v>38.172182490378475</v>
      </c>
      <c r="FB93" s="183">
        <f t="shared" si="354"/>
        <v>38.409626993509477</v>
      </c>
      <c r="FC93" s="183">
        <f t="shared" si="355"/>
        <v>38.702367892521892</v>
      </c>
      <c r="FD93" s="183">
        <f t="shared" si="356"/>
        <v>38.880868730613649</v>
      </c>
      <c r="FE93" s="183">
        <f t="shared" si="357"/>
        <v>39.021027021021062</v>
      </c>
      <c r="FF93" s="183">
        <f t="shared" si="358"/>
        <v>39.257449137929243</v>
      </c>
      <c r="FG93" s="183">
        <f t="shared" si="359"/>
        <v>39.46829914279671</v>
      </c>
      <c r="FH93" s="186">
        <f t="shared" si="274"/>
        <v>62.686278109392219</v>
      </c>
      <c r="FI93" s="183">
        <f t="shared" si="275"/>
        <v>62.683885544413712</v>
      </c>
      <c r="FJ93" s="183">
        <f t="shared" si="276"/>
        <v>62.152129246765455</v>
      </c>
      <c r="FK93" s="183">
        <f t="shared" si="277"/>
        <v>61.796981391358194</v>
      </c>
      <c r="FL93" s="183">
        <f t="shared" si="278"/>
        <v>61.26969770995899</v>
      </c>
      <c r="FM93" s="183">
        <f t="shared" si="279"/>
        <v>61.00787311336444</v>
      </c>
      <c r="FN93" s="183">
        <f t="shared" si="280"/>
        <v>60.667661369409785</v>
      </c>
      <c r="FO93" s="183">
        <f t="shared" si="281"/>
        <v>60.32827453324974</v>
      </c>
      <c r="FP93" s="183">
        <f t="shared" si="282"/>
        <v>59.918792024324468</v>
      </c>
      <c r="FQ93" s="314">
        <f>Sheet3!CV93</f>
        <v>3</v>
      </c>
      <c r="FR93" s="183">
        <v>3000</v>
      </c>
      <c r="FS93" s="183">
        <v>10</v>
      </c>
      <c r="FT93" s="183">
        <v>0.10186813186813187</v>
      </c>
      <c r="FU93" s="183">
        <v>43.66</v>
      </c>
      <c r="FV93" s="183">
        <v>132</v>
      </c>
      <c r="FW93" s="183">
        <v>14</v>
      </c>
      <c r="FX93" s="183">
        <v>396</v>
      </c>
      <c r="FY93" s="183">
        <v>6.47</v>
      </c>
      <c r="FZ93" s="183">
        <v>11.37</v>
      </c>
      <c r="GA93" s="183">
        <v>85</v>
      </c>
      <c r="GB93" s="186">
        <f>EXP($LP$6-($LQ$6/('Trial and Error method'!T93+$LP$8))) / ($LR$2/1000)</f>
        <v>6.3743989121581079E-2</v>
      </c>
      <c r="GC93" s="183">
        <f>EXP($LP$6-($LQ$6/('Trial and Error method'!U93+$LP$8))) / ($LR$2/1000)</f>
        <v>4.4991101116589452E-2</v>
      </c>
      <c r="GD93" s="183">
        <f>EXP($LP$6-($LQ$6/('Trial and Error method'!V93+$LP$8))) / ($LR$2/1000)</f>
        <v>4.0648074178163893E-2</v>
      </c>
      <c r="GE93" s="183">
        <f>EXP($LP$6-($LQ$6/('Trial and Error method'!W93+$LP$8))) / ($LR$2/1000)</f>
        <v>8.2740953600186518E-2</v>
      </c>
      <c r="GF93" s="183">
        <f>EXP($LP$6-($LQ$6/('Trial and Error method'!X93+$LP$8))) / ($LR$2/1000)</f>
        <v>7.8178568693482789E-2</v>
      </c>
      <c r="GG93" s="183">
        <f>EXP($LP$6-($LQ$6/('Trial and Error method'!Y93+$LP$8))) / ($LR$2/1000)</f>
        <v>7.5179183408389125E-2</v>
      </c>
      <c r="GH93" s="183">
        <f>EXP($LP$6-($LQ$6/('Trial and Error method'!Z93+$LP$8))) / ($LR$2/1000)</f>
        <v>7.1411987851778949E-2</v>
      </c>
      <c r="GI93" s="183">
        <f>EXP($LP$6-($LQ$6/('Trial and Error method'!AA93+$LP$8))) / ($LR$2/1000)</f>
        <v>6.8186117903836566E-2</v>
      </c>
      <c r="GJ93" s="183">
        <f>EXP($LP$6-($LQ$6/('Trial and Error method'!AB93+$LP$8))) / ($LR$2/1000)</f>
        <v>6.4119443251584501E-2</v>
      </c>
      <c r="GK93" s="188">
        <f t="shared" si="411"/>
        <v>0.8871665055031307</v>
      </c>
      <c r="GL93" s="165">
        <f t="shared" si="360"/>
        <v>0.89621048620622235</v>
      </c>
      <c r="GM93" s="165">
        <f t="shared" si="361"/>
        <v>0.89885883756283769</v>
      </c>
      <c r="GN93" s="165">
        <f t="shared" si="362"/>
        <v>0.87858168249800062</v>
      </c>
      <c r="GO93" s="165">
        <f t="shared" si="363"/>
        <v>0.8811532233411169</v>
      </c>
      <c r="GP93" s="165">
        <f t="shared" si="364"/>
        <v>0.88262762390268823</v>
      </c>
      <c r="GQ93" s="165">
        <f t="shared" si="365"/>
        <v>0.88495155592744168</v>
      </c>
      <c r="GR93" s="165">
        <f t="shared" si="366"/>
        <v>0.88653393212744247</v>
      </c>
      <c r="GS93" s="165">
        <f t="shared" si="367"/>
        <v>0.88891697108554102</v>
      </c>
      <c r="GT93" s="188">
        <f t="shared" si="283"/>
        <v>4.5792824532887189E-2</v>
      </c>
      <c r="GU93" s="165">
        <f t="shared" si="284"/>
        <v>4.5328234218766569E-2</v>
      </c>
      <c r="GV93" s="165">
        <f t="shared" si="285"/>
        <v>4.5196860145779325E-2</v>
      </c>
      <c r="GW93" s="165">
        <f t="shared" si="286"/>
        <v>4.6259072676427739E-2</v>
      </c>
      <c r="GX93" s="165">
        <f t="shared" si="287"/>
        <v>4.6140575118697048E-2</v>
      </c>
      <c r="GY93" s="165">
        <f t="shared" si="288"/>
        <v>4.6080248237763764E-2</v>
      </c>
      <c r="GZ93" s="165">
        <f t="shared" si="289"/>
        <v>4.5960209611415469E-2</v>
      </c>
      <c r="HA93" s="165">
        <f t="shared" si="290"/>
        <v>4.5902819891146425E-2</v>
      </c>
      <c r="HB93" s="165">
        <f t="shared" si="291"/>
        <v>4.5787328687807695E-2</v>
      </c>
      <c r="HC93" s="188">
        <f>BV93*Sheet3!DF93</f>
        <v>93.918234576079485</v>
      </c>
      <c r="HD93" s="165">
        <f>BW93*Sheet3!BZ93</f>
        <v>93.928577813405852</v>
      </c>
      <c r="HE93" s="165">
        <f>BX93*Sheet3!CA93</f>
        <v>88.196574576477161</v>
      </c>
      <c r="HF93" s="165">
        <f>BY93*Sheet3!CB93</f>
        <v>83.904203123082496</v>
      </c>
      <c r="HG93" s="165">
        <f>BZ93*Sheet3!CC93</f>
        <v>78.036789160257158</v>
      </c>
      <c r="HH93" s="165">
        <f>CA93*Sheet3!CD93</f>
        <v>74.940840326576264</v>
      </c>
      <c r="HI93" s="165">
        <f>CB93*Sheet3!CE93</f>
        <v>71.548715236675505</v>
      </c>
      <c r="HJ93" s="165">
        <f>CC93*Sheet3!CF93</f>
        <v>67.585027493473248</v>
      </c>
      <c r="HK93" s="165">
        <f>CD93*Sheet3!CG93</f>
        <v>63.318387447946861</v>
      </c>
      <c r="HL93" s="188">
        <f>(CE93*Sheet3!DF93)+2501</f>
        <v>2661.0442119434374</v>
      </c>
      <c r="HM93" s="165">
        <f>(CF93*Sheet3!BZ93)+2501</f>
        <v>2661.0778675277543</v>
      </c>
      <c r="HN93" s="165">
        <f>(CG93*Sheet3!CA93)+2501</f>
        <v>2651.6052238499456</v>
      </c>
      <c r="HO93" s="165">
        <f>(CH93*Sheet3!CB93)+2501</f>
        <v>2644.2805136782063</v>
      </c>
      <c r="HP93" s="165">
        <f>(CI93*Sheet3!CC93)+2501</f>
        <v>2634.4286476387911</v>
      </c>
      <c r="HQ93" s="165">
        <f>(CJ93*Sheet3!CD93)+2501</f>
        <v>2629.1430134122684</v>
      </c>
      <c r="HR93" s="165">
        <f>(CK93*Sheet3!CE93)+2501</f>
        <v>2623.5635996415235</v>
      </c>
      <c r="HS93" s="165">
        <f>(CL93*Sheet3!CF93)+2501</f>
        <v>2616.7836142926458</v>
      </c>
      <c r="HT93" s="165">
        <f>(CM93*Sheet3!CG93)+2501</f>
        <v>2609.6397270555717</v>
      </c>
      <c r="HU93" s="188">
        <f>-0.0021*(Sheet3!DF93^2) - 2.2115*(Sheet3!DF93) + 2499</f>
        <v>2295.85</v>
      </c>
      <c r="HV93" s="165">
        <f>-0.0021*(Sheet3!BZ93^2) - 2.2115*(Sheet3!BZ93) + 2499</f>
        <v>2295.8048835557915</v>
      </c>
      <c r="HW93" s="165">
        <f>-0.0021*(Sheet3!CA93^2) - 2.2115*(Sheet3!CA93) + 2499</f>
        <v>2308.4675677892642</v>
      </c>
      <c r="HX93" s="165">
        <f>-0.0021*(Sheet3!CB93^2) - 2.2115*(Sheet3!CB93) + 2499</f>
        <v>2318.2092564251102</v>
      </c>
      <c r="HY93" s="165">
        <f>-0.0021*(Sheet3!CC93^2) - 2.2115*(Sheet3!CC93) + 2499</f>
        <v>2331.2423477344578</v>
      </c>
      <c r="HZ93" s="165">
        <f>-0.0021*(Sheet3!CD93^2) - 2.2115*(Sheet3!CD93) + 2499</f>
        <v>2338.2012919224526</v>
      </c>
      <c r="IA93" s="165">
        <f>-0.0021*(Sheet3!CE93^2) - 2.2115*(Sheet3!CE93) + 2499</f>
        <v>2345.5213057794354</v>
      </c>
      <c r="IB93" s="165">
        <f>-0.0021*(Sheet3!CF93^2) - 2.2115*(Sheet3!CF93) + 2499</f>
        <v>2354.3804462298735</v>
      </c>
      <c r="IC93" s="165">
        <f>-0.0021*(Sheet3!CG93^2) - 2.2115*(Sheet3!CG93) + 2499</f>
        <v>2363.6717803667998</v>
      </c>
      <c r="ID93" s="188">
        <f t="shared" si="292"/>
        <v>0.72096765711138067</v>
      </c>
      <c r="IE93" s="165">
        <f t="shared" si="293"/>
        <v>0.72089841189781245</v>
      </c>
      <c r="IF93" s="165">
        <f t="shared" si="294"/>
        <v>0.72236602326517052</v>
      </c>
      <c r="IG93" s="165">
        <f t="shared" si="295"/>
        <v>0.72448205278372702</v>
      </c>
      <c r="IH93" s="165">
        <f t="shared" si="296"/>
        <v>0.72668574821229215</v>
      </c>
      <c r="II93" s="165">
        <f t="shared" si="297"/>
        <v>0.72831569735284074</v>
      </c>
      <c r="IJ93" s="165">
        <f t="shared" si="298"/>
        <v>0.72894160699181643</v>
      </c>
      <c r="IK93" s="165">
        <f t="shared" si="299"/>
        <v>0.73114259583092178</v>
      </c>
      <c r="IL93" s="165">
        <f t="shared" si="300"/>
        <v>0.73256982999880038</v>
      </c>
      <c r="IM93" s="188">
        <f t="shared" si="301"/>
        <v>10.13826826611399</v>
      </c>
      <c r="IN93" s="165">
        <f t="shared" si="368"/>
        <v>11.981228755135637</v>
      </c>
      <c r="IO93" s="165">
        <f t="shared" si="369"/>
        <v>12.352082385441941</v>
      </c>
      <c r="IP93" s="165">
        <f t="shared" si="370"/>
        <v>8.1771157866003428</v>
      </c>
      <c r="IQ93" s="165">
        <f t="shared" si="371"/>
        <v>8.6183488264422863</v>
      </c>
      <c r="IR93" s="165">
        <f t="shared" si="372"/>
        <v>8.9517821698714162</v>
      </c>
      <c r="IS93" s="165">
        <f t="shared" si="373"/>
        <v>9.2583475096355823</v>
      </c>
      <c r="IT93" s="165">
        <f t="shared" si="374"/>
        <v>9.6258969429637418</v>
      </c>
      <c r="IU93" s="165">
        <f t="shared" si="375"/>
        <v>9.9924328343140498</v>
      </c>
      <c r="IV93" s="188">
        <f>_xlfn.FORECAST.LINEAR(Sheet3!DF93,Sheet2!$AK$2:$AK$69,Sheet2!$AJ$2:$AJ$69)</f>
        <v>1.1761434736095797E-5</v>
      </c>
      <c r="IW93" s="165">
        <f>_xlfn.FORECAST.LINEAR(Sheet3!BZ93,Sheet2!$AK$2:$AK$69,Sheet2!$AJ$2:$AJ$69)</f>
        <v>1.176204972862895E-5</v>
      </c>
      <c r="IX93" s="165">
        <f>_xlfn.FORECAST.LINEAR(Sheet3!CA93,Sheet2!$AK$2:$AK$69,Sheet2!$AJ$2:$AJ$69)</f>
        <v>1.1588742918039622E-5</v>
      </c>
      <c r="IY93" s="165">
        <f>_xlfn.FORECAST.LINEAR(Sheet3!CB93,Sheet2!$AK$2:$AK$69,Sheet2!$AJ$2:$AJ$69)</f>
        <v>1.145444551697989E-5</v>
      </c>
      <c r="IZ93" s="165">
        <f>_xlfn.FORECAST.LINEAR(Sheet3!CC93,Sheet2!$AK$2:$AK$69,Sheet2!$AJ$2:$AJ$69)</f>
        <v>1.127342536327217E-5</v>
      </c>
      <c r="JA93" s="165">
        <f>_xlfn.FORECAST.LINEAR(Sheet3!CD93,Sheet2!$AK$2:$AK$69,Sheet2!$AJ$2:$AJ$69)</f>
        <v>1.11761263622329E-5</v>
      </c>
      <c r="JB93" s="165">
        <f>_xlfn.FORECAST.LINEAR(Sheet3!CE93,Sheet2!$AK$2:$AK$69,Sheet2!$AJ$2:$AJ$69)</f>
        <v>1.1073285943450942E-5</v>
      </c>
      <c r="JC93" s="165">
        <f>_xlfn.FORECAST.LINEAR(Sheet3!CF93,Sheet2!$AK$2:$AK$69,Sheet2!$AJ$2:$AJ$69)</f>
        <v>1.0948135289021957E-5</v>
      </c>
      <c r="JD93" s="165">
        <f>_xlfn.FORECAST.LINEAR(Sheet3!CG93,Sheet2!$AK$2:$AK$69,Sheet2!$AJ$2:$AJ$69)</f>
        <v>1.0816056965394873E-5</v>
      </c>
      <c r="JE93" s="188">
        <f>_xlfn.FORECAST.LINEAR(Sheet3!DF93,New!$MC$2:$MC$18,New!$MB$2:$MB$18)</f>
        <v>2.0908514659214704E-5</v>
      </c>
      <c r="JF93" s="165">
        <f>_xlfn.FORECAST.LINEAR(Sheet3!BZ93,New!$MC$2:$MC$18,New!$MB$2:$MB$18)</f>
        <v>2.090923759778133E-5</v>
      </c>
      <c r="JG93" s="165">
        <f>_xlfn.FORECAST.LINEAR(Sheet3!CA93,New!$MC$2:$MC$18,New!$MB$2:$MB$18)</f>
        <v>2.0705511258874984E-5</v>
      </c>
      <c r="JH93" s="165">
        <f>_xlfn.FORECAST.LINEAR(Sheet3!CB93,New!$MC$2:$MC$18,New!$MB$2:$MB$18)</f>
        <v>2.0547641422430017E-5</v>
      </c>
      <c r="JI93" s="165">
        <f>_xlfn.FORECAST.LINEAR(Sheet3!CC93,New!$MC$2:$MC$18,New!$MB$2:$MB$18)</f>
        <v>2.0334847862513168E-5</v>
      </c>
      <c r="JJ93" s="165">
        <f>_xlfn.FORECAST.LINEAR(Sheet3!CD93,New!$MC$2:$MC$18,New!$MB$2:$MB$18)</f>
        <v>2.0220470538312411E-5</v>
      </c>
      <c r="JK93" s="165">
        <f>_xlfn.FORECAST.LINEAR(Sheet3!CE93,New!$MC$2:$MC$18,New!$MB$2:$MB$18)</f>
        <v>2.0099579143803452E-5</v>
      </c>
      <c r="JL93" s="165">
        <f>_xlfn.FORECAST.LINEAR(Sheet3!CF93,New!$MC$2:$MC$18,New!$MB$2:$MB$18)</f>
        <v>1.9952461528795421E-5</v>
      </c>
      <c r="JM93" s="165">
        <f>_xlfn.FORECAST.LINEAR(Sheet3!CG93,New!$MC$2:$MC$18,New!$MB$2:$MB$18)</f>
        <v>1.9797200271433789E-5</v>
      </c>
      <c r="JN93" s="188">
        <f t="shared" si="376"/>
        <v>1.9411400808448559E-5</v>
      </c>
      <c r="JO93" s="165">
        <f t="shared" si="377"/>
        <v>1.9412613422035907E-5</v>
      </c>
      <c r="JP93" s="165">
        <f t="shared" si="378"/>
        <v>1.9219601517434891E-5</v>
      </c>
      <c r="JQ93" s="165">
        <f t="shared" si="379"/>
        <v>1.9062536953399798E-5</v>
      </c>
      <c r="JR93" s="165">
        <f t="shared" si="380"/>
        <v>1.8856627689856117E-5</v>
      </c>
      <c r="JS93" s="165">
        <f t="shared" si="381"/>
        <v>1.8742812552820748E-5</v>
      </c>
      <c r="JT93" s="165">
        <f t="shared" si="382"/>
        <v>1.8631069217599803E-5</v>
      </c>
      <c r="JU93" s="165">
        <f t="shared" si="383"/>
        <v>1.8484506726378385E-5</v>
      </c>
      <c r="JV93" s="165">
        <f t="shared" si="384"/>
        <v>1.8336845240136531E-5</v>
      </c>
      <c r="JW93" s="188">
        <f t="shared" si="302"/>
        <v>1.0444458673781256</v>
      </c>
      <c r="JX93" s="165">
        <f t="shared" si="385"/>
        <v>1.0444358382335472</v>
      </c>
      <c r="JY93" s="165">
        <f t="shared" si="386"/>
        <v>1.0473025450351363</v>
      </c>
      <c r="JZ93" s="165">
        <f t="shared" si="387"/>
        <v>1.0495812845568675</v>
      </c>
      <c r="KA93" s="165">
        <f t="shared" si="388"/>
        <v>1.0527352883199119</v>
      </c>
      <c r="KB93" s="165">
        <f t="shared" si="389"/>
        <v>1.054471102651668</v>
      </c>
      <c r="KC93" s="165">
        <f t="shared" si="390"/>
        <v>1.0563376010709979</v>
      </c>
      <c r="KD93" s="165">
        <f t="shared" si="391"/>
        <v>1.0586544024212623</v>
      </c>
      <c r="KE93" s="165">
        <f t="shared" si="392"/>
        <v>1.0611552239505542</v>
      </c>
      <c r="KF93" s="188">
        <f t="shared" si="393"/>
        <v>0.94446821821306282</v>
      </c>
      <c r="KG93" s="165">
        <f t="shared" si="394"/>
        <v>0.94447587736539229</v>
      </c>
      <c r="KH93" s="165">
        <f t="shared" si="395"/>
        <v>0.94229485560294834</v>
      </c>
      <c r="KI93" s="165">
        <f t="shared" si="396"/>
        <v>0.94057290028950502</v>
      </c>
      <c r="KJ93" s="165">
        <f t="shared" si="397"/>
        <v>0.93820650207397072</v>
      </c>
      <c r="KK93" s="165">
        <f t="shared" si="398"/>
        <v>0.9369124704740095</v>
      </c>
      <c r="KL93" s="165">
        <f t="shared" si="399"/>
        <v>0.93552754891795376</v>
      </c>
      <c r="KM93" s="165">
        <f t="shared" si="400"/>
        <v>0.93381785227154723</v>
      </c>
      <c r="KN93" s="165">
        <f t="shared" si="401"/>
        <v>0.93198387188289322</v>
      </c>
      <c r="KO93" s="188">
        <f t="shared" si="304"/>
        <v>0.58375112212968472</v>
      </c>
      <c r="KP93" s="165">
        <f t="shared" si="305"/>
        <v>0.58379401123304131</v>
      </c>
      <c r="KQ93" s="165">
        <f t="shared" si="306"/>
        <v>0.5801009402633901</v>
      </c>
      <c r="KR93" s="165">
        <f t="shared" si="307"/>
        <v>0.57715647453717778</v>
      </c>
      <c r="KS93" s="165">
        <f t="shared" si="308"/>
        <v>0.57315511500699967</v>
      </c>
      <c r="KT93" s="165">
        <f t="shared" si="309"/>
        <v>0.57095589966917326</v>
      </c>
      <c r="KU93" s="165">
        <f t="shared" si="310"/>
        <v>0.56865767034531123</v>
      </c>
      <c r="KV93" s="165">
        <f t="shared" si="311"/>
        <v>0.56576565885532171</v>
      </c>
      <c r="KW93" s="165">
        <f t="shared" si="312"/>
        <v>0.56282072434013675</v>
      </c>
      <c r="KX93" s="188">
        <f>AVERAGE(Sheet3!J93:P93)*KO93^(1/3)/ID93^(1/3)</f>
        <v>125.92372151121936</v>
      </c>
      <c r="KY93" s="165">
        <f>Sheet3!J93*KP93^(1/3)/IE93^(1/3)</f>
        <v>123.7292145400332</v>
      </c>
      <c r="KZ93" s="165">
        <f>Sheet3!K93*KQ93^(1/3)/IF93^(1/3)</f>
        <v>116.63011411843408</v>
      </c>
      <c r="LA93" s="165">
        <f>Sheet3!L93*KR93^(1/3)/IG93^(1/3)</f>
        <v>115.64536916517599</v>
      </c>
      <c r="LB93" s="165">
        <f>Sheet3!M93*KS93^(1/3)/IH93^(1/3)</f>
        <v>117.42982559917436</v>
      </c>
      <c r="LC93" s="165">
        <f>Sheet3!N93*KT93^(1/3)/II93^(1/3)</f>
        <v>121.80319915317908</v>
      </c>
      <c r="LD93" s="165">
        <f>Sheet3!O93*KU93^(1/3)/IJ93^(1/3)</f>
        <v>131.69857561569802</v>
      </c>
      <c r="LE93" s="165">
        <f>Sheet3!P93*KV93^(1/3)/IK93^(1/3)</f>
        <v>147.35519798886884</v>
      </c>
      <c r="LF93" s="165">
        <f>Sheet3!Q93*KW93^(1/3)/IL93^(1/3)</f>
        <v>163.83688184703814</v>
      </c>
      <c r="LG93" s="186">
        <f t="shared" si="402"/>
        <v>27.206869757941853</v>
      </c>
      <c r="LH93" s="183">
        <f t="shared" si="403"/>
        <v>27.23042956922194</v>
      </c>
      <c r="LI93" s="183">
        <f t="shared" si="404"/>
        <v>27.72561678010749</v>
      </c>
      <c r="LJ93" s="183">
        <f t="shared" si="405"/>
        <v>27.745786672010922</v>
      </c>
      <c r="LK93" s="183">
        <f t="shared" si="406"/>
        <v>28.072208651971746</v>
      </c>
      <c r="LL93" s="183">
        <f t="shared" si="407"/>
        <v>28.090677659561536</v>
      </c>
      <c r="LM93" s="183">
        <f t="shared" si="408"/>
        <v>28.562031193799406</v>
      </c>
      <c r="LN93" s="183">
        <f t="shared" si="409"/>
        <v>28.582482530429267</v>
      </c>
      <c r="LO93" s="183">
        <f t="shared" si="410"/>
        <v>28.99022861705869</v>
      </c>
      <c r="LT93" s="165"/>
      <c r="MF93" s="165"/>
      <c r="MJ93"/>
      <c r="MK93"/>
      <c r="ML93"/>
      <c r="MM93"/>
      <c r="MN93"/>
      <c r="MO93"/>
      <c r="MP93"/>
      <c r="MQ93"/>
      <c r="MR93"/>
    </row>
    <row r="94" spans="1:356" x14ac:dyDescent="0.3">
      <c r="A94" s="184" t="str">
        <f>Sheet3!A94</f>
        <v>2023.02.23-2</v>
      </c>
      <c r="B94" s="186">
        <f t="shared" si="313"/>
        <v>0.89733013144829088</v>
      </c>
      <c r="C94" s="183">
        <f t="shared" si="257"/>
        <v>0.89576467481909372</v>
      </c>
      <c r="D94" s="183">
        <f t="shared" si="258"/>
        <v>0.88355472623382436</v>
      </c>
      <c r="E94" s="183">
        <f t="shared" si="259"/>
        <v>0.87294849920867434</v>
      </c>
      <c r="F94" s="183">
        <f t="shared" si="260"/>
        <v>0.86057952211882116</v>
      </c>
      <c r="G94" s="183">
        <f t="shared" si="261"/>
        <v>0.85271122327285542</v>
      </c>
      <c r="H94" s="183">
        <f t="shared" si="262"/>
        <v>0.84388041030555483</v>
      </c>
      <c r="I94" s="183">
        <f t="shared" si="263"/>
        <v>0.8357559654300134</v>
      </c>
      <c r="J94" s="183">
        <f t="shared" si="264"/>
        <v>0.82600983004119699</v>
      </c>
      <c r="K94" s="186">
        <f xml:space="preserve"> (6.057 * (10^(-6)))
+ (4.055 * (10^(-8)) * (Sheet3!DF94 + 273))
+ (1.25 * (10^(-10)) * (Sheet3!DF94 + 273)^2)
- (3.367 * (10^(-14)) * (DD94 + 273)^3)</f>
        <v>4.4158113707693577E-5</v>
      </c>
      <c r="L94" s="183">
        <f xml:space="preserve"> (6.057 * (10^(-6)))
+ (4.055 * (10^(-8)) * (Sheet3!BZ94 + 273))
+ (1.25 * (10^(-10)) * (Sheet3!BZ94 + 273)^2)
- (3.367 * (10^(-14)) * (BX94 + 273)^3)</f>
        <v>4.3943108744511872E-5</v>
      </c>
      <c r="M94" s="183">
        <f xml:space="preserve"> (6.057 * (10^(-6)))
+ (4.055 * (10^(-8)) * (Sheet3!CA94 + 273))
+ (1.25 * (10^(-10)) * (Sheet3!CA94 + 273)^2)
- (3.367 * (10^(-14)) * (BY94 + 273)^3)</f>
        <v>4.2517110459421212E-5</v>
      </c>
      <c r="N94" s="183">
        <f xml:space="preserve"> (6.057 * (10^(-6)))
+ (4.055 * (10^(-8)) * (Sheet3!CB94 + 273))
+ (1.25 * (10^(-10)) * (Sheet3!CB94 + 273)^2)
- (3.367 * (10^(-14)) * (BZ94 + 273)^3)</f>
        <v>4.1402490992038538E-5</v>
      </c>
      <c r="O94" s="183">
        <f xml:space="preserve"> (6.057 * (10^(-6)))
+ (4.055 * (10^(-8)) * (Sheet3!CC94 + 273))
+ (1.25 * (10^(-10)) * (Sheet3!CC94 + 273)^2)
- (3.367 * (10^(-14)) * (CA94 + 273)^3)</f>
        <v>4.0107058876582904E-5</v>
      </c>
      <c r="P94" s="183">
        <f xml:space="preserve"> (6.057 * (10^(-6)))
+ (4.055 * (10^(-8)) * (Sheet3!CD94 + 273))
+ (1.25 * (10^(-10)) * (Sheet3!CD94 + 273)^2)
- (3.367 * (10^(-14)) * (CB94 + 273)^3)</f>
        <v>3.9351525898542843E-5</v>
      </c>
      <c r="Q94" s="183">
        <f xml:space="preserve"> (6.057 * (10^(-6)))
+ (4.055 * (10^(-8)) * (Sheet3!CE94 + 273))
+ (1.25 * (10^(-10)) * (Sheet3!CE94 + 273)^2)
- (3.367 * (10^(-14)) * (CC94 + 273)^3)</f>
        <v>3.8437953173043259E-5</v>
      </c>
      <c r="R94" s="183">
        <f xml:space="preserve"> (6.057 * (10^(-6)))
+ (4.055 * (10^(-8)) * (Sheet3!CF94 + 273))
+ (1.25 * (10^(-10)) * (Sheet3!CF94 + 273)^2)
- (3.367 * (10^(-14)) * (CD94 + 273)^3)</f>
        <v>3.770881509214196E-5</v>
      </c>
      <c r="S94" s="183">
        <f xml:space="preserve"> (6.057 * (10^(-6)))
+ (4.055 * (10^(-8)) * (Sheet3!CG94 + 273))
+ (1.25 * (10^(-10)) * (Sheet3!CG94 + 273)^2)
- (3.367 * (10^(-14)) * (CE94 + 273)^3)</f>
        <v>3.6772999246588292E-5</v>
      </c>
      <c r="T94" s="188">
        <f t="shared" si="314"/>
        <v>4.4158113707693577E-5</v>
      </c>
      <c r="U94" s="165">
        <f t="shared" si="315"/>
        <v>4.3943108744511872E-5</v>
      </c>
      <c r="V94" s="165">
        <f t="shared" si="316"/>
        <v>4.2517110459421212E-5</v>
      </c>
      <c r="W94" s="165">
        <f t="shared" si="317"/>
        <v>4.1402490992038538E-5</v>
      </c>
      <c r="X94" s="165">
        <f t="shared" si="318"/>
        <v>4.0107058876582904E-5</v>
      </c>
      <c r="Y94" s="165">
        <f t="shared" si="319"/>
        <v>3.9351525898542843E-5</v>
      </c>
      <c r="Z94" s="165">
        <f t="shared" si="320"/>
        <v>3.8437953173043259E-5</v>
      </c>
      <c r="AA94" s="165">
        <f t="shared" si="321"/>
        <v>3.770881509214196E-5</v>
      </c>
      <c r="AB94" s="165">
        <f t="shared" si="322"/>
        <v>3.6772999246588292E-5</v>
      </c>
      <c r="AC94" s="186">
        <f t="shared" si="265"/>
        <v>3.9624405977833252E-5</v>
      </c>
      <c r="AD94" s="183">
        <f t="shared" si="266"/>
        <v>3.936268451506775E-5</v>
      </c>
      <c r="AE94" s="183">
        <f t="shared" si="267"/>
        <v>3.7566193892227177E-5</v>
      </c>
      <c r="AF94" s="183">
        <f t="shared" si="268"/>
        <v>3.6142242375000699E-5</v>
      </c>
      <c r="AG94" s="183">
        <f t="shared" si="269"/>
        <v>3.451531356160114E-5</v>
      </c>
      <c r="AH94" s="183">
        <f t="shared" si="270"/>
        <v>3.3555487786599917E-5</v>
      </c>
      <c r="AI94" s="183">
        <f t="shared" si="271"/>
        <v>3.2437035694973447E-5</v>
      </c>
      <c r="AJ94" s="183">
        <f t="shared" si="272"/>
        <v>3.1515367162554963E-5</v>
      </c>
      <c r="AK94" s="183">
        <f t="shared" si="273"/>
        <v>3.0374858857779459E-5</v>
      </c>
      <c r="AL94" s="186">
        <f t="shared" si="323"/>
        <v>3.5098062689579719E-2</v>
      </c>
      <c r="AM94" s="183">
        <f t="shared" si="324"/>
        <v>3.4968603143458288E-2</v>
      </c>
      <c r="AN94" s="183">
        <f t="shared" si="325"/>
        <v>3.4089459792339842E-2</v>
      </c>
      <c r="AO94" s="183">
        <f t="shared" si="326"/>
        <v>3.3393817582863028E-2</v>
      </c>
      <c r="AP94" s="183">
        <f t="shared" si="327"/>
        <v>3.2570455222065232E-2</v>
      </c>
      <c r="AQ94" s="183">
        <f t="shared" si="328"/>
        <v>3.2083980452522171E-2</v>
      </c>
      <c r="AR94" s="183">
        <f t="shared" si="329"/>
        <v>3.1488895190338262E-2</v>
      </c>
      <c r="AS94" s="183">
        <f t="shared" si="330"/>
        <v>3.1008245325091877E-2</v>
      </c>
      <c r="AT94" s="183">
        <f t="shared" si="331"/>
        <v>3.0389541475782322E-2</v>
      </c>
      <c r="AU94" s="186">
        <f>_xlfn.FORECAST.LINEAR(Sheet3!DF94,Sheet2!$AH$2:$AH$40,Sheet2!$AG$2:$AG$40)</f>
        <v>4.0902410270024961E-2</v>
      </c>
      <c r="AV94" s="183">
        <f>_xlfn.FORECAST.LINEAR(Sheet3!BZ94,Sheet2!$AH$2:$AH$40,Sheet2!$AG$2:$AG$40)</f>
        <v>4.0532527014126872E-2</v>
      </c>
      <c r="AW94" s="183">
        <f>_xlfn.FORECAST.LINEAR(Sheet3!CA94,Sheet2!$AH$2:$AH$40,Sheet2!$AG$2:$AG$40)</f>
        <v>3.8006001242804205E-2</v>
      </c>
      <c r="AX94" s="183">
        <f>_xlfn.FORECAST.LINEAR(Sheet3!CB94,Sheet2!$AH$2:$AH$40,Sheet2!$AG$2:$AG$40)</f>
        <v>3.5999964617392424E-2</v>
      </c>
      <c r="AY94" s="183">
        <f>_xlfn.FORECAST.LINEAR(Sheet3!CC94,Sheet2!$AH$2:$AH$40,Sheet2!$AG$2:$AG$40)</f>
        <v>3.3632478676115511E-2</v>
      </c>
      <c r="AZ94" s="183">
        <f>_xlfn.FORECAST.LINEAR(Sheet3!CD94,Sheet2!$AH$2:$AH$40,Sheet2!$AG$2:$AG$40)</f>
        <v>3.2233014055200696E-2</v>
      </c>
      <c r="BA94" s="183">
        <f>_xlfn.FORECAST.LINEAR(Sheet3!CE94,Sheet2!$AH$2:$AH$40,Sheet2!$AG$2:$AG$40)</f>
        <v>3.0521769729171064E-2</v>
      </c>
      <c r="BB94" s="183">
        <f>_xlfn.FORECAST.LINEAR(Sheet3!CF94,Sheet2!$AH$2:$AH$40,Sheet2!$AG$2:$AG$40)</f>
        <v>2.9140483934222479E-2</v>
      </c>
      <c r="BC94" s="183">
        <f>_xlfn.FORECAST.LINEAR(Sheet3!CG94,Sheet2!$AH$2:$AH$40,Sheet2!$AG$2:$AG$40)</f>
        <v>2.7358787579621204E-2</v>
      </c>
      <c r="BD94" s="186">
        <f>_xlfn.FORECAST.LINEAR(Sheet3!DF94,Sheet2!$AB$12:$AB$37,Sheet2!$AA$12:$AA$37)/1000</f>
        <v>3.3915606923988664E-2</v>
      </c>
      <c r="BE94" s="183">
        <f>_xlfn.FORECAST.LINEAR(Sheet3!BZ94,Sheet2!$AB$12:$AB$37,Sheet2!$AA$12:$AA$37)/1000</f>
        <v>3.383290958948356E-2</v>
      </c>
      <c r="BF94" s="183">
        <f>_xlfn.FORECAST.LINEAR(Sheet3!CA94,Sheet2!$AB$12:$AB$37,Sheet2!$AA$12:$AA$37)/1000</f>
        <v>3.3268036907319255E-2</v>
      </c>
      <c r="BG94" s="183">
        <f>_xlfn.FORECAST.LINEAR(Sheet3!CB94,Sheet2!$AB$12:$AB$37,Sheet2!$AA$12:$AA$37)/1000</f>
        <v>3.2819533550663221E-2</v>
      </c>
      <c r="BH94" s="183">
        <f>_xlfn.FORECAST.LINEAR(Sheet3!CC94,Sheet2!$AB$12:$AB$37,Sheet2!$AA$12:$AA$37)/1000</f>
        <v>3.2290218493277026E-2</v>
      </c>
      <c r="BI94" s="183">
        <f>_xlfn.FORECAST.LINEAR(Sheet3!CD94,Sheet2!$AB$12:$AB$37,Sheet2!$AA$12:$AA$37)/1000</f>
        <v>3.1977330596789678E-2</v>
      </c>
      <c r="BJ94" s="183">
        <f>_xlfn.FORECAST.LINEAR(Sheet3!CE94,Sheet2!$AB$12:$AB$37,Sheet2!$AA$12:$AA$37)/1000</f>
        <v>3.1594735974856826E-2</v>
      </c>
      <c r="BK94" s="183">
        <f>_xlfn.FORECAST.LINEAR(Sheet3!CF94,Sheet2!$AB$12:$AB$37,Sheet2!$AA$12:$AA$37)/1000</f>
        <v>3.1285912443078802E-2</v>
      </c>
      <c r="BL94" s="183">
        <f>_xlfn.FORECAST.LINEAR(Sheet3!CG94,Sheet2!$AB$12:$AB$37,Sheet2!$AA$12:$AA$37)/1000</f>
        <v>3.0887566378277293E-2</v>
      </c>
      <c r="BM94" s="186">
        <f t="shared" si="332"/>
        <v>0.79536423383554733</v>
      </c>
      <c r="BN94" s="183">
        <f t="shared" si="333"/>
        <v>0.79820351877461215</v>
      </c>
      <c r="BO94" s="183">
        <f t="shared" si="334"/>
        <v>0.81793933023041765</v>
      </c>
      <c r="BP94" s="183">
        <f t="shared" si="335"/>
        <v>0.83414262249000526</v>
      </c>
      <c r="BQ94" s="183">
        <f t="shared" si="336"/>
        <v>0.85427717635217226</v>
      </c>
      <c r="BR94" s="183">
        <f t="shared" si="337"/>
        <v>0.86653811832256711</v>
      </c>
      <c r="BS94" s="183">
        <f t="shared" si="338"/>
        <v>0.88231488808754999</v>
      </c>
      <c r="BT94" s="183">
        <f t="shared" si="339"/>
        <v>0.89522438980023111</v>
      </c>
      <c r="BU94" s="183">
        <f t="shared" si="340"/>
        <v>0.9126933006358986</v>
      </c>
      <c r="BV94" s="186">
        <f t="shared" si="341"/>
        <v>1.1136643643912241</v>
      </c>
      <c r="BW94" s="183">
        <f t="shared" si="342"/>
        <v>1.1129609761749957</v>
      </c>
      <c r="BX94" s="183">
        <f t="shared" si="343"/>
        <v>1.1094349212116357</v>
      </c>
      <c r="BY94" s="183">
        <f t="shared" si="344"/>
        <v>1.1076706883448624</v>
      </c>
      <c r="BZ94" s="183">
        <f t="shared" si="345"/>
        <v>1.1046207621546</v>
      </c>
      <c r="CA94" s="183">
        <f t="shared" si="346"/>
        <v>1.1034102524115266</v>
      </c>
      <c r="CB94" s="183">
        <f t="shared" si="347"/>
        <v>1.1002532425047187</v>
      </c>
      <c r="CC94" s="183">
        <f t="shared" si="348"/>
        <v>1.0990638272602187</v>
      </c>
      <c r="CD94" s="183">
        <f t="shared" si="349"/>
        <v>1.0961879307315001</v>
      </c>
      <c r="CE94" s="187">
        <f xml:space="preserve"> -0.0000000019505*Sheet3!DF94^3 + 0.0000015497*Sheet3!DF94^2  + 0.00016911*Sheet3!DF94 + 1.8585</f>
        <v>1.9096570494375</v>
      </c>
      <c r="CF94" s="185">
        <f xml:space="preserve"> -0.0000000019505*Sheet3!BZ94^3 + 0.0000015497*Sheet3!BZ94^2  + 0.00016911*Sheet3!BZ94 + 1.8585</f>
        <v>1.9089373957249836</v>
      </c>
      <c r="CG94" s="185">
        <f xml:space="preserve"> -0.0000000019505*Sheet3!CA94^3 + 0.0000015497*Sheet3!CA94^2  + 0.00016911*Sheet3!CA94 + 1.8585</f>
        <v>1.9041040148233341</v>
      </c>
      <c r="CH94" s="185">
        <f xml:space="preserve"> -0.0000000019505*Sheet3!CB94^3 + 0.0000015497*Sheet3!CB94^2  + 0.00016911*Sheet3!CB94 + 1.8585</f>
        <v>1.9003738980675693</v>
      </c>
      <c r="CI94" s="185">
        <f xml:space="preserve"> -0.0000000019505*Sheet3!CC94^3 + 0.0000015497*Sheet3!CC94^2  + 0.00016911*Sheet3!CC94 + 1.8585</f>
        <v>1.896102638687724</v>
      </c>
      <c r="CJ94" s="185">
        <f xml:space="preserve"> -0.0000000019505*Sheet3!CD94^3 + 0.0000015497*Sheet3!CD94^2  + 0.00016911*Sheet3!CD94 + 1.8585</f>
        <v>1.8936481073736537</v>
      </c>
      <c r="CK94" s="185">
        <f xml:space="preserve"> -0.0000000019505*Sheet3!CE94^3 + 0.0000015497*Sheet3!CE94^2  + 0.00016911*Sheet3!CE94 + 1.8585</f>
        <v>1.8907211835524709</v>
      </c>
      <c r="CL94" s="185">
        <f xml:space="preserve"> -0.0000000019505*Sheet3!CF94^3 + 0.0000015497*Sheet3!CF94^2  + 0.00016911*Sheet3!CF94 + 1.8585</f>
        <v>1.8884206387085667</v>
      </c>
      <c r="CM94" s="185">
        <f xml:space="preserve"> -0.0000000019505*Sheet3!CG94^3 + 0.0000015497*Sheet3!CG94^2  + 0.00016911*Sheet3!CG94 + 1.8585</f>
        <v>1.8855382854041383</v>
      </c>
      <c r="CN94" s="186">
        <f>_xlfn.FORECAST.LINEAR(Sheet3!DF94,New!$LU$2:$LU$14,New!$LT$2:$LT$14)</f>
        <v>1.023844178140866</v>
      </c>
      <c r="CO94" s="183">
        <f>_xlfn.FORECAST.LINEAR(Sheet3!BZ94,New!$LU$2:$LU$14,New!$LT$2:$LT$14)</f>
        <v>1.0235719392119234</v>
      </c>
      <c r="CP94" s="183">
        <f>_xlfn.FORECAST.LINEAR(Sheet3!CA94,New!$LU$2:$LU$14,New!$LT$2:$LT$14)</f>
        <v>1.0217123830980337</v>
      </c>
      <c r="CQ94" s="183">
        <f>_xlfn.FORECAST.LINEAR(Sheet3!CB94,New!$LU$2:$LU$14,New!$LT$2:$LT$14)</f>
        <v>1.0202359138239769</v>
      </c>
      <c r="CR94" s="183">
        <f>_xlfn.FORECAST.LINEAR(Sheet3!CC94,New!$LU$2:$LU$14,New!$LT$2:$LT$14)</f>
        <v>1.0184934131114889</v>
      </c>
      <c r="CS94" s="183">
        <f>_xlfn.FORECAST.LINEAR(Sheet3!CD94,New!$LU$2:$LU$14,New!$LT$2:$LT$14)</f>
        <v>1.0174633887905289</v>
      </c>
      <c r="CT94" s="183">
        <f>_xlfn.FORECAST.LINEAR(Sheet3!CE94,New!$LU$2:$LU$14,New!$LT$2:$LT$14)</f>
        <v>1.0162038905162796</v>
      </c>
      <c r="CU94" s="183">
        <f>_xlfn.FORECAST.LINEAR(Sheet3!CF94,New!$LU$2:$LU$14,New!$LT$2:$LT$14)</f>
        <v>1.015187246049724</v>
      </c>
      <c r="CV94" s="183">
        <f>_xlfn.FORECAST.LINEAR(Sheet3!CG94,New!$LU$2:$LU$14,New!$LT$2:$LT$14)</f>
        <v>1.0138758941581663</v>
      </c>
      <c r="CW94" s="186">
        <f>EXP((17.625*Sheet3!BA94)/(243.04+Sheet3!BA94)) / EXP((17.625*Sheet3!DF94)/(243.04+Sheet3!DF94))</f>
        <v>3.2001277387079183E-2</v>
      </c>
      <c r="CX94" s="183">
        <f>EXP((17.625*(Sheet3!BC94+273))/(243.04+(Sheet3!BC94+273)))/EXP((17.625*(Sheet3!BZ94+273))/(243.04+(Sheet3!BZ94+273)))</f>
        <v>0.35422670478474672</v>
      </c>
      <c r="CY94" s="183">
        <f>EXP((17.625*(Sheet3!BE94+273))/(243.04+(Sheet3!BE94+273))) / EXP((17.625*(Sheet3!CA94+273))/(243.04+(Sheet3!CA94+273)))</f>
        <v>0.38932502688526849</v>
      </c>
      <c r="CZ94" s="183">
        <f>EXP((17.625*(Sheet3!BG94+273))/(243.04+(Sheet3!BG94+273))) / EXP((17.625*(Sheet3!CB94+273))/(243.04+(Sheet3!CB94+273)))</f>
        <v>0.42211436733641033</v>
      </c>
      <c r="DA94" s="183">
        <f>EXP((17.625*(Sheet3!BI94+273))/(243.04+(Sheet3!BI94+273))) / EXP((17.625*(Sheet3!CC94+273))/(243.04+(Sheet3!CC94+273)))</f>
        <v>0.46391098450062995</v>
      </c>
      <c r="DB94" s="183">
        <f>EXP((17.625*(Sheet3!BK94+273))/(243.04+(Sheet3!BK94+273)))/EXP((17.625*(Sheet3!CD94+273))/(243.04+(Sheet3!CD94+273)))</f>
        <v>0.49226872429884849</v>
      </c>
      <c r="DC94" s="183">
        <f>EXP((17.625*(Sheet3!BM94+273))/(243.04+(Sheet3!BM94+273))) / EXP((17.625*(Sheet3!CE94+273))/(243.04+(Sheet3!CE94+273)))</f>
        <v>0.52667724493010426</v>
      </c>
      <c r="DD94" s="183">
        <f>EXP((17.625*(Sheet3!BO94+273))/(243.04+(Sheet3!BO94+273))) / EXP((17.625*(Sheet3!CF94+273))/(243.04+(Sheet3!CF94+273)))</f>
        <v>0.55973550392660087</v>
      </c>
      <c r="DE94" s="183">
        <f>EXP((17.625*(Sheet3!BQ94+273))/(243.04+(Sheet3!BQ94+273))) / EXP((17.625*(Sheet3!CG94+273))/(243.04+(Sheet3!CG94+273)))</f>
        <v>0.60320098242544029</v>
      </c>
      <c r="DF94" s="186">
        <f>((Sheet3!DA94-Sheet3!DB94)/New!$LQ$3)/(((Sheet3!DA94-Sheet3!DB94)/New!$LQ$3)+(Sheet3!DB94/New!$LP$3))</f>
        <v>0.84645578958241718</v>
      </c>
      <c r="DG94" s="183">
        <f>((Sheet3!DA94-Sheet3!DB94)/New!$LQ$3)/(((Sheet3!DA94-Sheet3!DB94)/New!$LQ$3)+((Sheet3!DB94-(Sheet3!B94*0.004))/New!$LP$3))</f>
        <v>0.84947822459318012</v>
      </c>
      <c r="DH94" s="183" cm="1">
        <f t="array" ref="DH94">((Sheet3!DA94-Sheet3!DB94)/New!$LQ$3)/(((Sheet3!DA94-Sheet3!DB94)/New!$LQ$3)+((Sheet3!DB94-(SUM(Sheet3!B94:C94*0.004)))/New!$LP$3))</f>
        <v>0.86041406324411651</v>
      </c>
      <c r="DI94" s="183" cm="1">
        <f t="array" ref="DI94">((Sheet3!DA94-Sheet3!DB94)/New!$LQ$3)/(((Sheet3!DA94-Sheet3!DB94)/New!$LQ$3)+((Sheet3!DB94-(SUM(Sheet3!B94:D94*0.004)))/New!$LP$3))</f>
        <v>0.86093301388482613</v>
      </c>
      <c r="DJ94" s="183" cm="1">
        <f t="array" ref="DJ94">((Sheet3!DA94-Sheet3!DB94)/New!$LQ$3)/(((Sheet3!DA94-Sheet3!DB94)/New!$LQ$3)+((Sheet3!DB94-(SUM(Sheet3!B94:E94*0.004)))/New!$LP$3))</f>
        <v>0.86966267264236918</v>
      </c>
      <c r="DK94" s="183" cm="1">
        <f t="array" ref="DK94">((Sheet3!DA94-Sheet3!DB94)/New!$LQ$3)/(((Sheet3!DA94-Sheet3!DB94)/New!$LQ$3)+((Sheet3!DB94-(SUM(Sheet3!B94:F94*0.004)))/New!$LP$3))</f>
        <v>0.87000342232107242</v>
      </c>
      <c r="DL94" s="183" cm="1">
        <f t="array" ref="DL94">((Sheet3!DA94-Sheet3!DB94)/New!$LQ$3)/(((Sheet3!DA94-Sheet3!DB94)/New!$LQ$3)+((Sheet3!DB94-(SUM(Sheet3!B94:G94*0.004)))/New!$LP$3))</f>
        <v>0.88483422851165539</v>
      </c>
      <c r="DM94" s="183" cm="1">
        <f t="array" ref="DM94">((Sheet3!DA94-Sheet3!DB94)/New!$LQ$3)/(((Sheet3!DA94-Sheet3!DB94)/New!$LQ$3)+((Sheet3!DB94-(SUM(Sheet3!B94:H94*0.004)))/New!$LP$3))</f>
        <v>0.88526539921499936</v>
      </c>
      <c r="DN94" s="183" cm="1">
        <f t="array" ref="DN94">((Sheet3!DA94-Sheet3!DB94)/New!$LQ$3)/(((Sheet3!DA94-Sheet3!DB94)/New!$LQ$3)+((Sheet3!DB94-(SUM(Sheet3!B94:I94*0.004)))/New!$LP$3))</f>
        <v>0.89783373123545329</v>
      </c>
      <c r="DO94" s="186">
        <f>(Sheet3!DB94/$LP$3) / ((Sheet3!DB94/$LP$3) + ((Sheet3!DA94-Sheet3!DB94)/$LQ$3))</f>
        <v>0.15354421041758268</v>
      </c>
      <c r="DP94" s="183">
        <f>((Sheet3!$DB94-(Sheet3!B94/4000)) / $LP$3) / (((Sheet3!$DA94-Sheet3!DB94) / $LQ$3) + (Sheet3!$DB94-((Sheet3!B94/4000)))/$LP$3)</f>
        <v>0.15335593847464718</v>
      </c>
      <c r="DQ94" s="183">
        <f>((Sheet3!$DB94-(SUM(Sheet3!B94:C94)/4000))/$LP$3)/(((Sheet3!$DA94-Sheet3!$DB94)/$LQ$3)+(Sheet3!$DB94-(SUM(Sheet3!B94:C94)/4000))/$LP$3)</f>
        <v>0.15268509983354847</v>
      </c>
      <c r="DR94" s="183">
        <f>((Sheet3!$DB94-(SUM(Sheet3!B94:D94)/4000))/$LP$3)/(((Sheet3!$DA94-Sheet3!$DB94)/$LQ$3)+(Sheet3!$DB94-(SUM(Sheet3!B94:D94)/4000))/$LP$3)</f>
        <v>0.15265366327419566</v>
      </c>
      <c r="DS94" s="183">
        <f>((Sheet3!$DB94-(SUM(Sheet3!B94:E94)/4000))/$LP$3)/(((Sheet3!$DA94-Sheet3!$DB94)/$LQ$3)+(Sheet3!$DB94-(SUM(Sheet3!B94:E94)/4000))/$LP$3)</f>
        <v>0.15213012642666815</v>
      </c>
      <c r="DT94" s="183">
        <f>((Sheet3!$DB94-(SUM(Sheet3!B94:F94)/4000))/$LP$3)/(((Sheet3!$DA94-Sheet3!$DB94)/$LQ$3)+(Sheet3!$DB94-(SUM(Sheet3!B94:F94)/4000))/$LP$3)</f>
        <v>0.1521098909958627</v>
      </c>
      <c r="DU94" s="183">
        <f>((Sheet3!$DB94-(SUM(Sheet3!B94:G94)/4000))/$LP$3)/(((Sheet3!$DA94-Sheet3!$DB94)/$LQ$3)+(Sheet3!$DB94-(SUM(Sheet3!B94:G94)/4000))/$LP$3)</f>
        <v>0.1512433588945776</v>
      </c>
      <c r="DV94" s="183">
        <f>((Sheet3!$DB94-(SUM(Sheet3!B94:H94)/4000))/$LP$3)/(((Sheet3!$DA94-Sheet3!$DB94)/$LQ$3)+(Sheet3!$DB94-(SUM(Sheet3!B94:H94)/4000))/$LP$3)</f>
        <v>0.1512185748084563</v>
      </c>
      <c r="DW94" s="183">
        <f>((Sheet3!$DB94-(SUM(Sheet3!B94:I94)/4000))/$LP$3)/(((Sheet3!$DA94-Sheet3!$DB94)/$LQ$3)+(Sheet3!$DB94-(SUM(Sheet3!B94:I94)/4000))/$LP$3)</f>
        <v>0.15050597705466437</v>
      </c>
      <c r="DX94" s="186">
        <f>($LR$2*($LP$3/1000))/($LP$2*(Sheet3!DF94+273))*DO94</f>
        <v>8.0648820913394648E-2</v>
      </c>
      <c r="DY94" s="183">
        <f>(($LR$2*($LP$3/1000))/($LP$2*(Sheet3!BZ94+273)))*(DP94)</f>
        <v>8.0831372077980732E-2</v>
      </c>
      <c r="DZ94" s="183">
        <f>(($LR$2*($LP$3/1000))/($LP$2*(Sheet3!CA94+273)))*(DQ94)</f>
        <v>8.2445431801164024E-2</v>
      </c>
      <c r="EA94" s="183">
        <f>(($LR$2*($LP$3/1000))/($LP$2*(Sheet3!CB94+273)))*(DR94)</f>
        <v>8.4060296190348521E-2</v>
      </c>
      <c r="EB94" s="183">
        <f>(($LR$2*($LP$3/1000))/($LP$2*(Sheet3!CC94+273)))*(DS94)</f>
        <v>8.5776084861515514E-2</v>
      </c>
      <c r="EC94" s="183">
        <f>(($LR$2*($LP$3/1000))/($LP$2*(Sheet3!CD94+273)))*(DT94)</f>
        <v>8.6994899905840223E-2</v>
      </c>
      <c r="ED94" s="183">
        <f>(($LR$2*($LP$3/1000))/($LP$2*(Sheet3!CE94+273)))*(DU94)</f>
        <v>8.8043583379469992E-2</v>
      </c>
      <c r="EE94" s="183">
        <f>(($LR$2*($LP$3/1000))/($LP$2*(Sheet3!CF94+273)))*(DV94)</f>
        <v>8.9316258203165091E-2</v>
      </c>
      <c r="EF94" s="183">
        <f>(($LR$2*($LP$3/1000))/($LP$2*(Sheet3!CG94+273)))*(DW94)</f>
        <v>9.0604141578663991E-2</v>
      </c>
      <c r="EG94" s="186">
        <f>(($LR$2*($LQ$3/1000))/($LQ$2*(Sheet3!DF94+273)))*(1-DO94)</f>
        <v>0.71471541292215268</v>
      </c>
      <c r="EH94" s="183">
        <f>(($LR$2*($LQ$3/1000))/($LQ$2*(Sheet3!BZ94+273)))*(1-DP94)</f>
        <v>0.71737214669663141</v>
      </c>
      <c r="EI94" s="183">
        <f>(($LR$2*($LQ$3/1000))/($LQ$2*(Sheet3!CA94+273)))*(1-DQ94)</f>
        <v>0.73549389842925361</v>
      </c>
      <c r="EJ94" s="183">
        <f>(($LR$2*($LQ$3/1000))/($LQ$2*(Sheet3!CB94+273)))*(1-DR94)</f>
        <v>0.75008232629965677</v>
      </c>
      <c r="EK94" s="183">
        <f>(($LR$2*($LQ$3/1000))/($LQ$2*(Sheet3!CC94+273)))*(1-DS94)</f>
        <v>0.76850109149065671</v>
      </c>
      <c r="EL94" s="183">
        <f>(($LR$2*($LQ$3/1000))/($LQ$2*(Sheet3!CD94+273)))*(1-DT94)</f>
        <v>0.77954321841672691</v>
      </c>
      <c r="EM94" s="183">
        <f>(($LR$2*($LQ$3/1000))/($LQ$2*(Sheet3!CE94+273)))*(1-DU94)</f>
        <v>0.79427130470808005</v>
      </c>
      <c r="EN94" s="183">
        <f>(($LR$2*($LQ$3/1000))/($LQ$2*(Sheet3!CF94+273)))*(1-DV94)</f>
        <v>0.80590813159706598</v>
      </c>
      <c r="EO94" s="183">
        <f>(($LR$2*($LQ$3/1000))/($LQ$2*(Sheet3!CG94+273)))*(1-DW94)</f>
        <v>0.82208915905723456</v>
      </c>
      <c r="EP94" s="186">
        <f t="shared" si="350"/>
        <v>2963.8912009451919</v>
      </c>
      <c r="EQ94" s="183">
        <f xml:space="preserve"> (($FV94-(Sheet3!B94/4000))*0.018)/(0.011*JO94*3600)</f>
        <v>2971.277890476847</v>
      </c>
      <c r="ER94" s="183">
        <f>((($FV94-(SUM(Sheet3!B94:C94)/4000))*0.018)/(0.011*JP94*3600))</f>
        <v>3025.0866591320528</v>
      </c>
      <c r="ES94" s="183">
        <f>((($FV94-(SUM(Sheet3!B94:D94)/4000))*0.018)/(0.011*JQ94*3600))</f>
        <v>3071.1698951194267</v>
      </c>
      <c r="ET94" s="183">
        <f>((($FV94-(SUM(Sheet3!B94:E94)/4000))*0.018)/(0.011*JR94))/3600</f>
        <v>3125.5562786760806</v>
      </c>
      <c r="EU94" s="183">
        <f>((($FV94-(SUM(Sheet3!B94:F94)/4000))*0.018)/(0.011*JS94))/3600</f>
        <v>3159.7873194060594</v>
      </c>
      <c r="EV94" s="183">
        <f>((($FV94-(SUM(Sheet3!B94:G94)/4000))*0.018)/(0.011*JT94))/3600</f>
        <v>3199.3572690738811</v>
      </c>
      <c r="EW94" s="183">
        <f>((($FV94-(SUM(Sheet3!B94:H94)/4000))*0.018)/(0.011*JU94))/3600</f>
        <v>3234.7985713236408</v>
      </c>
      <c r="EX94" s="183">
        <f>((($FV94-(SUM(Sheet3!B94:I94)/4000))*0.018)/(0.011*JV94))/3600</f>
        <v>3278.9254268565278</v>
      </c>
      <c r="EY94" s="186">
        <f t="shared" si="351"/>
        <v>36.470776169874924</v>
      </c>
      <c r="EZ94" s="183">
        <f t="shared" si="352"/>
        <v>36.533635306281425</v>
      </c>
      <c r="FA94" s="183">
        <f t="shared" si="353"/>
        <v>36.999893954127351</v>
      </c>
      <c r="FB94" s="183">
        <f t="shared" si="354"/>
        <v>37.406244892346848</v>
      </c>
      <c r="FC94" s="183">
        <f t="shared" si="355"/>
        <v>37.880074984285827</v>
      </c>
      <c r="FD94" s="183">
        <f t="shared" si="356"/>
        <v>38.18273149822123</v>
      </c>
      <c r="FE94" s="183">
        <f t="shared" si="357"/>
        <v>38.521221806050008</v>
      </c>
      <c r="FF94" s="183">
        <f t="shared" si="358"/>
        <v>38.835118377182027</v>
      </c>
      <c r="FG94" s="183">
        <f t="shared" si="359"/>
        <v>39.216451356330509</v>
      </c>
      <c r="FH94" s="186">
        <f t="shared" si="274"/>
        <v>71.114088241550022</v>
      </c>
      <c r="FI94" s="183">
        <f t="shared" si="275"/>
        <v>70.973899689621746</v>
      </c>
      <c r="FJ94" s="183">
        <f t="shared" si="276"/>
        <v>70.07257762611458</v>
      </c>
      <c r="FK94" s="183">
        <f t="shared" si="277"/>
        <v>69.396517688607375</v>
      </c>
      <c r="FL94" s="183">
        <f t="shared" si="278"/>
        <v>68.542849226897502</v>
      </c>
      <c r="FM94" s="183">
        <f t="shared" si="279"/>
        <v>68.058556167379592</v>
      </c>
      <c r="FN94" s="183">
        <f t="shared" si="280"/>
        <v>67.388373114137863</v>
      </c>
      <c r="FO94" s="183">
        <f t="shared" si="281"/>
        <v>66.90049321492468</v>
      </c>
      <c r="FP94" s="183">
        <f t="shared" si="282"/>
        <v>66.209443057011441</v>
      </c>
      <c r="FQ94" s="314">
        <f>Sheet3!CV94</f>
        <v>3</v>
      </c>
      <c r="FR94" s="183">
        <v>3000</v>
      </c>
      <c r="FS94" s="183">
        <v>10</v>
      </c>
      <c r="FT94" s="183">
        <v>8.9076923076923095E-2</v>
      </c>
      <c r="FU94" s="183">
        <v>36.86</v>
      </c>
      <c r="FV94" s="183">
        <v>143</v>
      </c>
      <c r="FW94" s="183">
        <v>14.5</v>
      </c>
      <c r="FX94" s="183">
        <v>432</v>
      </c>
      <c r="FY94" s="183">
        <v>6.49</v>
      </c>
      <c r="FZ94" s="183">
        <v>12.26</v>
      </c>
      <c r="GA94" s="183">
        <v>145</v>
      </c>
      <c r="GB94" s="186">
        <f>EXP($LP$6-($LQ$6/('Trial and Error method'!T94+$LP$8))) / ($LR$2/1000)</f>
        <v>8.9212997000110386E-2</v>
      </c>
      <c r="GC94" s="183">
        <f>EXP($LP$6-($LQ$6/('Trial and Error method'!U94+$LP$8))) / ($LR$2/1000)</f>
        <v>4.9483676028700137E-2</v>
      </c>
      <c r="GD94" s="183">
        <f>EXP($LP$6-($LQ$6/('Trial and Error method'!V94+$LP$8))) / ($LR$2/1000)</f>
        <v>4.5822074205307317E-2</v>
      </c>
      <c r="GE94" s="183">
        <f>EXP($LP$6-($LQ$6/('Trial and Error method'!W94+$LP$8))) / ($LR$2/1000)</f>
        <v>4.3091068367569388E-2</v>
      </c>
      <c r="GF94" s="183">
        <f>EXP($LP$6-($LQ$6/('Trial and Error method'!X94+$LP$8))) / ($LR$2/1000)</f>
        <v>4.0398774265809095E-2</v>
      </c>
      <c r="GG94" s="183">
        <f>EXP($LP$6-($LQ$6/('Trial and Error method'!Y94+$LP$8))) / ($LR$2/1000)</f>
        <v>3.7001815763759278E-2</v>
      </c>
      <c r="GH94" s="183">
        <f>EXP($LP$6-($LQ$6/('Trial and Error method'!Z94+$LP$8))) / ($LR$2/1000)</f>
        <v>8.4851791801860019E-2</v>
      </c>
      <c r="GI94" s="183">
        <f>EXP($LP$6-($LQ$6/('Trial and Error method'!AA94+$LP$8))) / ($LR$2/1000)</f>
        <v>8.0295518109588807E-2</v>
      </c>
      <c r="GJ94" s="183">
        <f>EXP($LP$6-($LQ$6/('Trial and Error method'!AB94+$LP$8))) / ($LR$2/1000)</f>
        <v>7.4426361652767725E-2</v>
      </c>
      <c r="GK94" s="188">
        <f t="shared" si="411"/>
        <v>0.87822873710577087</v>
      </c>
      <c r="GL94" s="165">
        <f t="shared" si="360"/>
        <v>0.89757869844673677</v>
      </c>
      <c r="GM94" s="165">
        <f t="shared" si="361"/>
        <v>0.89968891579416077</v>
      </c>
      <c r="GN94" s="165">
        <f t="shared" si="362"/>
        <v>0.90101768509819025</v>
      </c>
      <c r="GO94" s="165">
        <f t="shared" si="363"/>
        <v>0.90258323600290913</v>
      </c>
      <c r="GP94" s="165">
        <f t="shared" si="364"/>
        <v>0.90422336679685633</v>
      </c>
      <c r="GQ94" s="165">
        <f t="shared" si="365"/>
        <v>0.88153578212579686</v>
      </c>
      <c r="GR94" s="165">
        <f t="shared" si="366"/>
        <v>0.88376870236615901</v>
      </c>
      <c r="GS94" s="165">
        <f t="shared" si="367"/>
        <v>0.88699010057491678</v>
      </c>
      <c r="GT94" s="188">
        <f t="shared" si="283"/>
        <v>4.8617716201387683E-2</v>
      </c>
      <c r="GU94" s="165">
        <f t="shared" si="284"/>
        <v>4.756117938139378E-2</v>
      </c>
      <c r="GV94" s="165">
        <f t="shared" si="285"/>
        <v>4.7427907505373249E-2</v>
      </c>
      <c r="GW94" s="165">
        <f t="shared" si="286"/>
        <v>4.73554891091627E-2</v>
      </c>
      <c r="GX94" s="165">
        <f t="shared" si="287"/>
        <v>4.7268308266061564E-2</v>
      </c>
      <c r="GY94" s="165">
        <f t="shared" si="288"/>
        <v>4.7188667452301845E-2</v>
      </c>
      <c r="GZ94" s="165">
        <f t="shared" si="289"/>
        <v>4.8398749573589174E-2</v>
      </c>
      <c r="HA94" s="165">
        <f t="shared" si="290"/>
        <v>4.8289255136902125E-2</v>
      </c>
      <c r="HB94" s="165">
        <f t="shared" si="291"/>
        <v>4.8116612457511816E-2</v>
      </c>
      <c r="HC94" s="188">
        <f>BV94*Sheet3!DF94</f>
        <v>161.48133283672749</v>
      </c>
      <c r="HD94" s="165">
        <f>BW94*Sheet3!BZ94</f>
        <v>159.75953512650307</v>
      </c>
      <c r="HE94" s="165">
        <f>BX94*Sheet3!CA94</f>
        <v>148.22418748553946</v>
      </c>
      <c r="HF94" s="165">
        <f>BY94*Sheet3!CB94</f>
        <v>139.24532812938136</v>
      </c>
      <c r="HG94" s="165">
        <f>BZ94*Sheet3!CC94</f>
        <v>128.57183310342995</v>
      </c>
      <c r="HH94" s="165">
        <f>CA94*Sheet3!CD94</f>
        <v>122.35494084197038</v>
      </c>
      <c r="HI94" s="165">
        <f>CB94*Sheet3!CE94</f>
        <v>114.59648748787693</v>
      </c>
      <c r="HJ94" s="165">
        <f>CC94*Sheet3!CF94</f>
        <v>108.49915802118996</v>
      </c>
      <c r="HK94" s="165">
        <f>CD94*Sheet3!CG94</f>
        <v>100.53036842800854</v>
      </c>
      <c r="HL94" s="188">
        <f>(CE94*Sheet3!DF94)+2501</f>
        <v>2777.9002721684374</v>
      </c>
      <c r="HM94" s="165">
        <f>(CF94*Sheet3!BZ94)+2501</f>
        <v>2775.017649724557</v>
      </c>
      <c r="HN94" s="165">
        <f>(CG94*Sheet3!CA94)+2501</f>
        <v>2755.3946157534942</v>
      </c>
      <c r="HO94" s="165">
        <f>(CH94*Sheet3!CB94)+2501</f>
        <v>2739.8960814701491</v>
      </c>
      <c r="HP94" s="165">
        <f>(CI94*Sheet3!CC94)+2501</f>
        <v>2721.6960074992794</v>
      </c>
      <c r="HQ94" s="165">
        <f>(CJ94*Sheet3!CD94)+2501</f>
        <v>2710.9828251974582</v>
      </c>
      <c r="HR94" s="165">
        <f>(CK94*Sheet3!CE94)+2501</f>
        <v>2697.9273964244694</v>
      </c>
      <c r="HS94" s="165">
        <f>(CL94*Sheet3!CF94)+2501</f>
        <v>2687.4241586409762</v>
      </c>
      <c r="HT94" s="165">
        <f>(CM94*Sheet3!CG94)+2501</f>
        <v>2673.9209501424648</v>
      </c>
      <c r="HU94" s="188">
        <f>-0.0021*(Sheet3!DF94^2) - 2.2115*(Sheet3!DF94) + 2499</f>
        <v>2134.1799999999998</v>
      </c>
      <c r="HV94" s="165">
        <f>-0.0021*(Sheet3!BZ94^2) - 2.2115*(Sheet3!BZ94) + 2499</f>
        <v>2138.2805151247517</v>
      </c>
      <c r="HW94" s="165">
        <f>-0.0021*(Sheet3!CA94^2) - 2.2115*(Sheet3!CA94) + 2499</f>
        <v>2166.0515821580088</v>
      </c>
      <c r="HX94" s="165">
        <f>-0.0021*(Sheet3!CB94^2) - 2.2115*(Sheet3!CB94) + 2499</f>
        <v>2187.8059128765581</v>
      </c>
      <c r="HY94" s="165">
        <f>-0.0021*(Sheet3!CC94^2) - 2.2115*(Sheet3!CC94) + 2499</f>
        <v>2213.1433093892347</v>
      </c>
      <c r="HZ94" s="165">
        <f>-0.0021*(Sheet3!CD94^2) - 2.2115*(Sheet3!CD94) + 2499</f>
        <v>2227.9493130042838</v>
      </c>
      <c r="IA94" s="165">
        <f>-0.0021*(Sheet3!CE94^2) - 2.2115*(Sheet3!CE94) + 2499</f>
        <v>2245.8807995613965</v>
      </c>
      <c r="IB94" s="165">
        <f>-0.0021*(Sheet3!CF94^2) - 2.2115*(Sheet3!CF94) + 2499</f>
        <v>2260.2158900981199</v>
      </c>
      <c r="IC94" s="165">
        <f>-0.0021*(Sheet3!CG94^2) - 2.2115*(Sheet3!CG94) + 2499</f>
        <v>2278.523246463642</v>
      </c>
      <c r="ID94" s="188">
        <f t="shared" si="292"/>
        <v>0.69586064768391054</v>
      </c>
      <c r="IE94" s="165">
        <f t="shared" si="293"/>
        <v>0.69615822029215835</v>
      </c>
      <c r="IF94" s="165">
        <f t="shared" si="294"/>
        <v>0.6988216585298257</v>
      </c>
      <c r="IG94" s="165">
        <f t="shared" si="295"/>
        <v>0.7015402258709944</v>
      </c>
      <c r="IH94" s="165">
        <f t="shared" si="296"/>
        <v>0.70452565406138579</v>
      </c>
      <c r="II94" s="165">
        <f t="shared" si="297"/>
        <v>0.70667355700316681</v>
      </c>
      <c r="IJ94" s="165">
        <f t="shared" si="298"/>
        <v>0.70861065021591441</v>
      </c>
      <c r="IK94" s="165">
        <f t="shared" si="299"/>
        <v>0.71092746953159303</v>
      </c>
      <c r="IL94" s="165">
        <f t="shared" si="300"/>
        <v>0.71337143880503018</v>
      </c>
      <c r="IM94" s="188">
        <f t="shared" si="301"/>
        <v>6.6749396429390604</v>
      </c>
      <c r="IN94" s="165">
        <f t="shared" si="368"/>
        <v>10.563720087554136</v>
      </c>
      <c r="IO94" s="165">
        <f t="shared" si="369"/>
        <v>10.97817691321093</v>
      </c>
      <c r="IP94" s="165">
        <f t="shared" si="370"/>
        <v>11.351190910737918</v>
      </c>
      <c r="IQ94" s="165">
        <f t="shared" si="371"/>
        <v>11.68838883652043</v>
      </c>
      <c r="IR94" s="165">
        <f t="shared" si="372"/>
        <v>12.101767688719448</v>
      </c>
      <c r="IS94" s="165">
        <f t="shared" si="373"/>
        <v>7.2166187680449054</v>
      </c>
      <c r="IT94" s="165">
        <f t="shared" si="374"/>
        <v>7.740836155913482</v>
      </c>
      <c r="IU94" s="165">
        <f t="shared" si="375"/>
        <v>8.340974942197926</v>
      </c>
      <c r="IV94" s="188">
        <f>_xlfn.FORECAST.LINEAR(Sheet3!DF94,Sheet2!$AK$2:$AK$69,Sheet2!$AJ$2:$AJ$69)</f>
        <v>1.386217343669711E-5</v>
      </c>
      <c r="IW94" s="165">
        <f>_xlfn.FORECAST.LINEAR(Sheet3!BZ94,Sheet2!$AK$2:$AK$69,Sheet2!$AJ$2:$AJ$69)</f>
        <v>1.3811216423461719E-5</v>
      </c>
      <c r="IX94" s="165">
        <f>_xlfn.FORECAST.LINEAR(Sheet3!CA94,Sheet2!$AK$2:$AK$69,Sheet2!$AJ$2:$AJ$69)</f>
        <v>1.3463149283043995E-5</v>
      </c>
      <c r="IY94" s="165">
        <f>_xlfn.FORECAST.LINEAR(Sheet3!CB94,Sheet2!$AK$2:$AK$69,Sheet2!$AJ$2:$AJ$69)</f>
        <v>1.3186787395227286E-5</v>
      </c>
      <c r="IZ94" s="165">
        <f>_xlfn.FORECAST.LINEAR(Sheet3!CC94,Sheet2!$AK$2:$AK$69,Sheet2!$AJ$2:$AJ$69)</f>
        <v>1.2860630396983799E-5</v>
      </c>
      <c r="JA94" s="165">
        <f>_xlfn.FORECAST.LINEAR(Sheet3!CD94,Sheet2!$AK$2:$AK$69,Sheet2!$AJ$2:$AJ$69)</f>
        <v>1.266783297760003E-5</v>
      </c>
      <c r="JB94" s="165">
        <f>_xlfn.FORECAST.LINEAR(Sheet3!CE94,Sheet2!$AK$2:$AK$69,Sheet2!$AJ$2:$AJ$69)</f>
        <v>1.2432083187956932E-5</v>
      </c>
      <c r="JC94" s="165">
        <f>_xlfn.FORECAST.LINEAR(Sheet3!CF94,Sheet2!$AK$2:$AK$69,Sheet2!$AJ$2:$AJ$69)</f>
        <v>1.2241790176817099E-5</v>
      </c>
      <c r="JD94" s="165">
        <f>_xlfn.FORECAST.LINEAR(Sheet3!CG94,Sheet2!$AK$2:$AK$69,Sheet2!$AJ$2:$AJ$69)</f>
        <v>1.1996334554603481E-5</v>
      </c>
      <c r="JE94" s="188">
        <f>_xlfn.FORECAST.LINEAR(Sheet3!DF94,New!$MC$2:$MC$18,New!$MB$2:$MB$18)</f>
        <v>2.337798370672098E-5</v>
      </c>
      <c r="JF94" s="165">
        <f>_xlfn.FORECAST.LINEAR(Sheet3!BZ94,New!$MC$2:$MC$18,New!$MB$2:$MB$18)</f>
        <v>2.3318082507727432E-5</v>
      </c>
      <c r="JG94" s="165">
        <f>_xlfn.FORECAST.LINEAR(Sheet3!CA94,New!$MC$2:$MC$18,New!$MB$2:$MB$18)</f>
        <v>2.2908921182966026E-5</v>
      </c>
      <c r="JH94" s="165">
        <f>_xlfn.FORECAST.LINEAR(Sheet3!CB94,New!$MC$2:$MC$18,New!$MB$2:$MB$18)</f>
        <v>2.2584051113366977E-5</v>
      </c>
      <c r="JI94" s="165">
        <f>_xlfn.FORECAST.LINEAR(Sheet3!CC94,New!$MC$2:$MC$18,New!$MB$2:$MB$18)</f>
        <v>2.2200645689570429E-5</v>
      </c>
      <c r="JJ94" s="165">
        <f>_xlfn.FORECAST.LINEAR(Sheet3!CD94,New!$MC$2:$MC$18,New!$MB$2:$MB$18)</f>
        <v>2.1974007669586784E-5</v>
      </c>
      <c r="JK94" s="165">
        <f>_xlfn.FORECAST.LINEAR(Sheet3!CE94,New!$MC$2:$MC$18,New!$MB$2:$MB$18)</f>
        <v>2.1696878101633802E-5</v>
      </c>
      <c r="JL94" s="165">
        <f>_xlfn.FORECAST.LINEAR(Sheet3!CF94,New!$MC$2:$MC$18,New!$MB$2:$MB$18)</f>
        <v>2.147318407398911E-5</v>
      </c>
      <c r="JM94" s="165">
        <f>_xlfn.FORECAST.LINEAR(Sheet3!CG94,New!$MC$2:$MC$18,New!$MB$2:$MB$18)</f>
        <v>2.1184645065582485E-5</v>
      </c>
      <c r="JN94" s="188">
        <f t="shared" si="376"/>
        <v>2.1930629565373837E-5</v>
      </c>
      <c r="JO94" s="165">
        <f t="shared" si="377"/>
        <v>2.1872896760600378E-5</v>
      </c>
      <c r="JP94" s="165">
        <f t="shared" si="378"/>
        <v>2.1472600487869776E-5</v>
      </c>
      <c r="JQ94" s="165">
        <f t="shared" si="379"/>
        <v>2.1149883784306403E-5</v>
      </c>
      <c r="JR94" s="165">
        <f t="shared" si="380"/>
        <v>2.0773393054503369E-5</v>
      </c>
      <c r="JS94" s="165">
        <f t="shared" si="381"/>
        <v>2.0548024218237784E-5</v>
      </c>
      <c r="JT94" s="165">
        <f t="shared" si="382"/>
        <v>2.0280209713002215E-5</v>
      </c>
      <c r="JU94" s="165">
        <f t="shared" si="383"/>
        <v>2.0057627989209626E-5</v>
      </c>
      <c r="JV94" s="165">
        <f t="shared" si="384"/>
        <v>1.9776746595574431E-5</v>
      </c>
      <c r="JW94" s="188">
        <f t="shared" si="302"/>
        <v>1.0152024173422087</v>
      </c>
      <c r="JX94" s="165">
        <f t="shared" si="385"/>
        <v>1.0158101293065847</v>
      </c>
      <c r="JY94" s="165">
        <f t="shared" si="386"/>
        <v>1.0200797642444335</v>
      </c>
      <c r="JZ94" s="165">
        <f t="shared" si="387"/>
        <v>1.0236244727685904</v>
      </c>
      <c r="KA94" s="165">
        <f t="shared" si="388"/>
        <v>1.027996585226242</v>
      </c>
      <c r="KB94" s="165">
        <f t="shared" si="389"/>
        <v>1.0306829375784405</v>
      </c>
      <c r="KC94" s="165">
        <f t="shared" si="390"/>
        <v>1.0340767205450283</v>
      </c>
      <c r="KD94" s="165">
        <f t="shared" si="391"/>
        <v>1.0369078238800915</v>
      </c>
      <c r="KE94" s="165">
        <f t="shared" si="392"/>
        <v>1.0406871385547289</v>
      </c>
      <c r="KF94" s="188">
        <f t="shared" si="393"/>
        <v>0.9677010468805306</v>
      </c>
      <c r="KG94" s="165">
        <f t="shared" si="394"/>
        <v>0.96719919485794525</v>
      </c>
      <c r="KH94" s="165">
        <f t="shared" si="395"/>
        <v>0.9636968662882569</v>
      </c>
      <c r="KI94" s="165">
        <f t="shared" si="396"/>
        <v>0.96082016189807995</v>
      </c>
      <c r="KJ94" s="165">
        <f t="shared" si="397"/>
        <v>0.95731004177599777</v>
      </c>
      <c r="KK94" s="165">
        <f t="shared" si="398"/>
        <v>0.95517387283585775</v>
      </c>
      <c r="KL94" s="165">
        <f t="shared" si="399"/>
        <v>0.95249720687404726</v>
      </c>
      <c r="KM94" s="165">
        <f t="shared" si="400"/>
        <v>0.95028292750079446</v>
      </c>
      <c r="KN94" s="165">
        <f t="shared" si="401"/>
        <v>0.94735304459878278</v>
      </c>
      <c r="KO94" s="188">
        <f t="shared" si="304"/>
        <v>0.62441672645589641</v>
      </c>
      <c r="KP94" s="165">
        <f t="shared" si="305"/>
        <v>0.62359394182264438</v>
      </c>
      <c r="KQ94" s="165">
        <f t="shared" si="306"/>
        <v>0.61744717918858716</v>
      </c>
      <c r="KR94" s="165">
        <f t="shared" si="307"/>
        <v>0.61240848730859909</v>
      </c>
      <c r="KS94" s="165">
        <f t="shared" si="308"/>
        <v>0.60630035069259725</v>
      </c>
      <c r="KT94" s="165">
        <f t="shared" si="309"/>
        <v>0.60258847324675024</v>
      </c>
      <c r="KU94" s="165">
        <f t="shared" si="310"/>
        <v>0.59798264625109188</v>
      </c>
      <c r="KV94" s="165">
        <f t="shared" si="311"/>
        <v>0.59416187364909301</v>
      </c>
      <c r="KW94" s="165">
        <f t="shared" si="312"/>
        <v>0.58925182092358719</v>
      </c>
      <c r="KX94" s="188">
        <f>AVERAGE(Sheet3!J94:P94)*KO94^(1/3)/ID94^(1/3)</f>
        <v>72.033343004752993</v>
      </c>
      <c r="KY94" s="165">
        <f>Sheet3!J94*KP94^(1/3)/IE94^(1/3)</f>
        <v>66.298472746432765</v>
      </c>
      <c r="KZ94" s="165">
        <f>Sheet3!K94*KQ94^(1/3)/IF94^(1/3)</f>
        <v>64.485509836132451</v>
      </c>
      <c r="LA94" s="165">
        <f>Sheet3!L94*KR94^(1/3)/IG94^(1/3)</f>
        <v>64.927087278605498</v>
      </c>
      <c r="LB94" s="165">
        <f>Sheet3!M94*KS94^(1/3)/IH94^(1/3)</f>
        <v>66.643934993045988</v>
      </c>
      <c r="LC94" s="165">
        <f>Sheet3!N94*KT94^(1/3)/II94^(1/3)</f>
        <v>70.647599814022627</v>
      </c>
      <c r="LD94" s="165">
        <f>Sheet3!O94*KU94^(1/3)/IJ94^(1/3)</f>
        <v>77.180648959264218</v>
      </c>
      <c r="LE94" s="165">
        <f>Sheet3!P94*KV94^(1/3)/IK94^(1/3)</f>
        <v>87.244145170486945</v>
      </c>
      <c r="LF94" s="165">
        <f>Sheet3!Q94*KW94^(1/3)/IL94^(1/3)</f>
        <v>99.972042303512893</v>
      </c>
      <c r="LG94" s="186">
        <f t="shared" si="402"/>
        <v>27.279458616979554</v>
      </c>
      <c r="LH94" s="183">
        <f t="shared" si="403"/>
        <v>27.363596615839267</v>
      </c>
      <c r="LI94" s="183">
        <f t="shared" si="404"/>
        <v>27.66821334505099</v>
      </c>
      <c r="LJ94" s="183">
        <f t="shared" si="405"/>
        <v>27.6826758259892</v>
      </c>
      <c r="LK94" s="183">
        <f t="shared" si="406"/>
        <v>27.92605522729944</v>
      </c>
      <c r="LL94" s="183">
        <f t="shared" si="407"/>
        <v>27.935558796708726</v>
      </c>
      <c r="LM94" s="183">
        <f t="shared" si="408"/>
        <v>28.349448368183353</v>
      </c>
      <c r="LN94" s="183">
        <f t="shared" si="409"/>
        <v>28.361488586440721</v>
      </c>
      <c r="LO94" s="183">
        <f t="shared" si="410"/>
        <v>28.712630033218506</v>
      </c>
      <c r="LT94" s="165"/>
      <c r="MF94" s="165"/>
      <c r="MJ94"/>
      <c r="MK94"/>
      <c r="ML94"/>
      <c r="MM94"/>
      <c r="MN94"/>
      <c r="MO94"/>
      <c r="MP94"/>
      <c r="MQ94"/>
      <c r="MR94"/>
    </row>
    <row r="95" spans="1:356" x14ac:dyDescent="0.3">
      <c r="A95" s="184" t="str">
        <f>Sheet3!A95</f>
        <v>2023.02.24</v>
      </c>
      <c r="B95" s="186">
        <f t="shared" si="313"/>
        <v>0.81185359626779685</v>
      </c>
      <c r="C95" s="183">
        <f t="shared" si="257"/>
        <v>0.81094661974820603</v>
      </c>
      <c r="D95" s="183">
        <f t="shared" si="258"/>
        <v>0.80574478209665867</v>
      </c>
      <c r="E95" s="183">
        <f t="shared" si="259"/>
        <v>0.80124272025455001</v>
      </c>
      <c r="F95" s="183">
        <f t="shared" si="260"/>
        <v>0.79502442457565781</v>
      </c>
      <c r="G95" s="183">
        <f t="shared" si="261"/>
        <v>0.79265757997876651</v>
      </c>
      <c r="H95" s="183">
        <f t="shared" si="262"/>
        <v>0.78853734513956164</v>
      </c>
      <c r="I95" s="183">
        <f t="shared" si="263"/>
        <v>0.78464865030826669</v>
      </c>
      <c r="J95" s="183">
        <f t="shared" si="264"/>
        <v>0.78004579600183821</v>
      </c>
      <c r="K95" s="186">
        <f xml:space="preserve"> (6.057 * (10^(-6)))
+ (4.055 * (10^(-8)) * (Sheet3!DF95 + 273))
+ (1.25 * (10^(-10)) * (Sheet3!DF95 + 273)^2)
- (3.367 * (10^(-14)) * (DD95 + 273)^3)</f>
        <v>3.590317235764477E-5</v>
      </c>
      <c r="L95" s="183">
        <f xml:space="preserve"> (6.057 * (10^(-6)))
+ (4.055 * (10^(-8)) * (Sheet3!BZ95 + 273))
+ (1.25 * (10^(-10)) * (Sheet3!BZ95 + 273)^2)
- (3.367 * (10^(-14)) * (BX95 + 273)^3)</f>
        <v>3.5822518023562485E-5</v>
      </c>
      <c r="M95" s="183">
        <f xml:space="preserve"> (6.057 * (10^(-6)))
+ (4.055 * (10^(-8)) * (Sheet3!CA95 + 273))
+ (1.25 * (10^(-10)) * (Sheet3!CA95 + 273)^2)
- (3.367 * (10^(-14)) * (BY95 + 273)^3)</f>
        <v>3.5372251034971733E-5</v>
      </c>
      <c r="N95" s="183">
        <f xml:space="preserve"> (6.057 * (10^(-6)))
+ (4.055 * (10^(-8)) * (Sheet3!CB95 + 273))
+ (1.25 * (10^(-10)) * (Sheet3!CB95 + 273)^2)
- (3.367 * (10^(-14)) * (BZ95 + 273)^3)</f>
        <v>3.5016480284236045E-5</v>
      </c>
      <c r="O95" s="183">
        <f xml:space="preserve"> (6.057 * (10^(-6)))
+ (4.055 * (10^(-8)) * (Sheet3!CC95 + 273))
+ (1.25 * (10^(-10)) * (Sheet3!CC95 + 273)^2)
- (3.367 * (10^(-14)) * (CA95 + 273)^3)</f>
        <v>3.4497216227316548E-5</v>
      </c>
      <c r="P95" s="183">
        <f xml:space="preserve"> (6.057 * (10^(-6)))
+ (4.055 * (10^(-8)) * (Sheet3!CD95 + 273))
+ (1.25 * (10^(-10)) * (Sheet3!CD95 + 273)^2)
- (3.367 * (10^(-14)) * (CB95 + 273)^3)</f>
        <v>3.431642388209002E-5</v>
      </c>
      <c r="Q95" s="183">
        <f xml:space="preserve"> (6.057 * (10^(-6)))
+ (4.055 * (10^(-8)) * (Sheet3!CE95 + 273))
+ (1.25 * (10^(-10)) * (Sheet3!CE95 + 273)^2)
- (3.367 * (10^(-14)) * (CC95 + 273)^3)</f>
        <v>3.3958894263864303E-5</v>
      </c>
      <c r="R95" s="183">
        <f xml:space="preserve"> (6.057 * (10^(-6)))
+ (4.055 * (10^(-8)) * (Sheet3!CF95 + 273))
+ (1.25 * (10^(-10)) * (Sheet3!CF95 + 273)^2)
- (3.367 * (10^(-14)) * (CD95 + 273)^3)</f>
        <v>3.3669899533036843E-5</v>
      </c>
      <c r="S95" s="183">
        <f xml:space="preserve"> (6.057 * (10^(-6)))
+ (4.055 * (10^(-8)) * (Sheet3!CG95 + 273))
+ (1.25 * (10^(-10)) * (Sheet3!CG95 + 273)^2)
- (3.367 * (10^(-14)) * (CE95 + 273)^3)</f>
        <v>3.3280224250263222E-5</v>
      </c>
      <c r="T95" s="188">
        <f t="shared" si="314"/>
        <v>3.590317235764477E-5</v>
      </c>
      <c r="U95" s="165">
        <f t="shared" si="315"/>
        <v>3.5822518023562485E-5</v>
      </c>
      <c r="V95" s="165">
        <f t="shared" si="316"/>
        <v>3.5372251034971733E-5</v>
      </c>
      <c r="W95" s="165">
        <f t="shared" si="317"/>
        <v>3.5016480284236045E-5</v>
      </c>
      <c r="X95" s="165">
        <f t="shared" si="318"/>
        <v>3.4497216227316548E-5</v>
      </c>
      <c r="Y95" s="165">
        <f t="shared" si="319"/>
        <v>3.431642388209002E-5</v>
      </c>
      <c r="Z95" s="165">
        <f t="shared" si="320"/>
        <v>3.3958894263864303E-5</v>
      </c>
      <c r="AA95" s="165">
        <f t="shared" si="321"/>
        <v>3.3669899533036843E-5</v>
      </c>
      <c r="AB95" s="165">
        <f t="shared" si="322"/>
        <v>3.3280224250263222E-5</v>
      </c>
      <c r="AC95" s="186">
        <f t="shared" si="265"/>
        <v>2.9148119595976459E-5</v>
      </c>
      <c r="AD95" s="183">
        <f t="shared" si="266"/>
        <v>2.9050149902077182E-5</v>
      </c>
      <c r="AE95" s="183">
        <f t="shared" si="267"/>
        <v>2.8501006702441608E-5</v>
      </c>
      <c r="AF95" s="183">
        <f t="shared" si="268"/>
        <v>2.8056699916681108E-5</v>
      </c>
      <c r="AG95" s="183">
        <f t="shared" si="269"/>
        <v>2.7426129480584384E-5</v>
      </c>
      <c r="AH95" s="183">
        <f t="shared" si="270"/>
        <v>2.7201173507903025E-5</v>
      </c>
      <c r="AI95" s="183">
        <f t="shared" si="271"/>
        <v>2.6777856326702647E-5</v>
      </c>
      <c r="AJ95" s="183">
        <f t="shared" si="272"/>
        <v>2.6419041224612298E-5</v>
      </c>
      <c r="AK95" s="183">
        <f t="shared" si="273"/>
        <v>2.5960099016416254E-5</v>
      </c>
      <c r="AL95" s="186">
        <f t="shared" si="323"/>
        <v>2.9790004379239499E-2</v>
      </c>
      <c r="AM95" s="183">
        <f t="shared" si="324"/>
        <v>2.9736316710676718E-2</v>
      </c>
      <c r="AN95" s="183">
        <f t="shared" si="325"/>
        <v>2.9428556745274333E-2</v>
      </c>
      <c r="AO95" s="183">
        <f t="shared" si="326"/>
        <v>2.9182478921985652E-2</v>
      </c>
      <c r="AP95" s="183">
        <f t="shared" si="327"/>
        <v>2.8823147014280667E-2</v>
      </c>
      <c r="AQ95" s="183">
        <f t="shared" si="328"/>
        <v>2.8696464758452861E-2</v>
      </c>
      <c r="AR95" s="183">
        <f t="shared" si="329"/>
        <v>2.8448440217355989E-2</v>
      </c>
      <c r="AS95" s="183">
        <f t="shared" si="330"/>
        <v>2.8243963420603715E-2</v>
      </c>
      <c r="AT95" s="183">
        <f t="shared" si="331"/>
        <v>2.7974204632027148E-2</v>
      </c>
      <c r="AU95" s="186">
        <f>_xlfn.FORECAST.LINEAR(Sheet3!DF95,Sheet2!$AH$2:$AH$40,Sheet2!$AG$2:$AG$40)</f>
        <v>2.5653712965492358E-2</v>
      </c>
      <c r="AV95" s="183">
        <f>_xlfn.FORECAST.LINEAR(Sheet3!BZ95,Sheet2!$AH$2:$AH$40,Sheet2!$AG$2:$AG$40)</f>
        <v>2.5500183801259891E-2</v>
      </c>
      <c r="AW95" s="183">
        <f>_xlfn.FORECAST.LINEAR(Sheet3!CA95,Sheet2!$AH$2:$AH$40,Sheet2!$AG$2:$AG$40)</f>
        <v>2.4616277827126137E-2</v>
      </c>
      <c r="AX95" s="183">
        <f>_xlfn.FORECAST.LINEAR(Sheet3!CB95,Sheet2!$AH$2:$AH$40,Sheet2!$AG$2:$AG$40)</f>
        <v>2.3913622646536143E-2</v>
      </c>
      <c r="AY95" s="183">
        <f>_xlfn.FORECAST.LINEAR(Sheet3!CC95,Sheet2!$AH$2:$AH$40,Sheet2!$AG$2:$AG$40)</f>
        <v>2.2881248500366616E-2</v>
      </c>
      <c r="AZ95" s="183">
        <f>_xlfn.FORECAST.LINEAR(Sheet3!CD95,Sheet2!$AH$2:$AH$40,Sheet2!$AG$2:$AG$40)</f>
        <v>2.2519846960435574E-2</v>
      </c>
      <c r="BA95" s="183">
        <f>_xlfn.FORECAST.LINEAR(Sheet3!CE95,Sheet2!$AH$2:$AH$40,Sheet2!$AG$2:$AG$40)</f>
        <v>2.1802192643041601E-2</v>
      </c>
      <c r="BB95" s="183">
        <f>_xlfn.FORECAST.LINEAR(Sheet3!CF95,Sheet2!$AH$2:$AH$40,Sheet2!$AG$2:$AG$40)</f>
        <v>2.1219144579032422E-2</v>
      </c>
      <c r="BC95" s="183">
        <f>_xlfn.FORECAST.LINEAR(Sheet3!CG95,Sheet2!$AH$2:$AH$40,Sheet2!$AG$2:$AG$40)</f>
        <v>2.0441003984189486E-2</v>
      </c>
      <c r="BD95" s="186">
        <f>_xlfn.FORECAST.LINEAR(Sheet3!DF95,Sheet2!$AB$12:$AB$37,Sheet2!$AA$12:$AA$37)/1000</f>
        <v>3.0506351161118033E-2</v>
      </c>
      <c r="BE95" s="183">
        <f>_xlfn.FORECAST.LINEAR(Sheet3!BZ95,Sheet2!$AB$12:$AB$37,Sheet2!$AA$12:$AA$37)/1000</f>
        <v>3.047202559366299E-2</v>
      </c>
      <c r="BF95" s="183">
        <f>_xlfn.FORECAST.LINEAR(Sheet3!CA95,Sheet2!$AB$12:$AB$37,Sheet2!$AA$12:$AA$37)/1000</f>
        <v>3.0274404677202438E-2</v>
      </c>
      <c r="BG95" s="183">
        <f>_xlfn.FORECAST.LINEAR(Sheet3!CB95,Sheet2!$AB$12:$AB$37,Sheet2!$AA$12:$AA$37)/1000</f>
        <v>3.0117307242851422E-2</v>
      </c>
      <c r="BH95" s="183">
        <f>_xlfn.FORECAST.LINEAR(Sheet3!CC95,Sheet2!$AB$12:$AB$37,Sheet2!$AA$12:$AA$37)/1000</f>
        <v>2.9886492279646602E-2</v>
      </c>
      <c r="BI95" s="183">
        <f>_xlfn.FORECAST.LINEAR(Sheet3!CD95,Sheet2!$AB$12:$AB$37,Sheet2!$AA$12:$AA$37)/1000</f>
        <v>2.980569126050945E-2</v>
      </c>
      <c r="BJ95" s="183">
        <f>_xlfn.FORECAST.LINEAR(Sheet3!CE95,Sheet2!$AB$12:$AB$37,Sheet2!$AA$12:$AA$37)/1000</f>
        <v>2.9645240366347025E-2</v>
      </c>
      <c r="BK95" s="183">
        <f>_xlfn.FORECAST.LINEAR(Sheet3!CF95,Sheet2!$AB$12:$AB$37,Sheet2!$AA$12:$AA$37)/1000</f>
        <v>2.9514884314773816E-2</v>
      </c>
      <c r="BL95" s="183">
        <f>_xlfn.FORECAST.LINEAR(Sheet3!CG95,Sheet2!$AB$12:$AB$37,Sheet2!$AA$12:$AA$37)/1000</f>
        <v>2.9340910089021215E-2</v>
      </c>
      <c r="BM95" s="186">
        <f t="shared" si="332"/>
        <v>0.9294094109048685</v>
      </c>
      <c r="BN95" s="183">
        <f t="shared" si="333"/>
        <v>0.93098355737628213</v>
      </c>
      <c r="BO95" s="183">
        <f t="shared" si="334"/>
        <v>0.94025092732036841</v>
      </c>
      <c r="BP95" s="183">
        <f t="shared" si="335"/>
        <v>0.94765628645220024</v>
      </c>
      <c r="BQ95" s="183">
        <f t="shared" si="336"/>
        <v>0.95889283537510872</v>
      </c>
      <c r="BR95" s="183">
        <f t="shared" si="337"/>
        <v>0.96283996865841881</v>
      </c>
      <c r="BS95" s="183">
        <f t="shared" si="338"/>
        <v>0.97095663395561826</v>
      </c>
      <c r="BT95" s="183">
        <f t="shared" si="339"/>
        <v>0.97750062156690021</v>
      </c>
      <c r="BU95" s="183">
        <f t="shared" si="340"/>
        <v>0.98652021220292307</v>
      </c>
      <c r="BV95" s="186">
        <f t="shared" si="341"/>
        <v>1.0996461513542861</v>
      </c>
      <c r="BW95" s="183">
        <f t="shared" si="342"/>
        <v>1.0995039278176528</v>
      </c>
      <c r="BX95" s="183">
        <f t="shared" si="343"/>
        <v>1.0981584127930308</v>
      </c>
      <c r="BY95" s="183">
        <f t="shared" si="344"/>
        <v>1.0975763624720536</v>
      </c>
      <c r="BZ95" s="183">
        <f t="shared" si="345"/>
        <v>1.0959905289463945</v>
      </c>
      <c r="CA95" s="183">
        <f t="shared" si="346"/>
        <v>1.0956873475343782</v>
      </c>
      <c r="CB95" s="183">
        <f t="shared" si="347"/>
        <v>1.0941650019345031</v>
      </c>
      <c r="CC95" s="183">
        <f t="shared" si="348"/>
        <v>1.0936832115534487</v>
      </c>
      <c r="CD95" s="183">
        <f t="shared" si="349"/>
        <v>1.092308756402955</v>
      </c>
      <c r="CE95" s="187">
        <f xml:space="preserve"> -0.0000000019505*Sheet3!DF95^3 + 0.0000015497*Sheet3!DF95^2  + 0.00016911*Sheet3!DF95 + 1.8585</f>
        <v>1.8828730816875001</v>
      </c>
      <c r="CF95" s="185">
        <f xml:space="preserve"> -0.0000000019505*Sheet3!BZ95^3 + 0.0000015497*Sheet3!BZ95^2  + 0.00016911*Sheet3!BZ95 + 1.8585</f>
        <v>1.8826376965440368</v>
      </c>
      <c r="CG95" s="185">
        <f xml:space="preserve"> -0.0000000019505*Sheet3!CA95^3 + 0.0000015497*Sheet3!CA95^2  + 0.00016911*Sheet3!CA95 + 1.8585</f>
        <v>1.8812975949772395</v>
      </c>
      <c r="CH95" s="185">
        <f xml:space="preserve"> -0.0000000019505*Sheet3!CB95^3 + 0.0000015497*Sheet3!CB95^2  + 0.00016911*Sheet3!CB95 + 1.8585</f>
        <v>1.880250841292737</v>
      </c>
      <c r="CI95" s="185">
        <f xml:space="preserve"> -0.0000000019505*Sheet3!CC95^3 + 0.0000015497*Sheet3!CC95^2  + 0.00016911*Sheet3!CC95 + 1.8585</f>
        <v>1.8787432656184302</v>
      </c>
      <c r="CJ95" s="185">
        <f xml:space="preserve"> -0.0000000019505*Sheet3!CD95^3 + 0.0000015497*Sheet3!CD95^2  + 0.00016911*Sheet3!CD95 + 1.8585</f>
        <v>1.8782241754149194</v>
      </c>
      <c r="CK95" s="185">
        <f xml:space="preserve"> -0.0000000019505*Sheet3!CE95^3 + 0.0000015497*Sheet3!CE95^2  + 0.00016911*Sheet3!CE95 + 1.8585</f>
        <v>1.8772069048593245</v>
      </c>
      <c r="CL95" s="185">
        <f xml:space="preserve"> -0.0000000019505*Sheet3!CF95^3 + 0.0000015497*Sheet3!CF95^2  + 0.00016911*Sheet3!CF95 + 1.8585</f>
        <v>1.8763938226358952</v>
      </c>
      <c r="CM95" s="185">
        <f xml:space="preserve"> -0.0000000019505*Sheet3!CG95^3 + 0.0000015497*Sheet3!CG95^2  + 0.00016911*Sheet3!CG95 + 1.8585</f>
        <v>1.8753276324173769</v>
      </c>
      <c r="CN95" s="186">
        <f>_xlfn.FORECAST.LINEAR(Sheet3!DF95,New!$LU$2:$LU$14,New!$LT$2:$LT$14)</f>
        <v>1.0126209368728181</v>
      </c>
      <c r="CO95" s="183">
        <f>_xlfn.FORECAST.LINEAR(Sheet3!BZ95,New!$LU$2:$LU$14,New!$LT$2:$LT$14)</f>
        <v>1.0125079373937511</v>
      </c>
      <c r="CP95" s="183">
        <f>_xlfn.FORECAST.LINEAR(Sheet3!CA95,New!$LU$2:$LU$14,New!$LT$2:$LT$14)</f>
        <v>1.0118573710005796</v>
      </c>
      <c r="CQ95" s="183">
        <f>_xlfn.FORECAST.LINEAR(Sheet3!CB95,New!$LU$2:$LU$14,New!$LT$2:$LT$14)</f>
        <v>1.0113402075693361</v>
      </c>
      <c r="CR95" s="183">
        <f>_xlfn.FORECAST.LINEAR(Sheet3!CC95,New!$LU$2:$LU$14,New!$LT$2:$LT$14)</f>
        <v>1.0105803666537512</v>
      </c>
      <c r="CS95" s="183">
        <f>_xlfn.FORECAST.LINEAR(Sheet3!CD95,New!$LU$2:$LU$14,New!$LT$2:$LT$14)</f>
        <v>1.0103143703790343</v>
      </c>
      <c r="CT95" s="183">
        <f>_xlfn.FORECAST.LINEAR(Sheet3!CE95,New!$LU$2:$LU$14,New!$LT$2:$LT$14)</f>
        <v>1.0097861673863253</v>
      </c>
      <c r="CU95" s="183">
        <f>_xlfn.FORECAST.LINEAR(Sheet3!CF95,New!$LU$2:$LU$14,New!$LT$2:$LT$14)</f>
        <v>1.0093570363620443</v>
      </c>
      <c r="CV95" s="183">
        <f>_xlfn.FORECAST.LINEAR(Sheet3!CG95,New!$LU$2:$LU$14,New!$LT$2:$LT$14)</f>
        <v>1.0087843146755964</v>
      </c>
      <c r="CW95" s="186">
        <f>EXP((17.625*Sheet3!BA95)/(243.04+Sheet3!BA95)) / EXP((17.625*Sheet3!DF95)/(243.04+Sheet3!DF95))</f>
        <v>0.23812818881239969</v>
      </c>
      <c r="CX95" s="183">
        <f>EXP((17.625*(Sheet3!BC95+273))/(243.04+(Sheet3!BC95+273)))/EXP((17.625*(Sheet3!BZ95+273))/(243.04+(Sheet3!BZ95+273)))</f>
        <v>0.67034080005095453</v>
      </c>
      <c r="CY95" s="183">
        <f>EXP((17.625*(Sheet3!BE95+273))/(243.04+(Sheet3!BE95+273))) / EXP((17.625*(Sheet3!CA95+273))/(243.04+(Sheet3!CA95+273)))</f>
        <v>0.69839214285954054</v>
      </c>
      <c r="CZ95" s="183">
        <f>EXP((17.625*(Sheet3!BG95+273))/(243.04+(Sheet3!BG95+273))) / EXP((17.625*(Sheet3!CB95+273))/(243.04+(Sheet3!CB95+273)))</f>
        <v>0.72079378349434375</v>
      </c>
      <c r="DA95" s="183">
        <f>EXP((17.625*(Sheet3!BI95+273))/(243.04+(Sheet3!BI95+273))) / EXP((17.625*(Sheet3!CC95+273))/(243.04+(Sheet3!CC95+273)))</f>
        <v>0.75533729242231817</v>
      </c>
      <c r="DB95" s="183">
        <f>EXP((17.625*(Sheet3!BK95+273))/(243.04+(Sheet3!BK95+273)))/EXP((17.625*(Sheet3!CD95+273))/(243.04+(Sheet3!CD95+273)))</f>
        <v>0.76865691234850597</v>
      </c>
      <c r="DC95" s="183">
        <f>EXP((17.625*(Sheet3!BM95+273))/(243.04+(Sheet3!BM95+273))) / EXP((17.625*(Sheet3!CE95+273))/(243.04+(Sheet3!CE95+273)))</f>
        <v>0.79324295323198801</v>
      </c>
      <c r="DD95" s="183">
        <f>EXP((17.625*(Sheet3!BO95+273))/(243.04+(Sheet3!BO95+273))) / EXP((17.625*(Sheet3!CF95+273))/(243.04+(Sheet3!CF95+273)))</f>
        <v>0.81631848728749279</v>
      </c>
      <c r="DE95" s="183">
        <f>EXP((17.625*(Sheet3!BQ95+273))/(243.04+(Sheet3!BQ95+273))) / EXP((17.625*(Sheet3!CG95+273))/(243.04+(Sheet3!CG95+273)))</f>
        <v>0.84607418997220929</v>
      </c>
      <c r="DF95" s="186">
        <f>((Sheet3!DA95-Sheet3!DB95)/New!$LQ$3)/(((Sheet3!DA95-Sheet3!DB95)/New!$LQ$3)+(Sheet3!DB95/New!$LP$3))</f>
        <v>0.84845234045893403</v>
      </c>
      <c r="DG95" s="183">
        <f>((Sheet3!DA95-Sheet3!DB95)/New!$LQ$3)/(((Sheet3!DA95-Sheet3!DB95)/New!$LQ$3)+((Sheet3!DB95-(Sheet3!B95*0.004))/New!$LP$3))</f>
        <v>0.84858868917482144</v>
      </c>
      <c r="DH95" s="183" cm="1">
        <f t="array" ref="DH95">((Sheet3!DA95-Sheet3!DB95)/New!$LQ$3)/(((Sheet3!DA95-Sheet3!DB95)/New!$LQ$3)+((Sheet3!DB95-(SUM(Sheet3!B95:C95*0.004)))/New!$LP$3))</f>
        <v>0.85365203779083654</v>
      </c>
      <c r="DI95" s="183" cm="1">
        <f t="array" ref="DI95">((Sheet3!DA95-Sheet3!DB95)/New!$LQ$3)/(((Sheet3!DA95-Sheet3!DB95)/New!$LQ$3)+((Sheet3!DB95-(SUM(Sheet3!B95:D95*0.004)))/New!$LP$3))</f>
        <v>0.85375241531741852</v>
      </c>
      <c r="DJ95" s="183" cm="1">
        <f t="array" ref="DJ95">((Sheet3!DA95-Sheet3!DB95)/New!$LQ$3)/(((Sheet3!DA95-Sheet3!DB95)/New!$LQ$3)+((Sheet3!DB95-(SUM(Sheet3!B95:E95*0.004)))/New!$LP$3))</f>
        <v>0.85993313667694182</v>
      </c>
      <c r="DK95" s="183" cm="1">
        <f t="array" ref="DK95">((Sheet3!DA95-Sheet3!DB95)/New!$LQ$3)/(((Sheet3!DA95-Sheet3!DB95)/New!$LQ$3)+((Sheet3!DB95-(SUM(Sheet3!B95:F95*0.004)))/New!$LP$3))</f>
        <v>0.86003499686454055</v>
      </c>
      <c r="DL95" s="183" cm="1">
        <f t="array" ref="DL95">((Sheet3!DA95-Sheet3!DB95)/New!$LQ$3)/(((Sheet3!DA95-Sheet3!DB95)/New!$LQ$3)+((Sheet3!DB95-(SUM(Sheet3!B95:G95*0.004)))/New!$LP$3))</f>
        <v>0.86796433327602374</v>
      </c>
      <c r="DM95" s="183" cm="1">
        <f t="array" ref="DM95">((Sheet3!DA95-Sheet3!DB95)/New!$LQ$3)/(((Sheet3!DA95-Sheet3!DB95)/New!$LQ$3)+((Sheet3!DB95-(SUM(Sheet3!B95:H95*0.004)))/New!$LP$3))</f>
        <v>0.86809405190087874</v>
      </c>
      <c r="DN95" s="183" cm="1">
        <f t="array" ref="DN95">((Sheet3!DA95-Sheet3!DB95)/New!$LQ$3)/(((Sheet3!DA95-Sheet3!DB95)/New!$LQ$3)+((Sheet3!DB95-(SUM(Sheet3!B95:I95*0.004)))/New!$LP$3))</f>
        <v>0.87453761177225608</v>
      </c>
      <c r="DO95" s="186">
        <f>(Sheet3!DB95/$LP$3) / ((Sheet3!DB95/$LP$3) + ((Sheet3!DA95-Sheet3!DB95)/$LQ$3))</f>
        <v>0.15154765954106597</v>
      </c>
      <c r="DP95" s="183">
        <f>((Sheet3!$DB95-(Sheet3!B95/4000)) / $LP$3) / (((Sheet3!$DA95-Sheet3!DB95) / $LQ$3) + (Sheet3!$DB95-((Sheet3!B95/4000)))/$LP$3)</f>
        <v>0.15153913903001406</v>
      </c>
      <c r="DQ95" s="183">
        <f>((Sheet3!$DB95-(SUM(Sheet3!B95:C95)/4000))/$LP$3)/(((Sheet3!$DA95-Sheet3!$DB95)/$LQ$3)+(Sheet3!$DB95-(SUM(Sheet3!B95:C95)/4000))/$LP$3)</f>
        <v>0.15122453494479798</v>
      </c>
      <c r="DR95" s="183">
        <f>((Sheet3!$DB95-(SUM(Sheet3!B95:D95)/4000))/$LP$3)/(((Sheet3!$DA95-Sheet3!$DB95)/$LQ$3)+(Sheet3!$DB95-(SUM(Sheet3!B95:D95)/4000))/$LP$3)</f>
        <v>0.1512183335056268</v>
      </c>
      <c r="DS95" s="183">
        <f>((Sheet3!$DB95-(SUM(Sheet3!B95:E95)/4000))/$LP$3)/(((Sheet3!$DA95-Sheet3!$DB95)/$LQ$3)+(Sheet3!$DB95-(SUM(Sheet3!B95:E95)/4000))/$LP$3)</f>
        <v>0.15083909840039705</v>
      </c>
      <c r="DT95" s="183">
        <f>((Sheet3!$DB95-(SUM(Sheet3!B95:F95)/4000))/$LP$3)/(((Sheet3!$DA95-Sheet3!$DB95)/$LQ$3)+(Sheet3!$DB95-(SUM(Sheet3!B95:F95)/4000))/$LP$3)</f>
        <v>0.15083289132766828</v>
      </c>
      <c r="DU95" s="183">
        <f>((Sheet3!$DB95-(SUM(Sheet3!B95:G95)/4000))/$LP$3)/(((Sheet3!$DA95-Sheet3!$DB95)/$LQ$3)+(Sheet3!$DB95-(SUM(Sheet3!B95:G95)/4000))/$LP$3)</f>
        <v>0.15035389730790025</v>
      </c>
      <c r="DV95" s="183">
        <f>((Sheet3!$DB95-(SUM(Sheet3!B95:H95)/4000))/$LP$3)/(((Sheet3!$DA95-Sheet3!$DB95)/$LQ$3)+(Sheet3!$DB95-(SUM(Sheet3!B95:H95)/4000))/$LP$3)</f>
        <v>0.15034612958358992</v>
      </c>
      <c r="DW95" s="183">
        <f>((Sheet3!$DB95-(SUM(Sheet3!B95:I95)/4000))/$LP$3)/(((Sheet3!$DA95-Sheet3!$DB95)/$LQ$3)+(Sheet3!$DB95-(SUM(Sheet3!B95:I95)/4000))/$LP$3)</f>
        <v>0.14996300459362166</v>
      </c>
      <c r="DX95" s="186">
        <f>($LR$2*($LP$3/1000))/($LP$2*(Sheet3!DF95+273))*DO95</f>
        <v>9.2940941090486853E-2</v>
      </c>
      <c r="DY95" s="183">
        <f>(($LR$2*($LP$3/1000))/($LP$2*(Sheet3!BZ95+273)))*(DP95)</f>
        <v>9.3092803449499772E-2</v>
      </c>
      <c r="DZ95" s="183">
        <f>(($LR$2*($LP$3/1000))/($LP$2*(Sheet3!CA95+273)))*(DQ95)</f>
        <v>9.3812463310656083E-2</v>
      </c>
      <c r="EA95" s="183">
        <f>(($LR$2*($LP$3/1000))/($LP$2*(Sheet3!CB95+273)))*(DR95)</f>
        <v>9.4547212165357414E-2</v>
      </c>
      <c r="EB95" s="183">
        <f>(($LR$2*($LP$3/1000))/($LP$2*(Sheet3!CC95+273)))*(DS95)</f>
        <v>9.5413849927451139E-2</v>
      </c>
      <c r="EC95" s="183">
        <f>(($LR$2*($LP$3/1000))/($LP$2*(Sheet3!CD95+273)))*(DT95)</f>
        <v>9.5802425411098499E-2</v>
      </c>
      <c r="ED95" s="183">
        <f>(($LR$2*($LP$3/1000))/($LP$2*(Sheet3!CE95+273)))*(DU95)</f>
        <v>9.6284747713075533E-2</v>
      </c>
      <c r="EE95" s="183">
        <f>(($LR$2*($LP$3/1000))/($LP$2*(Sheet3!CF95+273)))*(DV95)</f>
        <v>9.6928371545073264E-2</v>
      </c>
      <c r="EF95" s="183">
        <f>(($LR$2*($LP$3/1000))/($LP$2*(Sheet3!CG95+273)))*(DW95)</f>
        <v>9.7558491199636443E-2</v>
      </c>
      <c r="EG95" s="186">
        <f>(($LR$2*($LQ$3/1000))/($LQ$2*(Sheet3!DF95+273)))*(1-DO95)</f>
        <v>0.83646846981438161</v>
      </c>
      <c r="EH95" s="183">
        <f>(($LR$2*($LQ$3/1000))/($LQ$2*(Sheet3!BZ95+273)))*(1-DP95)</f>
        <v>0.83789075392678236</v>
      </c>
      <c r="EI95" s="183">
        <f>(($LR$2*($LQ$3/1000))/($LQ$2*(Sheet3!CA95+273)))*(1-DQ95)</f>
        <v>0.84643846400971234</v>
      </c>
      <c r="EJ95" s="183">
        <f>(($LR$2*($LQ$3/1000))/($LQ$2*(Sheet3!CB95+273)))*(1-DR95)</f>
        <v>0.85310907428684279</v>
      </c>
      <c r="EK95" s="183">
        <f>(($LR$2*($LQ$3/1000))/($LQ$2*(Sheet3!CC95+273)))*(1-DS95)</f>
        <v>0.86347898544765755</v>
      </c>
      <c r="EL95" s="183">
        <f>(($LR$2*($LQ$3/1000))/($LQ$2*(Sheet3!CD95+273)))*(1-DT95)</f>
        <v>0.8670375432473203</v>
      </c>
      <c r="EM95" s="183">
        <f>(($LR$2*($LQ$3/1000))/($LQ$2*(Sheet3!CE95+273)))*(1-DU95)</f>
        <v>0.87467188624254277</v>
      </c>
      <c r="EN95" s="183">
        <f>(($LR$2*($LQ$3/1000))/($LQ$2*(Sheet3!CF95+273)))*(1-DV95)</f>
        <v>0.88057225002182693</v>
      </c>
      <c r="EO95" s="183">
        <f>(($LR$2*($LQ$3/1000))/($LQ$2*(Sheet3!CG95+273)))*(1-DW95)</f>
        <v>0.88896172100328663</v>
      </c>
      <c r="EP95" s="186">
        <f t="shared" si="350"/>
        <v>9677.7597396427191</v>
      </c>
      <c r="EQ95" s="183">
        <f xml:space="preserve"> (($FV95-(Sheet3!B95/4000))*0.018)/(0.011*JO95*3600)</f>
        <v>9689.9825828083704</v>
      </c>
      <c r="ER95" s="183">
        <f>((($FV95-(SUM(Sheet3!B95:C95)/4000))*0.018)/(0.011*JP95*3600))</f>
        <v>9757.7095563358162</v>
      </c>
      <c r="ES95" s="183">
        <f>((($FV95-(SUM(Sheet3!B95:D95)/4000))*0.018)/(0.011*JQ95*3600))</f>
        <v>9815.2875905096753</v>
      </c>
      <c r="ET95" s="183">
        <f>((($FV95-(SUM(Sheet3!B95:E95)/4000))*0.018)/(0.011*JR95))/3600</f>
        <v>9896.5177292796307</v>
      </c>
      <c r="EU95" s="183">
        <f>((($FV95-(SUM(Sheet3!B95:F95)/4000))*0.018)/(0.011*JS95))/3600</f>
        <v>9926.8824502601146</v>
      </c>
      <c r="EV95" s="183">
        <f>((($FV95-(SUM(Sheet3!B95:G95)/4000))*0.018)/(0.011*JT95))/3600</f>
        <v>9981.8361291145247</v>
      </c>
      <c r="EW95" s="183">
        <f>((($FV95-(SUM(Sheet3!B95:H95)/4000))*0.018)/(0.011*JU95))/3600</f>
        <v>10031.837415404634</v>
      </c>
      <c r="EX95" s="183">
        <f>((($FV95-(SUM(Sheet3!B95:I95)/4000))*0.018)/(0.011*JV95))/3600</f>
        <v>10094.579895186829</v>
      </c>
      <c r="EY95" s="186">
        <f t="shared" si="351"/>
        <v>77.791792828832186</v>
      </c>
      <c r="EZ95" s="183">
        <f t="shared" si="352"/>
        <v>77.865046454353745</v>
      </c>
      <c r="FA95" s="183">
        <f t="shared" si="353"/>
        <v>78.262935614804192</v>
      </c>
      <c r="FB95" s="183">
        <f t="shared" si="354"/>
        <v>78.609533974923835</v>
      </c>
      <c r="FC95" s="183">
        <f t="shared" si="355"/>
        <v>79.087273033853279</v>
      </c>
      <c r="FD95" s="183">
        <f t="shared" si="356"/>
        <v>79.270299471232804</v>
      </c>
      <c r="FE95" s="183">
        <f t="shared" si="357"/>
        <v>79.586514300025001</v>
      </c>
      <c r="FF95" s="183">
        <f t="shared" si="358"/>
        <v>79.888342575373002</v>
      </c>
      <c r="FG95" s="183">
        <f t="shared" si="359"/>
        <v>80.254955607078841</v>
      </c>
      <c r="FH95" s="186">
        <f t="shared" si="274"/>
        <v>128.74543605776682</v>
      </c>
      <c r="FI95" s="183">
        <f t="shared" si="275"/>
        <v>128.63442678101214</v>
      </c>
      <c r="FJ95" s="183">
        <f t="shared" si="276"/>
        <v>127.95362454400096</v>
      </c>
      <c r="FK95" s="183">
        <f t="shared" si="277"/>
        <v>127.44561490501833</v>
      </c>
      <c r="FL95" s="183">
        <f t="shared" si="278"/>
        <v>126.6413387562949</v>
      </c>
      <c r="FM95" s="183">
        <f t="shared" si="279"/>
        <v>126.37651973156871</v>
      </c>
      <c r="FN95" s="183">
        <f t="shared" si="280"/>
        <v>125.78401078733383</v>
      </c>
      <c r="FO95" s="183">
        <f t="shared" si="281"/>
        <v>125.35352363508298</v>
      </c>
      <c r="FP95" s="183">
        <f t="shared" si="282"/>
        <v>124.72603060481545</v>
      </c>
      <c r="FQ95" s="314">
        <f>Sheet3!CV95</f>
        <v>4</v>
      </c>
      <c r="FR95" s="183">
        <v>10000</v>
      </c>
      <c r="FS95" s="183">
        <v>10</v>
      </c>
      <c r="FT95" s="183">
        <v>0.13538121546961326</v>
      </c>
      <c r="FU95" s="183">
        <v>19.57</v>
      </c>
      <c r="FV95" s="183">
        <v>415</v>
      </c>
      <c r="FW95" s="183">
        <v>41.5</v>
      </c>
      <c r="FX95" s="183">
        <v>1635</v>
      </c>
      <c r="FY95" s="183">
        <v>6.48</v>
      </c>
      <c r="FZ95" s="183">
        <v>4.5599999999999996</v>
      </c>
      <c r="GA95" s="183">
        <v>85</v>
      </c>
      <c r="GB95" s="186">
        <f>EXP($LP$6-($LQ$6/('Trial and Error method'!T95+$LP$8))) / ($LR$2/1000)</f>
        <v>1.7041042138855749E-2</v>
      </c>
      <c r="GC95" s="183">
        <f>EXP($LP$6-($LQ$6/('Trial and Error method'!U95+$LP$8))) / ($LR$2/1000)</f>
        <v>2.1521546049663394E-2</v>
      </c>
      <c r="GD95" s="183">
        <f>EXP($LP$6-($LQ$6/('Trial and Error method'!V95+$LP$8))) / ($LR$2/1000)</f>
        <v>2.0695442157026841E-2</v>
      </c>
      <c r="GE95" s="183">
        <f>EXP($LP$6-($LQ$6/('Trial and Error method'!W95+$LP$8))) / ($LR$2/1000)</f>
        <v>2.0024239750395873E-2</v>
      </c>
      <c r="GF95" s="183">
        <f>EXP($LP$6-($LQ$6/('Trial and Error method'!X95+$LP$8))) / ($LR$2/1000)</f>
        <v>1.9365261445162214E-2</v>
      </c>
      <c r="GG95" s="183">
        <f>EXP($LP$6-($LQ$6/('Trial and Error method'!Y95+$LP$8))) / ($LR$2/1000)</f>
        <v>1.8853932057908175E-2</v>
      </c>
      <c r="GH95" s="183">
        <f>EXP($LP$6-($LQ$6/('Trial and Error method'!Z95+$LP$8))) / ($LR$2/1000)</f>
        <v>1.8290246772906499E-2</v>
      </c>
      <c r="GI95" s="183">
        <f>EXP($LP$6-($LQ$6/('Trial and Error method'!AA95+$LP$8))) / ($LR$2/1000)</f>
        <v>1.7768225217167789E-2</v>
      </c>
      <c r="GJ95" s="183">
        <f>EXP($LP$6-($LQ$6/('Trial and Error method'!AB95+$LP$8))) / ($LR$2/1000)</f>
        <v>1.7173585188323921E-2</v>
      </c>
      <c r="GK95" s="188">
        <f t="shared" si="411"/>
        <v>0.91405681803002392</v>
      </c>
      <c r="GL95" s="165">
        <f t="shared" si="360"/>
        <v>0.91192541108696901</v>
      </c>
      <c r="GM95" s="165">
        <f t="shared" si="361"/>
        <v>0.91248454801226886</v>
      </c>
      <c r="GN95" s="165">
        <f t="shared" si="362"/>
        <v>0.91280792221490392</v>
      </c>
      <c r="GO95" s="165">
        <f t="shared" si="363"/>
        <v>0.91332121129083443</v>
      </c>
      <c r="GP95" s="165">
        <f t="shared" si="364"/>
        <v>0.91356827517037287</v>
      </c>
      <c r="GQ95" s="165">
        <f t="shared" si="365"/>
        <v>0.91408848086450922</v>
      </c>
      <c r="GR95" s="165">
        <f t="shared" si="366"/>
        <v>0.91434142000051166</v>
      </c>
      <c r="GS95" s="165">
        <f t="shared" si="367"/>
        <v>0.91482604090817088</v>
      </c>
      <c r="GT95" s="188">
        <f t="shared" si="283"/>
        <v>9.1556585524952785E-2</v>
      </c>
      <c r="GU95" s="165">
        <f t="shared" si="284"/>
        <v>9.1771671762238674E-2</v>
      </c>
      <c r="GV95" s="165">
        <f t="shared" si="285"/>
        <v>9.1734519098259637E-2</v>
      </c>
      <c r="GW95" s="165">
        <f t="shared" si="286"/>
        <v>9.1728381088320654E-2</v>
      </c>
      <c r="GX95" s="165">
        <f t="shared" si="287"/>
        <v>9.1705181744996561E-2</v>
      </c>
      <c r="GY95" s="165">
        <f t="shared" si="288"/>
        <v>9.1696065021236325E-2</v>
      </c>
      <c r="GZ95" s="165">
        <f t="shared" si="289"/>
        <v>9.16590281137976E-2</v>
      </c>
      <c r="HA95" s="165">
        <f t="shared" si="290"/>
        <v>9.1661894195971969E-2</v>
      </c>
      <c r="HB95" s="165">
        <f t="shared" si="291"/>
        <v>9.1628127064587617E-2</v>
      </c>
      <c r="HC95" s="188">
        <f>BV95*Sheet3!DF95</f>
        <v>93.469922865114313</v>
      </c>
      <c r="HD95" s="165">
        <f>BW95*Sheet3!BZ95</f>
        <v>92.793622689984034</v>
      </c>
      <c r="HE95" s="165">
        <f>BX95*Sheet3!CA95</f>
        <v>88.860715765921668</v>
      </c>
      <c r="HF95" s="165">
        <f>BY95*Sheet3!CB95</f>
        <v>85.779059018206439</v>
      </c>
      <c r="HG95" s="165">
        <f>BZ95*Sheet3!CC95</f>
        <v>81.203046569793642</v>
      </c>
      <c r="HH95" s="165">
        <f>CA95*Sheet3!CD95</f>
        <v>79.622484181255217</v>
      </c>
      <c r="HI95" s="165">
        <f>CB95*Sheet3!CE95</f>
        <v>76.422154633843391</v>
      </c>
      <c r="HJ95" s="165">
        <f>CC95*Sheet3!CF95</f>
        <v>73.879424466119389</v>
      </c>
      <c r="HK95" s="165">
        <f>CD95*Sheet3!CG95</f>
        <v>70.442149500534029</v>
      </c>
      <c r="HL95" s="188">
        <f>(CE95*Sheet3!DF95)+2501</f>
        <v>2661.0442119434374</v>
      </c>
      <c r="HM95" s="165">
        <f>(CF95*Sheet3!BZ95)+2501</f>
        <v>2659.8869013153908</v>
      </c>
      <c r="HN95" s="165">
        <f>(CG95*Sheet3!CA95)+2501</f>
        <v>2653.2307245574884</v>
      </c>
      <c r="HO95" s="165">
        <f>(CH95*Sheet3!CB95)+2501</f>
        <v>2647.9475413273476</v>
      </c>
      <c r="HP95" s="165">
        <f>(CI95*Sheet3!CC95)+2501</f>
        <v>2640.197988359771</v>
      </c>
      <c r="HQ95" s="165">
        <f>(CJ95*Sheet3!CD95)+2501</f>
        <v>2637.4886388734476</v>
      </c>
      <c r="HR95" s="165">
        <f>(CK95*Sheet3!CE95)+2501</f>
        <v>2632.1138595268881</v>
      </c>
      <c r="HS95" s="165">
        <f>(CL95*Sheet3!CF95)+2501</f>
        <v>2627.7523303125577</v>
      </c>
      <c r="HT95" s="165">
        <f>(CM95*Sheet3!CG95)+2501</f>
        <v>2621.9384330857588</v>
      </c>
      <c r="HU95" s="188">
        <f>-0.0021*(Sheet3!DF95^2) - 2.2115*(Sheet3!DF95) + 2499</f>
        <v>2295.85</v>
      </c>
      <c r="HV95" s="165">
        <f>-0.0021*(Sheet3!BZ95^2) - 2.2115*(Sheet3!BZ95) + 2499</f>
        <v>2297.4008664704015</v>
      </c>
      <c r="HW95" s="165">
        <f>-0.0021*(Sheet3!CA95^2) - 2.2115*(Sheet3!CA95) + 2499</f>
        <v>2306.2997801985689</v>
      </c>
      <c r="HX95" s="165">
        <f>-0.0021*(Sheet3!CB95^2) - 2.2115*(Sheet3!CB95) + 2499</f>
        <v>2313.3376669265108</v>
      </c>
      <c r="HY95" s="165">
        <f>-0.0021*(Sheet3!CC95^2) - 2.2115*(Sheet3!CC95) + 2499</f>
        <v>2323.6198250224093</v>
      </c>
      <c r="HZ95" s="165">
        <f>-0.0021*(Sheet3!CD95^2) - 2.2115*(Sheet3!CD95) + 2499</f>
        <v>2327.2029062178171</v>
      </c>
      <c r="IA95" s="165">
        <f>-0.0021*(Sheet3!CE95^2) - 2.2115*(Sheet3!CE95) + 2499</f>
        <v>2334.2928440228388</v>
      </c>
      <c r="IB95" s="165">
        <f>-0.0021*(Sheet3!CF95^2) - 2.2115*(Sheet3!CF95) + 2499</f>
        <v>2340.028306452954</v>
      </c>
      <c r="IC95" s="165">
        <f>-0.0021*(Sheet3!CG95^2) - 2.2115*(Sheet3!CG95) + 2499</f>
        <v>2347.6484627545865</v>
      </c>
      <c r="ID95" s="188">
        <f t="shared" si="292"/>
        <v>0.71950360010668279</v>
      </c>
      <c r="IE95" s="165">
        <f t="shared" si="293"/>
        <v>0.7197955429405305</v>
      </c>
      <c r="IF95" s="165">
        <f t="shared" si="294"/>
        <v>0.72121449677320748</v>
      </c>
      <c r="IG95" s="165">
        <f t="shared" si="295"/>
        <v>0.72264291264769809</v>
      </c>
      <c r="IH95" s="165">
        <f t="shared" si="296"/>
        <v>0.72438462473914578</v>
      </c>
      <c r="II95" s="165">
        <f t="shared" si="297"/>
        <v>0.72515275679460389</v>
      </c>
      <c r="IJ95" s="165">
        <f t="shared" si="298"/>
        <v>0.72616700986464455</v>
      </c>
      <c r="IK95" s="165">
        <f t="shared" si="299"/>
        <v>0.7274537594185021</v>
      </c>
      <c r="IL95" s="165">
        <f t="shared" si="300"/>
        <v>0.72876963762020652</v>
      </c>
      <c r="IM95" s="188">
        <f t="shared" si="301"/>
        <v>28.273316114199986</v>
      </c>
      <c r="IN95" s="165">
        <f t="shared" si="368"/>
        <v>27.412430608324296</v>
      </c>
      <c r="IO95" s="165">
        <f t="shared" si="369"/>
        <v>27.615687893492442</v>
      </c>
      <c r="IP95" s="165">
        <f t="shared" si="370"/>
        <v>27.839218648056892</v>
      </c>
      <c r="IQ95" s="165">
        <f t="shared" si="371"/>
        <v>28.015494124017618</v>
      </c>
      <c r="IR95" s="165">
        <f t="shared" si="372"/>
        <v>28.163696074840118</v>
      </c>
      <c r="IS95" s="165">
        <f t="shared" si="373"/>
        <v>28.256208376599297</v>
      </c>
      <c r="IT95" s="165">
        <f t="shared" si="374"/>
        <v>28.436823901747953</v>
      </c>
      <c r="IU95" s="165">
        <f t="shared" si="375"/>
        <v>28.564415884479445</v>
      </c>
      <c r="IV95" s="188">
        <f>_xlfn.FORECAST.LINEAR(Sheet3!DF95,Sheet2!$AK$2:$AK$69,Sheet2!$AJ$2:$AJ$69)</f>
        <v>1.1761434736095797E-5</v>
      </c>
      <c r="IW95" s="165">
        <f>_xlfn.FORECAST.LINEAR(Sheet3!BZ95,Sheet2!$AK$2:$AK$69,Sheet2!$AJ$2:$AJ$69)</f>
        <v>1.1740283771489906E-5</v>
      </c>
      <c r="IX95" s="165">
        <f>_xlfn.FORECAST.LINEAR(Sheet3!CA95,Sheet2!$AK$2:$AK$69,Sheet2!$AJ$2:$AJ$69)</f>
        <v>1.1618512353874872E-5</v>
      </c>
      <c r="IY95" s="165">
        <f>_xlfn.FORECAST.LINEAR(Sheet3!CB95,Sheet2!$AK$2:$AK$69,Sheet2!$AJ$2:$AJ$69)</f>
        <v>1.1521710974611829E-5</v>
      </c>
      <c r="IZ95" s="165">
        <f>_xlfn.FORECAST.LINEAR(Sheet3!CC95,Sheet2!$AK$2:$AK$69,Sheet2!$AJ$2:$AJ$69)</f>
        <v>1.1379485820616943E-5</v>
      </c>
      <c r="JA95" s="165">
        <f>_xlfn.FORECAST.LINEAR(Sheet3!CD95,Sheet2!$AK$2:$AK$69,Sheet2!$AJ$2:$AJ$69)</f>
        <v>1.1329697292047727E-5</v>
      </c>
      <c r="JB95" s="165">
        <f>_xlfn.FORECAST.LINEAR(Sheet3!CE95,Sheet2!$AK$2:$AK$69,Sheet2!$AJ$2:$AJ$69)</f>
        <v>1.1230829554817806E-5</v>
      </c>
      <c r="JC95" s="165">
        <f>_xlfn.FORECAST.LINEAR(Sheet3!CF95,Sheet2!$AK$2:$AK$69,Sheet2!$AJ$2:$AJ$69)</f>
        <v>1.1150505865002631E-5</v>
      </c>
      <c r="JD95" s="165">
        <f>_xlfn.FORECAST.LINEAR(Sheet3!CG95,Sheet2!$AK$2:$AK$69,Sheet2!$AJ$2:$AJ$69)</f>
        <v>1.1043305228158094E-5</v>
      </c>
      <c r="JE95" s="188">
        <f>_xlfn.FORECAST.LINEAR(Sheet3!DF95,New!$MC$2:$MC$18,New!$MB$2:$MB$18)</f>
        <v>2.0908514659214704E-5</v>
      </c>
      <c r="JF95" s="165">
        <f>_xlfn.FORECAST.LINEAR(Sheet3!BZ95,New!$MC$2:$MC$18,New!$MB$2:$MB$18)</f>
        <v>2.0883651189805491E-5</v>
      </c>
      <c r="JG95" s="165">
        <f>_xlfn.FORECAST.LINEAR(Sheet3!CA95,New!$MC$2:$MC$18,New!$MB$2:$MB$18)</f>
        <v>2.0740505949235966E-5</v>
      </c>
      <c r="JH95" s="165">
        <f>_xlfn.FORECAST.LINEAR(Sheet3!CB95,New!$MC$2:$MC$18,New!$MB$2:$MB$18)</f>
        <v>2.0626713591444119E-5</v>
      </c>
      <c r="JI95" s="165">
        <f>_xlfn.FORECAST.LINEAR(Sheet3!CC95,New!$MC$2:$MC$18,New!$MB$2:$MB$18)</f>
        <v>2.0459524490073895E-5</v>
      </c>
      <c r="JJ95" s="165">
        <f>_xlfn.FORECAST.LINEAR(Sheet3!CD95,New!$MC$2:$MC$18,New!$MB$2:$MB$18)</f>
        <v>2.0400996873008828E-5</v>
      </c>
      <c r="JK95" s="165">
        <f>_xlfn.FORECAST.LINEAR(Sheet3!CE95,New!$MC$2:$MC$18,New!$MB$2:$MB$18)</f>
        <v>2.0284775461551808E-5</v>
      </c>
      <c r="JL95" s="165">
        <f>_xlfn.FORECAST.LINEAR(Sheet3!CF95,New!$MC$2:$MC$18,New!$MB$2:$MB$18)</f>
        <v>2.0190353025423369E-5</v>
      </c>
      <c r="JM95" s="165">
        <f>_xlfn.FORECAST.LINEAR(Sheet3!CG95,New!$MC$2:$MC$18,New!$MB$2:$MB$18)</f>
        <v>2.006433608934047E-5</v>
      </c>
      <c r="JN95" s="188">
        <f t="shared" si="376"/>
        <v>1.9491738657621156E-5</v>
      </c>
      <c r="JO95" s="165">
        <f t="shared" si="377"/>
        <v>1.9467022982170625E-5</v>
      </c>
      <c r="JP95" s="165">
        <f t="shared" si="378"/>
        <v>1.9327176750231699E-5</v>
      </c>
      <c r="JQ95" s="165">
        <f t="shared" si="379"/>
        <v>1.9213707845316982E-5</v>
      </c>
      <c r="JR95" s="165">
        <f t="shared" si="380"/>
        <v>1.905038773812446E-5</v>
      </c>
      <c r="JS95" s="165">
        <f t="shared" si="381"/>
        <v>1.8992024117717925E-5</v>
      </c>
      <c r="JT95" s="165">
        <f t="shared" si="382"/>
        <v>1.8880441918199014E-5</v>
      </c>
      <c r="JU95" s="165">
        <f t="shared" si="383"/>
        <v>1.8786223610412189E-5</v>
      </c>
      <c r="JV95" s="165">
        <f t="shared" si="384"/>
        <v>1.866390876470756E-5</v>
      </c>
      <c r="JW95" s="188">
        <f t="shared" si="302"/>
        <v>1.0444458673781256</v>
      </c>
      <c r="JX95" s="165">
        <f t="shared" si="385"/>
        <v>1.0447914066670081</v>
      </c>
      <c r="JY95" s="165">
        <f t="shared" si="386"/>
        <v>1.0468042764607295</v>
      </c>
      <c r="JZ95" s="165">
        <f t="shared" si="387"/>
        <v>1.0484335539205432</v>
      </c>
      <c r="KA95" s="165">
        <f t="shared" si="388"/>
        <v>1.0508756522510379</v>
      </c>
      <c r="KB95" s="165">
        <f t="shared" si="389"/>
        <v>1.0517444669799039</v>
      </c>
      <c r="KC95" s="165">
        <f t="shared" si="390"/>
        <v>1.0534916435102324</v>
      </c>
      <c r="KD95" s="165">
        <f t="shared" si="391"/>
        <v>1.0549330092810114</v>
      </c>
      <c r="KE95" s="165">
        <f t="shared" si="392"/>
        <v>1.0568880160338219</v>
      </c>
      <c r="KF95" s="188">
        <f t="shared" si="393"/>
        <v>0.94446821821306282</v>
      </c>
      <c r="KG95" s="165">
        <f t="shared" si="394"/>
        <v>0.94420445771014838</v>
      </c>
      <c r="KH95" s="165">
        <f t="shared" si="395"/>
        <v>0.94267275832575381</v>
      </c>
      <c r="KI95" s="165">
        <f t="shared" si="396"/>
        <v>0.94143890370862437</v>
      </c>
      <c r="KJ95" s="165">
        <f t="shared" si="397"/>
        <v>0.93959938580057711</v>
      </c>
      <c r="KK95" s="165">
        <f t="shared" si="398"/>
        <v>0.93894779033830544</v>
      </c>
      <c r="KL95" s="165">
        <f t="shared" si="399"/>
        <v>0.93764192452804751</v>
      </c>
      <c r="KM95" s="165">
        <f t="shared" si="400"/>
        <v>0.93656911214541927</v>
      </c>
      <c r="KN95" s="165">
        <f t="shared" si="401"/>
        <v>0.93512043263865396</v>
      </c>
      <c r="KO95" s="188">
        <f t="shared" si="304"/>
        <v>0.58413158527423725</v>
      </c>
      <c r="KP95" s="165">
        <f t="shared" si="305"/>
        <v>0.58371576245744794</v>
      </c>
      <c r="KQ95" s="165">
        <f t="shared" si="306"/>
        <v>0.58111481754747951</v>
      </c>
      <c r="KR95" s="165">
        <f t="shared" si="307"/>
        <v>0.57901237310251286</v>
      </c>
      <c r="KS95" s="165">
        <f t="shared" si="308"/>
        <v>0.57590346945469328</v>
      </c>
      <c r="KT95" s="165">
        <f t="shared" si="309"/>
        <v>0.57479782931574186</v>
      </c>
      <c r="KU95" s="165">
        <f t="shared" si="310"/>
        <v>0.57260980608660073</v>
      </c>
      <c r="KV95" s="165">
        <f t="shared" si="311"/>
        <v>0.57079561048940219</v>
      </c>
      <c r="KW95" s="165">
        <f t="shared" si="312"/>
        <v>0.568473692079425</v>
      </c>
      <c r="KX95" s="188">
        <f>AVERAGE(Sheet3!J95:P95)*KO95^(1/3)/ID95^(1/3)</f>
        <v>161.18484975209691</v>
      </c>
      <c r="KY95" s="165">
        <f>Sheet3!J95*KP95^(1/3)/IE95^(1/3)</f>
        <v>174.75528131695469</v>
      </c>
      <c r="KZ95" s="165">
        <f>Sheet3!K95*KQ95^(1/3)/IF95^(1/3)</f>
        <v>156.86926188009548</v>
      </c>
      <c r="LA95" s="165">
        <f>Sheet3!L95*KR95^(1/3)/IG95^(1/3)</f>
        <v>148.64269337103454</v>
      </c>
      <c r="LB95" s="165">
        <f>Sheet3!M95*KS95^(1/3)/IH95^(1/3)</f>
        <v>145.49767704530947</v>
      </c>
      <c r="LC95" s="165">
        <f>Sheet3!N95*KT95^(1/3)/II95^(1/3)</f>
        <v>149.67935077021798</v>
      </c>
      <c r="LD95" s="165">
        <f>Sheet3!O95*KU95^(1/3)/IJ95^(1/3)</f>
        <v>162.33062772432788</v>
      </c>
      <c r="LE95" s="165">
        <f>Sheet3!P95*KV95^(1/3)/IK95^(1/3)</f>
        <v>183.50584988314205</v>
      </c>
      <c r="LF95" s="165">
        <f>Sheet3!Q95*KW95^(1/3)/IL95^(1/3)</f>
        <v>209.32404159169019</v>
      </c>
      <c r="LG95" s="186">
        <f t="shared" si="402"/>
        <v>27.301310866323035</v>
      </c>
      <c r="LH95" s="183">
        <f t="shared" si="403"/>
        <v>27.305106028128534</v>
      </c>
      <c r="LI95" s="183">
        <f t="shared" si="404"/>
        <v>27.446073011453162</v>
      </c>
      <c r="LJ95" s="183">
        <f t="shared" si="405"/>
        <v>27.448868225696309</v>
      </c>
      <c r="LK95" s="183">
        <f t="shared" si="406"/>
        <v>27.62102999584739</v>
      </c>
      <c r="LL95" s="183">
        <f t="shared" si="407"/>
        <v>27.623868046465038</v>
      </c>
      <c r="LM95" s="183">
        <f t="shared" si="408"/>
        <v>27.844872551675472</v>
      </c>
      <c r="LN95" s="183">
        <f t="shared" si="409"/>
        <v>27.848489267497818</v>
      </c>
      <c r="LO95" s="183">
        <f t="shared" si="410"/>
        <v>28.028192764678632</v>
      </c>
      <c r="LT95" s="165"/>
      <c r="MF95" s="165"/>
      <c r="MJ95"/>
      <c r="MK95"/>
      <c r="ML95"/>
      <c r="MM95"/>
      <c r="MN95"/>
      <c r="MO95"/>
      <c r="MP95"/>
      <c r="MQ95"/>
      <c r="MR95"/>
    </row>
    <row r="96" spans="1:356" x14ac:dyDescent="0.3">
      <c r="A96" s="184" t="str">
        <f>Sheet3!A96</f>
        <v>2023.02.27-1</v>
      </c>
      <c r="B96" s="186">
        <f t="shared" si="313"/>
        <v>0.96435824077621646</v>
      </c>
      <c r="C96" s="183">
        <f t="shared" si="257"/>
        <v>0.9647811506651397</v>
      </c>
      <c r="D96" s="183">
        <f t="shared" si="258"/>
        <v>0.94924637471304318</v>
      </c>
      <c r="E96" s="183">
        <f t="shared" si="259"/>
        <v>0.93726862780076214</v>
      </c>
      <c r="F96" s="183">
        <f t="shared" si="260"/>
        <v>0.92097479762248557</v>
      </c>
      <c r="G96" s="183">
        <f t="shared" si="261"/>
        <v>0.91408644818191043</v>
      </c>
      <c r="H96" s="183">
        <f t="shared" si="262"/>
        <v>0.90214306833742752</v>
      </c>
      <c r="I96" s="183">
        <f t="shared" si="263"/>
        <v>0.89191560503072254</v>
      </c>
      <c r="J96" s="183">
        <f t="shared" si="264"/>
        <v>0.87983518450615117</v>
      </c>
      <c r="K96" s="186">
        <f xml:space="preserve"> (6.057 * (10^(-6)))
+ (4.055 * (10^(-8)) * (Sheet3!DF96 + 273))
+ (1.25 * (10^(-10)) * (Sheet3!DF96 + 273)^2)
- (3.367 * (10^(-14)) * (DD96 + 273)^3)</f>
        <v>5.3312601644047456E-5</v>
      </c>
      <c r="L96" s="183">
        <f xml:space="preserve"> (6.057 * (10^(-6)))
+ (4.055 * (10^(-8)) * (Sheet3!BZ96 + 273))
+ (1.25 * (10^(-10)) * (Sheet3!BZ96 + 273)^2)
- (3.367 * (10^(-14)) * (BX96 + 273)^3)</f>
        <v>5.334285008479572E-5</v>
      </c>
      <c r="M96" s="183">
        <f xml:space="preserve"> (6.057 * (10^(-6)))
+ (4.055 * (10^(-8)) * (Sheet3!CA96 + 273))
+ (1.25 * (10^(-10)) * (Sheet3!CA96 + 273)^2)
- (3.367 * (10^(-14)) * (BY96 + 273)^3)</f>
        <v>5.0872067611063981E-5</v>
      </c>
      <c r="N96" s="183">
        <f xml:space="preserve"> (6.057 * (10^(-6)))
+ (4.055 * (10^(-8)) * (Sheet3!CB96 + 273))
+ (1.25 * (10^(-10)) * (Sheet3!CB96 + 273)^2)
- (3.367 * (10^(-14)) * (BZ96 + 273)^3)</f>
        <v>4.9152099963988326E-5</v>
      </c>
      <c r="O96" s="183">
        <f xml:space="preserve"> (6.057 * (10^(-6)))
+ (4.055 * (10^(-8)) * (Sheet3!CC96 + 273))
+ (1.25 * (10^(-10)) * (Sheet3!CC96 + 273)^2)
- (3.367 * (10^(-14)) * (CA96 + 273)^3)</f>
        <v>4.6865941442354229E-5</v>
      </c>
      <c r="P96" s="183">
        <f xml:space="preserve"> (6.057 * (10^(-6)))
+ (4.055 * (10^(-8)) * (Sheet3!CD96 + 273))
+ (1.25 * (10^(-10)) * (Sheet3!CD96 + 273)^2)
- (3.367 * (10^(-14)) * (CB96 + 273)^3)</f>
        <v>4.5987437763622314E-5</v>
      </c>
      <c r="Q96" s="183">
        <f xml:space="preserve"> (6.057 * (10^(-6)))
+ (4.055 * (10^(-8)) * (Sheet3!CE96 + 273))
+ (1.25 * (10^(-10)) * (Sheet3!CE96 + 273)^2)
- (3.367 * (10^(-14)) * (CC96 + 273)^3)</f>
        <v>4.4460519748198051E-5</v>
      </c>
      <c r="R96" s="183">
        <f xml:space="preserve"> (6.057 * (10^(-6)))
+ (4.055 * (10^(-8)) * (Sheet3!CF96 + 273))
+ (1.25 * (10^(-10)) * (Sheet3!CF96 + 273)^2)
- (3.367 * (10^(-14)) * (CD96 + 273)^3)</f>
        <v>4.3283926541053793E-5</v>
      </c>
      <c r="S96" s="183">
        <f xml:space="preserve"> (6.057 * (10^(-6)))
+ (4.055 * (10^(-8)) * (Sheet3!CG96 + 273))
+ (1.25 * (10^(-10)) * (Sheet3!CG96 + 273)^2)
- (3.367 * (10^(-14)) * (CE96 + 273)^3)</f>
        <v>4.1866302333992777E-5</v>
      </c>
      <c r="T96" s="188">
        <f t="shared" si="314"/>
        <v>5.3312601644047456E-5</v>
      </c>
      <c r="U96" s="165">
        <f t="shared" si="315"/>
        <v>5.334285008479572E-5</v>
      </c>
      <c r="V96" s="165">
        <f t="shared" si="316"/>
        <v>5.0872067611063981E-5</v>
      </c>
      <c r="W96" s="165">
        <f t="shared" si="317"/>
        <v>4.9152099963988326E-5</v>
      </c>
      <c r="X96" s="165">
        <f t="shared" si="318"/>
        <v>4.6865941442354229E-5</v>
      </c>
      <c r="Y96" s="165">
        <f t="shared" si="319"/>
        <v>4.5987437763622314E-5</v>
      </c>
      <c r="Z96" s="165">
        <f t="shared" si="320"/>
        <v>4.4460519748198051E-5</v>
      </c>
      <c r="AA96" s="165">
        <f t="shared" si="321"/>
        <v>4.3283926541053793E-5</v>
      </c>
      <c r="AB96" s="165">
        <f t="shared" si="322"/>
        <v>4.1866302333992777E-5</v>
      </c>
      <c r="AC96" s="186">
        <f t="shared" si="265"/>
        <v>5.141244673265683E-5</v>
      </c>
      <c r="AD96" s="183">
        <f t="shared" si="266"/>
        <v>5.146417628456726E-5</v>
      </c>
      <c r="AE96" s="183">
        <f t="shared" si="267"/>
        <v>4.8290125753959309E-5</v>
      </c>
      <c r="AF96" s="183">
        <f t="shared" si="268"/>
        <v>4.6068721286773229E-5</v>
      </c>
      <c r="AG96" s="183">
        <f t="shared" si="269"/>
        <v>4.3162350935259447E-5</v>
      </c>
      <c r="AH96" s="183">
        <f t="shared" si="270"/>
        <v>4.2036493646336179E-5</v>
      </c>
      <c r="AI96" s="183">
        <f t="shared" si="271"/>
        <v>4.0109749705516179E-5</v>
      </c>
      <c r="AJ96" s="183">
        <f t="shared" si="272"/>
        <v>3.8605609528969344E-5</v>
      </c>
      <c r="AK96" s="183">
        <f t="shared" si="273"/>
        <v>3.683544583861884E-5</v>
      </c>
      <c r="AL96" s="186">
        <f t="shared" si="323"/>
        <v>4.0274313862712074E-2</v>
      </c>
      <c r="AM96" s="183">
        <f t="shared" si="324"/>
        <v>4.0291666299835306E-2</v>
      </c>
      <c r="AN96" s="183">
        <f t="shared" si="325"/>
        <v>3.8932913955434072E-2</v>
      </c>
      <c r="AO96" s="183">
        <f t="shared" si="326"/>
        <v>3.7971973107399387E-2</v>
      </c>
      <c r="AP96" s="183">
        <f t="shared" si="327"/>
        <v>3.6655296308110194E-2</v>
      </c>
      <c r="AQ96" s="183">
        <f t="shared" si="328"/>
        <v>3.6143340697308152E-2</v>
      </c>
      <c r="AR96" s="183">
        <f t="shared" si="329"/>
        <v>3.5235731132657044E-2</v>
      </c>
      <c r="AS96" s="183">
        <f t="shared" si="330"/>
        <v>3.4528987447097786E-2</v>
      </c>
      <c r="AT96" s="183">
        <f t="shared" si="331"/>
        <v>3.3663557503785968E-2</v>
      </c>
      <c r="AU96" s="186">
        <f>_xlfn.FORECAST.LINEAR(Sheet3!DF96,Sheet2!$AH$2:$AH$40,Sheet2!$AG$2:$AG$40)</f>
        <v>5.615110757455756E-2</v>
      </c>
      <c r="AV96" s="183">
        <f>_xlfn.FORECAST.LINEAR(Sheet3!BZ96,Sheet2!$AH$2:$AH$40,Sheet2!$AG$2:$AG$40)</f>
        <v>5.6208228588367444E-2</v>
      </c>
      <c r="AW96" s="183">
        <f>_xlfn.FORECAST.LINEAR(Sheet3!CA96,Sheet2!$AH$2:$AH$40,Sheet2!$AG$2:$AG$40)</f>
        <v>5.2237767484259567E-2</v>
      </c>
      <c r="AX96" s="183">
        <f>_xlfn.FORECAST.LINEAR(Sheet3!CB96,Sheet2!$AH$2:$AH$40,Sheet2!$AG$2:$AG$40)</f>
        <v>4.9414139513301127E-2</v>
      </c>
      <c r="AY96" s="183">
        <f>_xlfn.FORECAST.LINEAR(Sheet3!CC96,Sheet2!$AH$2:$AH$40,Sheet2!$AG$2:$AG$40)</f>
        <v>4.5579973413068839E-2</v>
      </c>
      <c r="AZ96" s="183">
        <f>_xlfn.FORECAST.LINEAR(Sheet3!CD96,Sheet2!$AH$2:$AH$40,Sheet2!$AG$2:$AG$40)</f>
        <v>4.4080621876557632E-2</v>
      </c>
      <c r="BA96" s="183">
        <f>_xlfn.FORECAST.LINEAR(Sheet3!CE96,Sheet2!$AH$2:$AH$40,Sheet2!$AG$2:$AG$40)</f>
        <v>4.1438531769072695E-2</v>
      </c>
      <c r="BB96" s="183">
        <f>_xlfn.FORECAST.LINEAR(Sheet3!CF96,Sheet2!$AH$2:$AH$40,Sheet2!$AG$2:$AG$40)</f>
        <v>3.9369966185411012E-2</v>
      </c>
      <c r="BC96" s="183">
        <f>_xlfn.FORECAST.LINEAR(Sheet3!CG96,Sheet2!$AH$2:$AH$40,Sheet2!$AG$2:$AG$40)</f>
        <v>3.6849579151618586E-2</v>
      </c>
      <c r="BD96" s="186">
        <f>_xlfn.FORECAST.LINEAR(Sheet3!DF96,Sheet2!$AB$12:$AB$37,Sheet2!$AA$12:$AA$37)/1000</f>
        <v>3.7324862686859299E-2</v>
      </c>
      <c r="BE96" s="183">
        <f>_xlfn.FORECAST.LINEAR(Sheet3!BZ96,Sheet2!$AB$12:$AB$37,Sheet2!$AA$12:$AA$37)/1000</f>
        <v>3.7337633623393957E-2</v>
      </c>
      <c r="BF96" s="183">
        <f>_xlfn.FORECAST.LINEAR(Sheet3!CA96,Sheet2!$AB$12:$AB$37,Sheet2!$AA$12:$AA$37)/1000</f>
        <v>3.6449930422910733E-2</v>
      </c>
      <c r="BG96" s="183">
        <f>_xlfn.FORECAST.LINEAR(Sheet3!CB96,Sheet2!$AB$12:$AB$37,Sheet2!$AA$12:$AA$37)/1000</f>
        <v>3.5818632565792714E-2</v>
      </c>
      <c r="BH96" s="183">
        <f>_xlfn.FORECAST.LINEAR(Sheet3!CC96,Sheet2!$AB$12:$AB$37,Sheet2!$AA$12:$AA$37)/1000</f>
        <v>3.4961401773419734E-2</v>
      </c>
      <c r="BI96" s="183">
        <f>_xlfn.FORECAST.LINEAR(Sheet3!CD96,Sheet2!$AB$12:$AB$37,Sheet2!$AA$12:$AA$37)/1000</f>
        <v>3.4626181474640486E-2</v>
      </c>
      <c r="BJ96" s="183">
        <f>_xlfn.FORECAST.LINEAR(Sheet3!CE96,Sheet2!$AB$12:$AB$37,Sheet2!$AA$12:$AA$37)/1000</f>
        <v>3.4035471281823618E-2</v>
      </c>
      <c r="BK96" s="183">
        <f>_xlfn.FORECAST.LINEAR(Sheet3!CF96,Sheet2!$AB$12:$AB$37,Sheet2!$AA$12:$AA$37)/1000</f>
        <v>3.3572987897431281E-2</v>
      </c>
      <c r="BL96" s="183">
        <f>_xlfn.FORECAST.LINEAR(Sheet3!CG96,Sheet2!$AB$12:$AB$37,Sheet2!$AA$12:$AA$37)/1000</f>
        <v>3.3009487694888262E-2</v>
      </c>
      <c r="BM96" s="186">
        <f t="shared" si="332"/>
        <v>0.69659312093978454</v>
      </c>
      <c r="BN96" s="183">
        <f t="shared" si="333"/>
        <v>0.69629494706624806</v>
      </c>
      <c r="BO96" s="183">
        <f t="shared" si="334"/>
        <v>0.71996344394345246</v>
      </c>
      <c r="BP96" s="183">
        <f t="shared" si="335"/>
        <v>0.7376821253866066</v>
      </c>
      <c r="BQ96" s="183">
        <f t="shared" si="336"/>
        <v>0.76343044383696101</v>
      </c>
      <c r="BR96" s="183">
        <f t="shared" si="337"/>
        <v>0.77391154943536933</v>
      </c>
      <c r="BS96" s="183">
        <f t="shared" si="338"/>
        <v>0.79327289266122558</v>
      </c>
      <c r="BT96" s="183">
        <f t="shared" si="339"/>
        <v>0.8089496309579246</v>
      </c>
      <c r="BU96" s="183">
        <f t="shared" si="340"/>
        <v>0.82911646843417142</v>
      </c>
      <c r="BV96" s="186">
        <f t="shared" si="341"/>
        <v>1.1245549882787742</v>
      </c>
      <c r="BW96" s="183">
        <f t="shared" si="342"/>
        <v>1.1243899595423543</v>
      </c>
      <c r="BX96" s="183">
        <f t="shared" si="343"/>
        <v>1.1198197630560927</v>
      </c>
      <c r="BY96" s="183">
        <f t="shared" si="344"/>
        <v>1.1173461746263473</v>
      </c>
      <c r="BZ96" s="183">
        <f t="shared" si="345"/>
        <v>1.1124030435541887</v>
      </c>
      <c r="CA96" s="183">
        <f t="shared" si="346"/>
        <v>1.1109908450501444</v>
      </c>
      <c r="CB96" s="183">
        <f t="shared" si="347"/>
        <v>1.1074158153198013</v>
      </c>
      <c r="CC96" s="183">
        <f t="shared" si="348"/>
        <v>1.1056354320770903</v>
      </c>
      <c r="CD96" s="183">
        <f t="shared" si="349"/>
        <v>1.1022460149129405</v>
      </c>
      <c r="CE96" s="187">
        <f xml:space="preserve"> -0.0000000019505*Sheet3!DF96^3 + 0.0000015497*Sheet3!DF96^2  + 0.00016911*Sheet3!DF96 + 1.8585</f>
        <v>1.9414898911875</v>
      </c>
      <c r="CF96" s="185">
        <f xml:space="preserve"> -0.0000000019505*Sheet3!BZ96^3 + 0.0000015497*Sheet3!BZ96^2  + 0.00016911*Sheet3!BZ96 + 1.8585</f>
        <v>1.9416154534472558</v>
      </c>
      <c r="CG96" s="185">
        <f xml:space="preserve"> -0.0000000019505*Sheet3!CA96^3 + 0.0000015497*Sheet3!CA96^2  + 0.00016911*Sheet3!CA96 + 1.8585</f>
        <v>1.9329790162095346</v>
      </c>
      <c r="CH96" s="185">
        <f xml:space="preserve"> -0.0000000019505*Sheet3!CB96^3 + 0.0000015497*Sheet3!CB96^2  + 0.00016911*Sheet3!CB96 + 1.8585</f>
        <v>1.9269652828422392</v>
      </c>
      <c r="CI96" s="185">
        <f xml:space="preserve"> -0.0000000019505*Sheet3!CC96^3 + 0.0000015497*Sheet3!CC96^2  + 0.00016911*Sheet3!CC96 + 1.8585</f>
        <v>1.9190020681733591</v>
      </c>
      <c r="CJ96" s="185">
        <f xml:space="preserve"> -0.0000000019505*Sheet3!CD96^3 + 0.0000015497*Sheet3!CD96^2  + 0.00016911*Sheet3!CD96 + 1.8585</f>
        <v>1.9159593180049219</v>
      </c>
      <c r="CK96" s="185">
        <f xml:space="preserve"> -0.0000000019505*Sheet3!CE96^3 + 0.0000015497*Sheet3!CE96^2  + 0.00016911*Sheet3!CE96 + 1.8585</f>
        <v>1.9107054040834406</v>
      </c>
      <c r="CL96" s="185">
        <f xml:space="preserve"> -0.0000000019505*Sheet3!CF96^3 + 0.0000015497*Sheet3!CF96^2  + 0.00016911*Sheet3!CF96 + 1.8585</f>
        <v>1.9066952341768306</v>
      </c>
      <c r="CM96" s="185">
        <f xml:space="preserve"> -0.0000000019505*Sheet3!CG96^3 + 0.0000015497*Sheet3!CG96^2  + 0.00016911*Sheet3!CG96 + 1.8585</f>
        <v>1.9019416598962673</v>
      </c>
      <c r="CN96" s="186">
        <f>_xlfn.FORECAST.LINEAR(Sheet3!DF96,New!$LU$2:$LU$14,New!$LT$2:$LT$14)</f>
        <v>1.0350674194089138</v>
      </c>
      <c r="CO96" s="183">
        <f>_xlfn.FORECAST.LINEAR(Sheet3!BZ96,New!$LU$2:$LU$14,New!$LT$2:$LT$14)</f>
        <v>1.0351094612244645</v>
      </c>
      <c r="CP96" s="183">
        <f>_xlfn.FORECAST.LINEAR(Sheet3!CA96,New!$LU$2:$LU$14,New!$LT$2:$LT$14)</f>
        <v>1.0321871497622546</v>
      </c>
      <c r="CQ96" s="183">
        <f>_xlfn.FORECAST.LINEAR(Sheet3!CB96,New!$LU$2:$LU$14,New!$LT$2:$LT$14)</f>
        <v>1.0301089225316666</v>
      </c>
      <c r="CR96" s="183">
        <f>_xlfn.FORECAST.LINEAR(Sheet3!CC96,New!$LU$2:$LU$14,New!$LT$2:$LT$14)</f>
        <v>1.0272869259804014</v>
      </c>
      <c r="CS96" s="183">
        <f>_xlfn.FORECAST.LINEAR(Sheet3!CD96,New!$LU$2:$LU$14,New!$LT$2:$LT$14)</f>
        <v>1.0261833835791183</v>
      </c>
      <c r="CT96" s="183">
        <f>_xlfn.FORECAST.LINEAR(Sheet3!CE96,New!$LU$2:$LU$14,New!$LT$2:$LT$14)</f>
        <v>1.0242387705976925</v>
      </c>
      <c r="CU96" s="183">
        <f>_xlfn.FORECAST.LINEAR(Sheet3!CF96,New!$LU$2:$LU$14,New!$LT$2:$LT$14)</f>
        <v>1.0227162791900288</v>
      </c>
      <c r="CV96" s="183">
        <f>_xlfn.FORECAST.LINEAR(Sheet3!CG96,New!$LU$2:$LU$14,New!$LT$2:$LT$14)</f>
        <v>1.0208612412674973</v>
      </c>
      <c r="CW96" s="186">
        <f>EXP((17.625*Sheet3!BA96)/(243.04+Sheet3!BA96)) / EXP((17.625*Sheet3!DF96)/(243.04+Sheet3!DF96))</f>
        <v>7.1300965599372145E-3</v>
      </c>
      <c r="CX96" s="183">
        <f>EXP((17.625*(Sheet3!BC96+273))/(243.04+(Sheet3!BC96+273)))/EXP((17.625*(Sheet3!BZ96+273))/(243.04+(Sheet3!BZ96+273)))</f>
        <v>0.20212805219662536</v>
      </c>
      <c r="CY96" s="183">
        <f>EXP((17.625*(Sheet3!BE96+273))/(243.04+(Sheet3!BE96+273))) / EXP((17.625*(Sheet3!CA96+273))/(243.04+(Sheet3!CA96+273)))</f>
        <v>0.22961904784779347</v>
      </c>
      <c r="CZ96" s="183">
        <f>EXP((17.625*(Sheet3!BG96+273))/(243.04+(Sheet3!BG96+273))) / EXP((17.625*(Sheet3!CB96+273))/(243.04+(Sheet3!CB96+273)))</f>
        <v>0.2530220984545975</v>
      </c>
      <c r="DA96" s="183">
        <f>EXP((17.625*(Sheet3!BI96+273))/(243.04+(Sheet3!BI96+273))) / EXP((17.625*(Sheet3!CC96+273))/(243.04+(Sheet3!CC96+273)))</f>
        <v>0.28838123359994933</v>
      </c>
      <c r="DB96" s="183">
        <f>EXP((17.625*(Sheet3!BK96+273))/(243.04+(Sheet3!BK96+273)))/EXP((17.625*(Sheet3!CD96+273))/(243.04+(Sheet3!CD96+273)))</f>
        <v>0.30460806369419391</v>
      </c>
      <c r="DC96" s="183">
        <f>EXP((17.625*(Sheet3!BM96+273))/(243.04+(Sheet3!BM96+273))) / EXP((17.625*(Sheet3!CE96+273))/(243.04+(Sheet3!CE96+273)))</f>
        <v>0.33480484896869972</v>
      </c>
      <c r="DD96" s="183">
        <f>EXP((17.625*(Sheet3!BO96+273))/(243.04+(Sheet3!BO96+273))) / EXP((17.625*(Sheet3!CF96+273))/(243.04+(Sheet3!CF96+273)))</f>
        <v>0.36275266402377532</v>
      </c>
      <c r="DE96" s="183">
        <f>EXP((17.625*(Sheet3!BQ96+273))/(243.04+(Sheet3!BQ96+273))) / EXP((17.625*(Sheet3!CG96+273))/(243.04+(Sheet3!CG96+273)))</f>
        <v>0.39906548317840868</v>
      </c>
      <c r="DF96" s="186">
        <f>((Sheet3!DA96-Sheet3!DB96)/New!$LQ$3)/(((Sheet3!DA96-Sheet3!DB96)/New!$LQ$3)+(Sheet3!DB96/New!$LP$3))</f>
        <v>0.85027364053232113</v>
      </c>
      <c r="DG96" s="183">
        <f>((Sheet3!DA96-Sheet3!DB96)/New!$LQ$3)/(((Sheet3!DA96-Sheet3!DB96)/New!$LQ$3)+((Sheet3!DB96-(Sheet3!B96*0.004))/New!$LP$3))</f>
        <v>0.85195249136937401</v>
      </c>
      <c r="DH96" s="183" cm="1">
        <f t="array" ref="DH96">((Sheet3!DA96-Sheet3!DB96)/New!$LQ$3)/(((Sheet3!DA96-Sheet3!DB96)/New!$LQ$3)+((Sheet3!DB96-(SUM(Sheet3!B96:C96*0.004)))/New!$LP$3))</f>
        <v>0.86058178272039554</v>
      </c>
      <c r="DI96" s="183" cm="1">
        <f t="array" ref="DI96">((Sheet3!DA96-Sheet3!DB96)/New!$LQ$3)/(((Sheet3!DA96-Sheet3!DB96)/New!$LQ$3)+((Sheet3!DB96-(SUM(Sheet3!B96:D96*0.004)))/New!$LP$3))</f>
        <v>0.86068276015887912</v>
      </c>
      <c r="DJ96" s="183" cm="1">
        <f t="array" ref="DJ96">((Sheet3!DA96-Sheet3!DB96)/New!$LQ$3)/(((Sheet3!DA96-Sheet3!DB96)/New!$LQ$3)+((Sheet3!DB96-(SUM(Sheet3!B96:E96*0.004)))/New!$LP$3))</f>
        <v>0.87408416309331782</v>
      </c>
      <c r="DK96" s="183" cm="1">
        <f t="array" ref="DK96">((Sheet3!DA96-Sheet3!DB96)/New!$LQ$3)/(((Sheet3!DA96-Sheet3!DB96)/New!$LQ$3)+((Sheet3!DB96-(SUM(Sheet3!B96:F96*0.004)))/New!$LP$3))</f>
        <v>0.8751269928823564</v>
      </c>
      <c r="DL96" s="183" cm="1">
        <f t="array" ref="DL96">((Sheet3!DA96-Sheet3!DB96)/New!$LQ$3)/(((Sheet3!DA96-Sheet3!DB96)/New!$LQ$3)+((Sheet3!DB96-(SUM(Sheet3!B96:G96*0.004)))/New!$LP$3))</f>
        <v>0.88644304110728822</v>
      </c>
      <c r="DM96" s="183" cm="1">
        <f t="array" ref="DM96">((Sheet3!DA96-Sheet3!DB96)/New!$LQ$3)/(((Sheet3!DA96-Sheet3!DB96)/New!$LQ$3)+((Sheet3!DB96-(SUM(Sheet3!B96:H96*0.004)))/New!$LP$3))</f>
        <v>0.88665734286983422</v>
      </c>
      <c r="DN96" s="183" cm="1">
        <f t="array" ref="DN96">((Sheet3!DA96-Sheet3!DB96)/New!$LQ$3)/(((Sheet3!DA96-Sheet3!DB96)/New!$LQ$3)+((Sheet3!DB96-(SUM(Sheet3!B96:I96*0.004)))/New!$LP$3))</f>
        <v>0.89790899689687842</v>
      </c>
      <c r="DO96" s="186">
        <f>(Sheet3!DB96/$LP$3) / ((Sheet3!DB96/$LP$3) + ((Sheet3!DA96-Sheet3!DB96)/$LQ$3))</f>
        <v>0.1497263594676789</v>
      </c>
      <c r="DP96" s="183">
        <f>((Sheet3!$DB96-(Sheet3!B96/4000)) / $LP$3) / (((Sheet3!$DA96-Sheet3!DB96) / $LQ$3) + (Sheet3!$DB96-((Sheet3!B96/4000)))/$LP$3)</f>
        <v>0.14962162516171174</v>
      </c>
      <c r="DQ96" s="183">
        <f>((Sheet3!$DB96-(SUM(Sheet3!B96:C96)/4000))/$LP$3)/(((Sheet3!$DA96-Sheet3!$DB96)/$LQ$3)+(Sheet3!$DB96-(SUM(Sheet3!B96:C96)/4000))/$LP$3)</f>
        <v>0.14908934069142632</v>
      </c>
      <c r="DR96" s="183">
        <f>((Sheet3!$DB96-(SUM(Sheet3!B96:D96)/4000))/$LP$3)/(((Sheet3!$DA96-Sheet3!$DB96)/$LQ$3)+(Sheet3!$DB96-(SUM(Sheet3!B96:D96)/4000))/$LP$3)</f>
        <v>0.14908317133031579</v>
      </c>
      <c r="DS96" s="183">
        <f>((Sheet3!$DB96-(SUM(Sheet3!B96:E96)/4000))/$LP$3)/(((Sheet3!$DA96-Sheet3!$DB96)/$LQ$3)+(Sheet3!$DB96-(SUM(Sheet3!B96:E96)/4000))/$LP$3)</f>
        <v>0.14827627119838988</v>
      </c>
      <c r="DT96" s="183">
        <f>((Sheet3!$DB96-(SUM(Sheet3!B96:F96)/4000))/$LP$3)/(((Sheet3!$DA96-Sheet3!$DB96)/$LQ$3)+(Sheet3!$DB96-(SUM(Sheet3!B96:F96)/4000))/$LP$3)</f>
        <v>0.14821445559301324</v>
      </c>
      <c r="DU96" s="183">
        <f>((Sheet3!$DB96-(SUM(Sheet3!B96:G96)/4000))/$LP$3)/(((Sheet3!$DA96-Sheet3!$DB96)/$LQ$3)+(Sheet3!$DB96-(SUM(Sheet3!B96:G96)/4000))/$LP$3)</f>
        <v>0.14755246652719126</v>
      </c>
      <c r="DV96" s="183">
        <f>((Sheet3!$DB96-(SUM(Sheet3!B96:H96)/4000))/$LP$3)/(((Sheet3!$DA96-Sheet3!$DB96)/$LQ$3)+(Sheet3!$DB96-(SUM(Sheet3!B96:H96)/4000))/$LP$3)</f>
        <v>0.14754008310339034</v>
      </c>
      <c r="DW96" s="183">
        <f>((Sheet3!$DB96-(SUM(Sheet3!B96:I96)/4000))/$LP$3)/(((Sheet3!$DA96-Sheet3!$DB96)/$LQ$3)+(Sheet3!$DB96-(SUM(Sheet3!B96:I96)/4000))/$LP$3)</f>
        <v>0.14689771595701639</v>
      </c>
      <c r="DX96" s="186">
        <f>($LR$2*($LP$3/1000))/($LP$2*(Sheet3!DF96+273))*DO96</f>
        <v>6.8771932322080634E-2</v>
      </c>
      <c r="DY96" s="183">
        <f>(($LR$2*($LP$3/1000))/($LP$2*(Sheet3!BZ96+273)))*(DP96)</f>
        <v>6.8691526980386941E-2</v>
      </c>
      <c r="DZ96" s="183">
        <f>(($LR$2*($LP$3/1000))/($LP$2*(Sheet3!CA96+273)))*(DQ96)</f>
        <v>7.0758726213372175E-2</v>
      </c>
      <c r="EA96" s="183">
        <f>(($LR$2*($LP$3/1000))/($LP$2*(Sheet3!CB96+273)))*(DR96)</f>
        <v>7.2496956713654415E-2</v>
      </c>
      <c r="EB96" s="183">
        <f>(($LR$2*($LP$3/1000))/($LP$2*(Sheet3!CC96+273)))*(DS96)</f>
        <v>7.45972294613962E-2</v>
      </c>
      <c r="EC96" s="183">
        <f>(($LR$2*($LP$3/1000))/($LP$2*(Sheet3!CD96+273)))*(DT96)</f>
        <v>7.5587974900812108E-2</v>
      </c>
      <c r="ED96" s="183">
        <f>(($LR$2*($LP$3/1000))/($LP$2*(Sheet3!CE96+273)))*(DU96)</f>
        <v>7.7112506332855463E-2</v>
      </c>
      <c r="EE96" s="183">
        <f>(($LR$2*($LP$3/1000))/($LP$2*(Sheet3!CF96+273)))*(DV96)</f>
        <v>7.8629422066159679E-2</v>
      </c>
      <c r="EF96" s="183">
        <f>(($LR$2*($LP$3/1000))/($LP$2*(Sheet3!CG96+273)))*(DW96)</f>
        <v>8.0218126783171653E-2</v>
      </c>
      <c r="EG96" s="186">
        <f>(($LR$2*($LQ$3/1000))/($LQ$2*(Sheet3!DF96+273)))*(1-DO96)</f>
        <v>0.62782118861770386</v>
      </c>
      <c r="EH96" s="183">
        <f>(($LR$2*($LQ$3/1000))/($LQ$2*(Sheet3!BZ96+273)))*(1-DP96)</f>
        <v>0.62760342008586112</v>
      </c>
      <c r="EI96" s="183">
        <f>(($LR$2*($LQ$3/1000))/($LQ$2*(Sheet3!CA96+273)))*(1-DQ96)</f>
        <v>0.64920471773008026</v>
      </c>
      <c r="EJ96" s="183">
        <f>(($LR$2*($LQ$3/1000))/($LQ$2*(Sheet3!CB96+273)))*(1-DR96)</f>
        <v>0.66518516867295219</v>
      </c>
      <c r="EK96" s="183">
        <f>(($LR$2*($LQ$3/1000))/($LQ$2*(Sheet3!CC96+273)))*(1-DS96)</f>
        <v>0.68883321437556477</v>
      </c>
      <c r="EL96" s="183">
        <f>(($LR$2*($LQ$3/1000))/($LQ$2*(Sheet3!CD96+273)))*(1-DT96)</f>
        <v>0.69832357453455718</v>
      </c>
      <c r="EM96" s="183">
        <f>(($LR$2*($LQ$3/1000))/($LQ$2*(Sheet3!CE96+273)))*(1-DU96)</f>
        <v>0.71616038632837009</v>
      </c>
      <c r="EN96" s="183">
        <f>(($LR$2*($LQ$3/1000))/($LQ$2*(Sheet3!CF96+273)))*(1-DV96)</f>
        <v>0.73032020889176497</v>
      </c>
      <c r="EO96" s="183">
        <f>(($LR$2*($LQ$3/1000))/($LQ$2*(Sheet3!CG96+273)))*(1-DW96)</f>
        <v>0.74889834165099978</v>
      </c>
      <c r="EP96" s="186">
        <f t="shared" si="350"/>
        <v>2922.6553365993273</v>
      </c>
      <c r="EQ96" s="183">
        <f xml:space="preserve"> (($FV96-(Sheet3!B96/4000))*0.018)/(0.011*JO96*3600)</f>
        <v>2921.200504802624</v>
      </c>
      <c r="ER96" s="183">
        <f>((($FV96-(SUM(Sheet3!B96:C96)/4000))*0.018)/(0.011*JP96*3600))</f>
        <v>2997.6101397394586</v>
      </c>
      <c r="ES96" s="183">
        <f>((($FV96-(SUM(Sheet3!B96:D96)/4000))*0.018)/(0.011*JQ96*3600))</f>
        <v>3055.8473624234034</v>
      </c>
      <c r="ET96" s="183">
        <f>((($FV96-(SUM(Sheet3!B96:E96)/4000))*0.018)/(0.011*JR96))/3600</f>
        <v>3135.706483353471</v>
      </c>
      <c r="EU96" s="183">
        <f>((($FV96-(SUM(Sheet3!B96:F96)/4000))*0.018)/(0.011*JS96))/3600</f>
        <v>3169.0896673048373</v>
      </c>
      <c r="EV96" s="183">
        <f>((($FV96-(SUM(Sheet3!B96:G96)/4000))*0.018)/(0.011*JT96))/3600</f>
        <v>3227.5654314115573</v>
      </c>
      <c r="EW96" s="183">
        <f>((($FV96-(SUM(Sheet3!B96:H96)/4000))*0.018)/(0.011*JU96))/3600</f>
        <v>3276.9459950626606</v>
      </c>
      <c r="EX96" s="183">
        <f>((($FV96-(SUM(Sheet3!B96:I96)/4000))*0.018)/(0.011*JV96))/3600</f>
        <v>3336.6833694909842</v>
      </c>
      <c r="EY96" s="186">
        <f t="shared" si="351"/>
        <v>35.885445593496684</v>
      </c>
      <c r="EZ96" s="183">
        <f t="shared" si="352"/>
        <v>35.872113792262127</v>
      </c>
      <c r="FA96" s="183">
        <f t="shared" si="353"/>
        <v>36.5129402458317</v>
      </c>
      <c r="FB96" s="183">
        <f t="shared" si="354"/>
        <v>37.005299841862438</v>
      </c>
      <c r="FC96" s="183">
        <f t="shared" si="355"/>
        <v>37.67173086722778</v>
      </c>
      <c r="FD96" s="183">
        <f t="shared" si="356"/>
        <v>37.953365471981996</v>
      </c>
      <c r="FE96" s="183">
        <f t="shared" si="357"/>
        <v>38.440275674479871</v>
      </c>
      <c r="FF96" s="183">
        <f t="shared" si="358"/>
        <v>38.858110648851991</v>
      </c>
      <c r="FG96" s="183">
        <f t="shared" si="359"/>
        <v>39.35600423937337</v>
      </c>
      <c r="FH96" s="186">
        <f t="shared" si="274"/>
        <v>80.292316607542418</v>
      </c>
      <c r="FI96" s="183">
        <f t="shared" si="275"/>
        <v>80.297068799308079</v>
      </c>
      <c r="FJ96" s="183">
        <f t="shared" si="276"/>
        <v>78.975286713937308</v>
      </c>
      <c r="FK96" s="183">
        <f t="shared" si="277"/>
        <v>78.064680579247295</v>
      </c>
      <c r="FL96" s="183">
        <f t="shared" si="278"/>
        <v>76.714914298756412</v>
      </c>
      <c r="FM96" s="183">
        <f t="shared" si="279"/>
        <v>76.208967714627619</v>
      </c>
      <c r="FN96" s="183">
        <f t="shared" si="280"/>
        <v>75.24840101839942</v>
      </c>
      <c r="FO96" s="183">
        <f t="shared" si="281"/>
        <v>74.54062304511929</v>
      </c>
      <c r="FP96" s="183">
        <f t="shared" si="282"/>
        <v>73.603506212854995</v>
      </c>
      <c r="FQ96" s="314">
        <f>Sheet3!CV96</f>
        <v>3</v>
      </c>
      <c r="FR96" s="183">
        <v>3000</v>
      </c>
      <c r="FS96" s="183">
        <v>10</v>
      </c>
      <c r="FT96" s="183">
        <v>9.1027624309392277E-2</v>
      </c>
      <c r="FU96" s="183">
        <v>35.24</v>
      </c>
      <c r="FV96" s="183">
        <v>157</v>
      </c>
      <c r="FW96" s="183">
        <v>15.5</v>
      </c>
      <c r="FX96" s="183">
        <v>471</v>
      </c>
      <c r="FY96" s="183">
        <v>6.4</v>
      </c>
      <c r="FZ96" s="183">
        <v>14.29</v>
      </c>
      <c r="GA96" s="183">
        <v>205</v>
      </c>
      <c r="GB96" s="186">
        <f>EXP($LP$6-($LQ$6/('Trial and Error method'!T96+$LP$8))) / ($LR$2/1000)</f>
        <v>0.1353610307985168</v>
      </c>
      <c r="GC96" s="183">
        <f>EXP($LP$6-($LQ$6/('Trial and Error method'!U96+$LP$8))) / ($LR$2/1000)</f>
        <v>5.8239182384596737E-2</v>
      </c>
      <c r="GD96" s="183">
        <f>EXP($LP$6-($LQ$6/('Trial and Error method'!V96+$LP$8))) / ($LR$2/1000)</f>
        <v>5.2751425492024821E-2</v>
      </c>
      <c r="GE96" s="183">
        <f>EXP($LP$6-($LQ$6/('Trial and Error method'!W96+$LP$8))) / ($LR$2/1000)</f>
        <v>4.8781849089982163E-2</v>
      </c>
      <c r="GF96" s="183">
        <f>EXP($LP$6-($LQ$6/('Trial and Error method'!X96+$LP$8))) / ($LR$2/1000)</f>
        <v>4.4491672308239631E-2</v>
      </c>
      <c r="GG96" s="183">
        <f>EXP($LP$6-($LQ$6/('Trial and Error method'!Y96+$LP$8))) / ($LR$2/1000)</f>
        <v>4.197332113127545E-2</v>
      </c>
      <c r="GH96" s="183">
        <f>EXP($LP$6-($LQ$6/('Trial and Error method'!Z96+$LP$8))) / ($LR$2/1000)</f>
        <v>3.9020185689879403E-2</v>
      </c>
      <c r="GI96" s="183">
        <f>EXP($LP$6-($LQ$6/('Trial and Error method'!AA96+$LP$8))) / ($LR$2/1000)</f>
        <v>3.5055079122663653E-2</v>
      </c>
      <c r="GJ96" s="183">
        <f>EXP($LP$6-($LQ$6/('Trial and Error method'!AB96+$LP$8))) / ($LR$2/1000)</f>
        <v>9.2501847603656956E-2</v>
      </c>
      <c r="GK96" s="188">
        <f t="shared" si="411"/>
        <v>0.85743624878861457</v>
      </c>
      <c r="GL96" s="165">
        <f t="shared" si="360"/>
        <v>0.89529244781933359</v>
      </c>
      <c r="GM96" s="165">
        <f t="shared" si="361"/>
        <v>0.89821872646671996</v>
      </c>
      <c r="GN96" s="165">
        <f t="shared" si="362"/>
        <v>0.90013630915817822</v>
      </c>
      <c r="GO96" s="165">
        <f t="shared" si="363"/>
        <v>0.90262180690880378</v>
      </c>
      <c r="GP96" s="165">
        <f t="shared" si="364"/>
        <v>0.90386571183749509</v>
      </c>
      <c r="GQ96" s="165">
        <f t="shared" si="365"/>
        <v>0.90563004179424789</v>
      </c>
      <c r="GR96" s="165">
        <f t="shared" si="366"/>
        <v>0.90754088833025803</v>
      </c>
      <c r="GS96" s="165">
        <f t="shared" si="367"/>
        <v>0.88002004258466227</v>
      </c>
      <c r="GT96" s="188">
        <f t="shared" si="283"/>
        <v>5.3068265996340125E-2</v>
      </c>
      <c r="GU96" s="165">
        <f t="shared" si="284"/>
        <v>5.0819959468946671E-2</v>
      </c>
      <c r="GV96" s="165">
        <f t="shared" si="285"/>
        <v>5.056818766348696E-2</v>
      </c>
      <c r="GW96" s="165">
        <f t="shared" si="286"/>
        <v>5.041404546739503E-2</v>
      </c>
      <c r="GX96" s="165">
        <f t="shared" si="287"/>
        <v>5.0209091028376771E-2</v>
      </c>
      <c r="GY96" s="165">
        <f t="shared" si="288"/>
        <v>5.0122864452966188E-2</v>
      </c>
      <c r="GZ96" s="165">
        <f t="shared" si="289"/>
        <v>4.9990540416472565E-2</v>
      </c>
      <c r="HA96" s="165">
        <f t="shared" si="290"/>
        <v>4.9873295961960516E-2</v>
      </c>
      <c r="HB96" s="165">
        <f t="shared" si="291"/>
        <v>5.1407785296346119E-2</v>
      </c>
      <c r="HC96" s="188">
        <f>BV96*Sheet3!DF96</f>
        <v>230.5337725971487</v>
      </c>
      <c r="HD96" s="165">
        <f>BW96*Sheet3!BZ96</f>
        <v>230.75265691112395</v>
      </c>
      <c r="HE96" s="165">
        <f>BX96*Sheet3!CA96</f>
        <v>212.31999589792159</v>
      </c>
      <c r="HF96" s="165">
        <f>BY96*Sheet3!CB96</f>
        <v>199.43694192445795</v>
      </c>
      <c r="HG96" s="165">
        <f>BZ96*Sheet3!CC96</f>
        <v>181.77232982985589</v>
      </c>
      <c r="HH96" s="165">
        <f>CA96*Sheet3!CD96</f>
        <v>174.9871767233746</v>
      </c>
      <c r="HI96" s="165">
        <f>CB96*Sheet3!CE96</f>
        <v>162.91139871991214</v>
      </c>
      <c r="HJ96" s="165">
        <f>CC96*Sheet3!CF96</f>
        <v>153.65037349242274</v>
      </c>
      <c r="HK96" s="165">
        <f>CD96*Sheet3!CG96</f>
        <v>142.2482351125214</v>
      </c>
      <c r="HL96" s="188">
        <f>(CE96*Sheet3!DF96)+2501</f>
        <v>2899.0054276934375</v>
      </c>
      <c r="HM96" s="165">
        <f>(CF96*Sheet3!BZ96)+2501</f>
        <v>2899.4675608140506</v>
      </c>
      <c r="HN96" s="165">
        <f>(CG96*Sheet3!CA96)+2501</f>
        <v>2867.4965651903922</v>
      </c>
      <c r="HO96" s="165">
        <f>(CH96*Sheet3!CB96)+2501</f>
        <v>2844.947177635589</v>
      </c>
      <c r="HP96" s="165">
        <f>(CI96*Sheet3!CC96)+2501</f>
        <v>2814.5747235693275</v>
      </c>
      <c r="HQ96" s="165">
        <f>(CJ96*Sheet3!CD96)+2501</f>
        <v>2802.7741444659623</v>
      </c>
      <c r="HR96" s="165">
        <f>(CK96*Sheet3!CE96)+2501</f>
        <v>2782.0829370637421</v>
      </c>
      <c r="HS96" s="165">
        <f>(CL96*Sheet3!CF96)+2501</f>
        <v>2765.9738117718584</v>
      </c>
      <c r="HT96" s="165">
        <f>(CM96*Sheet3!CG96)+2501</f>
        <v>2746.4514153345272</v>
      </c>
      <c r="HU96" s="188">
        <f>-0.0021*(Sheet3!DF96^2) - 2.2115*(Sheet3!DF96) + 2499</f>
        <v>1957.3899999999999</v>
      </c>
      <c r="HV96" s="165">
        <f>-0.0021*(Sheet3!BZ96^2) - 2.2115*(Sheet3!BZ96) + 2499</f>
        <v>1956.6993261462437</v>
      </c>
      <c r="HW96" s="165">
        <f>-0.0021*(Sheet3!CA96^2) - 2.2115*(Sheet3!CA96) + 2499</f>
        <v>2004.2026385656868</v>
      </c>
      <c r="HX96" s="165">
        <f>-0.0021*(Sheet3!CB96^2) - 2.2115*(Sheet3!CB96) + 2499</f>
        <v>2037.3613049525256</v>
      </c>
      <c r="HY96" s="165">
        <f>-0.0021*(Sheet3!CC96^2) - 2.2115*(Sheet3!CC96) + 2499</f>
        <v>2081.5570472013792</v>
      </c>
      <c r="HZ96" s="165">
        <f>-0.0021*(Sheet3!CD96^2) - 2.2115*(Sheet3!CD96) + 2499</f>
        <v>2098.57980228731</v>
      </c>
      <c r="IA96" s="165">
        <f>-0.0021*(Sheet3!CE96^2) - 2.2115*(Sheet3!CE96) + 2499</f>
        <v>2128.2207800301135</v>
      </c>
      <c r="IB96" s="165">
        <f>-0.0021*(Sheet3!CF96^2) - 2.2115*(Sheet3!CF96) + 2499</f>
        <v>2151.1107072532318</v>
      </c>
      <c r="IC96" s="165">
        <f>-0.0021*(Sheet3!CG96^2) - 2.2115*(Sheet3!CG96) + 2499</f>
        <v>2178.6242689783367</v>
      </c>
      <c r="ID96" s="188">
        <f t="shared" si="292"/>
        <v>0.68179202173684517</v>
      </c>
      <c r="IE96" s="165">
        <f t="shared" si="293"/>
        <v>0.68168237346595817</v>
      </c>
      <c r="IF96" s="165">
        <f t="shared" si="294"/>
        <v>0.68441356147055665</v>
      </c>
      <c r="IG96" s="165">
        <f t="shared" si="295"/>
        <v>0.68683653099781083</v>
      </c>
      <c r="IH96" s="165">
        <f t="shared" si="296"/>
        <v>0.68988894179481075</v>
      </c>
      <c r="II96" s="165">
        <f t="shared" si="297"/>
        <v>0.69137877795175062</v>
      </c>
      <c r="IJ96" s="165">
        <f t="shared" si="298"/>
        <v>0.69374274917570145</v>
      </c>
      <c r="IK96" s="165">
        <f t="shared" si="299"/>
        <v>0.69614665845934676</v>
      </c>
      <c r="IL96" s="165">
        <f t="shared" si="300"/>
        <v>0.69876309967511496</v>
      </c>
      <c r="IM96" s="188">
        <f t="shared" si="301"/>
        <v>1.4922027271158185</v>
      </c>
      <c r="IN96" s="165">
        <f t="shared" si="368"/>
        <v>9.0870134935507316</v>
      </c>
      <c r="IO96" s="165">
        <f t="shared" si="369"/>
        <v>9.7637412658052032</v>
      </c>
      <c r="IP96" s="165">
        <f t="shared" si="370"/>
        <v>10.302111843231124</v>
      </c>
      <c r="IQ96" s="165">
        <f t="shared" si="371"/>
        <v>10.846848840433669</v>
      </c>
      <c r="IR96" s="165">
        <f t="shared" si="372"/>
        <v>11.175168253089387</v>
      </c>
      <c r="IS96" s="165">
        <f t="shared" si="373"/>
        <v>11.54684778829875</v>
      </c>
      <c r="IT96" s="165">
        <f t="shared" si="374"/>
        <v>12.067726539200526</v>
      </c>
      <c r="IU96" s="165">
        <f t="shared" si="375"/>
        <v>6.0922419899731466</v>
      </c>
      <c r="IV96" s="188">
        <f>_xlfn.FORECAST.LINEAR(Sheet3!DF96,Sheet2!$AK$2:$AK$69,Sheet2!$AJ$2:$AJ$69)</f>
        <v>1.5962912137298422E-5</v>
      </c>
      <c r="IW96" s="165">
        <f>_xlfn.FORECAST.LINEAR(Sheet3!BZ96,Sheet2!$AK$2:$AK$69,Sheet2!$AJ$2:$AJ$69)</f>
        <v>1.5970781420944855E-5</v>
      </c>
      <c r="IX96" s="165">
        <f>_xlfn.FORECAST.LINEAR(Sheet3!CA96,Sheet2!$AK$2:$AK$69,Sheet2!$AJ$2:$AJ$69)</f>
        <v>1.5423790347933503E-5</v>
      </c>
      <c r="IY96" s="165">
        <f>_xlfn.FORECAST.LINEAR(Sheet3!CB96,Sheet2!$AK$2:$AK$69,Sheet2!$AJ$2:$AJ$69)</f>
        <v>1.5034792885643423E-5</v>
      </c>
      <c r="IZ96" s="165">
        <f>_xlfn.FORECAST.LINEAR(Sheet3!CC96,Sheet2!$AK$2:$AK$69,Sheet2!$AJ$2:$AJ$69)</f>
        <v>1.4506578510970422E-5</v>
      </c>
      <c r="JA96" s="165">
        <f>_xlfn.FORECAST.LINEAR(Sheet3!CD96,Sheet2!$AK$2:$AK$69,Sheet2!$AJ$2:$AJ$69)</f>
        <v>1.4300020158105821E-5</v>
      </c>
      <c r="JB96" s="165">
        <f>_xlfn.FORECAST.LINEAR(Sheet3!CE96,Sheet2!$AK$2:$AK$69,Sheet2!$AJ$2:$AJ$69)</f>
        <v>1.3936032282392681E-5</v>
      </c>
      <c r="JC96" s="165">
        <f>_xlfn.FORECAST.LINEAR(Sheet3!CF96,Sheet2!$AK$2:$AK$69,Sheet2!$AJ$2:$AJ$69)</f>
        <v>1.3651056084784093E-5</v>
      </c>
      <c r="JD96" s="165">
        <f>_xlfn.FORECAST.LINEAR(Sheet3!CG96,Sheet2!$AK$2:$AK$69,Sheet2!$AJ$2:$AJ$69)</f>
        <v>1.3303834648313735E-5</v>
      </c>
      <c r="JE96" s="188">
        <f>_xlfn.FORECAST.LINEAR(Sheet3!DF96,New!$MC$2:$MC$18,New!$MB$2:$MB$18)</f>
        <v>2.5847452754227255E-5</v>
      </c>
      <c r="JF96" s="165">
        <f>_xlfn.FORECAST.LINEAR(Sheet3!BZ96,New!$MC$2:$MC$18,New!$MB$2:$MB$18)</f>
        <v>2.5856703287092365E-5</v>
      </c>
      <c r="JG96" s="165">
        <f>_xlfn.FORECAST.LINEAR(Sheet3!CA96,New!$MC$2:$MC$18,New!$MB$2:$MB$18)</f>
        <v>2.5213702078195162E-5</v>
      </c>
      <c r="JH96" s="165">
        <f>_xlfn.FORECAST.LINEAR(Sheet3!CB96,New!$MC$2:$MC$18,New!$MB$2:$MB$18)</f>
        <v>2.4756426172148933E-5</v>
      </c>
      <c r="JI96" s="165">
        <f>_xlfn.FORECAST.LINEAR(Sheet3!CC96,New!$MC$2:$MC$18,New!$MB$2:$MB$18)</f>
        <v>2.4135497425356444E-5</v>
      </c>
      <c r="JJ96" s="165">
        <f>_xlfn.FORECAST.LINEAR(Sheet3!CD96,New!$MC$2:$MC$18,New!$MB$2:$MB$18)</f>
        <v>2.3892683095922228E-5</v>
      </c>
      <c r="JK96" s="165">
        <f>_xlfn.FORECAST.LINEAR(Sheet3!CE96,New!$MC$2:$MC$18,New!$MB$2:$MB$18)</f>
        <v>2.3464806562546672E-5</v>
      </c>
      <c r="JL96" s="165">
        <f>_xlfn.FORECAST.LINEAR(Sheet3!CF96,New!$MC$2:$MC$18,New!$MB$2:$MB$18)</f>
        <v>2.3129810163866053E-5</v>
      </c>
      <c r="JM96" s="165">
        <f>_xlfn.FORECAST.LINEAR(Sheet3!CG96,New!$MC$2:$MC$18,New!$MB$2:$MB$18)</f>
        <v>2.2721642984507293E-5</v>
      </c>
      <c r="JN96" s="188">
        <f t="shared" si="376"/>
        <v>2.4417397244887569E-5</v>
      </c>
      <c r="JO96" s="165">
        <f t="shared" si="377"/>
        <v>2.4427573797750086E-5</v>
      </c>
      <c r="JP96" s="165">
        <f t="shared" si="378"/>
        <v>2.3795092011901419E-5</v>
      </c>
      <c r="JQ96" s="165">
        <f t="shared" si="379"/>
        <v>2.3341502281466147E-5</v>
      </c>
      <c r="JR96" s="165">
        <f t="shared" si="380"/>
        <v>2.273284285557199E-5</v>
      </c>
      <c r="JS96" s="165">
        <f t="shared" si="381"/>
        <v>2.2492299404385119E-5</v>
      </c>
      <c r="JT96" s="165">
        <f t="shared" si="382"/>
        <v>2.20734909570767E-5</v>
      </c>
      <c r="JU96" s="165">
        <f t="shared" si="383"/>
        <v>2.174065567537443E-5</v>
      </c>
      <c r="JV96" s="165">
        <f t="shared" si="384"/>
        <v>2.1340836318918224E-5</v>
      </c>
      <c r="JW96" s="188">
        <f t="shared" si="302"/>
        <v>0.99342087640971777</v>
      </c>
      <c r="JX96" s="165">
        <f t="shared" si="385"/>
        <v>0.99334971532246019</v>
      </c>
      <c r="JY96" s="165">
        <f t="shared" si="386"/>
        <v>0.99846326461145918</v>
      </c>
      <c r="JZ96" s="165">
        <f t="shared" si="387"/>
        <v>1.0023185640443411</v>
      </c>
      <c r="KA96" s="165">
        <f t="shared" si="388"/>
        <v>1.0078731815674706</v>
      </c>
      <c r="KB96" s="165">
        <f t="shared" si="389"/>
        <v>1.0101530473655647</v>
      </c>
      <c r="KC96" s="165">
        <f t="shared" si="390"/>
        <v>1.014329191708947</v>
      </c>
      <c r="KD96" s="165">
        <f t="shared" si="391"/>
        <v>1.0177486847238437</v>
      </c>
      <c r="KE96" s="165">
        <f t="shared" si="392"/>
        <v>1.0221058567942143</v>
      </c>
      <c r="KF96" s="188">
        <f t="shared" si="393"/>
        <v>0.98626119619886909</v>
      </c>
      <c r="KG96" s="165">
        <f t="shared" si="394"/>
        <v>0.98632371828769894</v>
      </c>
      <c r="KH96" s="165">
        <f t="shared" si="395"/>
        <v>0.98186296335754253</v>
      </c>
      <c r="KI96" s="165">
        <f t="shared" si="396"/>
        <v>0.97854221146098586</v>
      </c>
      <c r="KJ96" s="165">
        <f t="shared" si="397"/>
        <v>0.97382051455508645</v>
      </c>
      <c r="KK96" s="165">
        <f t="shared" si="398"/>
        <v>0.9719036122483542</v>
      </c>
      <c r="KL96" s="165">
        <f t="shared" si="399"/>
        <v>0.9684236364172859</v>
      </c>
      <c r="KM96" s="165">
        <f t="shared" si="400"/>
        <v>0.96560392730780742</v>
      </c>
      <c r="KN96" s="165">
        <f t="shared" si="401"/>
        <v>0.96204918208773549</v>
      </c>
      <c r="KO96" s="188">
        <f t="shared" si="304"/>
        <v>0.65749175465740384</v>
      </c>
      <c r="KP96" s="165">
        <f t="shared" si="305"/>
        <v>0.65767430466063059</v>
      </c>
      <c r="KQ96" s="165">
        <f t="shared" si="306"/>
        <v>0.6496770920303685</v>
      </c>
      <c r="KR96" s="165">
        <f t="shared" si="307"/>
        <v>0.64375033293175377</v>
      </c>
      <c r="KS96" s="165">
        <f t="shared" si="308"/>
        <v>0.63537032855146658</v>
      </c>
      <c r="KT96" s="165">
        <f t="shared" si="309"/>
        <v>0.6319799714862655</v>
      </c>
      <c r="KU96" s="165">
        <f t="shared" si="310"/>
        <v>0.62585521237820974</v>
      </c>
      <c r="KV96" s="165">
        <f t="shared" si="311"/>
        <v>0.62090406806988396</v>
      </c>
      <c r="KW96" s="165">
        <f t="shared" si="312"/>
        <v>0.61479636072874477</v>
      </c>
      <c r="KX96" s="188">
        <f>AVERAGE(Sheet3!J96:P96)*KO96^(1/3)/ID96^(1/3)</f>
        <v>57.447826792201752</v>
      </c>
      <c r="KY96" s="165">
        <f>Sheet3!J96*KP96^(1/3)/IE96^(1/3)</f>
        <v>50.371433919604826</v>
      </c>
      <c r="KZ96" s="165">
        <f>Sheet3!K96*KQ96^(1/3)/IF96^(1/3)</f>
        <v>50.225849489707841</v>
      </c>
      <c r="LA96" s="165">
        <f>Sheet3!L96*KR96^(1/3)/IG96^(1/3)</f>
        <v>52.206830787100024</v>
      </c>
      <c r="LB96" s="165">
        <f>Sheet3!M96*KS96^(1/3)/IH96^(1/3)</f>
        <v>53.935671413317493</v>
      </c>
      <c r="LC96" s="165">
        <f>Sheet3!N96*KT96^(1/3)/II96^(1/3)</f>
        <v>57.238273315085571</v>
      </c>
      <c r="LD96" s="165">
        <f>Sheet3!O96*KU96^(1/3)/IJ96^(1/3)</f>
        <v>62.479753002751217</v>
      </c>
      <c r="LE96" s="165">
        <f>Sheet3!P96*KV96^(1/3)/IK96^(1/3)</f>
        <v>69.810892379936533</v>
      </c>
      <c r="LF96" s="165">
        <f>Sheet3!Q96*KW96^(1/3)/IL96^(1/3)</f>
        <v>78.644572930109803</v>
      </c>
      <c r="LG96" s="186">
        <f t="shared" si="402"/>
        <v>27.321244995626255</v>
      </c>
      <c r="LH96" s="183">
        <f t="shared" si="403"/>
        <v>27.367977727345309</v>
      </c>
      <c r="LI96" s="183">
        <f t="shared" si="404"/>
        <v>27.6082929001387</v>
      </c>
      <c r="LJ96" s="183">
        <f t="shared" si="405"/>
        <v>27.611106065716779</v>
      </c>
      <c r="LK96" s="183">
        <f t="shared" si="406"/>
        <v>27.984674388821478</v>
      </c>
      <c r="LL96" s="183">
        <f t="shared" si="407"/>
        <v>28.013761131381177</v>
      </c>
      <c r="LM96" s="183">
        <f t="shared" si="408"/>
        <v>28.329548154954416</v>
      </c>
      <c r="LN96" s="183">
        <f t="shared" si="409"/>
        <v>28.335531246617975</v>
      </c>
      <c r="LO96" s="183">
        <f t="shared" si="410"/>
        <v>28.64980690309925</v>
      </c>
      <c r="LT96" s="165"/>
      <c r="MF96" s="165"/>
      <c r="MJ96"/>
      <c r="MK96"/>
      <c r="ML96"/>
      <c r="MM96"/>
      <c r="MN96"/>
      <c r="MO96"/>
      <c r="MP96"/>
      <c r="MQ96"/>
      <c r="MR96"/>
    </row>
    <row r="97" spans="1:356" x14ac:dyDescent="0.3">
      <c r="A97" s="184" t="str">
        <f>Sheet3!A97</f>
        <v>2023.02.27-2</v>
      </c>
      <c r="B97" s="186">
        <f t="shared" si="313"/>
        <v>0.96474955767197101</v>
      </c>
      <c r="C97" s="183">
        <f t="shared" ref="C97:C102" si="412">AD97/L97</f>
        <v>0.96465690113066405</v>
      </c>
      <c r="D97" s="183">
        <f t="shared" ref="D97:D102" si="413">AE97/M97</f>
        <v>0.95172519890720297</v>
      </c>
      <c r="E97" s="183">
        <f t="shared" ref="E97:E102" si="414">AF97/N97</f>
        <v>0.94265727031741675</v>
      </c>
      <c r="F97" s="183">
        <f t="shared" ref="F97:F102" si="415">AG97/O97</f>
        <v>0.92993242631320083</v>
      </c>
      <c r="G97" s="183">
        <f t="shared" ref="G97:G102" si="416">AH97/P97</f>
        <v>0.9218561137825152</v>
      </c>
      <c r="H97" s="183">
        <f t="shared" ref="H97:H102" si="417">AI97/Q97</f>
        <v>0.91345766023871933</v>
      </c>
      <c r="I97" s="183">
        <f t="shared" ref="I97:I102" si="418">AJ97/R97</f>
        <v>0.90509272548311293</v>
      </c>
      <c r="J97" s="183">
        <f t="shared" ref="J97:J102" si="419">AK97/S97</f>
        <v>0.89528201359395698</v>
      </c>
      <c r="K97" s="186">
        <f xml:space="preserve"> (6.057 * (10^(-6)))
+ (4.055 * (10^(-8)) * (Sheet3!DF97 + 273))
+ (1.25 * (10^(-10)) * (Sheet3!DF97 + 273)^2)
- (3.367 * (10^(-14)) * (DD97 + 273)^3)</f>
        <v>5.3312863971782145E-5</v>
      </c>
      <c r="L97" s="183">
        <f xml:space="preserve"> (6.057 * (10^(-6)))
+ (4.055 * (10^(-8)) * (Sheet3!BZ97 + 273))
+ (1.25 * (10^(-10)) * (Sheet3!BZ97 + 273)^2)
- (3.367 * (10^(-14)) * (BX97 + 273)^3)</f>
        <v>5.3274707456527393E-5</v>
      </c>
      <c r="M97" s="183">
        <f xml:space="preserve"> (6.057 * (10^(-6)))
+ (4.055 * (10^(-8)) * (Sheet3!CA97 + 273))
+ (1.25 * (10^(-10)) * (Sheet3!CA97 + 273)^2)
- (3.367 * (10^(-14)) * (BY97 + 273)^3)</f>
        <v>5.1273668327933782E-5</v>
      </c>
      <c r="N97" s="183">
        <f xml:space="preserve"> (6.057 * (10^(-6)))
+ (4.055 * (10^(-8)) * (Sheet3!CB97 + 273))
+ (1.25 * (10^(-10)) * (Sheet3!CB97 + 273)^2)
- (3.367 * (10^(-14)) * (BZ97 + 273)^3)</f>
        <v>4.9952881179898328E-5</v>
      </c>
      <c r="O97" s="183">
        <f xml:space="preserve"> (6.057 * (10^(-6)))
+ (4.055 * (10^(-8)) * (Sheet3!CC97 + 273))
+ (1.25 * (10^(-10)) * (Sheet3!CC97 + 273)^2)
- (3.367 * (10^(-14)) * (CA97 + 273)^3)</f>
        <v>4.8111457094984598E-5</v>
      </c>
      <c r="P97" s="183">
        <f xml:space="preserve"> (6.057 * (10^(-6)))
+ (4.055 * (10^(-8)) * (Sheet3!CD97 + 273))
+ (1.25 * (10^(-10)) * (Sheet3!CD97 + 273)^2)
- (3.367 * (10^(-14)) * (CB97 + 273)^3)</f>
        <v>4.7053573932995982E-5</v>
      </c>
      <c r="Q97" s="183">
        <f xml:space="preserve"> (6.057 * (10^(-6)))
+ (4.055 * (10^(-8)) * (Sheet3!CE97 + 273))
+ (1.25 * (10^(-10)) * (Sheet3!CE97 + 273)^2)
- (3.367 * (10^(-14)) * (CC97 + 273)^3)</f>
        <v>4.5919721369879675E-5</v>
      </c>
      <c r="R97" s="183">
        <f xml:space="preserve"> (6.057 * (10^(-6)))
+ (4.055 * (10^(-8)) * (Sheet3!CF97 + 273))
+ (1.25 * (10^(-10)) * (Sheet3!CF97 + 273)^2)
- (3.367 * (10^(-14)) * (CD97 + 273)^3)</f>
        <v>4.4907265334695461E-5</v>
      </c>
      <c r="S97" s="183">
        <f xml:space="preserve"> (6.057 * (10^(-6)))
+ (4.055 * (10^(-8)) * (Sheet3!CG97 + 273))
+ (1.25 * (10^(-10)) * (Sheet3!CG97 + 273)^2)
- (3.367 * (10^(-14)) * (CE97 + 273)^3)</f>
        <v>4.3682117196759302E-5</v>
      </c>
      <c r="T97" s="188">
        <f t="shared" si="314"/>
        <v>5.3312863971782145E-5</v>
      </c>
      <c r="U97" s="165">
        <f t="shared" si="315"/>
        <v>5.3274707456527393E-5</v>
      </c>
      <c r="V97" s="165">
        <f t="shared" si="316"/>
        <v>5.1273668327933782E-5</v>
      </c>
      <c r="W97" s="165">
        <f t="shared" si="317"/>
        <v>4.9952881179898328E-5</v>
      </c>
      <c r="X97" s="165">
        <f t="shared" si="318"/>
        <v>4.8111457094984598E-5</v>
      </c>
      <c r="Y97" s="165">
        <f t="shared" si="319"/>
        <v>4.7053573932995982E-5</v>
      </c>
      <c r="Z97" s="165">
        <f t="shared" si="320"/>
        <v>4.5919721369879675E-5</v>
      </c>
      <c r="AA97" s="165">
        <f t="shared" si="321"/>
        <v>4.4907265334695461E-5</v>
      </c>
      <c r="AB97" s="165">
        <f t="shared" si="322"/>
        <v>4.3682117196759302E-5</v>
      </c>
      <c r="AC97" s="186">
        <f t="shared" ref="AC97:AC102" si="420">AL97/(BM97*BV97*1000)</f>
        <v>5.1433561935002782E-5</v>
      </c>
      <c r="AD97" s="183">
        <f t="shared" ref="AD97:AD102" si="421">AM97/(BN97*BW97*1000)</f>
        <v>5.1391814203656397E-5</v>
      </c>
      <c r="AE97" s="183">
        <f t="shared" ref="AE97:AE102" si="422">AN97/(BO97*BX97*1000)</f>
        <v>4.8798442188104732E-5</v>
      </c>
      <c r="AF97" s="183">
        <f t="shared" ref="AF97:AF102" si="423">AO97/(BP97*BY97*1000)</f>
        <v>4.708844661753322E-5</v>
      </c>
      <c r="AG97" s="183">
        <f t="shared" ref="AG97:AG102" si="424">AP97/(BQ97*BZ97*1000)</f>
        <v>4.4740404029802489E-5</v>
      </c>
      <c r="AH97" s="183">
        <f t="shared" ref="AH97:AH102" si="425">AQ97/(BR97*CA97*1000)</f>
        <v>4.3376624805449938E-5</v>
      </c>
      <c r="AI97" s="183">
        <f t="shared" ref="AI97:AI102" si="426">AR97/(BS97*CB97*1000)</f>
        <v>4.1945721241344208E-5</v>
      </c>
      <c r="AJ97" s="183">
        <f t="shared" ref="AJ97:AJ102" si="427">AS97/(BT97*CC97*1000)</f>
        <v>4.064523917577283E-5</v>
      </c>
      <c r="AK97" s="183">
        <f t="shared" ref="AK97:AK102" si="428">AT97/(BU97*CD97*1000)</f>
        <v>3.9107813841961884E-5</v>
      </c>
      <c r="AL97" s="186">
        <f t="shared" si="323"/>
        <v>4.0299207334811148E-2</v>
      </c>
      <c r="AM97" s="183">
        <f t="shared" si="324"/>
        <v>4.0281814513397893E-2</v>
      </c>
      <c r="AN97" s="183">
        <f t="shared" si="325"/>
        <v>3.918620117318293E-2</v>
      </c>
      <c r="AO97" s="183">
        <f t="shared" si="326"/>
        <v>3.8450270561190145E-2</v>
      </c>
      <c r="AP97" s="183">
        <f t="shared" si="327"/>
        <v>3.7397097357483214E-2</v>
      </c>
      <c r="AQ97" s="183">
        <f t="shared" si="328"/>
        <v>3.6787224611563578E-2</v>
      </c>
      <c r="AR97" s="183">
        <f t="shared" si="329"/>
        <v>3.6118759394387343E-2</v>
      </c>
      <c r="AS97" s="183">
        <f t="shared" si="330"/>
        <v>3.5519846993088064E-2</v>
      </c>
      <c r="AT97" s="183">
        <f t="shared" si="331"/>
        <v>3.4784679005365284E-2</v>
      </c>
      <c r="AU97" s="186">
        <f>_xlfn.FORECAST.LINEAR(Sheet3!DF97,Sheet2!$AH$2:$AH$40,Sheet2!$AG$2:$AG$40)</f>
        <v>5.615110757455756E-2</v>
      </c>
      <c r="AV97" s="183">
        <f>_xlfn.FORECAST.LINEAR(Sheet3!BZ97,Sheet2!$AH$2:$AH$40,Sheet2!$AG$2:$AG$40)</f>
        <v>5.610005720039777E-2</v>
      </c>
      <c r="AW97" s="183">
        <f>_xlfn.FORECAST.LINEAR(Sheet3!CA97,Sheet2!$AH$2:$AH$40,Sheet2!$AG$2:$AG$40)</f>
        <v>5.2889889112858073E-2</v>
      </c>
      <c r="AX97" s="183">
        <f>_xlfn.FORECAST.LINEAR(Sheet3!CB97,Sheet2!$AH$2:$AH$40,Sheet2!$AG$2:$AG$40)</f>
        <v>5.0735091161413365E-2</v>
      </c>
      <c r="AY97" s="183">
        <f>_xlfn.FORECAST.LINEAR(Sheet3!CC97,Sheet2!$AH$2:$AH$40,Sheet2!$AG$2:$AG$40)</f>
        <v>4.7680715018564947E-2</v>
      </c>
      <c r="AZ97" s="183">
        <f>_xlfn.FORECAST.LINEAR(Sheet3!CD97,Sheet2!$AH$2:$AH$40,Sheet2!$AG$2:$AG$40)</f>
        <v>4.5898301482088059E-2</v>
      </c>
      <c r="BA97" s="183">
        <f>_xlfn.FORECAST.LINEAR(Sheet3!CE97,Sheet2!$AH$2:$AH$40,Sheet2!$AG$2:$AG$40)</f>
        <v>4.396447501556569E-2</v>
      </c>
      <c r="BB97" s="183">
        <f>_xlfn.FORECAST.LINEAR(Sheet3!CF97,Sheet2!$AH$2:$AH$40,Sheet2!$AG$2:$AG$40)</f>
        <v>4.2216431479188132E-2</v>
      </c>
      <c r="BC97" s="183">
        <f>_xlfn.FORECAST.LINEAR(Sheet3!CG97,Sheet2!$AH$2:$AH$40,Sheet2!$AG$2:$AG$40)</f>
        <v>4.0084532304426705E-2</v>
      </c>
      <c r="BD97" s="186">
        <f>_xlfn.FORECAST.LINEAR(Sheet3!DF97,Sheet2!$AB$12:$AB$37,Sheet2!$AA$12:$AA$37)/1000</f>
        <v>3.7324862686859299E-2</v>
      </c>
      <c r="BE97" s="183">
        <f>_xlfn.FORECAST.LINEAR(Sheet3!BZ97,Sheet2!$AB$12:$AB$37,Sheet2!$AA$12:$AA$37)/1000</f>
        <v>3.7313449004836158E-2</v>
      </c>
      <c r="BF97" s="183">
        <f>_xlfn.FORECAST.LINEAR(Sheet3!CA97,Sheet2!$AB$12:$AB$37,Sheet2!$AA$12:$AA$37)/1000</f>
        <v>3.6595729724712804E-2</v>
      </c>
      <c r="BG97" s="183">
        <f>_xlfn.FORECAST.LINEAR(Sheet3!CB97,Sheet2!$AB$12:$AB$37,Sheet2!$AA$12:$AA$37)/1000</f>
        <v>3.6113966778864241E-2</v>
      </c>
      <c r="BH97" s="183">
        <f>_xlfn.FORECAST.LINEAR(Sheet3!CC97,Sheet2!$AB$12:$AB$37,Sheet2!$AA$12:$AA$37)/1000</f>
        <v>3.5431078971530999E-2</v>
      </c>
      <c r="BI97" s="183">
        <f>_xlfn.FORECAST.LINEAR(Sheet3!CD97,Sheet2!$AB$12:$AB$37,Sheet2!$AA$12:$AA$37)/1000</f>
        <v>3.5032572561462375E-2</v>
      </c>
      <c r="BJ97" s="183">
        <f>_xlfn.FORECAST.LINEAR(Sheet3!CE97,Sheet2!$AB$12:$AB$37,Sheet2!$AA$12:$AA$37)/1000</f>
        <v>3.4600213724919435E-2</v>
      </c>
      <c r="BK97" s="183">
        <f>_xlfn.FORECAST.LINEAR(Sheet3!CF97,Sheet2!$AB$12:$AB$37,Sheet2!$AA$12:$AA$37)/1000</f>
        <v>3.4209391651326797E-2</v>
      </c>
      <c r="BL97" s="183">
        <f>_xlfn.FORECAST.LINEAR(Sheet3!CG97,Sheet2!$AB$12:$AB$37,Sheet2!$AA$12:$AA$37)/1000</f>
        <v>3.3732748341917397E-2</v>
      </c>
      <c r="BM97" s="186">
        <f t="shared" si="332"/>
        <v>0.69623765856145092</v>
      </c>
      <c r="BN97" s="183">
        <f t="shared" si="333"/>
        <v>0.69653036319181849</v>
      </c>
      <c r="BO97" s="183">
        <f t="shared" si="334"/>
        <v>0.71545891535392903</v>
      </c>
      <c r="BP97" s="183">
        <f t="shared" si="335"/>
        <v>0.72874169475108586</v>
      </c>
      <c r="BQ97" s="183">
        <f t="shared" si="336"/>
        <v>0.74862930419641638</v>
      </c>
      <c r="BR97" s="183">
        <f t="shared" si="337"/>
        <v>0.7606259347033465</v>
      </c>
      <c r="BS97" s="183">
        <f t="shared" si="338"/>
        <v>0.77426740530749794</v>
      </c>
      <c r="BT97" s="183">
        <f t="shared" si="339"/>
        <v>0.78685221019056395</v>
      </c>
      <c r="BU97" s="183">
        <f t="shared" si="340"/>
        <v>0.80293414304956245</v>
      </c>
      <c r="BV97" s="186">
        <f t="shared" si="341"/>
        <v>1.125362378283409</v>
      </c>
      <c r="BW97" s="183">
        <f t="shared" si="342"/>
        <v>1.1253173717035998</v>
      </c>
      <c r="BX97" s="183">
        <f t="shared" si="343"/>
        <v>1.1223866846889838</v>
      </c>
      <c r="BY97" s="183">
        <f t="shared" si="344"/>
        <v>1.1204988572386925</v>
      </c>
      <c r="BZ97" s="183">
        <f t="shared" si="345"/>
        <v>1.1165319889142082</v>
      </c>
      <c r="CA97" s="183">
        <f t="shared" si="346"/>
        <v>1.1149878599651237</v>
      </c>
      <c r="CB97" s="183">
        <f t="shared" si="347"/>
        <v>1.1121264798867916</v>
      </c>
      <c r="CC97" s="183">
        <f t="shared" si="348"/>
        <v>1.1106270167886183</v>
      </c>
      <c r="CD97" s="183">
        <f t="shared" si="349"/>
        <v>1.1077570816235061</v>
      </c>
      <c r="CE97" s="187">
        <f xml:space="preserve"> -0.0000000019505*Sheet3!DF97^3 + 0.0000015497*Sheet3!DF97^2  + 0.00016911*Sheet3!DF97 + 1.8585</f>
        <v>1.9414898911875</v>
      </c>
      <c r="CF97" s="185">
        <f xml:space="preserve"> -0.0000000019505*Sheet3!BZ97^3 + 0.0000015497*Sheet3!BZ97^2  + 0.00016911*Sheet3!BZ97 + 1.8585</f>
        <v>1.9413777032172825</v>
      </c>
      <c r="CG97" s="185">
        <f xml:space="preserve"> -0.0000000019505*Sheet3!CA97^3 + 0.0000015497*Sheet3!CA97^2  + 0.00016911*Sheet3!CA97 + 1.8585</f>
        <v>1.9343839321524576</v>
      </c>
      <c r="CH97" s="185">
        <f xml:space="preserve"> -0.0000000019505*Sheet3!CB97^3 + 0.0000015497*Sheet3!CB97^2  + 0.00016911*Sheet3!CB97 + 1.8585</f>
        <v>1.9297640819257549</v>
      </c>
      <c r="CI97" s="185">
        <f xml:space="preserve"> -0.0000000019505*Sheet3!CC97^3 + 0.0000015497*Sheet3!CC97^2  + 0.00016911*Sheet3!CC97 + 1.8585</f>
        <v>1.9233342229323305</v>
      </c>
      <c r="CJ97" s="185">
        <f xml:space="preserve"> -0.0000000019505*Sheet3!CD97^3 + 0.0000015497*Sheet3!CD97^2  + 0.00016911*Sheet3!CD97 + 1.8585</f>
        <v>1.9196534742815914</v>
      </c>
      <c r="CK97" s="185">
        <f xml:space="preserve"> -0.0000000019505*Sheet3!CE97^3 + 0.0000015497*Sheet3!CE97^2  + 0.00016911*Sheet3!CE97 + 1.8585</f>
        <v>1.9157254058722217</v>
      </c>
      <c r="CL97" s="185">
        <f xml:space="preserve"> -0.0000000019505*Sheet3!CF97^3 + 0.0000015497*Sheet3!CF97^2  + 0.00016911*Sheet3!CF97 + 1.8585</f>
        <v>1.9122374148470869</v>
      </c>
      <c r="CM97" s="185">
        <f xml:space="preserve"> -0.0000000019505*Sheet3!CG97^3 + 0.0000015497*Sheet3!CG97^2  + 0.00016911*Sheet3!CG97 + 1.8585</f>
        <v>1.9080697961714221</v>
      </c>
      <c r="CN97" s="186">
        <f>_xlfn.FORECAST.LINEAR(Sheet3!DF97,New!$LU$2:$LU$14,New!$LT$2:$LT$14)</f>
        <v>1.0350674194089138</v>
      </c>
      <c r="CO97" s="183">
        <f>_xlfn.FORECAST.LINEAR(Sheet3!BZ97,New!$LU$2:$LU$14,New!$LT$2:$LT$14)</f>
        <v>1.0350298456637881</v>
      </c>
      <c r="CP97" s="183">
        <f>_xlfn.FORECAST.LINEAR(Sheet3!CA97,New!$LU$2:$LU$14,New!$LT$2:$LT$14)</f>
        <v>1.0326671198362687</v>
      </c>
      <c r="CQ97" s="183">
        <f>_xlfn.FORECAST.LINEAR(Sheet3!CB97,New!$LU$2:$LU$14,New!$LT$2:$LT$14)</f>
        <v>1.0310811602746102</v>
      </c>
      <c r="CR97" s="183">
        <f>_xlfn.FORECAST.LINEAR(Sheet3!CC97,New!$LU$2:$LU$14,New!$LT$2:$LT$14)</f>
        <v>1.0288330993622614</v>
      </c>
      <c r="CS97" s="183">
        <f>_xlfn.FORECAST.LINEAR(Sheet3!CD97,New!$LU$2:$LU$14,New!$LT$2:$LT$14)</f>
        <v>1.0275212196154342</v>
      </c>
      <c r="CT97" s="183">
        <f>_xlfn.FORECAST.LINEAR(Sheet3!CE97,New!$LU$2:$LU$14,New!$LT$2:$LT$14)</f>
        <v>1.0260978979656652</v>
      </c>
      <c r="CU97" s="183">
        <f>_xlfn.FORECAST.LINEAR(Sheet3!CF97,New!$LU$2:$LU$14,New!$LT$2:$LT$14)</f>
        <v>1.0248113149898206</v>
      </c>
      <c r="CV97" s="183">
        <f>_xlfn.FORECAST.LINEAR(Sheet3!CG97,New!$LU$2:$LU$14,New!$LT$2:$LT$14)</f>
        <v>1.0232422092282165</v>
      </c>
      <c r="CW97" s="186">
        <f>EXP((17.625*Sheet3!BA97)/(243.04+Sheet3!BA97)) / EXP((17.625*Sheet3!DF97)/(243.04+Sheet3!DF97))</f>
        <v>7.1859605102160178E-3</v>
      </c>
      <c r="CX97" s="183">
        <f>EXP((17.625*(Sheet3!BC97+273))/(243.04+(Sheet3!BC97+273)))/EXP((17.625*(Sheet3!BZ97+273))/(243.04+(Sheet3!BZ97+273)))</f>
        <v>0.20342256935458536</v>
      </c>
      <c r="CY97" s="183">
        <f>EXP((17.625*(Sheet3!BE97+273))/(243.04+(Sheet3!BE97+273))) / EXP((17.625*(Sheet3!CA97+273))/(243.04+(Sheet3!CA97+273)))</f>
        <v>0.2260798826929557</v>
      </c>
      <c r="CZ97" s="183">
        <f>EXP((17.625*(Sheet3!BG97+273))/(243.04+(Sheet3!BG97+273))) / EXP((17.625*(Sheet3!CB97+273))/(243.04+(Sheet3!CB97+273)))</f>
        <v>0.24327142556163969</v>
      </c>
      <c r="DA97" s="183">
        <f>EXP((17.625*(Sheet3!BI97+273))/(243.04+(Sheet3!BI97+273))) / EXP((17.625*(Sheet3!CC97+273))/(243.04+(Sheet3!CC97+273)))</f>
        <v>0.26946489882885299</v>
      </c>
      <c r="DB97" s="183">
        <f>EXP((17.625*(Sheet3!BK97+273))/(243.04+(Sheet3!BK97+273)))/EXP((17.625*(Sheet3!CD97+273))/(243.04+(Sheet3!CD97+273)))</f>
        <v>0.28732508698672843</v>
      </c>
      <c r="DC97" s="183">
        <f>EXP((17.625*(Sheet3!BM97+273))/(243.04+(Sheet3!BM97+273))) / EXP((17.625*(Sheet3!CE97+273))/(243.04+(Sheet3!CE97+273)))</f>
        <v>0.30713660163865969</v>
      </c>
      <c r="DD97" s="183">
        <f>EXP((17.625*(Sheet3!BO97+273))/(243.04+(Sheet3!BO97+273))) / EXP((17.625*(Sheet3!CF97+273))/(243.04+(Sheet3!CF97+273)))</f>
        <v>0.32799453574930409</v>
      </c>
      <c r="DE97" s="183">
        <f>EXP((17.625*(Sheet3!BQ97+273))/(243.04+(Sheet3!BQ97+273))) / EXP((17.625*(Sheet3!CG97+273))/(243.04+(Sheet3!CG97+273)))</f>
        <v>0.35459419642774154</v>
      </c>
      <c r="DF97" s="186">
        <f>((Sheet3!DA97-Sheet3!DB97)/New!$LQ$3)/(((Sheet3!DA97-Sheet3!DB97)/New!$LQ$3)+(Sheet3!DB97/New!$LP$3))</f>
        <v>0.84899984658532013</v>
      </c>
      <c r="DG97" s="183">
        <f>((Sheet3!DA97-Sheet3!DB97)/New!$LQ$3)/(((Sheet3!DA97-Sheet3!DB97)/New!$LQ$3)+((Sheet3!DB97-(Sheet3!B97*0.004))/New!$LP$3))</f>
        <v>0.84899984658532013</v>
      </c>
      <c r="DH97" s="183" cm="1">
        <f t="array" ref="DH97">((Sheet3!DA97-Sheet3!DB97)/New!$LQ$3)/(((Sheet3!DA97-Sheet3!DB97)/New!$LQ$3)+((Sheet3!DB97-(SUM(Sheet3!B97:C97*0.004)))/New!$LP$3))</f>
        <v>0.84982901906450614</v>
      </c>
      <c r="DI97" s="183" cm="1">
        <f t="array" ref="DI97">((Sheet3!DA97-Sheet3!DB97)/New!$LQ$3)/(((Sheet3!DA97-Sheet3!DB97)/New!$LQ$3)+((Sheet3!DB97-(SUM(Sheet3!B97:D97*0.004)))/New!$LP$3))</f>
        <v>0.84982901906450614</v>
      </c>
      <c r="DJ97" s="183" cm="1">
        <f t="array" ref="DJ97">((Sheet3!DA97-Sheet3!DB97)/New!$LQ$3)/(((Sheet3!DA97-Sheet3!DB97)/New!$LQ$3)+((Sheet3!DB97-(SUM(Sheet3!B97:E97*0.004)))/New!$LP$3))</f>
        <v>0.86019027170473683</v>
      </c>
      <c r="DK97" s="183" cm="1">
        <f t="array" ref="DK97">((Sheet3!DA97-Sheet3!DB97)/New!$LQ$3)/(((Sheet3!DA97-Sheet3!DB97)/New!$LQ$3)+((Sheet3!DB97-(SUM(Sheet3!B97:F97*0.004)))/New!$LP$3))</f>
        <v>0.86019027170473683</v>
      </c>
      <c r="DL97" s="183" cm="1">
        <f t="array" ref="DL97">((Sheet3!DA97-Sheet3!DB97)/New!$LQ$3)/(((Sheet3!DA97-Sheet3!DB97)/New!$LQ$3)+((Sheet3!DB97-(SUM(Sheet3!B97:G97*0.004)))/New!$LP$3))</f>
        <v>0.8699781187256268</v>
      </c>
      <c r="DM97" s="183" cm="1">
        <f t="array" ref="DM97">((Sheet3!DA97-Sheet3!DB97)/New!$LQ$3)/(((Sheet3!DA97-Sheet3!DB97)/New!$LQ$3)+((Sheet3!DB97-(SUM(Sheet3!B97:H97*0.004)))/New!$LP$3))</f>
        <v>0.8699781187256268</v>
      </c>
      <c r="DN97" s="183" cm="1">
        <f t="array" ref="DN97">((Sheet3!DA97-Sheet3!DB97)/New!$LQ$3)/(((Sheet3!DA97-Sheet3!DB97)/New!$LQ$3)+((Sheet3!DB97-(SUM(Sheet3!B97:I97*0.004)))/New!$LP$3))</f>
        <v>0.87884854817153113</v>
      </c>
      <c r="DO97" s="186">
        <f>(Sheet3!DB97/$LP$3) / ((Sheet3!DB97/$LP$3) + ((Sheet3!DA97-Sheet3!DB97)/$LQ$3))</f>
        <v>0.15100015341467987</v>
      </c>
      <c r="DP97" s="183">
        <f>((Sheet3!$DB97-(Sheet3!B97/4000)) / $LP$3) / (((Sheet3!$DA97-Sheet3!DB97) / $LQ$3) + (Sheet3!$DB97-((Sheet3!B97/4000)))/$LP$3)</f>
        <v>0.15100015341467987</v>
      </c>
      <c r="DQ97" s="183">
        <f>((Sheet3!$DB97-(SUM(Sheet3!B97:C97)/4000))/$LP$3)/(((Sheet3!$DA97-Sheet3!$DB97)/$LQ$3)+(Sheet3!$DB97-(SUM(Sheet3!B97:C97)/4000))/$LP$3)</f>
        <v>0.15094837754102192</v>
      </c>
      <c r="DR97" s="183">
        <f>((Sheet3!$DB97-(SUM(Sheet3!B97:D97)/4000))/$LP$3)/(((Sheet3!$DA97-Sheet3!$DB97)/$LQ$3)+(Sheet3!$DB97-(SUM(Sheet3!B97:D97)/4000))/$LP$3)</f>
        <v>0.15094837754102192</v>
      </c>
      <c r="DS97" s="183">
        <f>((Sheet3!$DB97-(SUM(Sheet3!B97:E97)/4000))/$LP$3)/(((Sheet3!$DA97-Sheet3!$DB97)/$LQ$3)+(Sheet3!$DB97-(SUM(Sheet3!B97:E97)/4000))/$LP$3)</f>
        <v>0.15030928880374167</v>
      </c>
      <c r="DT97" s="183">
        <f>((Sheet3!$DB97-(SUM(Sheet3!B97:F97)/4000))/$LP$3)/(((Sheet3!$DA97-Sheet3!$DB97)/$LQ$3)+(Sheet3!$DB97-(SUM(Sheet3!B97:F97)/4000))/$LP$3)</f>
        <v>0.15030928880374167</v>
      </c>
      <c r="DU97" s="183">
        <f>((Sheet3!$DB97-(SUM(Sheet3!B97:G97)/4000))/$LP$3)/(((Sheet3!$DA97-Sheet3!$DB97)/$LQ$3)+(Sheet3!$DB97-(SUM(Sheet3!B97:G97)/4000))/$LP$3)</f>
        <v>0.14971869643043514</v>
      </c>
      <c r="DV97" s="183">
        <f>((Sheet3!$DB97-(SUM(Sheet3!B97:H97)/4000))/$LP$3)/(((Sheet3!$DA97-Sheet3!$DB97)/$LQ$3)+(Sheet3!$DB97-(SUM(Sheet3!B97:H97)/4000))/$LP$3)</f>
        <v>0.14971869643043514</v>
      </c>
      <c r="DW97" s="183">
        <f>((Sheet3!$DB97-(SUM(Sheet3!B97:I97)/4000))/$LP$3)/(((Sheet3!$DA97-Sheet3!$DB97)/$LQ$3)+(Sheet3!$DB97-(SUM(Sheet3!B97:I97)/4000))/$LP$3)</f>
        <v>0.14919413615561078</v>
      </c>
      <c r="DX97" s="186">
        <f>($LR$2*($LP$3/1000))/($LP$2*(Sheet3!DF97+273))*DO97</f>
        <v>6.9357008132558337E-2</v>
      </c>
      <c r="DY97" s="183">
        <f>(($LR$2*($LP$3/1000))/($LP$2*(Sheet3!BZ97+273)))*(DP97)</f>
        <v>6.9386166448227121E-2</v>
      </c>
      <c r="DZ97" s="183">
        <f>(($LR$2*($LP$3/1000))/($LP$2*(Sheet3!CA97+273)))*(DQ97)</f>
        <v>7.1245852728140158E-2</v>
      </c>
      <c r="EA97" s="183">
        <f>(($LR$2*($LP$3/1000))/($LP$2*(Sheet3!CB97+273)))*(DR97)</f>
        <v>7.2568560328033674E-2</v>
      </c>
      <c r="EB97" s="183">
        <f>(($LR$2*($LP$3/1000))/($LP$2*(Sheet3!CC97+273)))*(DS97)</f>
        <v>7.4214344117608383E-2</v>
      </c>
      <c r="EC97" s="183">
        <f>(($LR$2*($LP$3/1000))/($LP$2*(Sheet3!CD97+273)))*(DT97)</f>
        <v>7.5403613706311948E-2</v>
      </c>
      <c r="ED97" s="183">
        <f>(($LR$2*($LP$3/1000))/($LP$2*(Sheet3!CE97+273)))*(DU97)</f>
        <v>7.6436265736690892E-2</v>
      </c>
      <c r="EE97" s="183">
        <f>(($LR$2*($LP$3/1000))/($LP$2*(Sheet3!CF97+273)))*(DV97)</f>
        <v>7.7678647223619696E-2</v>
      </c>
      <c r="EF97" s="183">
        <f>(($LR$2*($LP$3/1000))/($LP$2*(Sheet3!CG97+273)))*(DW97)</f>
        <v>7.897195225499315E-2</v>
      </c>
      <c r="EG97" s="186">
        <f>(($LR$2*($LQ$3/1000))/($LQ$2*(Sheet3!DF97+273)))*(1-DO97)</f>
        <v>0.62688065042889263</v>
      </c>
      <c r="EH97" s="183">
        <f>(($LR$2*($LQ$3/1000))/($LQ$2*(Sheet3!BZ97+273)))*(1-DP97)</f>
        <v>0.62714419674359134</v>
      </c>
      <c r="EI97" s="183">
        <f>(($LR$2*($LQ$3/1000))/($LQ$2*(Sheet3!CA97+273)))*(1-DQ97)</f>
        <v>0.64421306262578881</v>
      </c>
      <c r="EJ97" s="183">
        <f>(($LR$2*($LQ$3/1000))/($LQ$2*(Sheet3!CB97+273)))*(1-DR97)</f>
        <v>0.65617313442305214</v>
      </c>
      <c r="EK97" s="183">
        <f>(($LR$2*($LQ$3/1000))/($LQ$2*(Sheet3!CC97+273)))*(1-DS97)</f>
        <v>0.67441496007880797</v>
      </c>
      <c r="EL97" s="183">
        <f>(($LR$2*($LQ$3/1000))/($LQ$2*(Sheet3!CD97+273)))*(1-DT97)</f>
        <v>0.68522232099703451</v>
      </c>
      <c r="EM97" s="183">
        <f>(($LR$2*($LQ$3/1000))/($LQ$2*(Sheet3!CE97+273)))*(1-DU97)</f>
        <v>0.697831139570807</v>
      </c>
      <c r="EN97" s="183">
        <f>(($LR$2*($LQ$3/1000))/($LQ$2*(Sheet3!CF97+273)))*(1-DV97)</f>
        <v>0.70917356296694423</v>
      </c>
      <c r="EO97" s="183">
        <f>(($LR$2*($LQ$3/1000))/($LQ$2*(Sheet3!CG97+273)))*(1-DW97)</f>
        <v>0.72396219079456936</v>
      </c>
      <c r="EP97" s="186">
        <f t="shared" si="350"/>
        <v>4861.1189731974082</v>
      </c>
      <c r="EQ97" s="183">
        <f xml:space="preserve"> (($FV97-(Sheet3!B97/4000))*0.018)/(0.011*JO97*3600)</f>
        <v>4862.7517765712009</v>
      </c>
      <c r="ER97" s="183">
        <f>((($FV97-(SUM(Sheet3!B97:C97)/4000))*0.018)/(0.011*JP97*3600))</f>
        <v>4967.3973210713712</v>
      </c>
      <c r="ES97" s="183">
        <f>((($FV97-(SUM(Sheet3!B97:D97)/4000))*0.018)/(0.011*JQ97*3600))</f>
        <v>5040.4433098727995</v>
      </c>
      <c r="ET97" s="183">
        <f>((($FV97-(SUM(Sheet3!B97:E97)/4000))*0.018)/(0.011*JR97))/3600</f>
        <v>5143.8746374515567</v>
      </c>
      <c r="EU97" s="183">
        <f>((($FV97-(SUM(Sheet3!B97:F97)/4000))*0.018)/(0.011*JS97))/3600</f>
        <v>5208.6161292161496</v>
      </c>
      <c r="EV97" s="183">
        <f>((($FV97-(SUM(Sheet3!B97:G97)/4000))*0.018)/(0.011*JT97))/3600</f>
        <v>5277.0146711206326</v>
      </c>
      <c r="EW97" s="183">
        <f>((($FV97-(SUM(Sheet3!B97:H97)/4000))*0.018)/(0.011*JU97))/3600</f>
        <v>5343.9187511355112</v>
      </c>
      <c r="EX97" s="183">
        <f>((($FV97-(SUM(Sheet3!B97:I97)/4000))*0.018)/(0.011*JV97))/3600</f>
        <v>5424.4410106673186</v>
      </c>
      <c r="EY97" s="186">
        <f t="shared" si="351"/>
        <v>49.437840168355741</v>
      </c>
      <c r="EZ97" s="183">
        <f t="shared" si="352"/>
        <v>49.449295459083245</v>
      </c>
      <c r="FA97" s="183">
        <f t="shared" si="353"/>
        <v>50.182703870761102</v>
      </c>
      <c r="FB97" s="183">
        <f t="shared" si="354"/>
        <v>50.695192505563234</v>
      </c>
      <c r="FC97" s="183">
        <f t="shared" si="355"/>
        <v>51.411310689301608</v>
      </c>
      <c r="FD97" s="183">
        <f t="shared" si="356"/>
        <v>51.865629298113156</v>
      </c>
      <c r="FE97" s="183">
        <f t="shared" si="357"/>
        <v>52.336320549170367</v>
      </c>
      <c r="FF97" s="183">
        <f t="shared" si="358"/>
        <v>52.806062883118727</v>
      </c>
      <c r="FG97" s="183">
        <f t="shared" si="359"/>
        <v>53.362882898019471</v>
      </c>
      <c r="FH97" s="186">
        <f t="shared" ref="FH97:FH102" si="429">EY97*AL97/0.018</f>
        <v>110.68365395165684</v>
      </c>
      <c r="FI97" s="183">
        <f t="shared" ref="FI97:FI102" si="430">EZ97*AM97/0.018</f>
        <v>110.66151930561112</v>
      </c>
      <c r="FJ97" s="183">
        <f t="shared" ref="FJ97:FJ102" si="431">FA97*AN97/0.018</f>
        <v>109.24830718299502</v>
      </c>
      <c r="FK97" s="183">
        <f t="shared" ref="FK97:FK102" si="432">FB97*AO97/0.018</f>
        <v>108.29132599947364</v>
      </c>
      <c r="FL97" s="183">
        <f t="shared" ref="FL97:FL102" si="433">FC97*AP97/0.018</f>
        <v>106.81298839575722</v>
      </c>
      <c r="FM97" s="183">
        <f t="shared" ref="FM97:FM102" si="434">FD97*AQ97/0.018</f>
        <v>105.99958636721009</v>
      </c>
      <c r="FN97" s="183">
        <f t="shared" ref="FN97:FN102" si="435">FE97*AR97/0.018</f>
        <v>105.01794275016749</v>
      </c>
      <c r="FO97" s="183">
        <f t="shared" ref="FO97:FO102" si="436">FF97*AS97/0.018</f>
        <v>104.20351521754245</v>
      </c>
      <c r="FP97" s="183">
        <f t="shared" ref="FP97:FP102" si="437">FG97*AT97/0.018</f>
        <v>103.12281957825023</v>
      </c>
      <c r="FQ97" s="314">
        <f>Sheet3!CV97</f>
        <v>3</v>
      </c>
      <c r="FR97" s="183">
        <v>5000</v>
      </c>
      <c r="FS97" s="183">
        <v>10</v>
      </c>
      <c r="FT97" s="183">
        <v>9.7466666666666674E-2</v>
      </c>
      <c r="FU97" s="183">
        <v>22.49</v>
      </c>
      <c r="FV97" s="183">
        <v>261</v>
      </c>
      <c r="FW97" s="183">
        <v>26</v>
      </c>
      <c r="FX97" s="183">
        <v>774</v>
      </c>
      <c r="FY97" s="183">
        <v>6.48</v>
      </c>
      <c r="FZ97" s="183">
        <v>11.99</v>
      </c>
      <c r="GA97" s="183">
        <v>205</v>
      </c>
      <c r="GB97" s="186">
        <f>EXP($LP$6-($LQ$6/('Trial and Error method'!T97+$LP$8))) / ($LR$2/1000)</f>
        <v>3.1215409808529871E-2</v>
      </c>
      <c r="GC97" s="183">
        <f>EXP($LP$6-($LQ$6/('Trial and Error method'!U97+$LP$8))) / ($LR$2/1000)</f>
        <v>4.6950522788413343E-2</v>
      </c>
      <c r="GD97" s="183">
        <f>EXP($LP$6-($LQ$6/('Trial and Error method'!V97+$LP$8))) / ($LR$2/1000)</f>
        <v>4.298918395373557E-2</v>
      </c>
      <c r="GE97" s="183">
        <f>EXP($LP$6-($LQ$6/('Trial and Error method'!W97+$LP$8))) / ($LR$2/1000)</f>
        <v>3.9950624528080063E-2</v>
      </c>
      <c r="GF97" s="183">
        <f>EXP($LP$6-($LQ$6/('Trial and Error method'!X97+$LP$8))) / ($LR$2/1000)</f>
        <v>3.6797299329873079E-2</v>
      </c>
      <c r="GG97" s="183">
        <f>EXP($LP$6-($LQ$6/('Trial and Error method'!Y97+$LP$8))) / ($LR$2/1000)</f>
        <v>3.4465631764961265E-2</v>
      </c>
      <c r="GH97" s="183">
        <f>EXP($LP$6-($LQ$6/('Trial and Error method'!Z97+$LP$8))) / ($LR$2/1000)</f>
        <v>3.2177930508713891E-2</v>
      </c>
      <c r="GI97" s="183">
        <f>EXP($LP$6-($LQ$6/('Trial and Error method'!AA97+$LP$8))) / ($LR$2/1000)</f>
        <v>3.0185477669150092E-2</v>
      </c>
      <c r="GJ97" s="183">
        <f>EXP($LP$6-($LQ$6/('Trial and Error method'!AB97+$LP$8))) / ($LR$2/1000)</f>
        <v>2.8092119056929606E-2</v>
      </c>
      <c r="GK97" s="188">
        <f t="shared" si="411"/>
        <v>0.90757513544100976</v>
      </c>
      <c r="GL97" s="165">
        <f t="shared" si="360"/>
        <v>0.90002247258872681</v>
      </c>
      <c r="GM97" s="165">
        <f t="shared" si="361"/>
        <v>0.90195463097433981</v>
      </c>
      <c r="GN97" s="165">
        <f t="shared" si="362"/>
        <v>0.90341430907090214</v>
      </c>
      <c r="GO97" s="165">
        <f t="shared" si="363"/>
        <v>0.90526089709176505</v>
      </c>
      <c r="GP97" s="165">
        <f t="shared" si="364"/>
        <v>0.90637905093158677</v>
      </c>
      <c r="GQ97" s="165">
        <f t="shared" si="365"/>
        <v>0.90778376593986942</v>
      </c>
      <c r="GR97" s="165">
        <f t="shared" si="366"/>
        <v>0.90873803124964114</v>
      </c>
      <c r="GS97" s="165">
        <f t="shared" si="367"/>
        <v>0.91001427700478077</v>
      </c>
      <c r="GT97" s="188">
        <f t="shared" ref="GT97:GT102" si="438">(FH97*$LP$3) / (BV97*1000*$LQ$3*GK97*B97^(2/3))</f>
        <v>6.9045358670645041E-2</v>
      </c>
      <c r="GU97" s="165">
        <f t="shared" ref="GU97:GU102" si="439">(FI97*$LP$3) / (BW97*1000*$LQ$3*GL97*C97^(2/3))</f>
        <v>6.9618080326693019E-2</v>
      </c>
      <c r="GV97" s="165">
        <f t="shared" ref="GV97:GV102" si="440">(FJ97*$LP$3) / (BX97*1000*$LQ$3*GM97*D97^(2/3))</f>
        <v>6.9382324803422948E-2</v>
      </c>
      <c r="GW97" s="165">
        <f t="shared" ref="GW97:GW102" si="441">(FK97*$LP$3) / (BY97*1000*$LQ$3*GN97*E97^(2/3))</f>
        <v>6.9219498732282864E-2</v>
      </c>
      <c r="GX97" s="165">
        <f t="shared" ref="GX97:GX102" si="442">(FL97*$LP$3) / (BZ97*1000*$LQ$3*GO97*F97^(2/3))</f>
        <v>6.8999707356034876E-2</v>
      </c>
      <c r="GY97" s="165">
        <f t="shared" ref="GY97:GY102" si="443">(FM97*$LP$3) / (CA97*1000*$LQ$3*GP97*G97^(2/3))</f>
        <v>6.8883909583923139E-2</v>
      </c>
      <c r="GZ97" s="165">
        <f t="shared" ref="GZ97:GZ102" si="444">(FN97*$LP$3) / (CB97*1000*$LQ$3*GQ97*H97^(2/3))</f>
        <v>6.8733797731477586E-2</v>
      </c>
      <c r="HA97" s="165">
        <f t="shared" ref="HA97:HA102" si="445">(FO97*$LP$3) / (CC97*1000*$LQ$3*GR97*I97^(2/3))</f>
        <v>6.8640813946500331E-2</v>
      </c>
      <c r="HB97" s="165">
        <f t="shared" ref="HB97:HB102" si="446">(FP97*$LP$3) / (CD97*1000*$LQ$3*GS97*J97^(2/3))</f>
        <v>6.85053527967769E-2</v>
      </c>
      <c r="HC97" s="188">
        <f>BV97*Sheet3!DF97</f>
        <v>230.69928754809885</v>
      </c>
      <c r="HD97" s="165">
        <f>BW97*Sheet3!BZ97</f>
        <v>230.46401747211812</v>
      </c>
      <c r="HE97" s="165">
        <f>BX97*Sheet3!CA97</f>
        <v>215.68667017511808</v>
      </c>
      <c r="HF97" s="165">
        <f>BY97*Sheet3!CB97</f>
        <v>205.82360876861782</v>
      </c>
      <c r="HG97" s="165">
        <f>BZ97*Sheet3!CC97</f>
        <v>191.67618350523759</v>
      </c>
      <c r="HH97" s="165">
        <f>CA97*Sheet3!CD97</f>
        <v>183.59127481588814</v>
      </c>
      <c r="HI97" s="165">
        <f>CB97*Sheet3!CE97</f>
        <v>174.65779221340944</v>
      </c>
      <c r="HJ97" s="165">
        <f>CC97*Sheet3!CF97</f>
        <v>166.78326024456231</v>
      </c>
      <c r="HK97" s="165">
        <f>CD97*Sheet3!CG97</f>
        <v>157.05984237497029</v>
      </c>
      <c r="HL97" s="188">
        <f>(CE97*Sheet3!DF97)+2501</f>
        <v>2899.0054276934375</v>
      </c>
      <c r="HM97" s="165">
        <f>(CF97*Sheet3!BZ97)+2501</f>
        <v>2898.5924625040757</v>
      </c>
      <c r="HN97" s="165">
        <f>(CG97*Sheet3!CA97)+2501</f>
        <v>2872.7264601030329</v>
      </c>
      <c r="HO97" s="165">
        <f>(CH97*Sheet3!CB97)+2501</f>
        <v>2855.4769410946456</v>
      </c>
      <c r="HP97" s="165">
        <f>(CI97*Sheet3!CC97)+2501</f>
        <v>2831.1807445885975</v>
      </c>
      <c r="HQ97" s="165">
        <f>(CJ97*Sheet3!CD97)+2501</f>
        <v>2817.0856195861452</v>
      </c>
      <c r="HR97" s="165">
        <f>(CK97*Sheet3!CE97)+2501</f>
        <v>2801.8617957831921</v>
      </c>
      <c r="HS97" s="165">
        <f>(CL97*Sheet3!CF97)+2501</f>
        <v>2788.1613832445887</v>
      </c>
      <c r="HT97" s="165">
        <f>(CM97*Sheet3!CG97)+2501</f>
        <v>2771.5296552813898</v>
      </c>
      <c r="HU97" s="188">
        <f>-0.0021*(Sheet3!DF97^2) - 2.2115*(Sheet3!DF97) + 2499</f>
        <v>1957.3899999999999</v>
      </c>
      <c r="HV97" s="165">
        <f>-0.0021*(Sheet3!BZ97^2) - 2.2115*(Sheet3!BZ97) + 2499</f>
        <v>1958.0070916909065</v>
      </c>
      <c r="HW97" s="165">
        <f>-0.0021*(Sheet3!CA97^2) - 2.2115*(Sheet3!CA97) + 2499</f>
        <v>1996.4708945837035</v>
      </c>
      <c r="HX97" s="165">
        <f>-0.0021*(Sheet3!CB97^2) - 2.2115*(Sheet3!CB97) + 2499</f>
        <v>2021.913531015842</v>
      </c>
      <c r="HY97" s="165">
        <f>-0.0021*(Sheet3!CC97^2) - 2.2115*(Sheet3!CC97) + 2499</f>
        <v>2057.4605721188063</v>
      </c>
      <c r="HZ97" s="165">
        <f>-0.0021*(Sheet3!CD97^2) - 2.2115*(Sheet3!CD97) + 2499</f>
        <v>2077.9241250292703</v>
      </c>
      <c r="IA97" s="165">
        <f>-0.0021*(Sheet3!CE97^2) - 2.2115*(Sheet3!CE97) + 2499</f>
        <v>2099.892364834383</v>
      </c>
      <c r="IB97" s="165">
        <f>-0.0021*(Sheet3!CF97^2) - 2.2115*(Sheet3!CF97) + 2499</f>
        <v>2119.5408577661683</v>
      </c>
      <c r="IC97" s="165">
        <f>-0.0021*(Sheet3!CG97^2) - 2.2115*(Sheet3!CG97) + 2499</f>
        <v>2143.2350586716261</v>
      </c>
      <c r="ID97" s="188">
        <f t="shared" ref="ID97:ID102" si="447">(JN97*BV97*1000)/AL97</f>
        <v>0.68151821003579693</v>
      </c>
      <c r="IE97" s="165">
        <f t="shared" ref="IE97:IE102" si="448">(JO97*BW97*1000)/AM97</f>
        <v>0.68155627900618965</v>
      </c>
      <c r="IF97" s="165">
        <f t="shared" ref="IF97:IF102" si="449">(JP97*BX97*1000)/AN97</f>
        <v>0.68403889682320596</v>
      </c>
      <c r="IG97" s="165">
        <f t="shared" ref="IG97:IG102" si="450">(JQ97*BY97*1000)/AO97</f>
        <v>0.68587289101034021</v>
      </c>
      <c r="IH97" s="165">
        <f t="shared" ref="IH97:IH102" si="451">(JR97*BZ97*1000)/AP97</f>
        <v>0.68822066454774178</v>
      </c>
      <c r="II97" s="165">
        <f t="shared" ref="II97:II102" si="452">(JS97*CA97*1000)/AQ97</f>
        <v>0.68997852270470506</v>
      </c>
      <c r="IJ97" s="165">
        <f t="shared" ref="IJ97:IJ102" si="453">(JT97*CB97*1000)/AR97</f>
        <v>0.69154248832994136</v>
      </c>
      <c r="IK97" s="165">
        <f t="shared" ref="IK97:IK102" si="454">(JU97*CC97*1000)/AS97</f>
        <v>0.69346271268109394</v>
      </c>
      <c r="IL97" s="165">
        <f t="shared" ref="IL97:IL102" si="455">(JV97*CD97*1000)/AT97</f>
        <v>0.69552183061167805</v>
      </c>
      <c r="IM97" s="188">
        <f t="shared" ref="IM97:IM102" si="456">HU97*GT97*(DO97-GB97)</f>
        <v>16.188751732365144</v>
      </c>
      <c r="IN97" s="165">
        <f t="shared" si="368"/>
        <v>14.183285563335911</v>
      </c>
      <c r="IO97" s="165">
        <f t="shared" si="369"/>
        <v>14.954485047603223</v>
      </c>
      <c r="IP97" s="165">
        <f t="shared" si="370"/>
        <v>15.53478388279631</v>
      </c>
      <c r="IQ97" s="165">
        <f t="shared" si="371"/>
        <v>16.114636207605159</v>
      </c>
      <c r="IR97" s="165">
        <f t="shared" si="372"/>
        <v>16.581344122092741</v>
      </c>
      <c r="IS97" s="165">
        <f t="shared" si="373"/>
        <v>16.965079196136347</v>
      </c>
      <c r="IT97" s="165">
        <f t="shared" si="374"/>
        <v>17.39053055380133</v>
      </c>
      <c r="IU97" s="165">
        <f t="shared" si="375"/>
        <v>17.780570396317835</v>
      </c>
      <c r="IV97" s="188">
        <f>_xlfn.FORECAST.LINEAR(Sheet3!DF97,Sheet2!$AK$2:$AK$69,Sheet2!$AJ$2:$AJ$69)</f>
        <v>1.5962912137298422E-5</v>
      </c>
      <c r="IW97" s="165">
        <f>_xlfn.FORECAST.LINEAR(Sheet3!BZ97,Sheet2!$AK$2:$AK$69,Sheet2!$AJ$2:$AJ$69)</f>
        <v>1.5955879176086332E-5</v>
      </c>
      <c r="IX97" s="165">
        <f>_xlfn.FORECAST.LINEAR(Sheet3!CA97,Sheet2!$AK$2:$AK$69,Sheet2!$AJ$2:$AJ$69)</f>
        <v>1.5513629966055428E-5</v>
      </c>
      <c r="IY97" s="165">
        <f>_xlfn.FORECAST.LINEAR(Sheet3!CB97,Sheet2!$AK$2:$AK$69,Sheet2!$AJ$2:$AJ$69)</f>
        <v>1.5216773955461604E-5</v>
      </c>
      <c r="IZ97" s="165">
        <f>_xlfn.FORECAST.LINEAR(Sheet3!CC97,Sheet2!$AK$2:$AK$69,Sheet2!$AJ$2:$AJ$69)</f>
        <v>1.4795987442270884E-5</v>
      </c>
      <c r="JA97" s="165">
        <f>_xlfn.FORECAST.LINEAR(Sheet3!CD97,Sheet2!$AK$2:$AK$69,Sheet2!$AJ$2:$AJ$69)</f>
        <v>1.4550433017406035E-5</v>
      </c>
      <c r="JB97" s="165">
        <f>_xlfn.FORECAST.LINEAR(Sheet3!CE97,Sheet2!$AK$2:$AK$69,Sheet2!$AJ$2:$AJ$69)</f>
        <v>1.4284019171204033E-5</v>
      </c>
      <c r="JC97" s="165">
        <f>_xlfn.FORECAST.LINEAR(Sheet3!CF97,Sheet2!$AK$2:$AK$69,Sheet2!$AJ$2:$AJ$69)</f>
        <v>1.4043199733722462E-5</v>
      </c>
      <c r="JD97" s="165">
        <f>_xlfn.FORECAST.LINEAR(Sheet3!CG97,Sheet2!$AK$2:$AK$69,Sheet2!$AJ$2:$AJ$69)</f>
        <v>1.3749498375976308E-5</v>
      </c>
      <c r="JE97" s="188">
        <f>_xlfn.FORECAST.LINEAR(Sheet3!DF97,New!$MC$2:$MC$18,New!$MB$2:$MB$18)</f>
        <v>2.5847452754227255E-5</v>
      </c>
      <c r="JF97" s="165">
        <f>_xlfn.FORECAST.LINEAR(Sheet3!BZ97,New!$MC$2:$MC$18,New!$MB$2:$MB$18)</f>
        <v>2.5839185338569803E-5</v>
      </c>
      <c r="JG97" s="165">
        <f>_xlfn.FORECAST.LINEAR(Sheet3!CA97,New!$MC$2:$MC$18,New!$MB$2:$MB$18)</f>
        <v>2.5319310717731519E-5</v>
      </c>
      <c r="JH97" s="165">
        <f>_xlfn.FORECAST.LINEAR(Sheet3!CB97,New!$MC$2:$MC$18,New!$MB$2:$MB$18)</f>
        <v>2.4970349312146994E-5</v>
      </c>
      <c r="JI97" s="165">
        <f>_xlfn.FORECAST.LINEAR(Sheet3!CC97,New!$MC$2:$MC$18,New!$MB$2:$MB$18)</f>
        <v>2.4475704609483524E-5</v>
      </c>
      <c r="JJ97" s="165">
        <f>_xlfn.FORECAST.LINEAR(Sheet3!CD97,New!$MC$2:$MC$18,New!$MB$2:$MB$18)</f>
        <v>2.4187049456175609E-5</v>
      </c>
      <c r="JK97" s="165">
        <f>_xlfn.FORECAST.LINEAR(Sheet3!CE97,New!$MC$2:$MC$18,New!$MB$2:$MB$18)</f>
        <v>2.3873873549607778E-5</v>
      </c>
      <c r="JL97" s="165">
        <f>_xlfn.FORECAST.LINEAR(Sheet3!CF97,New!$MC$2:$MC$18,New!$MB$2:$MB$18)</f>
        <v>2.3590784488255982E-5</v>
      </c>
      <c r="JM97" s="165">
        <f>_xlfn.FORECAST.LINEAR(Sheet3!CG97,New!$MC$2:$MC$18,New!$MB$2:$MB$18)</f>
        <v>2.3245531453236879E-5</v>
      </c>
      <c r="JN97" s="188">
        <f t="shared" si="376"/>
        <v>2.4405155333676271E-5</v>
      </c>
      <c r="JO97" s="165">
        <f t="shared" si="377"/>
        <v>2.4396960627921645E-5</v>
      </c>
      <c r="JP97" s="165">
        <f t="shared" si="378"/>
        <v>2.3882041890602054E-5</v>
      </c>
      <c r="JQ97" s="165">
        <f t="shared" si="379"/>
        <v>2.3535943887460306E-5</v>
      </c>
      <c r="JR97" s="165">
        <f t="shared" si="380"/>
        <v>2.30512474797543E-5</v>
      </c>
      <c r="JS97" s="165">
        <f t="shared" si="381"/>
        <v>2.2764727584286661E-5</v>
      </c>
      <c r="JT97" s="165">
        <f t="shared" si="382"/>
        <v>2.2459366986323044E-5</v>
      </c>
      <c r="JU97" s="165">
        <f t="shared" si="383"/>
        <v>2.2178183204174934E-5</v>
      </c>
      <c r="JV97" s="165">
        <f t="shared" si="384"/>
        <v>2.1840080303159756E-5</v>
      </c>
      <c r="JW97" s="188">
        <f t="shared" si="302"/>
        <v>0.99342087640971777</v>
      </c>
      <c r="JX97" s="165">
        <f t="shared" si="385"/>
        <v>0.99348453221051614</v>
      </c>
      <c r="JY97" s="165">
        <f t="shared" si="386"/>
        <v>0.99759946228383589</v>
      </c>
      <c r="JZ97" s="165">
        <f t="shared" si="387"/>
        <v>1.0004912522806333</v>
      </c>
      <c r="KA97" s="165">
        <f t="shared" si="388"/>
        <v>1.0047823420327933</v>
      </c>
      <c r="KB97" s="165">
        <f t="shared" si="389"/>
        <v>1.0073971887926545</v>
      </c>
      <c r="KC97" s="165">
        <f t="shared" si="390"/>
        <v>1.0103323131144668</v>
      </c>
      <c r="KD97" s="165">
        <f t="shared" si="391"/>
        <v>1.0130779261327842</v>
      </c>
      <c r="KE97" s="165">
        <f t="shared" si="392"/>
        <v>1.0165519953302291</v>
      </c>
      <c r="KF97" s="188">
        <f t="shared" si="393"/>
        <v>0.98626119619886909</v>
      </c>
      <c r="KG97" s="165">
        <f t="shared" si="394"/>
        <v>0.9862052789789536</v>
      </c>
      <c r="KH97" s="165">
        <f t="shared" si="395"/>
        <v>0.98261196326879163</v>
      </c>
      <c r="KI97" s="165">
        <f t="shared" si="396"/>
        <v>0.98011166551722284</v>
      </c>
      <c r="KJ97" s="165">
        <f t="shared" si="397"/>
        <v>0.97643881759279416</v>
      </c>
      <c r="KK97" s="165">
        <f t="shared" si="398"/>
        <v>0.97422226562946024</v>
      </c>
      <c r="KL97" s="165">
        <f t="shared" si="399"/>
        <v>0.97175340111254405</v>
      </c>
      <c r="KM97" s="165">
        <f t="shared" si="400"/>
        <v>0.96946209515938231</v>
      </c>
      <c r="KN97" s="165">
        <f t="shared" si="401"/>
        <v>0.96658769593511684</v>
      </c>
      <c r="KO97" s="188">
        <f t="shared" ref="KO97:KO102" si="457">JN97/(BM97*K97)</f>
        <v>0.65749439167742862</v>
      </c>
      <c r="KP97" s="165">
        <f t="shared" ref="KP97:KP102" si="458">JO97/(BN97*L97)</f>
        <v>0.65746796805225716</v>
      </c>
      <c r="KQ97" s="165">
        <f t="shared" ref="KQ97:KQ102" si="459">JP97/(BO97*M97)</f>
        <v>0.65101705513932939</v>
      </c>
      <c r="KR97" s="165">
        <f t="shared" ref="KR97:KR102" si="460">JQ97/(BP97*N97)</f>
        <v>0.64654306722452237</v>
      </c>
      <c r="KS97" s="165">
        <f t="shared" ref="KS97:KS102" si="461">JR97/(BQ97*O97)</f>
        <v>0.63999871242176498</v>
      </c>
      <c r="KT97" s="165">
        <f t="shared" ref="KT97:KT102" si="462">JS97/(BR97*P97)</f>
        <v>0.63606091953396027</v>
      </c>
      <c r="KU97" s="165">
        <f t="shared" ref="KU97:KU102" si="463">JT97/(BS97*Q97)</f>
        <v>0.63169478334553009</v>
      </c>
      <c r="KV97" s="165">
        <f t="shared" ref="KV97:KV102" si="464">JU97/(BT97*R97)</f>
        <v>0.62764805664144407</v>
      </c>
      <c r="KW97" s="165">
        <f t="shared" ref="KW97:KW102" si="465">JV97/(BU97*S97)</f>
        <v>0.62268818500857825</v>
      </c>
      <c r="KX97" s="188">
        <f>AVERAGE(Sheet3!J97:P97)*KO97^(1/3)/ID97^(1/3)</f>
        <v>72.699115282113027</v>
      </c>
      <c r="KY97" s="165">
        <f>Sheet3!J97*KP97^(1/3)/IE97^(1/3)</f>
        <v>67.793216497786162</v>
      </c>
      <c r="KZ97" s="165">
        <f>Sheet3!K97*KQ97^(1/3)/IF97^(1/3)</f>
        <v>65.962644042349609</v>
      </c>
      <c r="LA97" s="165">
        <f>Sheet3!L97*KR97^(1/3)/IG97^(1/3)</f>
        <v>66.883069303099361</v>
      </c>
      <c r="LB97" s="165">
        <f>Sheet3!M97*KS97^(1/3)/IH97^(1/3)</f>
        <v>68.920466597055636</v>
      </c>
      <c r="LC97" s="165">
        <f>Sheet3!N97*KT97^(1/3)/II97^(1/3)</f>
        <v>72.199873549779156</v>
      </c>
      <c r="LD97" s="165">
        <f>Sheet3!O97*KU97^(1/3)/IJ97^(1/3)</f>
        <v>77.129797425178566</v>
      </c>
      <c r="LE97" s="165">
        <f>Sheet3!P97*KV97^(1/3)/IK97^(1/3)</f>
        <v>84.008036714090508</v>
      </c>
      <c r="LF97" s="165">
        <f>Sheet3!Q97*KW97^(1/3)/IL97^(1/3)</f>
        <v>91.621031775407133</v>
      </c>
      <c r="LG97" s="186">
        <f t="shared" si="402"/>
        <v>27.307303320876329</v>
      </c>
      <c r="LH97" s="183">
        <f t="shared" si="403"/>
        <v>27.307303320876329</v>
      </c>
      <c r="LI97" s="183">
        <f t="shared" si="404"/>
        <v>27.330383413509608</v>
      </c>
      <c r="LJ97" s="183">
        <f t="shared" si="405"/>
        <v>27.330383413509608</v>
      </c>
      <c r="LK97" s="183">
        <f t="shared" si="406"/>
        <v>27.618932106368586</v>
      </c>
      <c r="LL97" s="183">
        <f t="shared" si="407"/>
        <v>27.618932106368586</v>
      </c>
      <c r="LM97" s="183">
        <f t="shared" si="408"/>
        <v>27.891748634488444</v>
      </c>
      <c r="LN97" s="183">
        <f t="shared" si="409"/>
        <v>27.891748634488444</v>
      </c>
      <c r="LO97" s="183">
        <f t="shared" si="410"/>
        <v>28.139186317890871</v>
      </c>
      <c r="LT97" s="165"/>
      <c r="MF97" s="165"/>
      <c r="MJ97"/>
      <c r="MK97"/>
      <c r="ML97"/>
      <c r="MM97"/>
      <c r="MN97"/>
      <c r="MO97"/>
      <c r="MP97"/>
      <c r="MQ97"/>
      <c r="MR97"/>
    </row>
    <row r="98" spans="1:356" x14ac:dyDescent="0.3">
      <c r="A98" s="184" t="str">
        <f>Sheet3!A98</f>
        <v>2023.02.28-1</v>
      </c>
      <c r="B98" s="186">
        <f t="shared" si="313"/>
        <v>0.81168393876370348</v>
      </c>
      <c r="C98" s="183">
        <f t="shared" si="412"/>
        <v>0.81174321367944902</v>
      </c>
      <c r="D98" s="183">
        <f t="shared" si="413"/>
        <v>0.80588688394642016</v>
      </c>
      <c r="E98" s="183">
        <f t="shared" si="414"/>
        <v>0.80027038574118237</v>
      </c>
      <c r="F98" s="183">
        <f t="shared" si="415"/>
        <v>0.79420605305241343</v>
      </c>
      <c r="G98" s="183">
        <f t="shared" si="416"/>
        <v>0.79059414026720753</v>
      </c>
      <c r="H98" s="183">
        <f t="shared" si="417"/>
        <v>0.78621717630968602</v>
      </c>
      <c r="I98" s="183">
        <f t="shared" si="418"/>
        <v>0.78124591544015842</v>
      </c>
      <c r="J98" s="183">
        <f t="shared" si="419"/>
        <v>0.77742278393862951</v>
      </c>
      <c r="K98" s="186">
        <f xml:space="preserve"> (6.057 * (10^(-6)))
+ (4.055 * (10^(-8)) * (Sheet3!DF98 + 273))
+ (1.25 * (10^(-10)) * (Sheet3!DF98 + 273)^2)
- (3.367 * (10^(-14)) * (DD98 + 273)^3)</f>
        <v>3.5903006387058923E-5</v>
      </c>
      <c r="L98" s="183">
        <f xml:space="preserve"> (6.057 * (10^(-6)))
+ (4.055 * (10^(-8)) * (Sheet3!BZ98 + 273))
+ (1.25 * (10^(-10)) * (Sheet3!BZ98 + 273)^2)
- (3.367 * (10^(-14)) * (BX98 + 273)^3)</f>
        <v>3.5898241197224507E-5</v>
      </c>
      <c r="M98" s="183">
        <f xml:space="preserve"> (6.057 * (10^(-6)))
+ (4.055 * (10^(-8)) * (Sheet3!CA98 + 273))
+ (1.25 * (10^(-10)) * (Sheet3!CA98 + 273)^2)
- (3.367 * (10^(-14)) * (BY98 + 273)^3)</f>
        <v>3.5365792606802509E-5</v>
      </c>
      <c r="N98" s="183">
        <f xml:space="preserve"> (6.057 * (10^(-6)))
+ (4.055 * (10^(-8)) * (Sheet3!CB98 + 273))
+ (1.25 * (10^(-10)) * (Sheet3!CB98 + 273)^2)
- (3.367 * (10^(-14)) * (BZ98 + 273)^3)</f>
        <v>3.4921997139468915E-5</v>
      </c>
      <c r="O98" s="183">
        <f xml:space="preserve"> (6.057 * (10^(-6)))
+ (4.055 * (10^(-8)) * (Sheet3!CC98 + 273))
+ (1.25 * (10^(-10)) * (Sheet3!CC98 + 273)^2)
- (3.367 * (10^(-14)) * (CA98 + 273)^3)</f>
        <v>3.438563561203128E-5</v>
      </c>
      <c r="P98" s="183">
        <f xml:space="preserve"> (6.057 * (10^(-6)))
+ (4.055 * (10^(-8)) * (Sheet3!CD98 + 273))
+ (1.25 * (10^(-10)) * (Sheet3!CD98 + 273)^2)
- (3.367 * (10^(-14)) * (CB98 + 273)^3)</f>
        <v>3.4110657284400183E-5</v>
      </c>
      <c r="Q98" s="183">
        <f xml:space="preserve"> (6.057 * (10^(-6)))
+ (4.055 * (10^(-8)) * (Sheet3!CE98 + 273))
+ (1.25 * (10^(-10)) * (Sheet3!CE98 + 273)^2)
- (3.367 * (10^(-14)) * (CC98 + 273)^3)</f>
        <v>3.3713449376739285E-5</v>
      </c>
      <c r="R98" s="183">
        <f xml:space="preserve"> (6.057 * (10^(-6)))
+ (4.055 * (10^(-8)) * (Sheet3!CF98 + 273))
+ (1.25 * (10^(-10)) * (Sheet3!CF98 + 273)^2)
- (3.367 * (10^(-14)) * (CD98 + 273)^3)</f>
        <v>3.3348065048306266E-5</v>
      </c>
      <c r="S98" s="183">
        <f xml:space="preserve"> (6.057 * (10^(-6)))
+ (4.055 * (10^(-8)) * (Sheet3!CG98 + 273))
+ (1.25 * (10^(-10)) * (Sheet3!CG98 + 273)^2)
- (3.367 * (10^(-14)) * (CE98 + 273)^3)</f>
        <v>3.2995102885334555E-5</v>
      </c>
      <c r="T98" s="188">
        <f t="shared" si="314"/>
        <v>3.5903006387058923E-5</v>
      </c>
      <c r="U98" s="165">
        <f t="shared" si="315"/>
        <v>3.5898241197224507E-5</v>
      </c>
      <c r="V98" s="165">
        <f t="shared" si="316"/>
        <v>3.5365792606802509E-5</v>
      </c>
      <c r="W98" s="165">
        <f t="shared" si="317"/>
        <v>3.4921997139468915E-5</v>
      </c>
      <c r="X98" s="165">
        <f t="shared" si="318"/>
        <v>3.438563561203128E-5</v>
      </c>
      <c r="Y98" s="165">
        <f t="shared" si="319"/>
        <v>3.4110657284400183E-5</v>
      </c>
      <c r="Z98" s="165">
        <f t="shared" si="320"/>
        <v>3.3713449376739285E-5</v>
      </c>
      <c r="AA98" s="165">
        <f t="shared" si="321"/>
        <v>3.3348065048306266E-5</v>
      </c>
      <c r="AB98" s="165">
        <f t="shared" si="322"/>
        <v>3.2995102885334555E-5</v>
      </c>
      <c r="AC98" s="186">
        <f t="shared" si="420"/>
        <v>2.914189363770639E-5</v>
      </c>
      <c r="AD98" s="183">
        <f t="shared" si="421"/>
        <v>2.9140153674875013E-5</v>
      </c>
      <c r="AE98" s="183">
        <f t="shared" si="422"/>
        <v>2.8500828402191416E-5</v>
      </c>
      <c r="AF98" s="183">
        <f t="shared" si="423"/>
        <v>2.7947040121655257E-5</v>
      </c>
      <c r="AG98" s="183">
        <f t="shared" si="424"/>
        <v>2.730927994112987E-5</v>
      </c>
      <c r="AH98" s="183">
        <f t="shared" si="425"/>
        <v>2.6967685769709724E-5</v>
      </c>
      <c r="AI98" s="183">
        <f t="shared" si="426"/>
        <v>2.6506092972639505E-5</v>
      </c>
      <c r="AJ98" s="183">
        <f t="shared" si="427"/>
        <v>2.6053039606821979E-5</v>
      </c>
      <c r="AK98" s="183">
        <f t="shared" si="428"/>
        <v>2.5651144741458296E-5</v>
      </c>
      <c r="AL98" s="186">
        <f t="shared" si="323"/>
        <v>2.978675621783014E-2</v>
      </c>
      <c r="AM98" s="183">
        <f t="shared" si="324"/>
        <v>2.9785023666189181E-2</v>
      </c>
      <c r="AN98" s="183">
        <f t="shared" si="325"/>
        <v>2.9422047869668452E-2</v>
      </c>
      <c r="AO98" s="183">
        <f t="shared" si="326"/>
        <v>2.9114653614093159E-2</v>
      </c>
      <c r="AP98" s="183">
        <f t="shared" si="327"/>
        <v>2.8744763770555203E-2</v>
      </c>
      <c r="AQ98" s="183">
        <f t="shared" si="328"/>
        <v>2.8551623999872287E-2</v>
      </c>
      <c r="AR98" s="183">
        <f t="shared" si="329"/>
        <v>2.8276733069459003E-2</v>
      </c>
      <c r="AS98" s="183">
        <f t="shared" si="330"/>
        <v>2.8017078108601011E-2</v>
      </c>
      <c r="AT98" s="183">
        <f t="shared" si="331"/>
        <v>2.7774816052099832E-2</v>
      </c>
      <c r="AU98" s="186">
        <f>_xlfn.FORECAST.LINEAR(Sheet3!DF98,Sheet2!$AH$2:$AH$40,Sheet2!$AG$2:$AG$40)</f>
        <v>2.5653712965492358E-2</v>
      </c>
      <c r="AV98" s="183">
        <f>_xlfn.FORECAST.LINEAR(Sheet3!BZ98,Sheet2!$AH$2:$AH$40,Sheet2!$AG$2:$AG$40)</f>
        <v>2.5648248365254072E-2</v>
      </c>
      <c r="AW98" s="183">
        <f>_xlfn.FORECAST.LINEAR(Sheet3!CA98,Sheet2!$AH$2:$AH$40,Sheet2!$AG$2:$AG$40)</f>
        <v>2.4603550162033971E-2</v>
      </c>
      <c r="AX98" s="183">
        <f>_xlfn.FORECAST.LINEAR(Sheet3!CB98,Sheet2!$AH$2:$AH$40,Sheet2!$AG$2:$AG$40)</f>
        <v>2.3726369769515723E-2</v>
      </c>
      <c r="AY98" s="183">
        <f>_xlfn.FORECAST.LINEAR(Sheet3!CC98,Sheet2!$AH$2:$AH$40,Sheet2!$AG$2:$AG$40)</f>
        <v>2.2658315013278432E-2</v>
      </c>
      <c r="AZ98" s="183">
        <f>_xlfn.FORECAST.LINEAR(Sheet3!CD98,Sheet2!$AH$2:$AH$40,Sheet2!$AG$2:$AG$40)</f>
        <v>2.2107286031001795E-2</v>
      </c>
      <c r="BA98" s="183">
        <f>_xlfn.FORECAST.LINEAR(Sheet3!CE98,Sheet2!$AH$2:$AH$40,Sheet2!$AG$2:$AG$40)</f>
        <v>2.130716477736817E-2</v>
      </c>
      <c r="BB98" s="183">
        <f>_xlfn.FORECAST.LINEAR(Sheet3!CF98,Sheet2!$AH$2:$AH$40,Sheet2!$AG$2:$AG$40)</f>
        <v>2.0566681790729274E-2</v>
      </c>
      <c r="BC98" s="183">
        <f>_xlfn.FORECAST.LINEAR(Sheet3!CG98,Sheet2!$AH$2:$AH$40,Sheet2!$AG$2:$AG$40)</f>
        <v>1.9859615375169178E-2</v>
      </c>
      <c r="BD98" s="186">
        <f>_xlfn.FORECAST.LINEAR(Sheet3!DF98,Sheet2!$AB$12:$AB$37,Sheet2!$AA$12:$AA$37)/1000</f>
        <v>3.0506351161118033E-2</v>
      </c>
      <c r="BE98" s="183">
        <f>_xlfn.FORECAST.LINEAR(Sheet3!BZ98,Sheet2!$AB$12:$AB$37,Sheet2!$AA$12:$AA$37)/1000</f>
        <v>3.0505129402991282E-2</v>
      </c>
      <c r="BF98" s="183">
        <f>_xlfn.FORECAST.LINEAR(Sheet3!CA98,Sheet2!$AB$12:$AB$37,Sheet2!$AA$12:$AA$37)/1000</f>
        <v>3.0271559065889107E-2</v>
      </c>
      <c r="BG98" s="183">
        <f>_xlfn.FORECAST.LINEAR(Sheet3!CB98,Sheet2!$AB$12:$AB$37,Sheet2!$AA$12:$AA$37)/1000</f>
        <v>3.0075441833803906E-2</v>
      </c>
      <c r="BH98" s="183">
        <f>_xlfn.FORECAST.LINEAR(Sheet3!CC98,Sheet2!$AB$12:$AB$37,Sheet2!$AA$12:$AA$37)/1000</f>
        <v>2.983664951207023E-2</v>
      </c>
      <c r="BI98" s="183">
        <f>_xlfn.FORECAST.LINEAR(Sheet3!CD98,Sheet2!$AB$12:$AB$37,Sheet2!$AA$12:$AA$37)/1000</f>
        <v>2.9713452186041798E-2</v>
      </c>
      <c r="BJ98" s="183">
        <f>_xlfn.FORECAST.LINEAR(Sheet3!CE98,Sheet2!$AB$12:$AB$37,Sheet2!$AA$12:$AA$37)/1000</f>
        <v>2.9534563593759569E-2</v>
      </c>
      <c r="BK98" s="183">
        <f>_xlfn.FORECAST.LINEAR(Sheet3!CF98,Sheet2!$AB$12:$AB$37,Sheet2!$AA$12:$AA$37)/1000</f>
        <v>2.936900873755845E-2</v>
      </c>
      <c r="BL98" s="183">
        <f>_xlfn.FORECAST.LINEAR(Sheet3!CG98,Sheet2!$AB$12:$AB$37,Sheet2!$AA$12:$AA$37)/1000</f>
        <v>2.9210925053172895E-2</v>
      </c>
      <c r="BM98" s="186">
        <f t="shared" si="332"/>
        <v>0.92915478169515142</v>
      </c>
      <c r="BN98" s="183">
        <f t="shared" si="333"/>
        <v>0.92922490404653324</v>
      </c>
      <c r="BO98" s="183">
        <f t="shared" si="334"/>
        <v>0.94024627407707762</v>
      </c>
      <c r="BP98" s="183">
        <f t="shared" si="335"/>
        <v>0.94951679062146277</v>
      </c>
      <c r="BQ98" s="183">
        <f t="shared" si="336"/>
        <v>0.96131076744906141</v>
      </c>
      <c r="BR98" s="183">
        <f t="shared" si="337"/>
        <v>0.96737789070151758</v>
      </c>
      <c r="BS98" s="183">
        <f t="shared" si="338"/>
        <v>0.97659562655081134</v>
      </c>
      <c r="BT98" s="183">
        <f t="shared" si="339"/>
        <v>0.98502239450885609</v>
      </c>
      <c r="BU98" s="183">
        <f t="shared" si="340"/>
        <v>0.99345132695627281</v>
      </c>
      <c r="BV98" s="186">
        <f t="shared" si="341"/>
        <v>1.1000625399403221</v>
      </c>
      <c r="BW98" s="183">
        <f t="shared" si="342"/>
        <v>1.0999812212473572</v>
      </c>
      <c r="BX98" s="183">
        <f t="shared" si="343"/>
        <v>1.0979278291625532</v>
      </c>
      <c r="BY98" s="183">
        <f t="shared" si="344"/>
        <v>1.0971680700434843</v>
      </c>
      <c r="BZ98" s="183">
        <f t="shared" si="345"/>
        <v>1.0949257962286347</v>
      </c>
      <c r="CA98" s="183">
        <f t="shared" si="346"/>
        <v>1.0944375348045237</v>
      </c>
      <c r="CB98" s="183">
        <f t="shared" si="347"/>
        <v>1.0923674233709284</v>
      </c>
      <c r="CC98" s="183">
        <f t="shared" si="348"/>
        <v>1.0917377734285694</v>
      </c>
      <c r="CD98" s="183">
        <f t="shared" si="349"/>
        <v>1.0899280909707099</v>
      </c>
      <c r="CE98" s="187">
        <f xml:space="preserve"> -0.0000000019505*Sheet3!DF98^3 + 0.0000015497*Sheet3!DF98^2  + 0.00016911*Sheet3!DF98 + 1.8585</f>
        <v>1.8828730816875001</v>
      </c>
      <c r="CF98" s="185">
        <f xml:space="preserve"> -0.0000000019505*Sheet3!BZ98^3 + 0.0000015497*Sheet3!BZ98^2  + 0.00016911*Sheet3!BZ98 + 1.8585</f>
        <v>1.8828646903701145</v>
      </c>
      <c r="CG98" s="185">
        <f xml:space="preserve"> -0.0000000019505*Sheet3!CA98^3 + 0.0000015497*Sheet3!CA98^2  + 0.00016911*Sheet3!CA98 + 1.8585</f>
        <v>1.8812784873645205</v>
      </c>
      <c r="CH98" s="185">
        <f xml:space="preserve"> -0.0000000019505*Sheet3!CB98^3 + 0.0000015497*Sheet3!CB98^2  + 0.00016911*Sheet3!CB98 + 1.8585</f>
        <v>1.8799746965740554</v>
      </c>
      <c r="CI98" s="185">
        <f xml:space="preserve"> -0.0000000019505*Sheet3!CC98^3 + 0.0000015497*Sheet3!CC98^2  + 0.00016911*Sheet3!CC98 + 1.8585</f>
        <v>1.8784225250082338</v>
      </c>
      <c r="CJ98" s="185">
        <f xml:space="preserve"> -0.0000000019505*Sheet3!CD98^3 + 0.0000015497*Sheet3!CD98^2  + 0.00016911*Sheet3!CD98 + 1.8585</f>
        <v>1.877637164611319</v>
      </c>
      <c r="CK98" s="185">
        <f xml:space="preserve"> -0.0000000019505*Sheet3!CE98^3 + 0.0000015497*Sheet3!CE98^2  + 0.00016911*Sheet3!CE98 + 1.8585</f>
        <v>1.8765157947725575</v>
      </c>
      <c r="CL98" s="185">
        <f xml:space="preserve"> -0.0000000019505*Sheet3!CF98^3 + 0.0000015497*Sheet3!CF98^2  + 0.00016911*Sheet3!CF98 + 1.8585</f>
        <v>1.8754983536919596</v>
      </c>
      <c r="CM98" s="185">
        <f xml:space="preserve"> -0.0000000019505*Sheet3!CG98^3 + 0.0000015497*Sheet3!CG98^2  + 0.00016911*Sheet3!CG98 + 1.8585</f>
        <v>1.8745453552389801</v>
      </c>
      <c r="CN98" s="186">
        <f>_xlfn.FORECAST.LINEAR(Sheet3!DF98,New!$LU$2:$LU$14,New!$LT$2:$LT$14)</f>
        <v>1.0126209368728181</v>
      </c>
      <c r="CO98" s="183">
        <f>_xlfn.FORECAST.LINEAR(Sheet3!BZ98,New!$LU$2:$LU$14,New!$LT$2:$LT$14)</f>
        <v>1.012616914855351</v>
      </c>
      <c r="CP98" s="183">
        <f>_xlfn.FORECAST.LINEAR(Sheet3!CA98,New!$LU$2:$LU$14,New!$LT$2:$LT$14)</f>
        <v>1.011848003272094</v>
      </c>
      <c r="CQ98" s="183">
        <f>_xlfn.FORECAST.LINEAR(Sheet3!CB98,New!$LU$2:$LU$14,New!$LT$2:$LT$14)</f>
        <v>1.0112023869952265</v>
      </c>
      <c r="CR98" s="183">
        <f>_xlfn.FORECAST.LINEAR(Sheet3!CC98,New!$LU$2:$LU$14,New!$LT$2:$LT$14)</f>
        <v>1.0104162846825275</v>
      </c>
      <c r="CS98" s="183">
        <f>_xlfn.FORECAST.LINEAR(Sheet3!CD98,New!$LU$2:$LU$14,New!$LT$2:$LT$14)</f>
        <v>1.0100107201224691</v>
      </c>
      <c r="CT98" s="183">
        <f>_xlfn.FORECAST.LINEAR(Sheet3!CE98,New!$LU$2:$LU$14,New!$LT$2:$LT$14)</f>
        <v>1.0094218203827809</v>
      </c>
      <c r="CU98" s="183">
        <f>_xlfn.FORECAST.LINEAR(Sheet3!CF98,New!$LU$2:$LU$14,New!$LT$2:$LT$14)</f>
        <v>1.008876815190012</v>
      </c>
      <c r="CV98" s="183">
        <f>_xlfn.FORECAST.LINEAR(Sheet3!CG98,New!$LU$2:$LU$14,New!$LT$2:$LT$14)</f>
        <v>1.0083564050319582</v>
      </c>
      <c r="CW98" s="186">
        <f>EXP((17.625*Sheet3!BA98)/(243.04+Sheet3!BA98)) / EXP((17.625*Sheet3!DF98)/(243.04+Sheet3!DF98))</f>
        <v>0.23912250065846649</v>
      </c>
      <c r="CX98" s="183">
        <f>EXP((17.625*(Sheet3!BC98+273))/(243.04+(Sheet3!BC98+273)))/EXP((17.625*(Sheet3!BZ98+273))/(243.04+(Sheet3!BZ98+273)))</f>
        <v>0.66629465144440758</v>
      </c>
      <c r="CY98" s="183">
        <f>EXP((17.625*(Sheet3!BE98+273))/(243.04+(Sheet3!BE98+273))) / EXP((17.625*(Sheet3!CA98+273))/(243.04+(Sheet3!CA98+273)))</f>
        <v>0.69672193256231374</v>
      </c>
      <c r="CZ98" s="183">
        <f>EXP((17.625*(Sheet3!BG98+273))/(243.04+(Sheet3!BG98+273))) / EXP((17.625*(Sheet3!CB98+273))/(243.04+(Sheet3!CB98+273)))</f>
        <v>0.72629092697004261</v>
      </c>
      <c r="DA98" s="183">
        <f>EXP((17.625*(Sheet3!BI98+273))/(243.04+(Sheet3!BI98+273))) / EXP((17.625*(Sheet3!CC98+273))/(243.04+(Sheet3!CC98+273)))</f>
        <v>0.7606800905311667</v>
      </c>
      <c r="DB98" s="183">
        <f>EXP((17.625*(Sheet3!BK98+273))/(243.04+(Sheet3!BK98+273)))/EXP((17.625*(Sheet3!CD98+273))/(243.04+(Sheet3!CD98+273)))</f>
        <v>0.78124376648625382</v>
      </c>
      <c r="DC98" s="183">
        <f>EXP((17.625*(Sheet3!BM98+273))/(243.04+(Sheet3!BM98+273))) / EXP((17.625*(Sheet3!CE98+273))/(243.04+(Sheet3!CE98+273)))</f>
        <v>0.80807551825896562</v>
      </c>
      <c r="DD98" s="183">
        <f>EXP((17.625*(Sheet3!BO98+273))/(243.04+(Sheet3!BO98+273))) / EXP((17.625*(Sheet3!CF98+273))/(243.04+(Sheet3!CF98+273)))</f>
        <v>0.83823206789511429</v>
      </c>
      <c r="DE98" s="183">
        <f>EXP((17.625*(Sheet3!BQ98+273))/(243.04+(Sheet3!BQ98+273))) / EXP((17.625*(Sheet3!CG98+273))/(243.04+(Sheet3!CG98+273)))</f>
        <v>0.86416291860716454</v>
      </c>
      <c r="DF98" s="186">
        <f>((Sheet3!DA98-Sheet3!DB98)/New!$LQ$3)/(((Sheet3!DA98-Sheet3!DB98)/New!$LQ$3)+(Sheet3!DB98/New!$LP$3))</f>
        <v>0.84776895003229058</v>
      </c>
      <c r="DG98" s="183">
        <f>((Sheet3!DA98-Sheet3!DB98)/New!$LQ$3)/(((Sheet3!DA98-Sheet3!DB98)/New!$LQ$3)+((Sheet3!DB98-(Sheet3!B98*0.004))/New!$LP$3))</f>
        <v>0.84838395184069282</v>
      </c>
      <c r="DH98" s="183" cm="1">
        <f t="array" ref="DH98">((Sheet3!DA98-Sheet3!DB98)/New!$LQ$3)/(((Sheet3!DA98-Sheet3!DB98)/New!$LQ$3)+((Sheet3!DB98-(SUM(Sheet3!B98:C98*0.004)))/New!$LP$3))</f>
        <v>0.85814520837937214</v>
      </c>
      <c r="DI98" s="183" cm="1">
        <f t="array" ref="DI98">((Sheet3!DA98-Sheet3!DB98)/New!$LQ$3)/(((Sheet3!DA98-Sheet3!DB98)/New!$LQ$3)+((Sheet3!DB98-(SUM(Sheet3!B98:D98*0.004)))/New!$LP$3))</f>
        <v>0.85854840044870173</v>
      </c>
      <c r="DJ98" s="183" cm="1">
        <f t="array" ref="DJ98">((Sheet3!DA98-Sheet3!DB98)/New!$LQ$3)/(((Sheet3!DA98-Sheet3!DB98)/New!$LQ$3)+((Sheet3!DB98-(SUM(Sheet3!B98:E98*0.004)))/New!$LP$3))</f>
        <v>0.87009721560258946</v>
      </c>
      <c r="DK98" s="183" cm="1">
        <f t="array" ref="DK98">((Sheet3!DA98-Sheet3!DB98)/New!$LQ$3)/(((Sheet3!DA98-Sheet3!DB98)/New!$LQ$3)+((Sheet3!DB98-(SUM(Sheet3!B98:F98*0.004)))/New!$LP$3))</f>
        <v>0.87048580161430111</v>
      </c>
      <c r="DL98" s="183" cm="1">
        <f t="array" ref="DL98">((Sheet3!DA98-Sheet3!DB98)/New!$LQ$3)/(((Sheet3!DA98-Sheet3!DB98)/New!$LQ$3)+((Sheet3!DB98-(SUM(Sheet3!B98:G98*0.004)))/New!$LP$3))</f>
        <v>0.88283980999088907</v>
      </c>
      <c r="DM98" s="183" cm="1">
        <f t="array" ref="DM98">((Sheet3!DA98-Sheet3!DB98)/New!$LQ$3)/(((Sheet3!DA98-Sheet3!DB98)/New!$LQ$3)+((Sheet3!DB98-(SUM(Sheet3!B98:H98*0.004)))/New!$LP$3))</f>
        <v>0.88318650222784489</v>
      </c>
      <c r="DN98" s="183" cm="1">
        <f t="array" ref="DN98">((Sheet3!DA98-Sheet3!DB98)/New!$LQ$3)/(((Sheet3!DA98-Sheet3!DB98)/New!$LQ$3)+((Sheet3!DB98-(SUM(Sheet3!B98:I98*0.004)))/New!$LP$3))</f>
        <v>0.8943168175986822</v>
      </c>
      <c r="DO98" s="186">
        <f>(Sheet3!DB98/$LP$3) / ((Sheet3!DB98/$LP$3) + ((Sheet3!DA98-Sheet3!DB98)/$LQ$3))</f>
        <v>0.15223104996770948</v>
      </c>
      <c r="DP98" s="183">
        <f>((Sheet3!$DB98-(Sheet3!B98/4000)) / $LP$3) / (((Sheet3!$DA98-Sheet3!DB98) / $LQ$3) + (Sheet3!$DB98-((Sheet3!B98/4000)))/$LP$3)</f>
        <v>0.15219263847818124</v>
      </c>
      <c r="DQ98" s="183">
        <f>((Sheet3!$DB98-(SUM(Sheet3!B98:C98)/4000))/$LP$3)/(((Sheet3!$DA98-Sheet3!$DB98)/$LQ$3)+(Sheet3!$DB98-(SUM(Sheet3!B98:C98)/4000))/$LP$3)</f>
        <v>0.15158989081486299</v>
      </c>
      <c r="DR98" s="183">
        <f>((Sheet3!$DB98-(SUM(Sheet3!B98:D98)/4000))/$LP$3)/(((Sheet3!$DA98-Sheet3!$DB98)/$LQ$3)+(Sheet3!$DB98-(SUM(Sheet3!B98:D98)/4000))/$LP$3)</f>
        <v>0.15156527066426134</v>
      </c>
      <c r="DS98" s="183">
        <f>((Sheet3!$DB98-(SUM(Sheet3!B98:E98)/4000))/$LP$3)/(((Sheet3!$DA98-Sheet3!$DB98)/$LQ$3)+(Sheet3!$DB98-(SUM(Sheet3!B98:E98)/4000))/$LP$3)</f>
        <v>0.15086916056134969</v>
      </c>
      <c r="DT98" s="183">
        <f>((Sheet3!$DB98-(SUM(Sheet3!B98:F98)/4000))/$LP$3)/(((Sheet3!$DA98-Sheet3!$DB98)/$LQ$3)+(Sheet3!$DB98-(SUM(Sheet3!B98:F98)/4000))/$LP$3)</f>
        <v>0.15084603997930029</v>
      </c>
      <c r="DU98" s="183">
        <f>((Sheet3!$DB98-(SUM(Sheet3!B98:G98)/4000))/$LP$3)/(((Sheet3!$DA98-Sheet3!$DB98)/$LQ$3)+(Sheet3!$DB98-(SUM(Sheet3!B98:G98)/4000))/$LP$3)</f>
        <v>0.15012095673712614</v>
      </c>
      <c r="DV98" s="183">
        <f>((Sheet3!$DB98-(SUM(Sheet3!B98:H98)/4000))/$LP$3)/(((Sheet3!$DA98-Sheet3!$DB98)/$LQ$3)+(Sheet3!$DB98-(SUM(Sheet3!B98:H98)/4000))/$LP$3)</f>
        <v>0.15010088364393714</v>
      </c>
      <c r="DW98" s="183">
        <f>((Sheet3!$DB98-(SUM(Sheet3!B98:I98)/4000))/$LP$3)/(((Sheet3!$DA98-Sheet3!$DB98)/$LQ$3)+(Sheet3!$DB98-(SUM(Sheet3!B98:I98)/4000))/$LP$3)</f>
        <v>0.14946422941607854</v>
      </c>
      <c r="DX98" s="186">
        <f>($LR$2*($LP$3/1000))/($LP$2*(Sheet3!DF98+273))*DO98</f>
        <v>9.3360049835398001E-2</v>
      </c>
      <c r="DY98" s="183">
        <f>(($LR$2*($LP$3/1000))/($LP$2*(Sheet3!BZ98+273)))*(DP98)</f>
        <v>9.3342099126538014E-2</v>
      </c>
      <c r="DZ98" s="183">
        <f>(($LR$2*($LP$3/1000))/($LP$2*(Sheet3!CA98+273)))*(DQ98)</f>
        <v>9.4052421274947409E-2</v>
      </c>
      <c r="EA98" s="183">
        <f>(($LR$2*($LP$3/1000))/($LP$2*(Sheet3!CB98+273)))*(DR98)</f>
        <v>9.4963383716522756E-2</v>
      </c>
      <c r="EB98" s="183">
        <f>(($LR$2*($LP$3/1000))/($LP$2*(Sheet3!CC98+273)))*(DS98)</f>
        <v>9.5674660898832767E-2</v>
      </c>
      <c r="EC98" s="183">
        <f>(($LR$2*($LP$3/1000))/($LP$2*(Sheet3!CD98+273)))*(DT98)</f>
        <v>9.6262846027177731E-2</v>
      </c>
      <c r="ED98" s="183">
        <f>(($LR$2*($LP$3/1000))/($LP$2*(Sheet3!CE98+273)))*(DU98)</f>
        <v>9.6684874281889613E-2</v>
      </c>
      <c r="EE98" s="183">
        <f>(($LR$2*($LP$3/1000))/($LP$2*(Sheet3!CF98+273)))*(DV98)</f>
        <v>9.7505317010243203E-2</v>
      </c>
      <c r="EF98" s="183">
        <f>(($LR$2*($LP$3/1000))/($LP$2*(Sheet3!CG98+273)))*(DW98)</f>
        <v>9.7897598710677103E-2</v>
      </c>
      <c r="EG98" s="186">
        <f>(($LR$2*($LQ$3/1000))/($LQ$2*(Sheet3!DF98+273)))*(1-DO98)</f>
        <v>0.83579473185975339</v>
      </c>
      <c r="EH98" s="183">
        <f>(($LR$2*($LQ$3/1000))/($LQ$2*(Sheet3!BZ98+273)))*(1-DP98)</f>
        <v>0.83588280491999523</v>
      </c>
      <c r="EI98" s="183">
        <f>(($LR$2*($LQ$3/1000))/($LQ$2*(Sheet3!CA98+273)))*(1-DQ98)</f>
        <v>0.84619385280213022</v>
      </c>
      <c r="EJ98" s="183">
        <f>(($LR$2*($LQ$3/1000))/($LQ$2*(Sheet3!CB98+273)))*(1-DR98)</f>
        <v>0.85455340690493997</v>
      </c>
      <c r="EK98" s="183">
        <f>(($LR$2*($LQ$3/1000))/($LQ$2*(Sheet3!CC98+273)))*(1-DS98)</f>
        <v>0.8656361065502286</v>
      </c>
      <c r="EL98" s="183">
        <f>(($LR$2*($LQ$3/1000))/($LQ$2*(Sheet3!CD98+273)))*(1-DT98)</f>
        <v>0.87111504467433987</v>
      </c>
      <c r="EM98" s="183">
        <f>(($LR$2*($LQ$3/1000))/($LQ$2*(Sheet3!CE98+273)))*(1-DU98)</f>
        <v>0.87991075226892168</v>
      </c>
      <c r="EN98" s="183">
        <f>(($LR$2*($LQ$3/1000))/($LQ$2*(Sheet3!CF98+273)))*(1-DV98)</f>
        <v>0.88751707749861286</v>
      </c>
      <c r="EO98" s="183">
        <f>(($LR$2*($LQ$3/1000))/($LQ$2*(Sheet3!CG98+273)))*(1-DW98)</f>
        <v>0.89555372824559565</v>
      </c>
      <c r="EP98" s="186">
        <f t="shared" si="350"/>
        <v>4875.4515530618473</v>
      </c>
      <c r="EQ98" s="183">
        <f xml:space="preserve"> (($FV98-(Sheet3!B98/4000))*0.018)/(0.011*JO98*3600)</f>
        <v>4875.437064303951</v>
      </c>
      <c r="ER98" s="183">
        <f>((($FV98-(SUM(Sheet3!B98:C98)/4000))*0.018)/(0.011*JP98*3600))</f>
        <v>4914.2938532130001</v>
      </c>
      <c r="ES98" s="183">
        <f>((($FV98-(SUM(Sheet3!B98:D98)/4000))*0.018)/(0.011*JQ98*3600))</f>
        <v>4950.4531327842024</v>
      </c>
      <c r="ET98" s="183">
        <f>((($FV98-(SUM(Sheet3!B98:E98)/4000))*0.018)/(0.011*JR98))/3600</f>
        <v>4991.010560526146</v>
      </c>
      <c r="EU98" s="183">
        <f>((($FV98-(SUM(Sheet3!B98:F98)/4000))*0.018)/(0.011*JS98))/3600</f>
        <v>5014.357420895034</v>
      </c>
      <c r="EV98" s="183">
        <f>((($FV98-(SUM(Sheet3!B98:G98)/4000))*0.018)/(0.011*JT98))/3600</f>
        <v>5044.2262666602901</v>
      </c>
      <c r="EW98" s="183">
        <f>((($FV98-(SUM(Sheet3!B98:H98)/4000))*0.018)/(0.011*JU98))/3600</f>
        <v>5076.4351935550894</v>
      </c>
      <c r="EX98" s="183">
        <f>((($FV98-(SUM(Sheet3!B98:I98)/4000))*0.018)/(0.011*JV98))/3600</f>
        <v>5103.5659204521198</v>
      </c>
      <c r="EY98" s="186">
        <f t="shared" si="351"/>
        <v>50.509162756691197</v>
      </c>
      <c r="EZ98" s="183">
        <f t="shared" si="352"/>
        <v>50.508291941560586</v>
      </c>
      <c r="FA98" s="183">
        <f t="shared" si="353"/>
        <v>50.797820826279207</v>
      </c>
      <c r="FB98" s="183">
        <f t="shared" si="354"/>
        <v>51.078196199742365</v>
      </c>
      <c r="FC98" s="183">
        <f t="shared" si="355"/>
        <v>51.379147772661547</v>
      </c>
      <c r="FD98" s="183">
        <f t="shared" si="356"/>
        <v>51.56032458248167</v>
      </c>
      <c r="FE98" s="183">
        <f t="shared" si="357"/>
        <v>51.77744223370135</v>
      </c>
      <c r="FF98" s="183">
        <f t="shared" si="358"/>
        <v>52.027944795300783</v>
      </c>
      <c r="FG98" s="183">
        <f t="shared" si="359"/>
        <v>52.225536305412511</v>
      </c>
      <c r="FH98" s="186">
        <f t="shared" si="429"/>
        <v>83.583562100014788</v>
      </c>
      <c r="FI98" s="183">
        <f t="shared" si="430"/>
        <v>83.57725948989858</v>
      </c>
      <c r="FJ98" s="183">
        <f t="shared" si="431"/>
        <v>83.031995334757099</v>
      </c>
      <c r="FK98" s="183">
        <f t="shared" si="432"/>
        <v>82.617999421566026</v>
      </c>
      <c r="FL98" s="183">
        <f t="shared" si="433"/>
        <v>82.048970303200207</v>
      </c>
      <c r="FM98" s="183">
        <f t="shared" si="434"/>
        <v>81.785055599466048</v>
      </c>
      <c r="FN98" s="183">
        <f t="shared" si="435"/>
        <v>81.338717392317022</v>
      </c>
      <c r="FO98" s="183">
        <f t="shared" si="436"/>
        <v>80.981721842217979</v>
      </c>
      <c r="FP98" s="183">
        <f t="shared" si="437"/>
        <v>80.586370228060787</v>
      </c>
      <c r="FQ98" s="314">
        <f>Sheet3!CV98</f>
        <v>3</v>
      </c>
      <c r="FR98" s="183">
        <v>5000</v>
      </c>
      <c r="FS98" s="183">
        <v>10</v>
      </c>
      <c r="FT98" s="183">
        <v>0.11966666666666667</v>
      </c>
      <c r="FU98" s="183">
        <v>34.19</v>
      </c>
      <c r="FV98" s="183">
        <v>209</v>
      </c>
      <c r="FW98" s="183">
        <v>21</v>
      </c>
      <c r="FX98" s="183">
        <v>627</v>
      </c>
      <c r="FY98" s="183">
        <v>6.03</v>
      </c>
      <c r="FZ98" s="183">
        <v>9.34</v>
      </c>
      <c r="GA98" s="183">
        <v>85</v>
      </c>
      <c r="GB98" s="186">
        <f>EXP($LP$6-($LQ$6/('Trial and Error method'!T98+$LP$8))) / ($LR$2/1000)</f>
        <v>2.4501566242877842E-2</v>
      </c>
      <c r="GC98" s="183">
        <f>EXP($LP$6-($LQ$6/('Trial and Error method'!U98+$LP$8))) / ($LR$2/1000)</f>
        <v>3.4467275810674623E-2</v>
      </c>
      <c r="GD98" s="183">
        <f>EXP($LP$6-($LQ$6/('Trial and Error method'!V98+$LP$8))) / ($LR$2/1000)</f>
        <v>3.2500444045357978E-2</v>
      </c>
      <c r="GE98" s="183">
        <f>EXP($LP$6-($LQ$6/('Trial and Error method'!W98+$LP$8))) / ($LR$2/1000)</f>
        <v>3.0908635143633408E-2</v>
      </c>
      <c r="GF98" s="183">
        <f>EXP($LP$6-($LQ$6/('Trial and Error method'!X98+$LP$8))) / ($LR$2/1000)</f>
        <v>2.9327710730876803E-2</v>
      </c>
      <c r="GG98" s="183">
        <f>EXP($LP$6-($LQ$6/('Trial and Error method'!Y98+$LP$8))) / ($LR$2/1000)</f>
        <v>2.8112842384153784E-2</v>
      </c>
      <c r="GH98" s="183">
        <f>EXP($LP$6-($LQ$6/('Trial and Error method'!Z98+$LP$8))) / ($LR$2/1000)</f>
        <v>2.6808695473397814E-2</v>
      </c>
      <c r="GI98" s="183">
        <f>EXP($LP$6-($LQ$6/('Trial and Error method'!AA98+$LP$8))) / ($LR$2/1000)</f>
        <v>2.5682971131848031E-2</v>
      </c>
      <c r="GJ98" s="183">
        <f>EXP($LP$6-($LQ$6/('Trial and Error method'!AB98+$LP$8))) / ($LR$2/1000)</f>
        <v>2.4497636085214436E-2</v>
      </c>
      <c r="GK98" s="188">
        <f t="shared" si="411"/>
        <v>0.9101403812288249</v>
      </c>
      <c r="GL98" s="165">
        <f t="shared" si="360"/>
        <v>0.90539478356616443</v>
      </c>
      <c r="GM98" s="165">
        <f t="shared" si="361"/>
        <v>0.90665166579955803</v>
      </c>
      <c r="GN98" s="165">
        <f t="shared" si="362"/>
        <v>0.90742650765913468</v>
      </c>
      <c r="GO98" s="165">
        <f t="shared" si="363"/>
        <v>0.9085470279919261</v>
      </c>
      <c r="GP98" s="165">
        <f t="shared" si="364"/>
        <v>0.90914023782144004</v>
      </c>
      <c r="GQ98" s="165">
        <f t="shared" si="365"/>
        <v>0.9101433360147908</v>
      </c>
      <c r="GR98" s="165">
        <f t="shared" si="366"/>
        <v>0.91069202459404519</v>
      </c>
      <c r="GS98" s="165">
        <f t="shared" si="367"/>
        <v>0.91159191546502771</v>
      </c>
      <c r="GT98" s="188">
        <f t="shared" si="438"/>
        <v>5.9681471603323565E-2</v>
      </c>
      <c r="GU98" s="165">
        <f t="shared" si="439"/>
        <v>5.999128051611205E-2</v>
      </c>
      <c r="GV98" s="165">
        <f t="shared" si="440"/>
        <v>5.9917111416493724E-2</v>
      </c>
      <c r="GW98" s="165">
        <f t="shared" si="441"/>
        <v>5.9887281241183289E-2</v>
      </c>
      <c r="GX98" s="165">
        <f t="shared" si="442"/>
        <v>5.9825722069633748E-2</v>
      </c>
      <c r="GY98" s="165">
        <f t="shared" si="443"/>
        <v>5.9802417767854665E-2</v>
      </c>
      <c r="GZ98" s="165">
        <f t="shared" si="444"/>
        <v>5.9743795553009536E-2</v>
      </c>
      <c r="HA98" s="165">
        <f t="shared" si="445"/>
        <v>5.9732084690737354E-2</v>
      </c>
      <c r="HB98" s="165">
        <f t="shared" si="446"/>
        <v>5.9675236645574239E-2</v>
      </c>
      <c r="HC98" s="188">
        <f>BV98*Sheet3!DF98</f>
        <v>93.505315894927378</v>
      </c>
      <c r="HD98" s="165">
        <f>BW98*Sheet3!BZ98</f>
        <v>93.47475211621726</v>
      </c>
      <c r="HE98" s="165">
        <f>BX98*Sheet3!CA98</f>
        <v>88.787072817614657</v>
      </c>
      <c r="HF98" s="165">
        <f>BY98*Sheet3!CB98</f>
        <v>84.938761101992668</v>
      </c>
      <c r="HG98" s="165">
        <f>BZ98*Sheet3!CC98</f>
        <v>80.163701168291936</v>
      </c>
      <c r="HH98" s="165">
        <f>CA98*Sheet3!CD98</f>
        <v>77.755029142435873</v>
      </c>
      <c r="HI98" s="165">
        <f>CB98*Sheet3!CE98</f>
        <v>74.168870585522839</v>
      </c>
      <c r="HJ98" s="165">
        <f>CC98*Sheet3!CF98</f>
        <v>70.9452050072628</v>
      </c>
      <c r="HK98" s="165">
        <f>CD98*Sheet3!CG98</f>
        <v>67.795274374665837</v>
      </c>
      <c r="HL98" s="188">
        <f>(CE98*Sheet3!DF98)+2501</f>
        <v>2661.0442119434374</v>
      </c>
      <c r="HM98" s="165">
        <f>(CF98*Sheet3!BZ98)+2501</f>
        <v>2661.0030135070338</v>
      </c>
      <c r="HN98" s="165">
        <f>(CG98*Sheet3!CA98)+2501</f>
        <v>2653.1349633475002</v>
      </c>
      <c r="HO98" s="165">
        <f>(CH98*Sheet3!CB98)+2501</f>
        <v>2646.5408027174599</v>
      </c>
      <c r="HP98" s="165">
        <f>(CI98*Sheet3!CC98)+2501</f>
        <v>2638.5264903623706</v>
      </c>
      <c r="HQ98" s="165">
        <f>(CJ98*Sheet3!CD98)+2501</f>
        <v>2634.397958138698</v>
      </c>
      <c r="HR98" s="165">
        <f>(CK98*Sheet3!CE98)+2501</f>
        <v>2628.4104794380301</v>
      </c>
      <c r="HS98" s="165">
        <f>(CL98*Sheet3!CF98)+2501</f>
        <v>2622.8768997756638</v>
      </c>
      <c r="HT98" s="165">
        <f>(CM98*Sheet3!CG98)+2501</f>
        <v>2617.599725925953</v>
      </c>
      <c r="HU98" s="188">
        <f>-0.0021*(Sheet3!DF98^2) - 2.2115*(Sheet3!DF98) + 2499</f>
        <v>2295.85</v>
      </c>
      <c r="HV98" s="165">
        <f>-0.0021*(Sheet3!BZ98^2) - 2.2115*(Sheet3!BZ98) + 2499</f>
        <v>2295.905226667629</v>
      </c>
      <c r="HW98" s="165">
        <f>-0.0021*(Sheet3!CA98^2) - 2.2115*(Sheet3!CA98) + 2499</f>
        <v>2306.4275476681223</v>
      </c>
      <c r="HX98" s="165">
        <f>-0.0021*(Sheet3!CB98^2) - 2.2115*(Sheet3!CB98) + 2499</f>
        <v>2315.2077984901111</v>
      </c>
      <c r="HY98" s="165">
        <f>-0.0021*(Sheet3!CC98^2) - 2.2115*(Sheet3!CC98) + 2499</f>
        <v>2325.8310815248396</v>
      </c>
      <c r="HZ98" s="165">
        <f>-0.0021*(Sheet3!CD98^2) - 2.2115*(Sheet3!CD98) + 2499</f>
        <v>2331.2828207144103</v>
      </c>
      <c r="IA98" s="165">
        <f>-0.0021*(Sheet3!CE98^2) - 2.2115*(Sheet3!CE98) + 2499</f>
        <v>2339.1638656189702</v>
      </c>
      <c r="IB98" s="165">
        <f>-0.0021*(Sheet3!CF98^2) - 2.2115*(Sheet3!CF98) + 2499</f>
        <v>2346.4203942502395</v>
      </c>
      <c r="IC98" s="165">
        <f>-0.0021*(Sheet3!CG98^2) - 2.2115*(Sheet3!CG98) + 2499</f>
        <v>2353.3161722795985</v>
      </c>
      <c r="ID98" s="188">
        <f t="shared" si="447"/>
        <v>0.71961950304356148</v>
      </c>
      <c r="IE98" s="165">
        <f t="shared" si="448"/>
        <v>0.71958878261953685</v>
      </c>
      <c r="IF98" s="165">
        <f t="shared" si="449"/>
        <v>0.72101898004410547</v>
      </c>
      <c r="IG98" s="165">
        <f t="shared" si="450"/>
        <v>0.72279507849200075</v>
      </c>
      <c r="IH98" s="165">
        <f t="shared" si="451"/>
        <v>0.72427095169899058</v>
      </c>
      <c r="II98" s="165">
        <f t="shared" si="452"/>
        <v>0.72543864623579135</v>
      </c>
      <c r="IJ98" s="165">
        <f t="shared" si="453"/>
        <v>0.72636727130143841</v>
      </c>
      <c r="IK98" s="165">
        <f t="shared" si="454"/>
        <v>0.7280164691138542</v>
      </c>
      <c r="IL98" s="165">
        <f t="shared" si="455"/>
        <v>0.72889176266746047</v>
      </c>
      <c r="IM98" s="188">
        <f t="shared" si="456"/>
        <v>17.501456381653956</v>
      </c>
      <c r="IN98" s="165">
        <f t="shared" si="368"/>
        <v>16.214819770756229</v>
      </c>
      <c r="IO98" s="165">
        <f t="shared" si="369"/>
        <v>16.45750373484919</v>
      </c>
      <c r="IP98" s="165">
        <f t="shared" si="370"/>
        <v>16.729223567451005</v>
      </c>
      <c r="IQ98" s="165">
        <f t="shared" si="371"/>
        <v>16.911827166428221</v>
      </c>
      <c r="IR98" s="165">
        <f t="shared" si="372"/>
        <v>17.111014331827498</v>
      </c>
      <c r="IS98" s="165">
        <f t="shared" si="373"/>
        <v>17.232953589963554</v>
      </c>
      <c r="IT98" s="165">
        <f t="shared" si="374"/>
        <v>17.437989321117161</v>
      </c>
      <c r="IU98" s="165">
        <f t="shared" si="375"/>
        <v>17.549645979789435</v>
      </c>
      <c r="IV98" s="188">
        <f>_xlfn.FORECAST.LINEAR(Sheet3!DF98,Sheet2!$AK$2:$AK$69,Sheet2!$AJ$2:$AJ$69)</f>
        <v>1.1761434736095797E-5</v>
      </c>
      <c r="IW98" s="165">
        <f>_xlfn.FORECAST.LINEAR(Sheet3!BZ98,Sheet2!$AK$2:$AK$69,Sheet2!$AJ$2:$AJ$69)</f>
        <v>1.1760681904757184E-5</v>
      </c>
      <c r="IX98" s="165">
        <f>_xlfn.FORECAST.LINEAR(Sheet3!CA98,Sheet2!$AK$2:$AK$69,Sheet2!$AJ$2:$AJ$69)</f>
        <v>1.1616758925493848E-5</v>
      </c>
      <c r="IY98" s="165">
        <f>_xlfn.FORECAST.LINEAR(Sheet3!CB98,Sheet2!$AK$2:$AK$69,Sheet2!$AJ$2:$AJ$69)</f>
        <v>1.1495914058475341E-5</v>
      </c>
      <c r="IZ98" s="165">
        <f>_xlfn.FORECAST.LINEAR(Sheet3!CC98,Sheet2!$AK$2:$AK$69,Sheet2!$AJ$2:$AJ$69)</f>
        <v>1.1348773360750162E-5</v>
      </c>
      <c r="JA98" s="165">
        <f>_xlfn.FORECAST.LINEAR(Sheet3!CD98,Sheet2!$AK$2:$AK$69,Sheet2!$AJ$2:$AJ$69)</f>
        <v>1.1272860783754E-5</v>
      </c>
      <c r="JB98" s="165">
        <f>_xlfn.FORECAST.LINEAR(Sheet3!CE98,Sheet2!$AK$2:$AK$69,Sheet2!$AJ$2:$AJ$69)</f>
        <v>1.1162631978688654E-5</v>
      </c>
      <c r="JC98" s="165">
        <f>_xlfn.FORECAST.LINEAR(Sheet3!CF98,Sheet2!$AK$2:$AK$69,Sheet2!$AJ$2:$AJ$69)</f>
        <v>1.106061924697112E-5</v>
      </c>
      <c r="JD98" s="165">
        <f>_xlfn.FORECAST.LINEAR(Sheet3!CG98,Sheet2!$AK$2:$AK$69,Sheet2!$AJ$2:$AJ$69)</f>
        <v>1.0963210153368022E-5</v>
      </c>
      <c r="JE98" s="188">
        <f>_xlfn.FORECAST.LINEAR(Sheet3!DF98,New!$MC$2:$MC$18,New!$MB$2:$MB$18)</f>
        <v>2.0908514659214704E-5</v>
      </c>
      <c r="JF98" s="165">
        <f>_xlfn.FORECAST.LINEAR(Sheet3!BZ98,New!$MC$2:$MC$18,New!$MB$2:$MB$18)</f>
        <v>2.090762968780528E-5</v>
      </c>
      <c r="JG98" s="165">
        <f>_xlfn.FORECAST.LINEAR(Sheet3!CA98,New!$MC$2:$MC$18,New!$MB$2:$MB$18)</f>
        <v>2.0738444751852056E-5</v>
      </c>
      <c r="JH98" s="165">
        <f>_xlfn.FORECAST.LINEAR(Sheet3!CB98,New!$MC$2:$MC$18,New!$MB$2:$MB$18)</f>
        <v>2.0596388693872642E-5</v>
      </c>
      <c r="JI98" s="165">
        <f>_xlfn.FORECAST.LINEAR(Sheet3!CC98,New!$MC$2:$MC$18,New!$MB$2:$MB$18)</f>
        <v>2.0423421252202338E-5</v>
      </c>
      <c r="JJ98" s="165">
        <f>_xlfn.FORECAST.LINEAR(Sheet3!CD98,New!$MC$2:$MC$18,New!$MB$2:$MB$18)</f>
        <v>2.0334184185662462E-5</v>
      </c>
      <c r="JK98" s="165">
        <f>_xlfn.FORECAST.LINEAR(Sheet3!CE98,New!$MC$2:$MC$18,New!$MB$2:$MB$18)</f>
        <v>2.0204607564745942E-5</v>
      </c>
      <c r="JL98" s="165">
        <f>_xlfn.FORECAST.LINEAR(Sheet3!CF98,New!$MC$2:$MC$18,New!$MB$2:$MB$18)</f>
        <v>2.0084689136358868E-5</v>
      </c>
      <c r="JM98" s="165">
        <f>_xlfn.FORECAST.LINEAR(Sheet3!CG98,New!$MC$2:$MC$18,New!$MB$2:$MB$18)</f>
        <v>1.9970182395692056E-5</v>
      </c>
      <c r="JN98" s="188">
        <f t="shared" si="376"/>
        <v>1.9485374629625591E-5</v>
      </c>
      <c r="JO98" s="165">
        <f t="shared" si="377"/>
        <v>1.9484849837656863E-5</v>
      </c>
      <c r="JP98" s="165">
        <f t="shared" si="378"/>
        <v>1.9321720774650651E-5</v>
      </c>
      <c r="JQ98" s="165">
        <f t="shared" si="379"/>
        <v>1.9180223084173275E-5</v>
      </c>
      <c r="JR98" s="165">
        <f t="shared" si="380"/>
        <v>1.9014071532675265E-5</v>
      </c>
      <c r="JS98" s="165">
        <f t="shared" si="381"/>
        <v>1.892520203631367E-5</v>
      </c>
      <c r="JT98" s="165">
        <f t="shared" si="382"/>
        <v>1.8802550315533974E-5</v>
      </c>
      <c r="JU98" s="165">
        <f t="shared" si="383"/>
        <v>1.8682961033266203E-5</v>
      </c>
      <c r="JV98" s="165">
        <f t="shared" si="384"/>
        <v>1.8574468166931182E-5</v>
      </c>
      <c r="JW98" s="188">
        <f t="shared" si="302"/>
        <v>1.0444458673781256</v>
      </c>
      <c r="JX98" s="165">
        <f t="shared" si="385"/>
        <v>1.0444581457360098</v>
      </c>
      <c r="JY98" s="165">
        <f t="shared" si="386"/>
        <v>1.0468335566081319</v>
      </c>
      <c r="JZ98" s="165">
        <f t="shared" si="387"/>
        <v>1.0488721936532666</v>
      </c>
      <c r="KA98" s="165">
        <f t="shared" si="388"/>
        <v>1.0514107224970444</v>
      </c>
      <c r="KB98" s="165">
        <f t="shared" si="389"/>
        <v>1.0527452774172599</v>
      </c>
      <c r="KC98" s="165">
        <f t="shared" si="390"/>
        <v>1.0547141363595602</v>
      </c>
      <c r="KD98" s="165">
        <f t="shared" si="391"/>
        <v>1.0565697991179017</v>
      </c>
      <c r="KE98" s="165">
        <f t="shared" si="392"/>
        <v>1.0583726461967673</v>
      </c>
      <c r="KF98" s="188">
        <f t="shared" si="393"/>
        <v>0.94446821821306282</v>
      </c>
      <c r="KG98" s="165">
        <f t="shared" si="394"/>
        <v>0.94445884163721661</v>
      </c>
      <c r="KH98" s="165">
        <f t="shared" si="395"/>
        <v>0.94265053758152906</v>
      </c>
      <c r="KI98" s="165">
        <f t="shared" si="396"/>
        <v>0.94110762550917904</v>
      </c>
      <c r="KJ98" s="165">
        <f t="shared" si="397"/>
        <v>0.93919791698877708</v>
      </c>
      <c r="KK98" s="165">
        <f t="shared" si="398"/>
        <v>0.93819903847360919</v>
      </c>
      <c r="KL98" s="165">
        <f t="shared" si="399"/>
        <v>0.93673175969783617</v>
      </c>
      <c r="KM98" s="165">
        <f t="shared" si="400"/>
        <v>0.93535573163967878</v>
      </c>
      <c r="KN98" s="165">
        <f t="shared" si="401"/>
        <v>0.93402522584834746</v>
      </c>
      <c r="KO98" s="188">
        <f t="shared" si="457"/>
        <v>0.58410359264157696</v>
      </c>
      <c r="KP98" s="165">
        <f t="shared" si="458"/>
        <v>0.58412131093126518</v>
      </c>
      <c r="KQ98" s="165">
        <f t="shared" si="459"/>
        <v>0.58105973909397024</v>
      </c>
      <c r="KR98" s="165">
        <f t="shared" si="460"/>
        <v>0.57843149627662171</v>
      </c>
      <c r="KS98" s="165">
        <f t="shared" si="461"/>
        <v>0.57522037388937053</v>
      </c>
      <c r="KT98" s="165">
        <f t="shared" si="462"/>
        <v>0.57352754283739249</v>
      </c>
      <c r="KU98" s="165">
        <f t="shared" si="463"/>
        <v>0.57108242500638862</v>
      </c>
      <c r="KV98" s="165">
        <f t="shared" si="464"/>
        <v>0.56875989286836481</v>
      </c>
      <c r="KW98" s="165">
        <f t="shared" si="465"/>
        <v>0.56665706332287202</v>
      </c>
      <c r="KX98" s="188">
        <f>AVERAGE(Sheet3!J98:P98)*KO98^(1/3)/ID98^(1/3)</f>
        <v>148.09655741674004</v>
      </c>
      <c r="KY98" s="165">
        <f>Sheet3!J98*KP98^(1/3)/IE98^(1/3)</f>
        <v>150.35403389685385</v>
      </c>
      <c r="KZ98" s="165">
        <f>Sheet3!K98*KQ98^(1/3)/IF98^(1/3)</f>
        <v>141.01237926026738</v>
      </c>
      <c r="LA98" s="165">
        <f>Sheet3!L98*KR98^(1/3)/IG98^(1/3)</f>
        <v>138.76922805981422</v>
      </c>
      <c r="LB98" s="165">
        <f>Sheet3!M98*KS98^(1/3)/IH98^(1/3)</f>
        <v>139.36103990000373</v>
      </c>
      <c r="LC98" s="165">
        <f>Sheet3!N98*KT98^(1/3)/II98^(1/3)</f>
        <v>143.96415560450433</v>
      </c>
      <c r="LD98" s="165">
        <f>Sheet3!O98*KU98^(1/3)/IJ98^(1/3)</f>
        <v>152.8233438775078</v>
      </c>
      <c r="LE98" s="165">
        <f>Sheet3!P98*KV98^(1/3)/IK98^(1/3)</f>
        <v>163.39015261990218</v>
      </c>
      <c r="LF98" s="165">
        <f>Sheet3!Q98*KW98^(1/3)/IL98^(1/3)</f>
        <v>173.04998358763717</v>
      </c>
      <c r="LG98" s="186">
        <f t="shared" si="402"/>
        <v>27.293831158103423</v>
      </c>
      <c r="LH98" s="183">
        <f t="shared" si="403"/>
        <v>27.310949627490899</v>
      </c>
      <c r="LI98" s="183">
        <f t="shared" si="404"/>
        <v>27.582777117696374</v>
      </c>
      <c r="LJ98" s="183">
        <f t="shared" si="405"/>
        <v>27.594010028011073</v>
      </c>
      <c r="LK98" s="183">
        <f t="shared" si="406"/>
        <v>27.915923291363708</v>
      </c>
      <c r="LL98" s="183">
        <f t="shared" si="407"/>
        <v>27.926760224977254</v>
      </c>
      <c r="LM98" s="183">
        <f t="shared" si="408"/>
        <v>28.271469932955476</v>
      </c>
      <c r="LN98" s="183">
        <f t="shared" si="409"/>
        <v>28.281148523363917</v>
      </c>
      <c r="LO98" s="183">
        <f t="shared" si="410"/>
        <v>28.592013130588494</v>
      </c>
      <c r="LT98" s="165"/>
      <c r="MF98" s="165"/>
      <c r="MJ98"/>
      <c r="MK98"/>
      <c r="ML98"/>
      <c r="MM98"/>
      <c r="MN98"/>
      <c r="MO98"/>
      <c r="MP98"/>
      <c r="MQ98"/>
      <c r="MR98"/>
    </row>
    <row r="99" spans="1:356" x14ac:dyDescent="0.3">
      <c r="A99" s="184" t="str">
        <f>Sheet3!A99</f>
        <v>2023.02.28-2</v>
      </c>
      <c r="B99" s="186">
        <f t="shared" si="313"/>
        <v>0.89712198975341717</v>
      </c>
      <c r="C99" s="183">
        <f t="shared" si="412"/>
        <v>0.89620645008542243</v>
      </c>
      <c r="D99" s="183">
        <f t="shared" si="413"/>
        <v>0.88787201336489596</v>
      </c>
      <c r="E99" s="183">
        <f t="shared" si="414"/>
        <v>0.87918573771228725</v>
      </c>
      <c r="F99" s="183">
        <f t="shared" si="415"/>
        <v>0.86877416497548121</v>
      </c>
      <c r="G99" s="183">
        <f t="shared" si="416"/>
        <v>0.8630213033520161</v>
      </c>
      <c r="H99" s="183">
        <f t="shared" si="417"/>
        <v>0.85491923985759721</v>
      </c>
      <c r="I99" s="183">
        <f t="shared" si="418"/>
        <v>0.84824897829889701</v>
      </c>
      <c r="J99" s="183">
        <f t="shared" si="419"/>
        <v>0.84078063174901585</v>
      </c>
      <c r="K99" s="186">
        <f xml:space="preserve"> (6.057 * (10^(-6)))
+ (4.055 * (10^(-8)) * (Sheet3!DF99 + 273))
+ (1.25 * (10^(-10)) * (Sheet3!DF99 + 273)^2)
- (3.367 * (10^(-14)) * (DD99 + 273)^3)</f>
        <v>4.4158506805558884E-5</v>
      </c>
      <c r="L99" s="183">
        <f xml:space="preserve"> (6.057 * (10^(-6)))
+ (4.055 * (10^(-8)) * (Sheet3!BZ99 + 273))
+ (1.25 * (10^(-10)) * (Sheet3!BZ99 + 273)^2)
- (3.367 * (10^(-14)) * (BX99 + 273)^3)</f>
        <v>4.4037080554744907E-5</v>
      </c>
      <c r="M99" s="183">
        <f xml:space="preserve"> (6.057 * (10^(-6)))
+ (4.055 * (10^(-8)) * (Sheet3!CA99 + 273))
+ (1.25 * (10^(-10)) * (Sheet3!CA99 + 273)^2)
- (3.367 * (10^(-14)) * (BY99 + 273)^3)</f>
        <v>4.3043491442042735E-5</v>
      </c>
      <c r="N99" s="183">
        <f xml:space="preserve"> (6.057 * (10^(-6)))
+ (4.055 * (10^(-8)) * (Sheet3!CB99 + 273))
+ (1.25 * (10^(-10)) * (Sheet3!CB99 + 273)^2)
- (3.367 * (10^(-14)) * (BZ99 + 273)^3)</f>
        <v>4.2098586791868245E-5</v>
      </c>
      <c r="O99" s="183">
        <f xml:space="preserve"> (6.057 * (10^(-6)))
+ (4.055 * (10^(-8)) * (Sheet3!CC99 + 273))
+ (1.25 * (10^(-10)) * (Sheet3!CC99 + 273)^2)
- (3.367 * (10^(-14)) * (CA99 + 273)^3)</f>
        <v>4.0937160394582122E-5</v>
      </c>
      <c r="P99" s="183">
        <f xml:space="preserve"> (6.057 * (10^(-6)))
+ (4.055 * (10^(-8)) * (Sheet3!CD99 + 273))
+ (1.25 * (10^(-10)) * (Sheet3!CD99 + 273)^2)
- (3.367 * (10^(-14)) * (CB99 + 273)^3)</f>
        <v>4.0357336685927754E-5</v>
      </c>
      <c r="Q99" s="183">
        <f xml:space="preserve"> (6.057 * (10^(-6)))
+ (4.055 * (10^(-8)) * (Sheet3!CE99 + 273))
+ (1.25 * (10^(-10)) * (Sheet3!CE99 + 273)^2)
- (3.367 * (10^(-14)) * (CC99 + 273)^3)</f>
        <v>3.9495585154036432E-5</v>
      </c>
      <c r="R99" s="183">
        <f xml:space="preserve"> (6.057 * (10^(-6)))
+ (4.055 * (10^(-8)) * (Sheet3!CF99 + 273))
+ (1.25 * (10^(-10)) * (Sheet3!CF99 + 273)^2)
- (3.367 * (10^(-14)) * (CD99 + 273)^3)</f>
        <v>3.8861915336140325E-5</v>
      </c>
      <c r="S99" s="183">
        <f xml:space="preserve"> (6.057 * (10^(-6)))
+ (4.055 * (10^(-8)) * (Sheet3!CG99 + 273))
+ (1.25 * (10^(-10)) * (Sheet3!CG99 + 273)^2)
- (3.367 * (10^(-14)) * (CE99 + 273)^3)</f>
        <v>3.8095733520897736E-5</v>
      </c>
      <c r="T99" s="188">
        <f t="shared" si="314"/>
        <v>4.4158506805558884E-5</v>
      </c>
      <c r="U99" s="165">
        <f t="shared" si="315"/>
        <v>4.4037080554744907E-5</v>
      </c>
      <c r="V99" s="165">
        <f t="shared" si="316"/>
        <v>4.3043491442042735E-5</v>
      </c>
      <c r="W99" s="165">
        <f t="shared" si="317"/>
        <v>4.2098586791868245E-5</v>
      </c>
      <c r="X99" s="165">
        <f t="shared" si="318"/>
        <v>4.0937160394582122E-5</v>
      </c>
      <c r="Y99" s="165">
        <f t="shared" si="319"/>
        <v>4.0357336685927754E-5</v>
      </c>
      <c r="Z99" s="165">
        <f t="shared" si="320"/>
        <v>3.9495585154036432E-5</v>
      </c>
      <c r="AA99" s="165">
        <f t="shared" si="321"/>
        <v>3.8861915336140325E-5</v>
      </c>
      <c r="AB99" s="165">
        <f t="shared" si="322"/>
        <v>3.8095733520897736E-5</v>
      </c>
      <c r="AC99" s="186">
        <f t="shared" si="420"/>
        <v>3.96155674899428E-5</v>
      </c>
      <c r="AD99" s="183">
        <f t="shared" si="421"/>
        <v>3.9466315636093716E-5</v>
      </c>
      <c r="AE99" s="183">
        <f t="shared" si="422"/>
        <v>3.8217111408901151E-5</v>
      </c>
      <c r="AF99" s="183">
        <f t="shared" si="423"/>
        <v>3.7012477085253435E-5</v>
      </c>
      <c r="AG99" s="183">
        <f t="shared" si="424"/>
        <v>3.5565147338270425E-5</v>
      </c>
      <c r="AH99" s="183">
        <f t="shared" si="425"/>
        <v>3.4829241306505507E-5</v>
      </c>
      <c r="AI99" s="183">
        <f t="shared" si="426"/>
        <v>3.3765535637619829E-5</v>
      </c>
      <c r="AJ99" s="183">
        <f t="shared" si="427"/>
        <v>3.2964579978619267E-5</v>
      </c>
      <c r="AK99" s="183">
        <f t="shared" si="428"/>
        <v>3.203015489664256E-5</v>
      </c>
      <c r="AL99" s="186">
        <f t="shared" si="323"/>
        <v>3.506958764164287E-2</v>
      </c>
      <c r="AM99" s="183">
        <f t="shared" si="324"/>
        <v>3.4999202266589265E-2</v>
      </c>
      <c r="AN99" s="183">
        <f t="shared" si="325"/>
        <v>3.4394081416864494E-2</v>
      </c>
      <c r="AO99" s="183">
        <f t="shared" si="326"/>
        <v>3.381397599729298E-2</v>
      </c>
      <c r="AP99" s="183">
        <f t="shared" si="327"/>
        <v>3.3088394864711899E-2</v>
      </c>
      <c r="AQ99" s="183">
        <f t="shared" si="328"/>
        <v>3.2723075346363054E-2</v>
      </c>
      <c r="AR99" s="183">
        <f t="shared" si="329"/>
        <v>3.2173790989561205E-2</v>
      </c>
      <c r="AS99" s="183">
        <f t="shared" si="330"/>
        <v>3.1766236481315345E-2</v>
      </c>
      <c r="AT99" s="183">
        <f t="shared" si="331"/>
        <v>3.1272820128416194E-2</v>
      </c>
      <c r="AU99" s="186">
        <f>_xlfn.FORECAST.LINEAR(Sheet3!DF99,Sheet2!$AH$2:$AH$40,Sheet2!$AG$2:$AG$40)</f>
        <v>4.0902410270024961E-2</v>
      </c>
      <c r="AV99" s="183">
        <f>_xlfn.FORECAST.LINEAR(Sheet3!BZ99,Sheet2!$AH$2:$AH$40,Sheet2!$AG$2:$AG$40)</f>
        <v>4.0697489723843648E-2</v>
      </c>
      <c r="AW99" s="183">
        <f>_xlfn.FORECAST.LINEAR(Sheet3!CA99,Sheet2!$AH$2:$AH$40,Sheet2!$AG$2:$AG$40)</f>
        <v>3.8943716932396663E-2</v>
      </c>
      <c r="AX99" s="183">
        <f>_xlfn.FORECAST.LINEAR(Sheet3!CB99,Sheet2!$AH$2:$AH$40,Sheet2!$AG$2:$AG$40)</f>
        <v>3.7256013606943666E-2</v>
      </c>
      <c r="AY99" s="183">
        <f>_xlfn.FORECAST.LINEAR(Sheet3!CC99,Sheet2!$AH$2:$AH$40,Sheet2!$AG$2:$AG$40)</f>
        <v>3.5154084086546883E-2</v>
      </c>
      <c r="AZ99" s="183">
        <f>_xlfn.FORECAST.LINEAR(Sheet3!CD99,Sheet2!$AH$2:$AH$40,Sheet2!$AG$2:$AG$40)</f>
        <v>3.4092944659166742E-2</v>
      </c>
      <c r="BA99" s="183">
        <f>_xlfn.FORECAST.LINEAR(Sheet3!CE99,Sheet2!$AH$2:$AH$40,Sheet2!$AG$2:$AG$40)</f>
        <v>3.2500926011319313E-2</v>
      </c>
      <c r="BB99" s="183">
        <f>_xlfn.FORECAST.LINEAR(Sheet3!CF99,Sheet2!$AH$2:$AH$40,Sheet2!$AG$2:$AG$40)</f>
        <v>3.1318520708427132E-2</v>
      </c>
      <c r="BC99" s="183">
        <f>_xlfn.FORECAST.LINEAR(Sheet3!CG99,Sheet2!$AH$2:$AH$40,Sheet2!$AG$2:$AG$40)</f>
        <v>2.9886910052796017E-2</v>
      </c>
      <c r="BD99" s="186">
        <f>_xlfn.FORECAST.LINEAR(Sheet3!DF99,Sheet2!$AB$12:$AB$37,Sheet2!$AA$12:$AA$37)/1000</f>
        <v>3.3915606923988664E-2</v>
      </c>
      <c r="BE99" s="183">
        <f>_xlfn.FORECAST.LINEAR(Sheet3!BZ99,Sheet2!$AB$12:$AB$37,Sheet2!$AA$12:$AA$37)/1000</f>
        <v>3.3869791433062006E-2</v>
      </c>
      <c r="BF99" s="183">
        <f>_xlfn.FORECAST.LINEAR(Sheet3!CA99,Sheet2!$AB$12:$AB$37,Sheet2!$AA$12:$AA$37)/1000</f>
        <v>3.347768843064821E-2</v>
      </c>
      <c r="BG99" s="183">
        <f>_xlfn.FORECAST.LINEAR(Sheet3!CB99,Sheet2!$AB$12:$AB$37,Sheet2!$AA$12:$AA$37)/1000</f>
        <v>3.3100357031551821E-2</v>
      </c>
      <c r="BH99" s="183">
        <f>_xlfn.FORECAST.LINEAR(Sheet3!CC99,Sheet2!$AB$12:$AB$37,Sheet2!$AA$12:$AA$37)/1000</f>
        <v>3.2630414243164874E-2</v>
      </c>
      <c r="BI99" s="183">
        <f>_xlfn.FORECAST.LINEAR(Sheet3!CD99,Sheet2!$AB$12:$AB$37,Sheet2!$AA$12:$AA$37)/1000</f>
        <v>3.2393168028897787E-2</v>
      </c>
      <c r="BJ99" s="183">
        <f>_xlfn.FORECAST.LINEAR(Sheet3!CE99,Sheet2!$AB$12:$AB$37,Sheet2!$AA$12:$AA$37)/1000</f>
        <v>3.2037229508945789E-2</v>
      </c>
      <c r="BK99" s="183">
        <f>_xlfn.FORECAST.LINEAR(Sheet3!CF99,Sheet2!$AB$12:$AB$37,Sheet2!$AA$12:$AA$37)/1000</f>
        <v>3.1772871051798393E-2</v>
      </c>
      <c r="BL99" s="183">
        <f>_xlfn.FORECAST.LINEAR(Sheet3!CG99,Sheet2!$AB$12:$AB$37,Sheet2!$AA$12:$AA$37)/1000</f>
        <v>3.1452796046017632E-2</v>
      </c>
      <c r="BM99" s="186">
        <f t="shared" si="332"/>
        <v>0.79656461309046489</v>
      </c>
      <c r="BN99" s="183">
        <f t="shared" si="333"/>
        <v>0.79810583658548373</v>
      </c>
      <c r="BO99" s="183">
        <f t="shared" si="334"/>
        <v>0.81166976994618512</v>
      </c>
      <c r="BP99" s="183">
        <f t="shared" si="335"/>
        <v>0.82502476223111942</v>
      </c>
      <c r="BQ99" s="183">
        <f t="shared" si="336"/>
        <v>0.8425005211030534</v>
      </c>
      <c r="BR99" s="183">
        <f t="shared" si="337"/>
        <v>0.85149340566719511</v>
      </c>
      <c r="BS99" s="183">
        <f t="shared" si="338"/>
        <v>0.86556155437123494</v>
      </c>
      <c r="BT99" s="183">
        <f t="shared" si="339"/>
        <v>0.87615321580206329</v>
      </c>
      <c r="BU99" s="183">
        <f t="shared" si="340"/>
        <v>0.88951854818179787</v>
      </c>
      <c r="BV99" s="186">
        <f t="shared" si="341"/>
        <v>1.111331869133126</v>
      </c>
      <c r="BW99" s="183">
        <f t="shared" si="342"/>
        <v>1.1111458636863749</v>
      </c>
      <c r="BX99" s="183">
        <f t="shared" si="343"/>
        <v>1.1087828127673092</v>
      </c>
      <c r="BY99" s="183">
        <f t="shared" si="344"/>
        <v>1.1073402979275468</v>
      </c>
      <c r="BZ99" s="183">
        <f t="shared" si="345"/>
        <v>1.1042843298603837</v>
      </c>
      <c r="CA99" s="183">
        <f t="shared" si="346"/>
        <v>1.1033894042822858</v>
      </c>
      <c r="CB99" s="183">
        <f t="shared" si="347"/>
        <v>1.1008563060217345</v>
      </c>
      <c r="CC99" s="183">
        <f t="shared" si="348"/>
        <v>1.099861901981966</v>
      </c>
      <c r="CD99" s="183">
        <f t="shared" si="349"/>
        <v>1.0976224965667865</v>
      </c>
      <c r="CE99" s="187">
        <f xml:space="preserve"> -0.0000000019505*Sheet3!DF99^3 + 0.0000015497*Sheet3!DF99^2  + 0.00016911*Sheet3!DF99 + 1.8585</f>
        <v>1.9096570494375</v>
      </c>
      <c r="CF99" s="185">
        <f xml:space="preserve"> -0.0000000019505*Sheet3!BZ99^3 + 0.0000015497*Sheet3!BZ99^2  + 0.00016911*Sheet3!BZ99 + 1.8585</f>
        <v>1.9092579818074702</v>
      </c>
      <c r="CG99" s="185">
        <f xml:space="preserve"> -0.0000000019505*Sheet3!CA99^3 + 0.0000015497*Sheet3!CA99^2  + 0.00016911*Sheet3!CA99 + 1.8585</f>
        <v>1.9058808159249927</v>
      </c>
      <c r="CH99" s="185">
        <f xml:space="preserve"> -0.0000000019505*Sheet3!CB99^3 + 0.0000015497*Sheet3!CB99^2  + 0.00016911*Sheet3!CB99 + 1.8585</f>
        <v>1.9026979449390526</v>
      </c>
      <c r="CI99" s="185">
        <f xml:space="preserve"> -0.0000000019505*Sheet3!CC99^3 + 0.0000015497*Sheet3!CC99^2  + 0.00016911*Sheet3!CC99 + 1.8585</f>
        <v>1.8988311027387144</v>
      </c>
      <c r="CJ99" s="185">
        <f xml:space="preserve"> -0.0000000019505*Sheet3!CD99^3 + 0.0000015497*Sheet3!CD99^2  + 0.00016911*Sheet3!CD99 + 1.8585</f>
        <v>1.8969218664675975</v>
      </c>
      <c r="CK99" s="185">
        <f xml:space="preserve"> -0.0000000019505*Sheet3!CE99^3 + 0.0000015497*Sheet3!CE99^2  + 0.00016911*Sheet3!CE99 + 1.8585</f>
        <v>1.8941138320342534</v>
      </c>
      <c r="CL99" s="185">
        <f xml:space="preserve"> -0.0000000019505*Sheet3!CF99^3 + 0.0000015497*Sheet3!CF99^2  + 0.00016911*Sheet3!CF99 + 1.8585</f>
        <v>1.8920735622739131</v>
      </c>
      <c r="CM99" s="185">
        <f xml:space="preserve"> -0.0000000019505*Sheet3!CG99^3 + 0.0000015497*Sheet3!CG99^2  + 0.00016911*Sheet3!CG99 + 1.8585</f>
        <v>1.8896568068352493</v>
      </c>
      <c r="CN99" s="186">
        <f>_xlfn.FORECAST.LINEAR(Sheet3!DF99,New!$LU$2:$LU$14,New!$LT$2:$LT$14)</f>
        <v>1.023844178140866</v>
      </c>
      <c r="CO99" s="183">
        <f>_xlfn.FORECAST.LINEAR(Sheet3!BZ99,New!$LU$2:$LU$14,New!$LT$2:$LT$14)</f>
        <v>1.0236933539304667</v>
      </c>
      <c r="CP99" s="183">
        <f>_xlfn.FORECAST.LINEAR(Sheet3!CA99,New!$LU$2:$LU$14,New!$LT$2:$LT$14)</f>
        <v>1.0224025541477275</v>
      </c>
      <c r="CQ99" s="183">
        <f>_xlfn.FORECAST.LINEAR(Sheet3!CB99,New!$LU$2:$LU$14,New!$LT$2:$LT$14)</f>
        <v>1.0211603823587434</v>
      </c>
      <c r="CR99" s="183">
        <f>_xlfn.FORECAST.LINEAR(Sheet3!CC99,New!$LU$2:$LU$14,New!$LT$2:$LT$14)</f>
        <v>1.019613334655932</v>
      </c>
      <c r="CS99" s="183">
        <f>_xlfn.FORECAST.LINEAR(Sheet3!CD99,New!$LU$2:$LU$14,New!$LT$2:$LT$14)</f>
        <v>1.0188323221159963</v>
      </c>
      <c r="CT99" s="183">
        <f>_xlfn.FORECAST.LINEAR(Sheet3!CE99,New!$LU$2:$LU$14,New!$LT$2:$LT$14)</f>
        <v>1.0176605755050439</v>
      </c>
      <c r="CU99" s="183">
        <f>_xlfn.FORECAST.LINEAR(Sheet3!CF99,New!$LU$2:$LU$14,New!$LT$2:$LT$14)</f>
        <v>1.0167903096898103</v>
      </c>
      <c r="CV99" s="183">
        <f>_xlfn.FORECAST.LINEAR(Sheet3!CG99,New!$LU$2:$LU$14,New!$LT$2:$LT$14)</f>
        <v>1.0157366254655664</v>
      </c>
      <c r="CW99" s="186">
        <f>EXP((17.625*Sheet3!BA99)/(243.04+Sheet3!BA99)) / EXP((17.625*Sheet3!DF99)/(243.04+Sheet3!DF99))</f>
        <v>3.1279917416359576E-2</v>
      </c>
      <c r="CX99" s="183">
        <f>EXP((17.625*(Sheet3!BC99+273))/(243.04+(Sheet3!BC99+273)))/EXP((17.625*(Sheet3!BZ99+273))/(243.04+(Sheet3!BZ99+273)))</f>
        <v>0.35027376950738354</v>
      </c>
      <c r="CY99" s="183">
        <f>EXP((17.625*(Sheet3!BE99+273))/(243.04+(Sheet3!BE99+273))) / EXP((17.625*(Sheet3!CA99+273))/(243.04+(Sheet3!CA99+273)))</f>
        <v>0.37391636403533812</v>
      </c>
      <c r="CZ99" s="183">
        <f>EXP((17.625*(Sheet3!BG99+273))/(243.04+(Sheet3!BG99+273))) / EXP((17.625*(Sheet3!CB99+273))/(243.04+(Sheet3!CB99+273)))</f>
        <v>0.39994191327417067</v>
      </c>
      <c r="DA99" s="183">
        <f>EXP((17.625*(Sheet3!BI99+273))/(243.04+(Sheet3!BI99+273))) / EXP((17.625*(Sheet3!CC99+273))/(243.04+(Sheet3!CC99+273)))</f>
        <v>0.4336575077836422</v>
      </c>
      <c r="DB99" s="183">
        <f>EXP((17.625*(Sheet3!BK99+273))/(243.04+(Sheet3!BK99+273)))/EXP((17.625*(Sheet3!CD99+273))/(243.04+(Sheet3!CD99+273)))</f>
        <v>0.45323568624911426</v>
      </c>
      <c r="DC99" s="183">
        <f>EXP((17.625*(Sheet3!BM99+273))/(243.04+(Sheet3!BM99+273))) / EXP((17.625*(Sheet3!CE99+273))/(243.04+(Sheet3!CE99+273)))</f>
        <v>0.48254534221542744</v>
      </c>
      <c r="DD99" s="183">
        <f>EXP((17.625*(Sheet3!BO99+273))/(243.04+(Sheet3!BO99+273))) / EXP((17.625*(Sheet3!CF99+273))/(243.04+(Sheet3!CF99+273)))</f>
        <v>0.50772218803961788</v>
      </c>
      <c r="DE99" s="183">
        <f>EXP((17.625*(Sheet3!BQ99+273))/(243.04+(Sheet3!BQ99+273))) / EXP((17.625*(Sheet3!CG99+273))/(243.04+(Sheet3!CG99+273)))</f>
        <v>0.53827528184758311</v>
      </c>
      <c r="DF99" s="186">
        <f>((Sheet3!DA99-Sheet3!DB99)/New!$LQ$3)/(((Sheet3!DA99-Sheet3!DB99)/New!$LQ$3)+(Sheet3!DB99/New!$LP$3))</f>
        <v>0.85021738779072598</v>
      </c>
      <c r="DG99" s="183">
        <f>((Sheet3!DA99-Sheet3!DB99)/New!$LQ$3)/(((Sheet3!DA99-Sheet3!DB99)/New!$LQ$3)+((Sheet3!DB99-(Sheet3!B99*0.004))/New!$LP$3))</f>
        <v>0.85030229478997987</v>
      </c>
      <c r="DH99" s="183" cm="1">
        <f t="array" ref="DH99">((Sheet3!DA99-Sheet3!DB99)/New!$LQ$3)/(((Sheet3!DA99-Sheet3!DB99)/New!$LQ$3)+((Sheet3!DB99-(SUM(Sheet3!B99:C99*0.004)))/New!$LP$3))</f>
        <v>0.85727969535979887</v>
      </c>
      <c r="DI99" s="183" cm="1">
        <f t="array" ref="DI99">((Sheet3!DA99-Sheet3!DB99)/New!$LQ$3)/(((Sheet3!DA99-Sheet3!DB99)/New!$LQ$3)+((Sheet3!DB99-(SUM(Sheet3!B99:D99*0.004)))/New!$LP$3))</f>
        <v>0.85736601884438257</v>
      </c>
      <c r="DJ99" s="183" cm="1">
        <f t="array" ref="DJ99">((Sheet3!DA99-Sheet3!DB99)/New!$LQ$3)/(((Sheet3!DA99-Sheet3!DB99)/New!$LQ$3)+((Sheet3!DB99-(SUM(Sheet3!B99:E99*0.004)))/New!$LP$3))</f>
        <v>0.86798529886524134</v>
      </c>
      <c r="DK99" s="183" cm="1">
        <f t="array" ref="DK99">((Sheet3!DA99-Sheet3!DB99)/New!$LQ$3)/(((Sheet3!DA99-Sheet3!DB99)/New!$LQ$3)+((Sheet3!DB99-(SUM(Sheet3!B99:F99*0.004)))/New!$LP$3))</f>
        <v>0.86802954313578695</v>
      </c>
      <c r="DL99" s="183" cm="1">
        <f t="array" ref="DL99">((Sheet3!DA99-Sheet3!DB99)/New!$LQ$3)/(((Sheet3!DA99-Sheet3!DB99)/New!$LQ$3)+((Sheet3!DB99-(SUM(Sheet3!B99:G99*0.004)))/New!$LP$3))</f>
        <v>0.87830431950517807</v>
      </c>
      <c r="DM99" s="183" cm="1">
        <f t="array" ref="DM99">((Sheet3!DA99-Sheet3!DB99)/New!$LQ$3)/(((Sheet3!DA99-Sheet3!DB99)/New!$LQ$3)+((Sheet3!DB99-(SUM(Sheet3!B99:H99*0.004)))/New!$LP$3))</f>
        <v>0.87841758463096764</v>
      </c>
      <c r="DN99" s="183" cm="1">
        <f t="array" ref="DN99">((Sheet3!DA99-Sheet3!DB99)/New!$LQ$3)/(((Sheet3!DA99-Sheet3!DB99)/New!$LQ$3)+((Sheet3!DB99-(SUM(Sheet3!B99:I99*0.004)))/New!$LP$3))</f>
        <v>0.8876901005714205</v>
      </c>
      <c r="DO99" s="186">
        <f>(Sheet3!DB99/$LP$3) / ((Sheet3!DB99/$LP$3) + ((Sheet3!DA99-Sheet3!DB99)/$LQ$3))</f>
        <v>0.14978261220927416</v>
      </c>
      <c r="DP99" s="183">
        <f>((Sheet3!$DB99-(Sheet3!B99/4000)) / $LP$3) / (((Sheet3!$DA99-Sheet3!DB99) / $LQ$3) + (Sheet3!$DB99-((Sheet3!B99/4000)))/$LP$3)</f>
        <v>0.14977730601860478</v>
      </c>
      <c r="DQ99" s="183">
        <f>((Sheet3!$DB99-(SUM(Sheet3!B99:C99)/4000))/$LP$3)/(((Sheet3!$DA99-Sheet3!$DB99)/$LQ$3)+(Sheet3!$DB99-(SUM(Sheet3!B99:C99)/4000))/$LP$3)</f>
        <v>0.14934462870313989</v>
      </c>
      <c r="DR99" s="183">
        <f>((Sheet3!$DB99-(SUM(Sheet3!B99:D99)/4000))/$LP$3)/(((Sheet3!$DA99-Sheet3!$DB99)/$LQ$3)+(Sheet3!$DB99-(SUM(Sheet3!B99:D99)/4000))/$LP$3)</f>
        <v>0.14933931704415176</v>
      </c>
      <c r="DS99" s="183">
        <f>((Sheet3!$DB99-(SUM(Sheet3!B99:E99)/4000))/$LP$3)/(((Sheet3!$DA99-Sheet3!$DB99)/$LQ$3)+(Sheet3!$DB99-(SUM(Sheet3!B99:E99)/4000))/$LP$3)</f>
        <v>0.1486934564523533</v>
      </c>
      <c r="DT99" s="183">
        <f>((Sheet3!$DB99-(SUM(Sheet3!B99:F99)/4000))/$LP$3)/(((Sheet3!$DA99-Sheet3!$DB99)/$LQ$3)+(Sheet3!$DB99-(SUM(Sheet3!B99:F99)/4000))/$LP$3)</f>
        <v>0.1486907965635538</v>
      </c>
      <c r="DU99" s="183">
        <f>((Sheet3!$DB99-(SUM(Sheet3!B99:G99)/4000))/$LP$3)/(((Sheet3!$DA99-Sheet3!$DB99)/$LQ$3)+(Sheet3!$DB99-(SUM(Sheet3!B99:G99)/4000))/$LP$3)</f>
        <v>0.14807991213121197</v>
      </c>
      <c r="DV99" s="183">
        <f>((Sheet3!$DB99-(SUM(Sheet3!B99:H99)/4000))/$LP$3)/(((Sheet3!$DA99-Sheet3!$DB99)/$LQ$3)+(Sheet3!$DB99-(SUM(Sheet3!B99:H99)/4000))/$LP$3)</f>
        <v>0.14807325278948175</v>
      </c>
      <c r="DW99" s="183">
        <f>((Sheet3!$DB99-(SUM(Sheet3!B99:I99)/4000))/$LP$3)/(((Sheet3!$DA99-Sheet3!$DB99)/$LQ$3)+(Sheet3!$DB99-(SUM(Sheet3!B99:I99)/4000))/$LP$3)</f>
        <v>0.14753350013993702</v>
      </c>
      <c r="DX99" s="186">
        <f>($LR$2*($LP$3/1000))/($LP$2*(Sheet3!DF99+273))*DO99</f>
        <v>7.8673048206465673E-2</v>
      </c>
      <c r="DY99" s="183">
        <f>(($LR$2*($LP$3/1000))/($LP$2*(Sheet3!BZ99+273)))*(DP99)</f>
        <v>7.8822307796390184E-2</v>
      </c>
      <c r="DZ99" s="183">
        <f>(($LR$2*($LP$3/1000))/($LP$2*(Sheet3!CA99+273)))*(DQ99)</f>
        <v>7.9916480791576913E-2</v>
      </c>
      <c r="EA99" s="183">
        <f>(($LR$2*($LP$3/1000))/($LP$2*(Sheet3!CB99+273)))*(DR99)</f>
        <v>8.1228342767578857E-2</v>
      </c>
      <c r="EB99" s="183">
        <f>(($LR$2*($LP$3/1000))/($LP$2*(Sheet3!CC99+273)))*(DS99)</f>
        <v>8.2568833376499326E-2</v>
      </c>
      <c r="EC99" s="183">
        <f>(($LR$2*($LP$3/1000))/($LP$2*(Sheet3!CD99+273)))*(DT99)</f>
        <v>8.3448594762847078E-2</v>
      </c>
      <c r="ED99" s="183">
        <f>(($LR$2*($LP$3/1000))/($LP$2*(Sheet3!CE99+273)))*(DU99)</f>
        <v>8.4458143776405939E-2</v>
      </c>
      <c r="EE99" s="183">
        <f>(($LR$2*($LP$3/1000))/($LP$2*(Sheet3!CF99+273)))*(DV99)</f>
        <v>8.5487564495285551E-2</v>
      </c>
      <c r="EF99" s="183">
        <f>(($LR$2*($LP$3/1000))/($LP$2*(Sheet3!CG99+273)))*(DW99)</f>
        <v>8.645658729381793E-2</v>
      </c>
      <c r="EG99" s="186">
        <f>(($LR$2*($LQ$3/1000))/($LQ$2*(Sheet3!DF99+273)))*(1-DO99)</f>
        <v>0.71789156488399919</v>
      </c>
      <c r="EH99" s="183">
        <f>(($LR$2*($LQ$3/1000))/($LQ$2*(Sheet3!BZ99+273)))*(1-DP99)</f>
        <v>0.71928352878909352</v>
      </c>
      <c r="EI99" s="183">
        <f>(($LR$2*($LQ$3/1000))/($LQ$2*(Sheet3!CA99+273)))*(1-DQ99)</f>
        <v>0.73175328915460824</v>
      </c>
      <c r="EJ99" s="183">
        <f>(($LR$2*($LQ$3/1000))/($LQ$2*(Sheet3!CB99+273)))*(1-DR99)</f>
        <v>0.74379641946354058</v>
      </c>
      <c r="EK99" s="183">
        <f>(($LR$2*($LQ$3/1000))/($LQ$2*(Sheet3!CC99+273)))*(1-DS99)</f>
        <v>0.75993168772655406</v>
      </c>
      <c r="EL99" s="183">
        <f>(($LR$2*($LQ$3/1000))/($LQ$2*(Sheet3!CD99+273)))*(1-DT99)</f>
        <v>0.76804481090434806</v>
      </c>
      <c r="EM99" s="183">
        <f>(($LR$2*($LQ$3/1000))/($LQ$2*(Sheet3!CE99+273)))*(1-DU99)</f>
        <v>0.78110341059482902</v>
      </c>
      <c r="EN99" s="183">
        <f>(($LR$2*($LQ$3/1000))/($LQ$2*(Sheet3!CF99+273)))*(1-DV99)</f>
        <v>0.79066565130677779</v>
      </c>
      <c r="EO99" s="183">
        <f>(($LR$2*($LQ$3/1000))/($LQ$2*(Sheet3!CG99+273)))*(1-DW99)</f>
        <v>0.80306196088797999</v>
      </c>
      <c r="EP99" s="186">
        <f t="shared" si="350"/>
        <v>5028.3976089430516</v>
      </c>
      <c r="EQ99" s="183">
        <f xml:space="preserve"> (($FV99-(Sheet3!B99/4000))*0.018)/(0.011*JO99*3600)</f>
        <v>5035.9255913457573</v>
      </c>
      <c r="ER99" s="183">
        <f>((($FV99-(SUM(Sheet3!B99:C99)/4000))*0.018)/(0.011*JP99*3600))</f>
        <v>5098.9109299716802</v>
      </c>
      <c r="ES99" s="183">
        <f>((($FV99-(SUM(Sheet3!B99:D99)/4000))*0.018)/(0.011*JQ99*3600))</f>
        <v>5163.6758630766526</v>
      </c>
      <c r="ET99" s="183">
        <f>((($FV99-(SUM(Sheet3!B99:E99)/4000))*0.018)/(0.011*JR99))/3600</f>
        <v>5242.616155414551</v>
      </c>
      <c r="EU99" s="183">
        <f>((($FV99-(SUM(Sheet3!B99:F99)/4000))*0.018)/(0.011*JS99))/3600</f>
        <v>5285.5327216467449</v>
      </c>
      <c r="EV99" s="183">
        <f>((($FV99-(SUM(Sheet3!B99:G99)/4000))*0.018)/(0.011*JT99))/3600</f>
        <v>5347.2886568169242</v>
      </c>
      <c r="EW99" s="183">
        <f>((($FV99-(SUM(Sheet3!B99:H99)/4000))*0.018)/(0.011*JU99))/3600</f>
        <v>5397.127312998</v>
      </c>
      <c r="EX99" s="183">
        <f>((($FV99-(SUM(Sheet3!B99:I99)/4000))*0.018)/(0.011*JV99))/3600</f>
        <v>5455.1638554127258</v>
      </c>
      <c r="EY99" s="186">
        <f t="shared" si="351"/>
        <v>50.889076762484017</v>
      </c>
      <c r="EZ99" s="183">
        <f t="shared" si="352"/>
        <v>50.943324204100371</v>
      </c>
      <c r="FA99" s="183">
        <f t="shared" si="353"/>
        <v>51.390905545627788</v>
      </c>
      <c r="FB99" s="183">
        <f t="shared" si="354"/>
        <v>51.858696756702905</v>
      </c>
      <c r="FC99" s="183">
        <f t="shared" si="355"/>
        <v>52.418158187433356</v>
      </c>
      <c r="FD99" s="183">
        <f t="shared" si="356"/>
        <v>52.728624305988369</v>
      </c>
      <c r="FE99" s="183">
        <f t="shared" si="357"/>
        <v>53.164529678442022</v>
      </c>
      <c r="FF99" s="183">
        <f t="shared" si="358"/>
        <v>53.525514261931789</v>
      </c>
      <c r="FG99" s="183">
        <f t="shared" si="359"/>
        <v>53.935992229820123</v>
      </c>
      <c r="FH99" s="186">
        <f t="shared" si="429"/>
        <v>99.147718751345835</v>
      </c>
      <c r="FI99" s="183">
        <f t="shared" si="430"/>
        <v>99.054205997318974</v>
      </c>
      <c r="FJ99" s="183">
        <f t="shared" si="431"/>
        <v>98.196832745706416</v>
      </c>
      <c r="FK99" s="183">
        <f t="shared" si="432"/>
        <v>97.419373743447082</v>
      </c>
      <c r="FL99" s="183">
        <f t="shared" si="433"/>
        <v>96.357373121484784</v>
      </c>
      <c r="FM99" s="183">
        <f t="shared" si="434"/>
        <v>95.857930337496001</v>
      </c>
      <c r="FN99" s="183">
        <f t="shared" si="435"/>
        <v>95.028025885139854</v>
      </c>
      <c r="FO99" s="183">
        <f t="shared" si="436"/>
        <v>94.461341323807915</v>
      </c>
      <c r="FP99" s="183">
        <f t="shared" si="437"/>
        <v>93.707254636156577</v>
      </c>
      <c r="FQ99" s="314">
        <f>Sheet3!CV99</f>
        <v>3</v>
      </c>
      <c r="FR99" s="183">
        <v>5000</v>
      </c>
      <c r="FS99" s="183">
        <v>10</v>
      </c>
      <c r="FT99" s="183">
        <v>0.11211049723756907</v>
      </c>
      <c r="FU99" s="183">
        <v>28.03</v>
      </c>
      <c r="FV99" s="183">
        <v>243</v>
      </c>
      <c r="FW99" s="183">
        <v>24</v>
      </c>
      <c r="FX99" s="183">
        <v>726</v>
      </c>
      <c r="FY99" s="183">
        <v>6.39</v>
      </c>
      <c r="FZ99" s="183">
        <v>10.07</v>
      </c>
      <c r="GA99" s="183">
        <v>145</v>
      </c>
      <c r="GB99" s="186">
        <f>EXP($LP$6-($LQ$6/('Trial and Error method'!T99+$LP$8))) / ($LR$2/1000)</f>
        <v>2.689088927532117E-2</v>
      </c>
      <c r="GC99" s="183">
        <f>EXP($LP$6-($LQ$6/('Trial and Error method'!U99+$LP$8))) / ($LR$2/1000)</f>
        <v>3.8652046671096826E-2</v>
      </c>
      <c r="GD99" s="183">
        <f>EXP($LP$6-($LQ$6/('Trial and Error method'!V99+$LP$8))) / ($LR$2/1000)</f>
        <v>3.5999651010514999E-2</v>
      </c>
      <c r="GE99" s="183">
        <f>EXP($LP$6-($LQ$6/('Trial and Error method'!W99+$LP$8))) / ($LR$2/1000)</f>
        <v>3.3815839175447698E-2</v>
      </c>
      <c r="GF99" s="183">
        <f>EXP($LP$6-($LQ$6/('Trial and Error method'!X99+$LP$8))) / ($LR$2/1000)</f>
        <v>3.1659141476580221E-2</v>
      </c>
      <c r="GG99" s="183">
        <f>EXP($LP$6-($LQ$6/('Trial and Error method'!Y99+$LP$8))) / ($LR$2/1000)</f>
        <v>3.0103582873470213E-2</v>
      </c>
      <c r="GH99" s="183">
        <f>EXP($LP$6-($LQ$6/('Trial and Error method'!Z99+$LP$8))) / ($LR$2/1000)</f>
        <v>2.8424417605563131E-2</v>
      </c>
      <c r="GI99" s="183">
        <f>EXP($LP$6-($LQ$6/('Trial and Error method'!AA99+$LP$8))) / ($LR$2/1000)</f>
        <v>2.7020236247266443E-2</v>
      </c>
      <c r="GJ99" s="183">
        <f>EXP($LP$6-($LQ$6/('Trial and Error method'!AB99+$LP$8))) / ($LR$2/1000)</f>
        <v>2.5516142475109738E-2</v>
      </c>
      <c r="GK99" s="188">
        <f t="shared" si="411"/>
        <v>0.91028109470355634</v>
      </c>
      <c r="GL99" s="165">
        <f t="shared" si="360"/>
        <v>0.90464807489526067</v>
      </c>
      <c r="GM99" s="165">
        <f t="shared" si="361"/>
        <v>0.9061466923845185</v>
      </c>
      <c r="GN99" s="165">
        <f t="shared" si="362"/>
        <v>0.90719684549346991</v>
      </c>
      <c r="GO99" s="165">
        <f t="shared" si="363"/>
        <v>0.9085677642085801</v>
      </c>
      <c r="GP99" s="165">
        <f t="shared" si="364"/>
        <v>0.90931439061331287</v>
      </c>
      <c r="GQ99" s="165">
        <f t="shared" si="365"/>
        <v>0.910437721967018</v>
      </c>
      <c r="GR99" s="165">
        <f t="shared" si="366"/>
        <v>0.91111336336604609</v>
      </c>
      <c r="GS99" s="165">
        <f t="shared" si="367"/>
        <v>0.91211535462633764</v>
      </c>
      <c r="GT99" s="188">
        <f t="shared" si="438"/>
        <v>6.5543778681462037E-2</v>
      </c>
      <c r="GU99" s="165">
        <f t="shared" si="439"/>
        <v>6.5945603837213373E-2</v>
      </c>
      <c r="GV99" s="165">
        <f t="shared" si="440"/>
        <v>6.5814454058049018E-2</v>
      </c>
      <c r="GW99" s="165">
        <f t="shared" si="441"/>
        <v>6.5732172027155047E-2</v>
      </c>
      <c r="GX99" s="165">
        <f t="shared" si="442"/>
        <v>6.5616213060025172E-2</v>
      </c>
      <c r="GY99" s="165">
        <f t="shared" si="443"/>
        <v>6.5565172175915454E-2</v>
      </c>
      <c r="GZ99" s="165">
        <f t="shared" si="444"/>
        <v>6.5477156513440479E-2</v>
      </c>
      <c r="HA99" s="165">
        <f t="shared" si="445"/>
        <v>6.5438049350790908E-2</v>
      </c>
      <c r="HB99" s="165">
        <f t="shared" si="446"/>
        <v>6.53608499619759E-2</v>
      </c>
      <c r="HC99" s="188">
        <f>BV99*Sheet3!DF99</f>
        <v>161.14312102430327</v>
      </c>
      <c r="HD99" s="165">
        <f>BW99*Sheet3!BZ99</f>
        <v>160.22021815825698</v>
      </c>
      <c r="HE99" s="165">
        <f>BX99*Sheet3!CA99</f>
        <v>152.2281267021493</v>
      </c>
      <c r="HF99" s="165">
        <f>BY99*Sheet3!CB99</f>
        <v>144.67655205267323</v>
      </c>
      <c r="HG99" s="165">
        <f>BZ99*Sheet3!CC99</f>
        <v>135.14419641296382</v>
      </c>
      <c r="HH99" s="165">
        <f>CA99*Sheet3!CD99</f>
        <v>130.42765740013823</v>
      </c>
      <c r="HI99" s="165">
        <f>CB99*Sheet3!CE99</f>
        <v>123.23222842703255</v>
      </c>
      <c r="HJ99" s="165">
        <f>CC99*Sheet3!CF99</f>
        <v>118.00382294197111</v>
      </c>
      <c r="HK99" s="165">
        <f>CD99*Sheet3!CG99</f>
        <v>111.58059798505703</v>
      </c>
      <c r="HL99" s="188">
        <f>(CE99*Sheet3!DF99)+2501</f>
        <v>2777.9002721684374</v>
      </c>
      <c r="HM99" s="165">
        <f>(CF99*Sheet3!BZ99)+2501</f>
        <v>2776.3029465912932</v>
      </c>
      <c r="HN99" s="165">
        <f>(CG99*Sheet3!CA99)+2501</f>
        <v>2762.664108592845</v>
      </c>
      <c r="HO99" s="165">
        <f>(CH99*Sheet3!CB99)+2501</f>
        <v>2749.5918545425325</v>
      </c>
      <c r="HP99" s="165">
        <f>(CI99*Sheet3!CC99)+2501</f>
        <v>2733.3821832516719</v>
      </c>
      <c r="HQ99" s="165">
        <f>(CJ99*Sheet3!CD99)+2501</f>
        <v>2725.2282501121153</v>
      </c>
      <c r="HR99" s="165">
        <f>(CK99*Sheet3!CE99)+2501</f>
        <v>2713.0311862131794</v>
      </c>
      <c r="HS99" s="165">
        <f>(CL99*Sheet3!CF99)+2501</f>
        <v>2703.999952297117</v>
      </c>
      <c r="HT99" s="165">
        <f>(CM99*Sheet3!CG99)+2501</f>
        <v>2693.0961324614955</v>
      </c>
      <c r="HU99" s="188">
        <f>-0.0021*(Sheet3!DF99^2) - 2.2115*(Sheet3!DF99) + 2499</f>
        <v>2134.1799999999998</v>
      </c>
      <c r="HV99" s="165">
        <f>-0.0021*(Sheet3!BZ99^2) - 2.2115*(Sheet3!BZ99) + 2499</f>
        <v>2136.4528423503134</v>
      </c>
      <c r="HW99" s="165">
        <f>-0.0021*(Sheet3!CA99^2) - 2.2115*(Sheet3!CA99) + 2499</f>
        <v>2155.7928379283499</v>
      </c>
      <c r="HX99" s="165">
        <f>-0.0021*(Sheet3!CB99^2) - 2.2115*(Sheet3!CB99) + 2499</f>
        <v>2174.2154010606819</v>
      </c>
      <c r="HY99" s="165">
        <f>-0.0021*(Sheet3!CC99^2) - 2.2115*(Sheet3!CC99) + 2499</f>
        <v>2196.9005743980961</v>
      </c>
      <c r="HZ99" s="165">
        <f>-0.0021*(Sheet3!CD99^2) - 2.2115*(Sheet3!CD99) + 2499</f>
        <v>2208.243843334325</v>
      </c>
      <c r="IA99" s="165">
        <f>-0.0021*(Sheet3!CE99^2) - 2.2115*(Sheet3!CE99) + 2499</f>
        <v>2225.1247245906679</v>
      </c>
      <c r="IB99" s="165">
        <f>-0.0021*(Sheet3!CF99^2) - 2.2115*(Sheet3!CF99) + 2499</f>
        <v>2237.5556350004504</v>
      </c>
      <c r="IC99" s="165">
        <f>-0.0021*(Sheet3!CG99^2) - 2.2115*(Sheet3!CG99) + 2499</f>
        <v>2252.4848293571199</v>
      </c>
      <c r="ID99" s="188">
        <f t="shared" si="447"/>
        <v>0.69609271844706144</v>
      </c>
      <c r="IE99" s="165">
        <f t="shared" si="448"/>
        <v>0.69633051788961609</v>
      </c>
      <c r="IF99" s="165">
        <f t="shared" si="449"/>
        <v>0.69810615463103798</v>
      </c>
      <c r="IG99" s="165">
        <f t="shared" si="450"/>
        <v>0.70026146240328002</v>
      </c>
      <c r="IH99" s="165">
        <f t="shared" si="451"/>
        <v>0.70254509529577869</v>
      </c>
      <c r="II99" s="165">
        <f t="shared" si="452"/>
        <v>0.70404771723002868</v>
      </c>
      <c r="IJ99" s="165">
        <f t="shared" si="453"/>
        <v>0.70583896211592578</v>
      </c>
      <c r="IK99" s="165">
        <f t="shared" si="454"/>
        <v>0.7076497416904084</v>
      </c>
      <c r="IL99" s="165">
        <f t="shared" si="455"/>
        <v>0.70942345050421385</v>
      </c>
      <c r="IM99" s="188">
        <f t="shared" si="456"/>
        <v>17.190367218582011</v>
      </c>
      <c r="IN99" s="165">
        <f t="shared" si="368"/>
        <v>15.656401424676311</v>
      </c>
      <c r="IO99" s="165">
        <f t="shared" si="369"/>
        <v>16.081649380403128</v>
      </c>
      <c r="IP99" s="165">
        <f t="shared" si="370"/>
        <v>16.510141899297452</v>
      </c>
      <c r="IQ99" s="165">
        <f t="shared" si="371"/>
        <v>16.870765233433879</v>
      </c>
      <c r="IR99" s="165">
        <f t="shared" si="372"/>
        <v>17.169517840781719</v>
      </c>
      <c r="IS99" s="165">
        <f t="shared" si="373"/>
        <v>17.433188112559513</v>
      </c>
      <c r="IT99" s="165">
        <f t="shared" si="374"/>
        <v>17.724737154028166</v>
      </c>
      <c r="IU99" s="165">
        <f t="shared" si="375"/>
        <v>17.963922873187581</v>
      </c>
      <c r="IV99" s="188">
        <f>_xlfn.FORECAST.LINEAR(Sheet3!DF99,Sheet2!$AK$2:$AK$69,Sheet2!$AJ$2:$AJ$69)</f>
        <v>1.386217343669711E-5</v>
      </c>
      <c r="IW99" s="165">
        <f>_xlfn.FORECAST.LINEAR(Sheet3!BZ99,Sheet2!$AK$2:$AK$69,Sheet2!$AJ$2:$AJ$69)</f>
        <v>1.3833942531898213E-5</v>
      </c>
      <c r="IX99" s="165">
        <f>_xlfn.FORECAST.LINEAR(Sheet3!CA99,Sheet2!$AK$2:$AK$69,Sheet2!$AJ$2:$AJ$69)</f>
        <v>1.3592333802871955E-5</v>
      </c>
      <c r="IY99" s="165">
        <f>_xlfn.FORECAST.LINEAR(Sheet3!CB99,Sheet2!$AK$2:$AK$69,Sheet2!$AJ$2:$AJ$69)</f>
        <v>1.3359827142131906E-5</v>
      </c>
      <c r="IZ99" s="165">
        <f>_xlfn.FORECAST.LINEAR(Sheet3!CC99,Sheet2!$AK$2:$AK$69,Sheet2!$AJ$2:$AJ$69)</f>
        <v>1.3070254557585857E-5</v>
      </c>
      <c r="JA99" s="165">
        <f>_xlfn.FORECAST.LINEAR(Sheet3!CD99,Sheet2!$AK$2:$AK$69,Sheet2!$AJ$2:$AJ$69)</f>
        <v>1.2924066551009797E-5</v>
      </c>
      <c r="JB99" s="165">
        <f>_xlfn.FORECAST.LINEAR(Sheet3!CE99,Sheet2!$AK$2:$AK$69,Sheet2!$AJ$2:$AJ$69)</f>
        <v>1.2704741901905642E-5</v>
      </c>
      <c r="JC99" s="165">
        <f>_xlfn.FORECAST.LINEAR(Sheet3!CF99,Sheet2!$AK$2:$AK$69,Sheet2!$AJ$2:$AJ$69)</f>
        <v>1.254184768674908E-5</v>
      </c>
      <c r="JD99" s="165">
        <f>_xlfn.FORECAST.LINEAR(Sheet3!CG99,Sheet2!$AK$2:$AK$69,Sheet2!$AJ$2:$AJ$69)</f>
        <v>1.2344621664852536E-5</v>
      </c>
      <c r="JE99" s="188">
        <f>_xlfn.FORECAST.LINEAR(Sheet3!DF99,New!$MC$2:$MC$18,New!$MB$2:$MB$18)</f>
        <v>2.337798370672098E-5</v>
      </c>
      <c r="JF99" s="165">
        <f>_xlfn.FORECAST.LINEAR(Sheet3!BZ99,New!$MC$2:$MC$18,New!$MB$2:$MB$18)</f>
        <v>2.334479759672833E-5</v>
      </c>
      <c r="JG99" s="165">
        <f>_xlfn.FORECAST.LINEAR(Sheet3!CA99,New!$MC$2:$MC$18,New!$MB$2:$MB$18)</f>
        <v>2.3060780704114843E-5</v>
      </c>
      <c r="JH99" s="165">
        <f>_xlfn.FORECAST.LINEAR(Sheet3!CB99,New!$MC$2:$MC$18,New!$MB$2:$MB$18)</f>
        <v>2.2787463512465904E-5</v>
      </c>
      <c r="JI99" s="165">
        <f>_xlfn.FORECAST.LINEAR(Sheet3!CC99,New!$MC$2:$MC$18,New!$MB$2:$MB$18)</f>
        <v>2.244706394999858E-5</v>
      </c>
      <c r="JJ99" s="165">
        <f>_xlfn.FORECAST.LINEAR(Sheet3!CD99,New!$MC$2:$MC$18,New!$MB$2:$MB$18)</f>
        <v>2.2275216419768909E-5</v>
      </c>
      <c r="JK99" s="165">
        <f>_xlfn.FORECAST.LINEAR(Sheet3!CE99,New!$MC$2:$MC$18,New!$MB$2:$MB$18)</f>
        <v>2.2017395000968535E-5</v>
      </c>
      <c r="JL99" s="165">
        <f>_xlfn.FORECAST.LINEAR(Sheet3!CF99,New!$MC$2:$MC$18,New!$MB$2:$MB$18)</f>
        <v>2.1825908919319345E-5</v>
      </c>
      <c r="JM99" s="165">
        <f>_xlfn.FORECAST.LINEAR(Sheet3!CG99,New!$MC$2:$MC$18,New!$MB$2:$MB$18)</f>
        <v>2.1594064970189975E-5</v>
      </c>
      <c r="JN99" s="188">
        <f t="shared" si="376"/>
        <v>2.1966151852848908E-5</v>
      </c>
      <c r="JO99" s="165">
        <f t="shared" si="377"/>
        <v>2.1933225363557072E-5</v>
      </c>
      <c r="JP99" s="165">
        <f t="shared" si="378"/>
        <v>2.1655025351689899E-5</v>
      </c>
      <c r="JQ99" s="165">
        <f t="shared" si="379"/>
        <v>2.1383331145673777E-5</v>
      </c>
      <c r="JR99" s="165">
        <f t="shared" si="380"/>
        <v>2.1050818973726099E-5</v>
      </c>
      <c r="JS99" s="165">
        <f t="shared" si="381"/>
        <v>2.0879851128658337E-5</v>
      </c>
      <c r="JT99" s="165">
        <f t="shared" si="382"/>
        <v>2.0628955037260101E-5</v>
      </c>
      <c r="JU99" s="165">
        <f t="shared" si="383"/>
        <v>2.0438355942660711E-5</v>
      </c>
      <c r="JV99" s="165">
        <f t="shared" si="384"/>
        <v>2.0212479273969333E-5</v>
      </c>
      <c r="JW99" s="188">
        <f t="shared" si="302"/>
        <v>1.0152024173422087</v>
      </c>
      <c r="JX99" s="165">
        <f t="shared" si="385"/>
        <v>1.0155385647381991</v>
      </c>
      <c r="JY99" s="165">
        <f t="shared" si="386"/>
        <v>1.0184704872212498</v>
      </c>
      <c r="JZ99" s="165">
        <f t="shared" si="387"/>
        <v>1.0213884602720933</v>
      </c>
      <c r="KA99" s="165">
        <f t="shared" si="388"/>
        <v>1.0251624464463098</v>
      </c>
      <c r="KB99" s="165">
        <f t="shared" si="389"/>
        <v>1.0271295773639404</v>
      </c>
      <c r="KC99" s="165">
        <f t="shared" si="390"/>
        <v>1.0301625893070043</v>
      </c>
      <c r="KD99" s="165">
        <f t="shared" si="391"/>
        <v>1.0324813041727803</v>
      </c>
      <c r="KE99" s="165">
        <f t="shared" si="392"/>
        <v>1.0353675075376771</v>
      </c>
      <c r="KF99" s="188">
        <f t="shared" si="393"/>
        <v>0.9677010468805306</v>
      </c>
      <c r="KG99" s="165">
        <f t="shared" si="394"/>
        <v>0.96742335050400607</v>
      </c>
      <c r="KH99" s="165">
        <f t="shared" si="395"/>
        <v>0.96501211444708823</v>
      </c>
      <c r="KI99" s="165">
        <f t="shared" si="396"/>
        <v>0.96263154820417496</v>
      </c>
      <c r="KJ99" s="165">
        <f t="shared" si="397"/>
        <v>0.9595806505640111</v>
      </c>
      <c r="KK99" s="165">
        <f t="shared" si="398"/>
        <v>0.95800280340656474</v>
      </c>
      <c r="KL99" s="165">
        <f t="shared" si="399"/>
        <v>0.95558643956919909</v>
      </c>
      <c r="KM99" s="165">
        <f t="shared" si="400"/>
        <v>0.95375245991203272</v>
      </c>
      <c r="KN99" s="165">
        <f t="shared" si="401"/>
        <v>0.9514855634386945</v>
      </c>
      <c r="KO99" s="188">
        <f t="shared" si="457"/>
        <v>0.62448008462609306</v>
      </c>
      <c r="KP99" s="165">
        <f t="shared" si="458"/>
        <v>0.62405590152399648</v>
      </c>
      <c r="KQ99" s="165">
        <f t="shared" si="459"/>
        <v>0.61982891705468512</v>
      </c>
      <c r="KR99" s="165">
        <f t="shared" si="460"/>
        <v>0.61565989041451274</v>
      </c>
      <c r="KS99" s="165">
        <f t="shared" si="461"/>
        <v>0.61035302852321016</v>
      </c>
      <c r="KT99" s="165">
        <f t="shared" si="462"/>
        <v>0.60760817854587112</v>
      </c>
      <c r="KU99" s="165">
        <f t="shared" si="463"/>
        <v>0.60343530895402264</v>
      </c>
      <c r="KV99" s="165">
        <f t="shared" si="464"/>
        <v>0.60026317038236721</v>
      </c>
      <c r="KW99" s="165">
        <f t="shared" si="465"/>
        <v>0.59646949689249962</v>
      </c>
      <c r="KX99" s="188">
        <f>AVERAGE(Sheet3!J99:P99)*KO99^(1/3)/ID99^(1/3)</f>
        <v>88.990169938381158</v>
      </c>
      <c r="KY99" s="165">
        <f>Sheet3!J99*KP99^(1/3)/IE99^(1/3)</f>
        <v>89.788274519876239</v>
      </c>
      <c r="KZ99" s="165">
        <f>Sheet3!K99*KQ99^(1/3)/IF99^(1/3)</f>
        <v>83.73171206761738</v>
      </c>
      <c r="LA99" s="165">
        <f>Sheet3!L99*KR99^(1/3)/IG99^(1/3)</f>
        <v>82.364018516850464</v>
      </c>
      <c r="LB99" s="165">
        <f>Sheet3!M99*KS99^(1/3)/IH99^(1/3)</f>
        <v>82.625691356552963</v>
      </c>
      <c r="LC99" s="165">
        <f>Sheet3!N99*KT99^(1/3)/II99^(1/3)</f>
        <v>85.967517840865654</v>
      </c>
      <c r="LD99" s="165">
        <f>Sheet3!O99*KU99^(1/3)/IJ99^(1/3)</f>
        <v>91.962978927919451</v>
      </c>
      <c r="LE99" s="165">
        <f>Sheet3!P99*KV99^(1/3)/IK99^(1/3)</f>
        <v>100.22943188373327</v>
      </c>
      <c r="LF99" s="165">
        <f>Sheet3!Q99*KW99^(1/3)/IL99^(1/3)</f>
        <v>110.22652069076334</v>
      </c>
      <c r="LG99" s="186">
        <f t="shared" si="402"/>
        <v>27.320629309369501</v>
      </c>
      <c r="LH99" s="183">
        <f t="shared" si="403"/>
        <v>27.322992625042982</v>
      </c>
      <c r="LI99" s="183">
        <f t="shared" si="404"/>
        <v>27.517263463706843</v>
      </c>
      <c r="LJ99" s="183">
        <f t="shared" si="405"/>
        <v>27.519667702283716</v>
      </c>
      <c r="LK99" s="183">
        <f t="shared" si="406"/>
        <v>27.815566873126535</v>
      </c>
      <c r="LL99" s="183">
        <f t="shared" si="407"/>
        <v>27.816800269304814</v>
      </c>
      <c r="LM99" s="183">
        <f t="shared" si="408"/>
        <v>28.103352709913743</v>
      </c>
      <c r="LN99" s="183">
        <f t="shared" si="409"/>
        <v>28.106512899915337</v>
      </c>
      <c r="LO99" s="183">
        <f t="shared" si="410"/>
        <v>28.365321317569304</v>
      </c>
      <c r="LT99" s="165"/>
      <c r="MF99" s="165"/>
      <c r="MJ99"/>
      <c r="MK99"/>
      <c r="ML99"/>
      <c r="MM99"/>
      <c r="MN99"/>
      <c r="MO99"/>
      <c r="MP99"/>
      <c r="MQ99"/>
      <c r="MR99"/>
    </row>
    <row r="100" spans="1:356" x14ac:dyDescent="0.3">
      <c r="A100" s="184" t="str">
        <f>Sheet3!A100</f>
        <v>2023.03.01</v>
      </c>
      <c r="B100" s="186">
        <f t="shared" si="313"/>
        <v>0.81176652100335067</v>
      </c>
      <c r="C100" s="183">
        <f t="shared" si="412"/>
        <v>0.81072918422915607</v>
      </c>
      <c r="D100" s="183">
        <f t="shared" si="413"/>
        <v>0.80560063387726744</v>
      </c>
      <c r="E100" s="183">
        <f t="shared" si="414"/>
        <v>0.80124624608759609</v>
      </c>
      <c r="F100" s="183">
        <f t="shared" si="415"/>
        <v>0.7960879676226793</v>
      </c>
      <c r="G100" s="183">
        <f t="shared" si="416"/>
        <v>0.7922205574779807</v>
      </c>
      <c r="H100" s="183">
        <f t="shared" si="417"/>
        <v>0.789239446023835</v>
      </c>
      <c r="I100" s="183">
        <f t="shared" si="418"/>
        <v>0.7841079092951081</v>
      </c>
      <c r="J100" s="183">
        <f t="shared" si="419"/>
        <v>0.78174353033336119</v>
      </c>
      <c r="K100" s="186">
        <f xml:space="preserve"> (6.057 * (10^(-6)))
+ (4.055 * (10^(-8)) * (Sheet3!DF100 + 273))
+ (1.25 * (10^(-10)) * (Sheet3!DF100 + 273)^2)
- (3.367 * (10^(-14)) * (DD100 + 273)^3)</f>
        <v>3.5903150986826732E-5</v>
      </c>
      <c r="L100" s="183">
        <f xml:space="preserve"> (6.057 * (10^(-6)))
+ (4.055 * (10^(-8)) * (Sheet3!BZ100 + 273))
+ (1.25 * (10^(-10)) * (Sheet3!BZ100 + 273)^2)
- (3.367 * (10^(-14)) * (BX100 + 273)^3)</f>
        <v>3.5812000905420584E-5</v>
      </c>
      <c r="M100" s="183">
        <f xml:space="preserve"> (6.057 * (10^(-6)))
+ (4.055 * (10^(-8)) * (Sheet3!CA100 + 273))
+ (1.25 * (10^(-10)) * (Sheet3!CA100 + 273)^2)
- (3.367 * (10^(-14)) * (BY100 + 273)^3)</f>
        <v>3.5374150922672631E-5</v>
      </c>
      <c r="N100" s="183">
        <f xml:space="preserve"> (6.057 * (10^(-6)))
+ (4.055 * (10^(-8)) * (Sheet3!CB100 + 273))
+ (1.25 * (10^(-10)) * (Sheet3!CB100 + 273)^2)
- (3.367 * (10^(-14)) * (BZ100 + 273)^3)</f>
        <v>3.5030196905946594E-5</v>
      </c>
      <c r="O100" s="183">
        <f xml:space="preserve"> (6.057 * (10^(-6)))
+ (4.055 * (10^(-8)) * (Sheet3!CC100 + 273))
+ (1.25 * (10^(-10)) * (Sheet3!CC100 + 273)^2)
- (3.367 * (10^(-14)) * (CA100 + 273)^3)</f>
        <v>3.4592538338486267E-5</v>
      </c>
      <c r="P100" s="183">
        <f xml:space="preserve"> (6.057 * (10^(-6)))
+ (4.055 * (10^(-8)) * (Sheet3!CD100 + 273))
+ (1.25 * (10^(-10)) * (Sheet3!CD100 + 273)^2)
- (3.367 * (10^(-14)) * (CB100 + 273)^3)</f>
        <v>3.42974353194696E-5</v>
      </c>
      <c r="Q100" s="183">
        <f xml:space="preserve"> (6.057 * (10^(-6)))
+ (4.055 * (10^(-8)) * (Sheet3!CE100 + 273))
+ (1.25 * (10^(-10)) * (Sheet3!CE100 + 273)^2)
- (3.367 * (10^(-14)) * (CC100 + 273)^3)</f>
        <v>3.4030131159029971E-5</v>
      </c>
      <c r="R100" s="183">
        <f xml:space="preserve"> (6.057 * (10^(-6)))
+ (4.055 * (10^(-8)) * (Sheet3!CF100 + 273))
+ (1.25 * (10^(-10)) * (Sheet3!CF100 + 273)^2)
- (3.367 * (10^(-14)) * (CD100 + 273)^3)</f>
        <v>3.364908838923044E-5</v>
      </c>
      <c r="S100" s="183">
        <f xml:space="preserve"> (6.057 * (10^(-6)))
+ (4.055 * (10^(-8)) * (Sheet3!CG100 + 273))
+ (1.25 * (10^(-10)) * (Sheet3!CG100 + 273)^2)
- (3.367 * (10^(-14)) * (CE100 + 273)^3)</f>
        <v>3.3422410044891717E-5</v>
      </c>
      <c r="T100" s="188">
        <f t="shared" si="314"/>
        <v>3.5903150986826732E-5</v>
      </c>
      <c r="U100" s="165">
        <f t="shared" si="315"/>
        <v>3.5812000905420584E-5</v>
      </c>
      <c r="V100" s="165">
        <f t="shared" si="316"/>
        <v>3.5374150922672631E-5</v>
      </c>
      <c r="W100" s="165">
        <f t="shared" si="317"/>
        <v>3.5030196905946594E-5</v>
      </c>
      <c r="X100" s="165">
        <f t="shared" si="318"/>
        <v>3.4592538338486267E-5</v>
      </c>
      <c r="Y100" s="165">
        <f t="shared" si="319"/>
        <v>3.42974353194696E-5</v>
      </c>
      <c r="Z100" s="165">
        <f t="shared" si="320"/>
        <v>3.4030131159029971E-5</v>
      </c>
      <c r="AA100" s="165">
        <f t="shared" si="321"/>
        <v>3.364908838923044E-5</v>
      </c>
      <c r="AB100" s="165">
        <f t="shared" si="322"/>
        <v>3.3422410044891717E-5</v>
      </c>
      <c r="AC100" s="186">
        <f t="shared" si="420"/>
        <v>2.9144975969634354E-5</v>
      </c>
      <c r="AD100" s="183">
        <f t="shared" si="421"/>
        <v>2.903383427966543E-5</v>
      </c>
      <c r="AE100" s="183">
        <f t="shared" si="422"/>
        <v>2.8497438406175195E-5</v>
      </c>
      <c r="AF100" s="183">
        <f t="shared" si="423"/>
        <v>2.8067813770599033E-5</v>
      </c>
      <c r="AG100" s="183">
        <f t="shared" si="424"/>
        <v>2.7538703540795147E-5</v>
      </c>
      <c r="AH100" s="183">
        <f t="shared" si="425"/>
        <v>2.717113332885519E-5</v>
      </c>
      <c r="AI100" s="183">
        <f t="shared" si="426"/>
        <v>2.6857921864071259E-5</v>
      </c>
      <c r="AJ100" s="183">
        <f t="shared" si="427"/>
        <v>2.6384516346565775E-5</v>
      </c>
      <c r="AK100" s="183">
        <f t="shared" si="428"/>
        <v>2.6127752820742843E-5</v>
      </c>
      <c r="AL100" s="186">
        <f t="shared" si="323"/>
        <v>2.9788364403966011E-2</v>
      </c>
      <c r="AM100" s="183">
        <f t="shared" si="324"/>
        <v>2.9727430673620991E-2</v>
      </c>
      <c r="AN100" s="183">
        <f t="shared" si="325"/>
        <v>2.9427616033336997E-2</v>
      </c>
      <c r="AO100" s="183">
        <f t="shared" si="326"/>
        <v>2.9189529974030581E-2</v>
      </c>
      <c r="AP100" s="183">
        <f t="shared" si="327"/>
        <v>2.8887026289377109E-2</v>
      </c>
      <c r="AQ100" s="183">
        <f t="shared" si="328"/>
        <v>2.8680163649447688E-2</v>
      </c>
      <c r="AR100" s="183">
        <f t="shared" si="329"/>
        <v>2.8495183482503773E-2</v>
      </c>
      <c r="AS100" s="183">
        <f t="shared" si="330"/>
        <v>2.8225399766054551E-2</v>
      </c>
      <c r="AT100" s="183">
        <f t="shared" si="331"/>
        <v>2.8071646378663252E-2</v>
      </c>
      <c r="AU100" s="186">
        <f>_xlfn.FORECAST.LINEAR(Sheet3!DF100,Sheet2!$AH$2:$AH$40,Sheet2!$AG$2:$AG$40)</f>
        <v>2.5653712965492358E-2</v>
      </c>
      <c r="AV100" s="183">
        <f>_xlfn.FORECAST.LINEAR(Sheet3!BZ100,Sheet2!$AH$2:$AH$40,Sheet2!$AG$2:$AG$40)</f>
        <v>2.5479610477618285E-2</v>
      </c>
      <c r="AW100" s="183">
        <f>_xlfn.FORECAST.LINEAR(Sheet3!CA100,Sheet2!$AH$2:$AH$40,Sheet2!$AG$2:$AG$40)</f>
        <v>2.4620025010536457E-2</v>
      </c>
      <c r="AX100" s="183">
        <f>_xlfn.FORECAST.LINEAR(Sheet3!CB100,Sheet2!$AH$2:$AH$40,Sheet2!$AG$2:$AG$40)</f>
        <v>2.3940789598716258E-2</v>
      </c>
      <c r="AY100" s="183">
        <f>_xlfn.FORECAST.LINEAR(Sheet3!CC100,Sheet2!$AH$2:$AH$40,Sheet2!$AG$2:$AG$40)</f>
        <v>2.3071382734133568E-2</v>
      </c>
      <c r="AZ100" s="183">
        <f>_xlfn.FORECAST.LINEAR(Sheet3!CD100,Sheet2!$AH$2:$AH$40,Sheet2!$AG$2:$AG$40)</f>
        <v>2.2481840733980633E-2</v>
      </c>
      <c r="BA100" s="183">
        <f>_xlfn.FORECAST.LINEAR(Sheet3!CE100,Sheet2!$AH$2:$AH$40,Sheet2!$AG$2:$AG$40)</f>
        <v>2.1945507507564358E-2</v>
      </c>
      <c r="BB100" s="183">
        <f>_xlfn.FORECAST.LINEAR(Sheet3!CF100,Sheet2!$AH$2:$AH$40,Sheet2!$AG$2:$AG$40)</f>
        <v>2.1177066568032057E-2</v>
      </c>
      <c r="BC100" s="183">
        <f>_xlfn.FORECAST.LINEAR(Sheet3!CG100,Sheet2!$AH$2:$AH$40,Sheet2!$AG$2:$AG$40)</f>
        <v>2.0729941496923681E-2</v>
      </c>
      <c r="BD100" s="186">
        <f>_xlfn.FORECAST.LINEAR(Sheet3!DF100,Sheet2!$AB$12:$AB$37,Sheet2!$AA$12:$AA$37)/1000</f>
        <v>3.0506351161118033E-2</v>
      </c>
      <c r="BE100" s="183">
        <f>_xlfn.FORECAST.LINEAR(Sheet3!BZ100,Sheet2!$AB$12:$AB$37,Sheet2!$AA$12:$AA$37)/1000</f>
        <v>3.0467425874697772E-2</v>
      </c>
      <c r="BF100" s="183">
        <f>_xlfn.FORECAST.LINEAR(Sheet3!CA100,Sheet2!$AB$12:$AB$37,Sheet2!$AA$12:$AA$37)/1000</f>
        <v>3.0275242460678694E-2</v>
      </c>
      <c r="BG100" s="183">
        <f>_xlfn.FORECAST.LINEAR(Sheet3!CB100,Sheet2!$AB$12:$AB$37,Sheet2!$AA$12:$AA$37)/1000</f>
        <v>3.0123381144538233E-2</v>
      </c>
      <c r="BH100" s="183">
        <f>_xlfn.FORECAST.LINEAR(Sheet3!CC100,Sheet2!$AB$12:$AB$37,Sheet2!$AA$12:$AA$37)/1000</f>
        <v>2.9929001893369233E-2</v>
      </c>
      <c r="BI100" s="183">
        <f>_xlfn.FORECAST.LINEAR(Sheet3!CD100,Sheet2!$AB$12:$AB$37,Sheet2!$AA$12:$AA$37)/1000</f>
        <v>2.9797193947986366E-2</v>
      </c>
      <c r="BJ100" s="183">
        <f>_xlfn.FORECAST.LINEAR(Sheet3!CE100,Sheet2!$AB$12:$AB$37,Sheet2!$AA$12:$AA$37)/1000</f>
        <v>2.9677282252812565E-2</v>
      </c>
      <c r="BK100" s="183">
        <f>_xlfn.FORECAST.LINEAR(Sheet3!CF100,Sheet2!$AB$12:$AB$37,Sheet2!$AA$12:$AA$37)/1000</f>
        <v>2.9505476645474062E-2</v>
      </c>
      <c r="BL100" s="183">
        <f>_xlfn.FORECAST.LINEAR(Sheet3!CG100,Sheet2!$AB$12:$AB$37,Sheet2!$AA$12:$AA$37)/1000</f>
        <v>2.9405509828967901E-2</v>
      </c>
      <c r="BM100" s="186">
        <f t="shared" si="332"/>
        <v>0.92928084876635475</v>
      </c>
      <c r="BN100" s="183">
        <f t="shared" si="333"/>
        <v>0.93106596247986617</v>
      </c>
      <c r="BO100" s="183">
        <f t="shared" si="334"/>
        <v>0.94006028830321609</v>
      </c>
      <c r="BP100" s="183">
        <f t="shared" si="335"/>
        <v>0.94721586730167839</v>
      </c>
      <c r="BQ100" s="183">
        <f t="shared" si="336"/>
        <v>0.9566762824720908</v>
      </c>
      <c r="BR100" s="183">
        <f t="shared" si="337"/>
        <v>0.96310120330465399</v>
      </c>
      <c r="BS100" s="183">
        <f t="shared" si="338"/>
        <v>0.96918797038048543</v>
      </c>
      <c r="BT100" s="183">
        <f t="shared" si="339"/>
        <v>0.97780028313396938</v>
      </c>
      <c r="BU100" s="183">
        <f t="shared" si="340"/>
        <v>0.98303160515530008</v>
      </c>
      <c r="BV100" s="186">
        <f t="shared" si="341"/>
        <v>1.0998563571863671</v>
      </c>
      <c r="BW100" s="183">
        <f t="shared" si="342"/>
        <v>1.099695710860181</v>
      </c>
      <c r="BX100" s="183">
        <f t="shared" si="343"/>
        <v>1.0984835314225077</v>
      </c>
      <c r="BY100" s="183">
        <f t="shared" si="344"/>
        <v>1.0979171042606017</v>
      </c>
      <c r="BZ100" s="183">
        <f t="shared" si="345"/>
        <v>1.0964639027332446</v>
      </c>
      <c r="CA100" s="183">
        <f t="shared" si="346"/>
        <v>1.0959782765839816</v>
      </c>
      <c r="CB100" s="183">
        <f t="shared" si="347"/>
        <v>1.0946897124321622</v>
      </c>
      <c r="CC100" s="183">
        <f t="shared" si="348"/>
        <v>1.0940591571192313</v>
      </c>
      <c r="CD100" s="183">
        <f t="shared" si="349"/>
        <v>1.0929450932345826</v>
      </c>
      <c r="CE100" s="187">
        <f xml:space="preserve"> -0.0000000019505*Sheet3!DF100^3 + 0.0000015497*Sheet3!DF100^2  + 0.00016911*Sheet3!DF100 + 1.8585</f>
        <v>1.8828730816875001</v>
      </c>
      <c r="CF100" s="185">
        <f xml:space="preserve"> -0.0000000019505*Sheet3!BZ100^3 + 0.0000015497*Sheet3!BZ100^2  + 0.00016911*Sheet3!BZ100 + 1.8585</f>
        <v>1.8826062127943362</v>
      </c>
      <c r="CG100" s="185">
        <f xml:space="preserve"> -0.0000000019505*Sheet3!CA100^3 + 0.0000015497*Sheet3!CA100^2  + 0.00016911*Sheet3!CA100 + 1.8585</f>
        <v>1.8813032215255332</v>
      </c>
      <c r="CH100" s="185">
        <f xml:space="preserve"> -0.0000000019505*Sheet3!CB100^3 + 0.0000015497*Sheet3!CB100^2  + 0.00016911*Sheet3!CB100 + 1.8585</f>
        <v>1.8802910034476421</v>
      </c>
      <c r="CI100" s="185">
        <f xml:space="preserve"> -0.0000000019505*Sheet3!CC100^3 + 0.0000015497*Sheet3!CC100^2  + 0.00016911*Sheet3!CC100 + 1.8585</f>
        <v>1.8790181745358545</v>
      </c>
      <c r="CJ100" s="185">
        <f xml:space="preserve"> -0.0000000019505*Sheet3!CD100^3 + 0.0000015497*Sheet3!CD100^2  + 0.00016911*Sheet3!CD100 + 1.8585</f>
        <v>1.8781698498008037</v>
      </c>
      <c r="CK100" s="185">
        <f xml:space="preserve"> -0.0000000019505*Sheet3!CE100^3 + 0.0000015497*Sheet3!CE100^2  + 0.00016911*Sheet3!CE100 + 1.8585</f>
        <v>1.8774086071520808</v>
      </c>
      <c r="CL100" s="185">
        <f xml:space="preserve"> -0.0000000019505*Sheet3!CF100^3 + 0.0000015497*Sheet3!CF100^2  + 0.00016911*Sheet3!CF100 + 1.8585</f>
        <v>1.8763356117310808</v>
      </c>
      <c r="CM100" s="185">
        <f xml:space="preserve"> -0.0000000019505*Sheet3!CG100^3 + 0.0000015497*Sheet3!CG100^2  + 0.00016911*Sheet3!CG100 + 1.8585</f>
        <v>1.8757209802548058</v>
      </c>
      <c r="CN100" s="186">
        <f>_xlfn.FORECAST.LINEAR(Sheet3!DF100,New!$LU$2:$LU$14,New!$LT$2:$LT$14)</f>
        <v>1.0126209368728181</v>
      </c>
      <c r="CO100" s="183">
        <f>_xlfn.FORECAST.LINEAR(Sheet3!BZ100,New!$LU$2:$LU$14,New!$LT$2:$LT$14)</f>
        <v>1.0124927951576437</v>
      </c>
      <c r="CP100" s="183">
        <f>_xlfn.FORECAST.LINEAR(Sheet3!CA100,New!$LU$2:$LU$14,New!$LT$2:$LT$14)</f>
        <v>1.0118601289767299</v>
      </c>
      <c r="CQ100" s="183">
        <f>_xlfn.FORECAST.LINEAR(Sheet3!CB100,New!$LU$2:$LU$14,New!$LT$2:$LT$14)</f>
        <v>1.0113602028025515</v>
      </c>
      <c r="CR100" s="183">
        <f>_xlfn.FORECAST.LINEAR(Sheet3!CC100,New!$LU$2:$LU$14,New!$LT$2:$LT$14)</f>
        <v>1.0107203079442275</v>
      </c>
      <c r="CS100" s="183">
        <f>_xlfn.FORECAST.LINEAR(Sheet3!CD100,New!$LU$2:$LU$14,New!$LT$2:$LT$14)</f>
        <v>1.0102863972977492</v>
      </c>
      <c r="CT100" s="183">
        <f>_xlfn.FORECAST.LINEAR(Sheet3!CE100,New!$LU$2:$LU$14,New!$LT$2:$LT$14)</f>
        <v>1.0098916490068017</v>
      </c>
      <c r="CU100" s="183">
        <f>_xlfn.FORECAST.LINEAR(Sheet3!CF100,New!$LU$2:$LU$14,New!$LT$2:$LT$14)</f>
        <v>1.009326066393915</v>
      </c>
      <c r="CV100" s="183">
        <f>_xlfn.FORECAST.LINEAR(Sheet3!CG100,New!$LU$2:$LU$14,New!$LT$2:$LT$14)</f>
        <v>1.0089969764756206</v>
      </c>
      <c r="CW100" s="186">
        <f>EXP((17.625*Sheet3!BA100)/(243.04+Sheet3!BA100)) / EXP((17.625*Sheet3!DF100)/(243.04+Sheet3!DF100))</f>
        <v>0.23863074727379474</v>
      </c>
      <c r="CX100" s="183">
        <f>EXP((17.625*(Sheet3!BC100+273))/(243.04+(Sheet3!BC100+273)))/EXP((17.625*(Sheet3!BZ100+273))/(243.04+(Sheet3!BZ100+273)))</f>
        <v>0.6713683565650479</v>
      </c>
      <c r="CY100" s="183">
        <f>EXP((17.625*(Sheet3!BE100+273))/(243.04+(Sheet3!BE100+273))) / EXP((17.625*(Sheet3!CA100+273))/(243.04+(Sheet3!CA100+273)))</f>
        <v>0.69874046438066884</v>
      </c>
      <c r="CZ100" s="183">
        <f>EXP((17.625*(Sheet3!BG100+273))/(243.04+(Sheet3!BG100+273))) / EXP((17.625*(Sheet3!CB100+273))/(243.04+(Sheet3!CB100+273)))</f>
        <v>0.7205567849426282</v>
      </c>
      <c r="DA100" s="183">
        <f>EXP((17.625*(Sheet3!BI100+273))/(243.04+(Sheet3!BI100+273))) / EXP((17.625*(Sheet3!CC100+273))/(243.04+(Sheet3!CC100+273)))</f>
        <v>0.74917229017028009</v>
      </c>
      <c r="DB100" s="183">
        <f>EXP((17.625*(Sheet3!BK100+273))/(243.04+(Sheet3!BK100+273)))/EXP((17.625*(Sheet3!CD100+273))/(243.04+(Sheet3!CD100+273)))</f>
        <v>0.77085622481028226</v>
      </c>
      <c r="DC100" s="183">
        <f>EXP((17.625*(Sheet3!BM100+273))/(243.04+(Sheet3!BM100+273))) / EXP((17.625*(Sheet3!CE100+273))/(243.04+(Sheet3!CE100+273)))</f>
        <v>0.78875345670986619</v>
      </c>
      <c r="DD100" s="183">
        <f>EXP((17.625*(Sheet3!BO100+273))/(243.04+(Sheet3!BO100+273))) / EXP((17.625*(Sheet3!CF100+273))/(243.04+(Sheet3!CF100+273)))</f>
        <v>0.8191403354762663</v>
      </c>
      <c r="DE100" s="183">
        <f>EXP((17.625*(Sheet3!BQ100+273))/(243.04+(Sheet3!BQ100+273))) / EXP((17.625*(Sheet3!CG100+273))/(243.04+(Sheet3!CG100+273)))</f>
        <v>0.83510190403552453</v>
      </c>
      <c r="DF100" s="186">
        <f>((Sheet3!DA100-Sheet3!DB100)/New!$LQ$3)/(((Sheet3!DA100-Sheet3!DB100)/New!$LQ$3)+(Sheet3!DB100/New!$LP$3))</f>
        <v>0.84810729703368526</v>
      </c>
      <c r="DG100" s="183">
        <f>((Sheet3!DA100-Sheet3!DB100)/New!$LQ$3)/(((Sheet3!DA100-Sheet3!DB100)/New!$LQ$3)+((Sheet3!DB100-(Sheet3!B100*0.004))/New!$LP$3))</f>
        <v>0.84825632135614393</v>
      </c>
      <c r="DH100" s="183" cm="1">
        <f t="array" ref="DH100">((Sheet3!DA100-Sheet3!DB100)/New!$LQ$3)/(((Sheet3!DA100-Sheet3!DB100)/New!$LQ$3)+((Sheet3!DB100-(SUM(Sheet3!B100:C100*0.004)))/New!$LP$3))</f>
        <v>0.85238765486029189</v>
      </c>
      <c r="DI100" s="183" cm="1">
        <f t="array" ref="DI100">((Sheet3!DA100-Sheet3!DB100)/New!$LQ$3)/(((Sheet3!DA100-Sheet3!DB100)/New!$LQ$3)+((Sheet3!DB100-(SUM(Sheet3!B100:D100*0.004)))/New!$LP$3))</f>
        <v>0.85251309490933691</v>
      </c>
      <c r="DJ100" s="183" cm="1">
        <f t="array" ref="DJ100">((Sheet3!DA100-Sheet3!DB100)/New!$LQ$3)/(((Sheet3!DA100-Sheet3!DB100)/New!$LQ$3)+((Sheet3!DB100-(SUM(Sheet3!B100:E100*0.004)))/New!$LP$3))</f>
        <v>0.85865430115501518</v>
      </c>
      <c r="DK100" s="183" cm="1">
        <f t="array" ref="DK100">((Sheet3!DA100-Sheet3!DB100)/New!$LQ$3)/(((Sheet3!DA100-Sheet3!DB100)/New!$LQ$3)+((Sheet3!DB100-(SUM(Sheet3!B100:F100*0.004)))/New!$LP$3))</f>
        <v>0.8587434011763212</v>
      </c>
      <c r="DL100" s="183" cm="1">
        <f t="array" ref="DL100">((Sheet3!DA100-Sheet3!DB100)/New!$LQ$3)/(((Sheet3!DA100-Sheet3!DB100)/New!$LQ$3)+((Sheet3!DB100-(SUM(Sheet3!B100:G100*0.004)))/New!$LP$3))</f>
        <v>0.86589298619929478</v>
      </c>
      <c r="DM100" s="183" cm="1">
        <f t="array" ref="DM100">((Sheet3!DA100-Sheet3!DB100)/New!$LQ$3)/(((Sheet3!DA100-Sheet3!DB100)/New!$LQ$3)+((Sheet3!DB100-(SUM(Sheet3!B100:H100*0.004)))/New!$LP$3))</f>
        <v>0.86602243301424797</v>
      </c>
      <c r="DN100" s="183" cm="1">
        <f t="array" ref="DN100">((Sheet3!DA100-Sheet3!DB100)/New!$LQ$3)/(((Sheet3!DA100-Sheet3!DB100)/New!$LQ$3)+((Sheet3!DB100-(SUM(Sheet3!B100:I100*0.004)))/New!$LP$3))</f>
        <v>0.87245250538010999</v>
      </c>
      <c r="DO100" s="186">
        <f>(Sheet3!DB100/$LP$3) / ((Sheet3!DB100/$LP$3) + ((Sheet3!DA100-Sheet3!DB100)/$LQ$3))</f>
        <v>0.15189270296631469</v>
      </c>
      <c r="DP100" s="183">
        <f>((Sheet3!$DB100-(Sheet3!B100/4000)) / $LP$3) / (((Sheet3!$DA100-Sheet3!DB100) / $LQ$3) + (Sheet3!$DB100-((Sheet3!B100/4000)))/$LP$3)</f>
        <v>0.15188339048022428</v>
      </c>
      <c r="DQ100" s="183">
        <f>((Sheet3!$DB100-(SUM(Sheet3!B100:C100)/4000))/$LP$3)/(((Sheet3!$DA100-Sheet3!$DB100)/$LQ$3)+(Sheet3!$DB100-(SUM(Sheet3!B100:C100)/4000))/$LP$3)</f>
        <v>0.15162644042830653</v>
      </c>
      <c r="DR100" s="183">
        <f>((Sheet3!$DB100-(SUM(Sheet3!B100:D100)/4000))/$LP$3)/(((Sheet3!$DA100-Sheet3!$DB100)/$LQ$3)+(Sheet3!$DB100-(SUM(Sheet3!B100:D100)/4000))/$LP$3)</f>
        <v>0.15161867516391014</v>
      </c>
      <c r="DS100" s="183">
        <f>((Sheet3!$DB100-(SUM(Sheet3!B100:E100)/4000))/$LP$3)/(((Sheet3!$DA100-Sheet3!$DB100)/$LQ$3)+(Sheet3!$DB100-(SUM(Sheet3!B100:E100)/4000))/$LP$3)</f>
        <v>0.15124111190409081</v>
      </c>
      <c r="DT100" s="183">
        <f>((Sheet3!$DB100-(SUM(Sheet3!B100:F100)/4000))/$LP$3)/(((Sheet3!$DA100-Sheet3!$DB100)/$LQ$3)+(Sheet3!$DB100-(SUM(Sheet3!B100:F100)/4000))/$LP$3)</f>
        <v>0.15123567129507462</v>
      </c>
      <c r="DU100" s="183">
        <f>((Sheet3!$DB100-(SUM(Sheet3!B100:G100)/4000))/$LP$3)/(((Sheet3!$DA100-Sheet3!$DB100)/$LQ$3)+(Sheet3!$DB100-(SUM(Sheet3!B100:G100)/4000))/$LP$3)</f>
        <v>0.15080253056103582</v>
      </c>
      <c r="DV100" s="183">
        <f>((Sheet3!$DB100-(SUM(Sheet3!B100:H100)/4000))/$LP$3)/(((Sheet3!$DA100-Sheet3!$DB100)/$LQ$3)+(Sheet3!$DB100-(SUM(Sheet3!B100:H100)/4000))/$LP$3)</f>
        <v>0.15079475020655583</v>
      </c>
      <c r="DW100" s="183">
        <f>((Sheet3!$DB100-(SUM(Sheet3!B100:I100)/4000))/$LP$3)/(((Sheet3!$DA100-Sheet3!$DB100)/$LQ$3)+(Sheet3!$DB100-(SUM(Sheet3!B100:I100)/4000))/$LP$3)</f>
        <v>0.15041100188226866</v>
      </c>
      <c r="DX100" s="186">
        <f>($LR$2*($LP$3/1000))/($LP$2*(Sheet3!DF100+273))*DO100</f>
        <v>9.3152548849767439E-2</v>
      </c>
      <c r="DY100" s="183">
        <f>(($LR$2*($LP$3/1000))/($LP$2*(Sheet3!BZ100+273)))*(DP100)</f>
        <v>9.3325420824370717E-2</v>
      </c>
      <c r="DZ100" s="183">
        <f>(($LR$2*($LP$3/1000))/($LP$2*(Sheet3!CA100+273)))*(DQ100)</f>
        <v>9.4057867770586459E-2</v>
      </c>
      <c r="EA100" s="183">
        <f>(($LR$2*($LP$3/1000))/($LP$2*(Sheet3!CB100+273)))*(DR100)</f>
        <v>9.4768671565207477E-2</v>
      </c>
      <c r="EB100" s="183">
        <f>(($LR$2*($LP$3/1000))/($LP$2*(Sheet3!CC100+273)))*(DS100)</f>
        <v>9.5462381900838014E-2</v>
      </c>
      <c r="EC100" s="183">
        <f>(($LR$2*($LP$3/1000))/($LP$2*(Sheet3!CD100+273)))*(DT100)</f>
        <v>9.6099828856152855E-2</v>
      </c>
      <c r="ED100" s="183">
        <f>(($LR$2*($LP$3/1000))/($LP$2*(Sheet3!CE100+273)))*(DU100)</f>
        <v>9.6413466457824309E-2</v>
      </c>
      <c r="EE100" s="183">
        <f>(($LR$2*($LP$3/1000))/($LP$2*(Sheet3!CF100+273)))*(DV100)</f>
        <v>9.7264885557647077E-2</v>
      </c>
      <c r="EF100" s="183">
        <f>(($LR$2*($LP$3/1000))/($LP$2*(Sheet3!CG100+273)))*(DW100)</f>
        <v>9.7521415479624396E-2</v>
      </c>
      <c r="EG100" s="186">
        <f>(($LR$2*($LQ$3/1000))/($LQ$2*(Sheet3!DF100+273)))*(1-DO100)</f>
        <v>0.83612829991658733</v>
      </c>
      <c r="EH100" s="183">
        <f>(($LR$2*($LQ$3/1000))/($LQ$2*(Sheet3!BZ100+273)))*(1-DP100)</f>
        <v>0.8377405416554955</v>
      </c>
      <c r="EI100" s="183">
        <f>(($LR$2*($LQ$3/1000))/($LQ$2*(Sheet3!CA100+273)))*(1-DQ100)</f>
        <v>0.84600242053262964</v>
      </c>
      <c r="EJ100" s="183">
        <f>(($LR$2*($LQ$3/1000))/($LQ$2*(Sheet3!CB100+273)))*(1-DR100)</f>
        <v>0.85244719573647088</v>
      </c>
      <c r="EK100" s="183">
        <f>(($LR$2*($LQ$3/1000))/($LQ$2*(Sheet3!CC100+273)))*(1-DS100)</f>
        <v>0.8612139005712528</v>
      </c>
      <c r="EL100" s="183">
        <f>(($LR$2*($LQ$3/1000))/($LQ$2*(Sheet3!CD100+273)))*(1-DT100)</f>
        <v>0.86700137444850112</v>
      </c>
      <c r="EM100" s="183">
        <f>(($LR$2*($LQ$3/1000))/($LQ$2*(Sheet3!CE100+273)))*(1-DU100)</f>
        <v>0.87277450392266109</v>
      </c>
      <c r="EN100" s="183">
        <f>(($LR$2*($LQ$3/1000))/($LQ$2*(Sheet3!CF100+273)))*(1-DV100)</f>
        <v>0.88053539757632227</v>
      </c>
      <c r="EO100" s="183">
        <f>(($LR$2*($LQ$3/1000))/($LQ$2*(Sheet3!CG100+273)))*(1-DW100)</f>
        <v>0.88551018967567574</v>
      </c>
      <c r="EP100" s="186">
        <f t="shared" si="350"/>
        <v>9656.0316377807685</v>
      </c>
      <c r="EQ100" s="183">
        <f xml:space="preserve"> (($FV100-(Sheet3!B100/4000))*0.018)/(0.011*JO100*3600)</f>
        <v>9669.869952840163</v>
      </c>
      <c r="ER100" s="183">
        <f>((($FV100-(SUM(Sheet3!B100:C100)/4000))*0.018)/(0.011*JP100*3600))</f>
        <v>9736.2052690775345</v>
      </c>
      <c r="ES100" s="183">
        <f>((($FV100-(SUM(Sheet3!B100:D100)/4000))*0.018)/(0.011*JQ100*3600))</f>
        <v>9791.7165796911722</v>
      </c>
      <c r="ET100" s="183">
        <f>((($FV100-(SUM(Sheet3!B100:E100)/4000))*0.018)/(0.011*JR100))/3600</f>
        <v>9859.1338325715824</v>
      </c>
      <c r="EU100" s="183">
        <f>((($FV100-(SUM(Sheet3!B100:F100)/4000))*0.018)/(0.011*JS100))/3600</f>
        <v>9908.5618905808624</v>
      </c>
      <c r="EV100" s="183">
        <f>((($FV100-(SUM(Sheet3!B100:G100)/4000))*0.018)/(0.011*JT100))/3600</f>
        <v>9948.5647229087044</v>
      </c>
      <c r="EW100" s="183">
        <f>((($FV100-(SUM(Sheet3!B100:H100)/4000))*0.018)/(0.011*JU100))/3600</f>
        <v>10014.31259856549</v>
      </c>
      <c r="EX100" s="183">
        <f>((($FV100-(SUM(Sheet3!B100:I100)/4000))*0.018)/(0.011*JV100))/3600</f>
        <v>10048.127584773503</v>
      </c>
      <c r="EY100" s="186">
        <f t="shared" si="351"/>
        <v>77.683988910623839</v>
      </c>
      <c r="EZ100" s="183">
        <f t="shared" si="352"/>
        <v>77.767048451329131</v>
      </c>
      <c r="FA100" s="183">
        <f t="shared" si="353"/>
        <v>78.158894701974063</v>
      </c>
      <c r="FB100" s="183">
        <f t="shared" si="354"/>
        <v>78.493475299665761</v>
      </c>
      <c r="FC100" s="183">
        <f t="shared" si="355"/>
        <v>78.888536021352522</v>
      </c>
      <c r="FD100" s="183">
        <f t="shared" si="356"/>
        <v>79.187022552930785</v>
      </c>
      <c r="FE100" s="183">
        <f t="shared" si="357"/>
        <v>79.414822647577395</v>
      </c>
      <c r="FF100" s="183">
        <f t="shared" si="358"/>
        <v>79.812372933042454</v>
      </c>
      <c r="FG100" s="183">
        <f t="shared" si="359"/>
        <v>80.00435402698794</v>
      </c>
      <c r="FH100" s="186">
        <f t="shared" si="429"/>
        <v>128.5599427790732</v>
      </c>
      <c r="FI100" s="183">
        <f t="shared" si="430"/>
        <v>128.4341411960562</v>
      </c>
      <c r="FJ100" s="183">
        <f t="shared" si="431"/>
        <v>127.77944127109502</v>
      </c>
      <c r="FK100" s="183">
        <f t="shared" si="432"/>
        <v>127.28820277919016</v>
      </c>
      <c r="FL100" s="183">
        <f t="shared" si="433"/>
        <v>126.60306744329353</v>
      </c>
      <c r="FM100" s="183">
        <f t="shared" si="434"/>
        <v>126.17204254058667</v>
      </c>
      <c r="FN100" s="183">
        <f t="shared" si="435"/>
        <v>125.7188856985119</v>
      </c>
      <c r="FO100" s="183">
        <f t="shared" si="436"/>
        <v>125.15200735069752</v>
      </c>
      <c r="FP100" s="183">
        <f t="shared" si="437"/>
        <v>124.76966305549938</v>
      </c>
      <c r="FQ100" s="314">
        <f>Sheet3!CV100</f>
        <v>3</v>
      </c>
      <c r="FR100" s="183">
        <v>10000</v>
      </c>
      <c r="FS100" s="183">
        <v>10</v>
      </c>
      <c r="FT100" s="183">
        <v>0.12706666666666669</v>
      </c>
      <c r="FU100" s="183">
        <v>18.37</v>
      </c>
      <c r="FV100" s="183">
        <v>414</v>
      </c>
      <c r="FW100" s="183">
        <v>41.5</v>
      </c>
      <c r="FX100" s="183">
        <v>1239</v>
      </c>
      <c r="FY100" s="183">
        <v>6.35</v>
      </c>
      <c r="FZ100" s="183">
        <v>6.1</v>
      </c>
      <c r="GA100" s="183">
        <v>85</v>
      </c>
      <c r="GB100" s="186">
        <f>EXP($LP$6-($LQ$6/('Trial and Error method'!T100+$LP$8))) / ($LR$2/1000)</f>
        <v>1.9839816898447434E-2</v>
      </c>
      <c r="GC100" s="183">
        <f>EXP($LP$6-($LQ$6/('Trial and Error method'!U100+$LP$8))) / ($LR$2/1000)</f>
        <v>2.6276086430445777E-2</v>
      </c>
      <c r="GD100" s="183">
        <f>EXP($LP$6-($LQ$6/('Trial and Error method'!V100+$LP$8))) / ($LR$2/1000)</f>
        <v>2.5163964935539018E-2</v>
      </c>
      <c r="GE100" s="183">
        <f>EXP($LP$6-($LQ$6/('Trial and Error method'!W100+$LP$8))) / ($LR$2/1000)</f>
        <v>2.4239454170060473E-2</v>
      </c>
      <c r="GF100" s="183">
        <f>EXP($LP$6-($LQ$6/('Trial and Error method'!X100+$LP$8))) / ($LR$2/1000)</f>
        <v>2.3329912977721853E-2</v>
      </c>
      <c r="GG100" s="183">
        <f>EXP($LP$6-($LQ$6/('Trial and Error method'!Y100+$LP$8))) / ($LR$2/1000)</f>
        <v>2.2554206100922739E-2</v>
      </c>
      <c r="GH100" s="183">
        <f>EXP($LP$6-($LQ$6/('Trial and Error method'!Z100+$LP$8))) / ($LR$2/1000)</f>
        <v>2.1761341099925266E-2</v>
      </c>
      <c r="GI100" s="183">
        <f>EXP($LP$6-($LQ$6/('Trial and Error method'!AA100+$LP$8))) / ($LR$2/1000)</f>
        <v>2.0962415772371991E-2</v>
      </c>
      <c r="GJ100" s="183">
        <f>EXP($LP$6-($LQ$6/('Trial and Error method'!AB100+$LP$8))) / ($LR$2/1000)</f>
        <v>2.014029058235467E-2</v>
      </c>
      <c r="GK100" s="188">
        <f t="shared" si="411"/>
        <v>0.91254186042640151</v>
      </c>
      <c r="GL100" s="165">
        <f t="shared" si="360"/>
        <v>0.90947508897070728</v>
      </c>
      <c r="GM100" s="165">
        <f t="shared" si="361"/>
        <v>0.91014095684985752</v>
      </c>
      <c r="GN100" s="165">
        <f t="shared" si="362"/>
        <v>0.91058652792622463</v>
      </c>
      <c r="GO100" s="165">
        <f t="shared" si="363"/>
        <v>0.91121869734988126</v>
      </c>
      <c r="GP100" s="165">
        <f t="shared" si="364"/>
        <v>0.91159182713999554</v>
      </c>
      <c r="GQ100" s="165">
        <f t="shared" si="365"/>
        <v>0.91219737010697333</v>
      </c>
      <c r="GR100" s="165">
        <f t="shared" si="366"/>
        <v>0.91258267501613066</v>
      </c>
      <c r="GS100" s="165">
        <f t="shared" si="367"/>
        <v>0.91317621290396112</v>
      </c>
      <c r="GT100" s="188">
        <f t="shared" si="438"/>
        <v>9.1565496977886615E-2</v>
      </c>
      <c r="GU100" s="165">
        <f t="shared" si="439"/>
        <v>9.1876050530143499E-2</v>
      </c>
      <c r="GV100" s="165">
        <f t="shared" si="440"/>
        <v>9.1829302502364152E-2</v>
      </c>
      <c r="GW100" s="165">
        <f t="shared" si="441"/>
        <v>9.1809809598186104E-2</v>
      </c>
      <c r="GX100" s="165">
        <f t="shared" si="442"/>
        <v>9.1767507542727861E-2</v>
      </c>
      <c r="GY100" s="165">
        <f t="shared" si="443"/>
        <v>9.1755562472012817E-2</v>
      </c>
      <c r="GZ100" s="165">
        <f t="shared" si="444"/>
        <v>9.17030662614505E-2</v>
      </c>
      <c r="HA100" s="165">
        <f t="shared" si="445"/>
        <v>9.1701536786587531E-2</v>
      </c>
      <c r="HB100" s="165">
        <f t="shared" si="446"/>
        <v>9.163940187511789E-2</v>
      </c>
      <c r="HC100" s="188">
        <f>BV100*Sheet3!DF100</f>
        <v>93.487790360841203</v>
      </c>
      <c r="HD100" s="165">
        <f>BW100*Sheet3!BZ100</f>
        <v>92.720786771719588</v>
      </c>
      <c r="HE100" s="165">
        <f>BX100*Sheet3!CA100</f>
        <v>88.903220040019534</v>
      </c>
      <c r="HF100" s="165">
        <f>BY100*Sheet3!CB100</f>
        <v>85.923051463490012</v>
      </c>
      <c r="HG100" s="165">
        <f>BZ100*Sheet3!CC100</f>
        <v>82.058420167567107</v>
      </c>
      <c r="HH100" s="165">
        <f>CA100*Sheet3!CD100</f>
        <v>79.479727113948243</v>
      </c>
      <c r="HI100" s="165">
        <f>CB100*Sheet3!CE100</f>
        <v>77.076109536606765</v>
      </c>
      <c r="HJ100" s="165">
        <f>CC100*Sheet3!CF100</f>
        <v>73.723679911997394</v>
      </c>
      <c r="HK100" s="165">
        <f>CD100*Sheet3!CG100</f>
        <v>71.725756135953191</v>
      </c>
      <c r="HL100" s="188">
        <f>(CE100*Sheet3!DF100)+2501</f>
        <v>2661.0442119434374</v>
      </c>
      <c r="HM100" s="165">
        <f>(CF100*Sheet3!BZ100)+2501</f>
        <v>2659.7318450983867</v>
      </c>
      <c r="HN100" s="165">
        <f>(CG100*Sheet3!CA100)+2501</f>
        <v>2653.2589183004798</v>
      </c>
      <c r="HO100" s="165">
        <f>(CH100*Sheet3!CB100)+2501</f>
        <v>2648.1516747745477</v>
      </c>
      <c r="HP100" s="165">
        <f>(CI100*Sheet3!CC100)+2501</f>
        <v>2641.6241121884614</v>
      </c>
      <c r="HQ100" s="165">
        <f>(CJ100*Sheet3!CD100)+2501</f>
        <v>2637.2038192956597</v>
      </c>
      <c r="HR100" s="165">
        <f>(CK100*Sheet3!CE100)+2501</f>
        <v>2633.186636821792</v>
      </c>
      <c r="HS100" s="165">
        <f>(CL100*Sheet3!CF100)+2501</f>
        <v>2627.4377388979419</v>
      </c>
      <c r="HT100" s="165">
        <f>(CM100*Sheet3!CG100)+2501</f>
        <v>2624.0963078032419</v>
      </c>
      <c r="HU100" s="188">
        <f>-0.0021*(Sheet3!DF100^2) - 2.2115*(Sheet3!DF100) + 2499</f>
        <v>2295.85</v>
      </c>
      <c r="HV100" s="165">
        <f>-0.0021*(Sheet3!BZ100^2) - 2.2115*(Sheet3!BZ100) + 2499</f>
        <v>2297.6085703189046</v>
      </c>
      <c r="HW100" s="165">
        <f>-0.0021*(Sheet3!CA100^2) - 2.2115*(Sheet3!CA100) + 2499</f>
        <v>2306.262161854173</v>
      </c>
      <c r="HX100" s="165">
        <f>-0.0021*(Sheet3!CB100^2) - 2.2115*(Sheet3!CB100) + 2499</f>
        <v>2313.0661558031088</v>
      </c>
      <c r="HY100" s="165">
        <f>-0.0021*(Sheet3!CC100^2) - 2.2115*(Sheet3!CC100) + 2499</f>
        <v>2321.7313477480334</v>
      </c>
      <c r="HZ100" s="165">
        <f>-0.0021*(Sheet3!CD100^2) - 2.2115*(Sheet3!CD100) + 2499</f>
        <v>2327.5792217893827</v>
      </c>
      <c r="IA100" s="165">
        <f>-0.0021*(Sheet3!CE100^2) - 2.2115*(Sheet3!CE100) + 2499</f>
        <v>2332.8796665703821</v>
      </c>
      <c r="IB100" s="165">
        <f>-0.0021*(Sheet3!CF100^2) - 2.2115*(Sheet3!CF100) + 2499</f>
        <v>2340.4413739687584</v>
      </c>
      <c r="IC100" s="165">
        <f>-0.0021*(Sheet3!CG100^2) - 2.2115*(Sheet3!CG100) + 2499</f>
        <v>2344.8235581797753</v>
      </c>
      <c r="ID100" s="188">
        <f t="shared" si="447"/>
        <v>0.71956211835193606</v>
      </c>
      <c r="IE100" s="165">
        <f t="shared" si="448"/>
        <v>0.71989479909250376</v>
      </c>
      <c r="IF100" s="165">
        <f t="shared" si="449"/>
        <v>0.72133407027962415</v>
      </c>
      <c r="IG100" s="165">
        <f t="shared" si="450"/>
        <v>0.72271769672691044</v>
      </c>
      <c r="IH100" s="165">
        <f t="shared" si="451"/>
        <v>0.72411961604546249</v>
      </c>
      <c r="II100" s="165">
        <f t="shared" si="452"/>
        <v>0.72537975480797623</v>
      </c>
      <c r="IJ100" s="165">
        <f t="shared" si="453"/>
        <v>0.72605364436544473</v>
      </c>
      <c r="IK100" s="165">
        <f t="shared" si="454"/>
        <v>0.72775717444657506</v>
      </c>
      <c r="IL100" s="165">
        <f t="shared" si="455"/>
        <v>0.72832100210444406</v>
      </c>
      <c r="IM100" s="188">
        <f t="shared" si="456"/>
        <v>27.760243046605858</v>
      </c>
      <c r="IN100" s="165">
        <f t="shared" si="368"/>
        <v>26.515099108658749</v>
      </c>
      <c r="IO100" s="165">
        <f t="shared" si="369"/>
        <v>26.782532350483105</v>
      </c>
      <c r="IP100" s="165">
        <f t="shared" si="370"/>
        <v>27.050526936383573</v>
      </c>
      <c r="IQ100" s="165">
        <f t="shared" si="371"/>
        <v>27.252695955476359</v>
      </c>
      <c r="IR100" s="165">
        <f t="shared" si="372"/>
        <v>27.482286999517559</v>
      </c>
      <c r="IS100" s="165">
        <f t="shared" si="373"/>
        <v>27.606067957810872</v>
      </c>
      <c r="IT100" s="165">
        <f t="shared" si="374"/>
        <v>27.864884466810942</v>
      </c>
      <c r="IU100" s="165">
        <f t="shared" si="375"/>
        <v>27.992339653182857</v>
      </c>
      <c r="IV100" s="188">
        <f>_xlfn.FORECAST.LINEAR(Sheet3!DF100,Sheet2!$AK$2:$AK$69,Sheet2!$AJ$2:$AJ$69)</f>
        <v>1.1761434736095797E-5</v>
      </c>
      <c r="IW100" s="165">
        <f>_xlfn.FORECAST.LINEAR(Sheet3!BZ100,Sheet2!$AK$2:$AK$69,Sheet2!$AJ$2:$AJ$69)</f>
        <v>1.1737449484972784E-5</v>
      </c>
      <c r="IX100" s="165">
        <f>_xlfn.FORECAST.LINEAR(Sheet3!CA100,Sheet2!$AK$2:$AK$69,Sheet2!$AJ$2:$AJ$69)</f>
        <v>1.1619028585068338E-5</v>
      </c>
      <c r="IY100" s="165">
        <f>_xlfn.FORECAST.LINEAR(Sheet3!CB100,Sheet2!$AK$2:$AK$69,Sheet2!$AJ$2:$AJ$69)</f>
        <v>1.152545363319324E-5</v>
      </c>
      <c r="IZ100" s="165">
        <f>_xlfn.FORECAST.LINEAR(Sheet3!CC100,Sheet2!$AK$2:$AK$69,Sheet2!$AJ$2:$AJ$69)</f>
        <v>1.1405679687227745E-5</v>
      </c>
      <c r="JA100" s="165">
        <f>_xlfn.FORECAST.LINEAR(Sheet3!CD100,Sheet2!$AK$2:$AK$69,Sheet2!$AJ$2:$AJ$69)</f>
        <v>1.1324461359483574E-5</v>
      </c>
      <c r="JB100" s="165">
        <f>_xlfn.FORECAST.LINEAR(Sheet3!CE100,Sheet2!$AK$2:$AK$69,Sheet2!$AJ$2:$AJ$69)</f>
        <v>1.1250573345140464E-5</v>
      </c>
      <c r="JC100" s="165">
        <f>_xlfn.FORECAST.LINEAR(Sheet3!CF100,Sheet2!$AK$2:$AK$69,Sheet2!$AJ$2:$AJ$69)</f>
        <v>1.1144708982528841E-5</v>
      </c>
      <c r="JD100" s="165">
        <f>_xlfn.FORECAST.LINEAR(Sheet3!CG100,Sheet2!$AK$2:$AK$69,Sheet2!$AJ$2:$AJ$69)</f>
        <v>1.1083110740913324E-5</v>
      </c>
      <c r="JE100" s="188">
        <f>_xlfn.FORECAST.LINEAR(Sheet3!DF100,New!$MC$2:$MC$18,New!$MB$2:$MB$18)</f>
        <v>2.0908514659214704E-5</v>
      </c>
      <c r="JF100" s="165">
        <f>_xlfn.FORECAST.LINEAR(Sheet3!BZ100,New!$MC$2:$MC$18,New!$MB$2:$MB$18)</f>
        <v>2.0880319417594225E-5</v>
      </c>
      <c r="JG100" s="165">
        <f>_xlfn.FORECAST.LINEAR(Sheet3!CA100,New!$MC$2:$MC$18,New!$MB$2:$MB$18)</f>
        <v>2.0741112791464015E-5</v>
      </c>
      <c r="JH100" s="165">
        <f>_xlfn.FORECAST.LINEAR(Sheet3!CB100,New!$MC$2:$MC$18,New!$MB$2:$MB$18)</f>
        <v>2.0631113176942085E-5</v>
      </c>
      <c r="JI100" s="165">
        <f>_xlfn.FORECAST.LINEAR(Sheet3!CC100,New!$MC$2:$MC$18,New!$MB$2:$MB$18)</f>
        <v>2.0490316012509013E-5</v>
      </c>
      <c r="JJ100" s="165">
        <f>_xlfn.FORECAST.LINEAR(Sheet3!CD100,New!$MC$2:$MC$18,New!$MB$2:$MB$18)</f>
        <v>2.0394841907901408E-5</v>
      </c>
      <c r="JK100" s="165">
        <f>_xlfn.FORECAST.LINEAR(Sheet3!CE100,New!$MC$2:$MC$18,New!$MB$2:$MB$18)</f>
        <v>2.0307984763626503E-5</v>
      </c>
      <c r="JL100" s="165">
        <f>_xlfn.FORECAST.LINEAR(Sheet3!CF100,New!$MC$2:$MC$18,New!$MB$2:$MB$18)</f>
        <v>2.0183538650157677E-5</v>
      </c>
      <c r="JM100" s="165">
        <f>_xlfn.FORECAST.LINEAR(Sheet3!CG100,New!$MC$2:$MC$18,New!$MB$2:$MB$18)</f>
        <v>2.0111128430358902E-5</v>
      </c>
      <c r="JN100" s="188">
        <f t="shared" si="376"/>
        <v>1.948852543580395E-5</v>
      </c>
      <c r="JO100" s="165">
        <f t="shared" si="377"/>
        <v>1.9460494863241005E-5</v>
      </c>
      <c r="JP100" s="165">
        <f t="shared" si="378"/>
        <v>1.9324042140590225E-5</v>
      </c>
      <c r="JQ100" s="165">
        <f t="shared" si="379"/>
        <v>1.9214374008299624E-5</v>
      </c>
      <c r="JR100" s="165">
        <f t="shared" si="380"/>
        <v>1.9077383517337666E-5</v>
      </c>
      <c r="JS100" s="165">
        <f t="shared" si="381"/>
        <v>1.8982137256161981E-5</v>
      </c>
      <c r="JT100" s="165">
        <f t="shared" si="382"/>
        <v>1.8899448473273183E-5</v>
      </c>
      <c r="JU100" s="165">
        <f t="shared" si="383"/>
        <v>1.8775252734464601E-5</v>
      </c>
      <c r="JV100" s="165">
        <f t="shared" si="384"/>
        <v>1.8706492895010773E-5</v>
      </c>
      <c r="JW100" s="188">
        <f t="shared" si="302"/>
        <v>1.0444458673781256</v>
      </c>
      <c r="JX100" s="165">
        <f t="shared" si="385"/>
        <v>1.0448378008127193</v>
      </c>
      <c r="JY100" s="165">
        <f t="shared" si="386"/>
        <v>1.0467956576381696</v>
      </c>
      <c r="JZ100" s="165">
        <f t="shared" si="387"/>
        <v>1.0483700720641249</v>
      </c>
      <c r="KA100" s="165">
        <f t="shared" si="388"/>
        <v>1.0504214917224854</v>
      </c>
      <c r="KB100" s="165">
        <f t="shared" si="389"/>
        <v>1.0518362608675613</v>
      </c>
      <c r="KC100" s="165">
        <f t="shared" si="390"/>
        <v>1.0531403778511701</v>
      </c>
      <c r="KD100" s="165">
        <f t="shared" si="391"/>
        <v>1.0550378029129359</v>
      </c>
      <c r="KE100" s="165">
        <f t="shared" si="392"/>
        <v>1.056157849803792</v>
      </c>
      <c r="KF100" s="188">
        <f t="shared" si="393"/>
        <v>0.94446821821306282</v>
      </c>
      <c r="KG100" s="165">
        <f t="shared" si="394"/>
        <v>0.9441690620417974</v>
      </c>
      <c r="KH100" s="165">
        <f t="shared" si="395"/>
        <v>0.94267929948936469</v>
      </c>
      <c r="KI100" s="165">
        <f t="shared" si="396"/>
        <v>0.94148687945178522</v>
      </c>
      <c r="KJ100" s="165">
        <f t="shared" si="397"/>
        <v>0.93994059007487529</v>
      </c>
      <c r="KK100" s="165">
        <f t="shared" si="398"/>
        <v>0.93887903329014943</v>
      </c>
      <c r="KL100" s="165">
        <f t="shared" si="399"/>
        <v>0.93790398598459779</v>
      </c>
      <c r="KM100" s="165">
        <f t="shared" si="400"/>
        <v>0.9364912714305248</v>
      </c>
      <c r="KN100" s="165">
        <f t="shared" si="401"/>
        <v>0.93566062910801573</v>
      </c>
      <c r="KO100" s="188">
        <f t="shared" si="457"/>
        <v>0.58411643746035236</v>
      </c>
      <c r="KP100" s="165">
        <f t="shared" si="458"/>
        <v>0.58363972319907775</v>
      </c>
      <c r="KQ100" s="165">
        <f t="shared" si="459"/>
        <v>0.58110718425453456</v>
      </c>
      <c r="KR100" s="165">
        <f t="shared" si="460"/>
        <v>0.57907484148351074</v>
      </c>
      <c r="KS100" s="165">
        <f t="shared" si="461"/>
        <v>0.5764629134533471</v>
      </c>
      <c r="KT100" s="165">
        <f t="shared" si="462"/>
        <v>0.57466075373721581</v>
      </c>
      <c r="KU100" s="165">
        <f t="shared" si="463"/>
        <v>0.57303017606257001</v>
      </c>
      <c r="KV100" s="165">
        <f t="shared" si="464"/>
        <v>0.57064015652981925</v>
      </c>
      <c r="KW100" s="165">
        <f t="shared" si="465"/>
        <v>0.5693602314010594</v>
      </c>
      <c r="KX100" s="188">
        <f>AVERAGE(Sheet3!J100:P100)*KO100^(1/3)/ID100^(1/3)</f>
        <v>169.46459502859247</v>
      </c>
      <c r="KY100" s="165">
        <f>Sheet3!J100*KP100^(1/3)/IE100^(1/3)</f>
        <v>170.04245210058477</v>
      </c>
      <c r="KZ100" s="165">
        <f>Sheet3!K100*KQ100^(1/3)/IF100^(1/3)</f>
        <v>156.6640191320123</v>
      </c>
      <c r="LA100" s="165">
        <f>Sheet3!L100*KR100^(1/3)/IG100^(1/3)</f>
        <v>152.20108800589432</v>
      </c>
      <c r="LB100" s="165">
        <f>Sheet3!M100*KS100^(1/3)/IH100^(1/3)</f>
        <v>154.58121946229554</v>
      </c>
      <c r="LC100" s="165">
        <f>Sheet3!N100*KT100^(1/3)/II100^(1/3)</f>
        <v>163.01961015099346</v>
      </c>
      <c r="LD100" s="165">
        <f>Sheet3!O100*KU100^(1/3)/IJ100^(1/3)</f>
        <v>180.03708198822082</v>
      </c>
      <c r="LE100" s="165">
        <f>Sheet3!P100*KV100^(1/3)/IK100^(1/3)</f>
        <v>202.18748939316566</v>
      </c>
      <c r="LF100" s="165">
        <f>Sheet3!Q100*KW100^(1/3)/IL100^(1/3)</f>
        <v>227.45049817609856</v>
      </c>
      <c r="LG100" s="186">
        <f t="shared" si="402"/>
        <v>27.297534366033688</v>
      </c>
      <c r="LH100" s="183">
        <f t="shared" si="403"/>
        <v>27.30168234597517</v>
      </c>
      <c r="LI100" s="183">
        <f t="shared" si="404"/>
        <v>27.416696809069997</v>
      </c>
      <c r="LJ100" s="183">
        <f t="shared" si="405"/>
        <v>27.420189661652238</v>
      </c>
      <c r="LK100" s="183">
        <f t="shared" si="406"/>
        <v>27.591237192401437</v>
      </c>
      <c r="LL100" s="183">
        <f t="shared" si="407"/>
        <v>27.593719516447031</v>
      </c>
      <c r="LM100" s="183">
        <f t="shared" si="408"/>
        <v>27.792968468388636</v>
      </c>
      <c r="LN100" s="183">
        <f t="shared" si="409"/>
        <v>27.796577085063724</v>
      </c>
      <c r="LO100" s="183">
        <f t="shared" si="410"/>
        <v>27.975878754717058</v>
      </c>
      <c r="LT100" s="165"/>
      <c r="MF100" s="165"/>
      <c r="MJ100"/>
      <c r="MK100"/>
      <c r="ML100"/>
      <c r="MM100"/>
      <c r="MN100"/>
      <c r="MO100"/>
      <c r="MP100"/>
      <c r="MQ100"/>
      <c r="MR100"/>
    </row>
    <row r="101" spans="1:356" x14ac:dyDescent="0.3">
      <c r="A101" s="184" t="str">
        <f>Sheet3!A101</f>
        <v>2023.03.02-1</v>
      </c>
      <c r="B101" s="186">
        <f t="shared" si="313"/>
        <v>0.89709900334238657</v>
      </c>
      <c r="C101" s="183">
        <f t="shared" si="412"/>
        <v>0.89622487136108586</v>
      </c>
      <c r="D101" s="183">
        <f t="shared" si="413"/>
        <v>0.88917903194666348</v>
      </c>
      <c r="E101" s="183">
        <f t="shared" si="414"/>
        <v>0.88239521367105622</v>
      </c>
      <c r="F101" s="183">
        <f t="shared" si="415"/>
        <v>0.87425641865163073</v>
      </c>
      <c r="G101" s="183">
        <f t="shared" si="416"/>
        <v>0.86901002427802965</v>
      </c>
      <c r="H101" s="183">
        <f t="shared" si="417"/>
        <v>0.86296343567694866</v>
      </c>
      <c r="I101" s="183">
        <f t="shared" si="418"/>
        <v>0.85718490850170537</v>
      </c>
      <c r="J101" s="183">
        <f t="shared" si="419"/>
        <v>0.85117023947685799</v>
      </c>
      <c r="K101" s="186">
        <f xml:space="preserve"> (6.057 * (10^(-6)))
+ (4.055 * (10^(-8)) * (Sheet3!DF101 + 273))
+ (1.25 * (10^(-10)) * (Sheet3!DF101 + 273)^2)
- (3.367 * (10^(-14)) * (DD101 + 273)^3)</f>
        <v>4.4158763233421776E-5</v>
      </c>
      <c r="L101" s="183">
        <f xml:space="preserve"> (6.057 * (10^(-6)))
+ (4.055 * (10^(-8)) * (Sheet3!BZ101 + 273))
+ (1.25 * (10^(-10)) * (Sheet3!BZ101 + 273)^2)
- (3.367 * (10^(-14)) * (BX101 + 273)^3)</f>
        <v>4.4041752056010905E-5</v>
      </c>
      <c r="M101" s="183">
        <f xml:space="preserve"> (6.057 * (10^(-6)))
+ (4.055 * (10^(-8)) * (Sheet3!CA101 + 273))
+ (1.25 * (10^(-10)) * (Sheet3!CA101 + 273)^2)
- (3.367 * (10^(-14)) * (BY101 + 273)^3)</f>
        <v>4.3206837335251069E-5</v>
      </c>
      <c r="N101" s="183">
        <f xml:space="preserve"> (6.057 * (10^(-6)))
+ (4.055 * (10^(-8)) * (Sheet3!CB101 + 273))
+ (1.25 * (10^(-10)) * (Sheet3!CB101 + 273)^2)
- (3.367 * (10^(-14)) * (BZ101 + 273)^3)</f>
        <v>4.2460967688184924E-5</v>
      </c>
      <c r="O101" s="183">
        <f xml:space="preserve"> (6.057 * (10^(-6)))
+ (4.055 * (10^(-8)) * (Sheet3!CC101 + 273))
+ (1.25 * (10^(-10)) * (Sheet3!CC101 + 273)^2)
- (3.367 * (10^(-14)) * (CA101 + 273)^3)</f>
        <v>4.154522308602493E-5</v>
      </c>
      <c r="P101" s="183">
        <f xml:space="preserve"> (6.057 * (10^(-6)))
+ (4.055 * (10^(-8)) * (Sheet3!CD101 + 273))
+ (1.25 * (10^(-10)) * (Sheet3!CD101 + 273)^2)
- (3.367 * (10^(-14)) * (CB101 + 273)^3)</f>
        <v>4.1002800259245323E-5</v>
      </c>
      <c r="Q101" s="183">
        <f xml:space="preserve"> (6.057 * (10^(-6)))
+ (4.055 * (10^(-8)) * (Sheet3!CE101 + 273))
+ (1.25 * (10^(-10)) * (Sheet3!CE101 + 273)^2)
- (3.367 * (10^(-14)) * (CC101 + 273)^3)</f>
        <v>4.034736118684447E-5</v>
      </c>
      <c r="R101" s="183">
        <f xml:space="preserve"> (6.057 * (10^(-6)))
+ (4.055 * (10^(-8)) * (Sheet3!CF101 + 273))
+ (1.25 * (10^(-10)) * (Sheet3!CF101 + 273)^2)
- (3.367 * (10^(-14)) * (CD101 + 273)^3)</f>
        <v>3.9778417816844224E-5</v>
      </c>
      <c r="S101" s="183">
        <f xml:space="preserve"> (6.057 * (10^(-6)))
+ (4.055 * (10^(-8)) * (Sheet3!CG101 + 273))
+ (1.25 * (10^(-10)) * (Sheet3!CG101 + 273)^2)
- (3.367 * (10^(-14)) * (CE101 + 273)^3)</f>
        <v>3.9141200749411774E-5</v>
      </c>
      <c r="T101" s="188">
        <f t="shared" si="314"/>
        <v>4.4158763233421776E-5</v>
      </c>
      <c r="U101" s="165">
        <f t="shared" si="315"/>
        <v>4.4041752056010905E-5</v>
      </c>
      <c r="V101" s="165">
        <f t="shared" si="316"/>
        <v>4.3206837335251069E-5</v>
      </c>
      <c r="W101" s="165">
        <f t="shared" si="317"/>
        <v>4.2460967688184924E-5</v>
      </c>
      <c r="X101" s="165">
        <f t="shared" si="318"/>
        <v>4.154522308602493E-5</v>
      </c>
      <c r="Y101" s="165">
        <f t="shared" si="319"/>
        <v>4.1002800259245323E-5</v>
      </c>
      <c r="Z101" s="165">
        <f t="shared" si="320"/>
        <v>4.034736118684447E-5</v>
      </c>
      <c r="AA101" s="165">
        <f t="shared" si="321"/>
        <v>3.9778417816844224E-5</v>
      </c>
      <c r="AB101" s="165">
        <f t="shared" si="322"/>
        <v>3.9141200749411774E-5</v>
      </c>
      <c r="AC101" s="186">
        <f t="shared" si="420"/>
        <v>3.9614782485535097E-5</v>
      </c>
      <c r="AD101" s="183">
        <f t="shared" si="421"/>
        <v>3.9471313570915214E-5</v>
      </c>
      <c r="AE101" s="183">
        <f t="shared" si="422"/>
        <v>3.8418613795235501E-5</v>
      </c>
      <c r="AF101" s="183">
        <f t="shared" si="423"/>
        <v>3.7467354655895748E-5</v>
      </c>
      <c r="AG101" s="183">
        <f t="shared" si="424"/>
        <v>3.6321177947271203E-5</v>
      </c>
      <c r="AH101" s="183">
        <f t="shared" si="425"/>
        <v>3.5631844448753976E-5</v>
      </c>
      <c r="AI101" s="183">
        <f t="shared" si="426"/>
        <v>3.4818297430298074E-5</v>
      </c>
      <c r="AJ101" s="183">
        <f t="shared" si="427"/>
        <v>3.409745943667422E-5</v>
      </c>
      <c r="AK101" s="183">
        <f t="shared" si="428"/>
        <v>3.3315825215288594E-5</v>
      </c>
      <c r="AL101" s="186">
        <f t="shared" si="323"/>
        <v>3.5067063335493739E-2</v>
      </c>
      <c r="AM101" s="183">
        <f t="shared" si="324"/>
        <v>3.4999584772440417E-2</v>
      </c>
      <c r="AN101" s="183">
        <f t="shared" si="325"/>
        <v>3.4492403562098525E-2</v>
      </c>
      <c r="AO101" s="183">
        <f t="shared" si="326"/>
        <v>3.4036380888330345E-2</v>
      </c>
      <c r="AP101" s="183">
        <f t="shared" si="327"/>
        <v>3.3468353759159235E-2</v>
      </c>
      <c r="AQ101" s="183">
        <f t="shared" si="328"/>
        <v>3.3129677940353278E-2</v>
      </c>
      <c r="AR101" s="183">
        <f t="shared" si="329"/>
        <v>3.271603256232266E-2</v>
      </c>
      <c r="AS101" s="183">
        <f t="shared" si="330"/>
        <v>3.2354758636050314E-2</v>
      </c>
      <c r="AT101" s="183">
        <f t="shared" si="331"/>
        <v>3.1950293069277387E-2</v>
      </c>
      <c r="AU101" s="186">
        <f>_xlfn.FORECAST.LINEAR(Sheet3!DF101,Sheet2!$AH$2:$AH$40,Sheet2!$AG$2:$AG$40)</f>
        <v>4.0902410270024961E-2</v>
      </c>
      <c r="AV101" s="183">
        <f>_xlfn.FORECAST.LINEAR(Sheet3!BZ101,Sheet2!$AH$2:$AH$40,Sheet2!$AG$2:$AG$40)</f>
        <v>4.0705690265040069E-2</v>
      </c>
      <c r="AW101" s="183">
        <f>_xlfn.FORECAST.LINEAR(Sheet3!CA101,Sheet2!$AH$2:$AH$40,Sheet2!$AG$2:$AG$40)</f>
        <v>3.9233491448649141E-2</v>
      </c>
      <c r="AX101" s="183">
        <f>_xlfn.FORECAST.LINEAR(Sheet3!CB101,Sheet2!$AH$2:$AH$40,Sheet2!$AG$2:$AG$40)</f>
        <v>3.7905600574067493E-2</v>
      </c>
      <c r="AY101" s="183">
        <f>_xlfn.FORECAST.LINEAR(Sheet3!CC101,Sheet2!$AH$2:$AH$40,Sheet2!$AG$2:$AG$40)</f>
        <v>3.6258418698350933E-2</v>
      </c>
      <c r="AZ101" s="183">
        <f>_xlfn.FORECAST.LINEAR(Sheet3!CD101,Sheet2!$AH$2:$AH$40,Sheet2!$AG$2:$AG$40)</f>
        <v>3.5273704392610017E-2</v>
      </c>
      <c r="BA101" s="183">
        <f>_xlfn.FORECAST.LINEAR(Sheet3!CE101,Sheet2!$AH$2:$AH$40,Sheet2!$AG$2:$AG$40)</f>
        <v>3.4074638606307897E-2</v>
      </c>
      <c r="BB101" s="183">
        <f>_xlfn.FORECAST.LINEAR(Sheet3!CF101,Sheet2!$AH$2:$AH$40,Sheet2!$AG$2:$AG$40)</f>
        <v>3.3025444595663922E-2</v>
      </c>
      <c r="BC101" s="183">
        <f>_xlfn.FORECAST.LINEAR(Sheet3!CG101,Sheet2!$AH$2:$AH$40,Sheet2!$AG$2:$AG$40)</f>
        <v>3.1852426255900929E-2</v>
      </c>
      <c r="BD101" s="186">
        <f>_xlfn.FORECAST.LINEAR(Sheet3!DF101,Sheet2!$AB$12:$AB$37,Sheet2!$AA$12:$AA$37)/1000</f>
        <v>3.3915606923988664E-2</v>
      </c>
      <c r="BE101" s="183">
        <f>_xlfn.FORECAST.LINEAR(Sheet3!BZ101,Sheet2!$AB$12:$AB$37,Sheet2!$AA$12:$AA$37)/1000</f>
        <v>3.3871624884259453E-2</v>
      </c>
      <c r="BF101" s="183">
        <f>_xlfn.FORECAST.LINEAR(Sheet3!CA101,Sheet2!$AB$12:$AB$37,Sheet2!$AA$12:$AA$37)/1000</f>
        <v>3.3542475305207861E-2</v>
      </c>
      <c r="BG101" s="183">
        <f>_xlfn.FORECAST.LINEAR(Sheet3!CB101,Sheet2!$AB$12:$AB$37,Sheet2!$AA$12:$AA$37)/1000</f>
        <v>3.3245589641716776E-2</v>
      </c>
      <c r="BH101" s="183">
        <f>_xlfn.FORECAST.LINEAR(Sheet3!CC101,Sheet2!$AB$12:$AB$37,Sheet2!$AA$12:$AA$37)/1000</f>
        <v>3.2877317900850529E-2</v>
      </c>
      <c r="BI101" s="183">
        <f>_xlfn.FORECAST.LINEAR(Sheet3!CD101,Sheet2!$AB$12:$AB$37,Sheet2!$AA$12:$AA$37)/1000</f>
        <v>3.2657158574805639E-2</v>
      </c>
      <c r="BJ101" s="183">
        <f>_xlfn.FORECAST.LINEAR(Sheet3!CE101,Sheet2!$AB$12:$AB$37,Sheet2!$AA$12:$AA$37)/1000</f>
        <v>3.2389075219200154E-2</v>
      </c>
      <c r="BK101" s="183">
        <f>_xlfn.FORECAST.LINEAR(Sheet3!CF101,Sheet2!$AB$12:$AB$37,Sheet2!$AA$12:$AA$37)/1000</f>
        <v>3.2154499723620333E-2</v>
      </c>
      <c r="BL101" s="183">
        <f>_xlfn.FORECAST.LINEAR(Sheet3!CG101,Sheet2!$AB$12:$AB$37,Sheet2!$AA$12:$AA$37)/1000</f>
        <v>3.1892239974152997E-2</v>
      </c>
      <c r="BM101" s="186">
        <f t="shared" si="332"/>
        <v>0.79667097637690643</v>
      </c>
      <c r="BN101" s="183">
        <f t="shared" si="333"/>
        <v>0.79814897732739654</v>
      </c>
      <c r="BO101" s="183">
        <f t="shared" si="334"/>
        <v>0.80948230238482821</v>
      </c>
      <c r="BP101" s="183">
        <f t="shared" si="335"/>
        <v>0.81989443029810793</v>
      </c>
      <c r="BQ101" s="183">
        <f t="shared" si="336"/>
        <v>0.83332845122360688</v>
      </c>
      <c r="BR101" s="183">
        <f t="shared" si="337"/>
        <v>0.84148509889674206</v>
      </c>
      <c r="BS101" s="183">
        <f t="shared" si="338"/>
        <v>0.85176949852680117</v>
      </c>
      <c r="BT101" s="183">
        <f t="shared" si="339"/>
        <v>0.86085562299941232</v>
      </c>
      <c r="BU101" s="183">
        <f t="shared" si="340"/>
        <v>0.87137245927141505</v>
      </c>
      <c r="BV101" s="186">
        <f t="shared" si="341"/>
        <v>1.1111255302392764</v>
      </c>
      <c r="BW101" s="183">
        <f t="shared" si="342"/>
        <v>1.1109572588037286</v>
      </c>
      <c r="BX101" s="183">
        <f t="shared" si="343"/>
        <v>1.1091094602926168</v>
      </c>
      <c r="BY101" s="183">
        <f t="shared" si="344"/>
        <v>1.1079812412475485</v>
      </c>
      <c r="BZ101" s="183">
        <f t="shared" si="345"/>
        <v>1.1057532291812557</v>
      </c>
      <c r="CA101" s="183">
        <f t="shared" si="346"/>
        <v>1.1049241868822544</v>
      </c>
      <c r="CB101" s="183">
        <f t="shared" si="347"/>
        <v>1.1031409762307542</v>
      </c>
      <c r="CC101" s="183">
        <f t="shared" si="348"/>
        <v>1.1022645046416166</v>
      </c>
      <c r="CD101" s="183">
        <f t="shared" si="349"/>
        <v>1.1005770230627447</v>
      </c>
      <c r="CE101" s="187">
        <f xml:space="preserve"> -0.0000000019505*Sheet3!DF101^3 + 0.0000015497*Sheet3!DF101^2  + 0.00016911*Sheet3!DF101 + 1.8585</f>
        <v>1.9096570494375</v>
      </c>
      <c r="CF101" s="185">
        <f xml:space="preserve"> -0.0000000019505*Sheet3!BZ101^3 + 0.0000015497*Sheet3!BZ101^2  + 0.00016911*Sheet3!BZ101 + 1.8585</f>
        <v>1.9092739341646485</v>
      </c>
      <c r="CG101" s="185">
        <f xml:space="preserve"> -0.0000000019505*Sheet3!CA101^3 + 0.0000015497*Sheet3!CA101^2  + 0.00016911*Sheet3!CA101 + 1.8585</f>
        <v>1.9064340234852204</v>
      </c>
      <c r="CH101" s="185">
        <f xml:space="preserve"> -0.0000000019505*Sheet3!CB101^3 + 0.0000015497*Sheet3!CB101^2  + 0.00016911*Sheet3!CB101 + 1.8585</f>
        <v>1.9039150025857678</v>
      </c>
      <c r="CI101" s="185">
        <f xml:space="preserve"> -0.0000000019505*Sheet3!CC101^3 + 0.0000015497*Sheet3!CC101^2  + 0.00016911*Sheet3!CC101 + 1.8585</f>
        <v>1.9008489080202762</v>
      </c>
      <c r="CJ101" s="185">
        <f xml:space="preserve"> -0.0000000019505*Sheet3!CD101^3 + 0.0000015497*Sheet3!CD101^2  + 0.00016911*Sheet3!CD101 + 1.8585</f>
        <v>1.8990481661084373</v>
      </c>
      <c r="CK101" s="185">
        <f xml:space="preserve"> -0.0000000019505*Sheet3!CE101^3 + 0.0000015497*Sheet3!CE101^2  + 0.00016911*Sheet3!CE101 + 1.8585</f>
        <v>1.896889189677428</v>
      </c>
      <c r="CL101" s="185">
        <f xml:space="preserve"> -0.0000000019505*Sheet3!CF101^3 + 0.0000015497*Sheet3!CF101^2  + 0.00016911*Sheet3!CF101 + 1.8585</f>
        <v>1.8950313734134154</v>
      </c>
      <c r="CM101" s="185">
        <f xml:space="preserve"> -0.0000000019505*Sheet3!CG101^3 + 0.0000015497*Sheet3!CG101^2  + 0.00016911*Sheet3!CG101 + 1.8585</f>
        <v>1.8929899583036709</v>
      </c>
      <c r="CN101" s="186">
        <f>_xlfn.FORECAST.LINEAR(Sheet3!DF101,New!$LU$2:$LU$14,New!$LT$2:$LT$14)</f>
        <v>1.023844178140866</v>
      </c>
      <c r="CO101" s="183">
        <f>_xlfn.FORECAST.LINEAR(Sheet3!BZ101,New!$LU$2:$LU$14,New!$LT$2:$LT$14)</f>
        <v>1.0236993896363724</v>
      </c>
      <c r="CP101" s="183">
        <f>_xlfn.FORECAST.LINEAR(Sheet3!CA101,New!$LU$2:$LU$14,New!$LT$2:$LT$14)</f>
        <v>1.0226158319933218</v>
      </c>
      <c r="CQ101" s="183">
        <f>_xlfn.FORECAST.LINEAR(Sheet3!CB101,New!$LU$2:$LU$14,New!$LT$2:$LT$14)</f>
        <v>1.0216384868886592</v>
      </c>
      <c r="CR101" s="183">
        <f>_xlfn.FORECAST.LINEAR(Sheet3!CC101,New!$LU$2:$LU$14,New!$LT$2:$LT$14)</f>
        <v>1.0204261394182934</v>
      </c>
      <c r="CS101" s="183">
        <f>_xlfn.FORECAST.LINEAR(Sheet3!CD101,New!$LU$2:$LU$14,New!$LT$2:$LT$14)</f>
        <v>1.0197013767705265</v>
      </c>
      <c r="CT101" s="183">
        <f>_xlfn.FORECAST.LINEAR(Sheet3!CE101,New!$LU$2:$LU$14,New!$LT$2:$LT$14)</f>
        <v>1.0188188486209298</v>
      </c>
      <c r="CU101" s="183">
        <f>_xlfn.FORECAST.LINEAR(Sheet3!CF101,New!$LU$2:$LU$14,New!$LT$2:$LT$14)</f>
        <v>1.0180466280644271</v>
      </c>
      <c r="CV101" s="183">
        <f>_xlfn.FORECAST.LINEAR(Sheet3!CG101,New!$LU$2:$LU$14,New!$LT$2:$LT$14)</f>
        <v>1.0171832711772069</v>
      </c>
      <c r="CW101" s="186">
        <f>EXP((17.625*Sheet3!BA101)/(243.04+Sheet3!BA101)) / EXP((17.625*Sheet3!DF101)/(243.04+Sheet3!DF101))</f>
        <v>3.1215458166542462E-2</v>
      </c>
      <c r="CX101" s="183">
        <f>EXP((17.625*(Sheet3!BC101+273))/(243.04+(Sheet3!BC101+273)))/EXP((17.625*(Sheet3!BZ101+273))/(243.04+(Sheet3!BZ101+273)))</f>
        <v>0.34998165783977236</v>
      </c>
      <c r="CY101" s="183">
        <f>EXP((17.625*(Sheet3!BE101+273))/(243.04+(Sheet3!BE101+273))) / EXP((17.625*(Sheet3!CA101+273))/(243.04+(Sheet3!CA101+273)))</f>
        <v>0.37046511296463025</v>
      </c>
      <c r="CZ101" s="183">
        <f>EXP((17.625*(Sheet3!BG101+273))/(243.04+(Sheet3!BG101+273))) / EXP((17.625*(Sheet3!CB101+273))/(243.04+(Sheet3!CB101+273)))</f>
        <v>0.38985960049542068</v>
      </c>
      <c r="DA101" s="183">
        <f>EXP((17.625*(Sheet3!BI101+273))/(243.04+(Sheet3!BI101+273))) / EXP((17.625*(Sheet3!CC101+273))/(243.04+(Sheet3!CC101+273)))</f>
        <v>0.41536923401282472</v>
      </c>
      <c r="DB101" s="183">
        <f>EXP((17.625*(Sheet3!BK101+273))/(243.04+(Sheet3!BK101+273)))/EXP((17.625*(Sheet3!CD101+273))/(243.04+(Sheet3!CD101+273)))</f>
        <v>0.43250069831894777</v>
      </c>
      <c r="DC101" s="183">
        <f>EXP((17.625*(Sheet3!BM101+273))/(243.04+(Sheet3!BM101+273))) / EXP((17.625*(Sheet3!CE101+273))/(243.04+(Sheet3!CE101+273)))</f>
        <v>0.45326408679142383</v>
      </c>
      <c r="DD101" s="183">
        <f>EXP((17.625*(Sheet3!BO101+273))/(243.04+(Sheet3!BO101+273))) / EXP((17.625*(Sheet3!CF101+273))/(243.04+(Sheet3!CF101+273)))</f>
        <v>0.47378189792042791</v>
      </c>
      <c r="DE101" s="183">
        <f>EXP((17.625*(Sheet3!BQ101+273))/(243.04+(Sheet3!BQ101+273))) / EXP((17.625*(Sheet3!CG101+273))/(243.04+(Sheet3!CG101+273)))</f>
        <v>0.49677734830650749</v>
      </c>
      <c r="DF101" s="186">
        <f>((Sheet3!DA101-Sheet3!DB101)/New!$LQ$3)/(((Sheet3!DA101-Sheet3!DB101)/New!$LQ$3)+(Sheet3!DB101/New!$LP$3))</f>
        <v>0.85055069573991748</v>
      </c>
      <c r="DG101" s="183">
        <f>((Sheet3!DA101-Sheet3!DB101)/New!$LQ$3)/(((Sheet3!DA101-Sheet3!DB101)/New!$LQ$3)+((Sheet3!DB101-(Sheet3!B101*0.004))/New!$LP$3))</f>
        <v>0.85055069573991748</v>
      </c>
      <c r="DH101" s="183" cm="1">
        <f t="array" ref="DH101">((Sheet3!DA101-Sheet3!DB101)/New!$LQ$3)/(((Sheet3!DA101-Sheet3!DB101)/New!$LQ$3)+((Sheet3!DB101-(SUM(Sheet3!B101:C101*0.004)))/New!$LP$3))</f>
        <v>0.85530468634957113</v>
      </c>
      <c r="DI101" s="183" cm="1">
        <f t="array" ref="DI101">((Sheet3!DA101-Sheet3!DB101)/New!$LQ$3)/(((Sheet3!DA101-Sheet3!DB101)/New!$LQ$3)+((Sheet3!DB101-(SUM(Sheet3!B101:D101*0.004)))/New!$LP$3))</f>
        <v>0.85530468634957113</v>
      </c>
      <c r="DJ101" s="183" cm="1">
        <f t="array" ref="DJ101">((Sheet3!DA101-Sheet3!DB101)/New!$LQ$3)/(((Sheet3!DA101-Sheet3!DB101)/New!$LQ$3)+((Sheet3!DB101-(SUM(Sheet3!B101:E101*0.004)))/New!$LP$3))</f>
        <v>0.86214139171800619</v>
      </c>
      <c r="DK101" s="183" cm="1">
        <f t="array" ref="DK101">((Sheet3!DA101-Sheet3!DB101)/New!$LQ$3)/(((Sheet3!DA101-Sheet3!DB101)/New!$LQ$3)+((Sheet3!DB101-(SUM(Sheet3!B101:F101*0.004)))/New!$LP$3))</f>
        <v>0.86214139171800619</v>
      </c>
      <c r="DL101" s="183" cm="1">
        <f t="array" ref="DL101">((Sheet3!DA101-Sheet3!DB101)/New!$LQ$3)/(((Sheet3!DA101-Sheet3!DB101)/New!$LQ$3)+((Sheet3!DB101-(SUM(Sheet3!B101:G101*0.004)))/New!$LP$3))</f>
        <v>0.86863671088737271</v>
      </c>
      <c r="DM101" s="183" cm="1">
        <f t="array" ref="DM101">((Sheet3!DA101-Sheet3!DB101)/New!$LQ$3)/(((Sheet3!DA101-Sheet3!DB101)/New!$LQ$3)+((Sheet3!DB101-(SUM(Sheet3!B101:H101*0.004)))/New!$LP$3))</f>
        <v>0.86863671088737271</v>
      </c>
      <c r="DN101" s="183" cm="1">
        <f t="array" ref="DN101">((Sheet3!DA101-Sheet3!DB101)/New!$LQ$3)/(((Sheet3!DA101-Sheet3!DB101)/New!$LQ$3)+((Sheet3!DB101-(SUM(Sheet3!B101:I101*0.004)))/New!$LP$3))</f>
        <v>0.87469258250030835</v>
      </c>
      <c r="DO101" s="186">
        <f>(Sheet3!DB101/$LP$3) / ((Sheet3!DB101/$LP$3) + ((Sheet3!DA101-Sheet3!DB101)/$LQ$3))</f>
        <v>0.14944930426008254</v>
      </c>
      <c r="DP101" s="183">
        <f>((Sheet3!$DB101-(Sheet3!B101/4000)) / $LP$3) / (((Sheet3!$DA101-Sheet3!DB101) / $LQ$3) + (Sheet3!$DB101-((Sheet3!B101/4000)))/$LP$3)</f>
        <v>0.14944930426008254</v>
      </c>
      <c r="DQ101" s="183">
        <f>((Sheet3!$DB101-(SUM(Sheet3!B101:C101)/4000))/$LP$3)/(((Sheet3!$DA101-Sheet3!$DB101)/$LQ$3)+(Sheet3!$DB101-(SUM(Sheet3!B101:C101)/4000))/$LP$3)</f>
        <v>0.14915372865638377</v>
      </c>
      <c r="DR101" s="183">
        <f>((Sheet3!$DB101-(SUM(Sheet3!B101:D101)/4000))/$LP$3)/(((Sheet3!$DA101-Sheet3!$DB101)/$LQ$3)+(Sheet3!$DB101-(SUM(Sheet3!B101:D101)/4000))/$LP$3)</f>
        <v>0.14915372865638377</v>
      </c>
      <c r="DS101" s="183">
        <f>((Sheet3!$DB101-(SUM(Sheet3!B101:E101)/4000))/$LP$3)/(((Sheet3!$DA101-Sheet3!$DB101)/$LQ$3)+(Sheet3!$DB101-(SUM(Sheet3!B101:E101)/4000))/$LP$3)</f>
        <v>0.1487340238823181</v>
      </c>
      <c r="DT101" s="183">
        <f>((Sheet3!$DB101-(SUM(Sheet3!B101:F101)/4000))/$LP$3)/(((Sheet3!$DA101-Sheet3!$DB101)/$LQ$3)+(Sheet3!$DB101-(SUM(Sheet3!B101:F101)/4000))/$LP$3)</f>
        <v>0.1487340238823181</v>
      </c>
      <c r="DU101" s="183">
        <f>((Sheet3!$DB101-(SUM(Sheet3!B101:G101)/4000))/$LP$3)/(((Sheet3!$DA101-Sheet3!$DB101)/$LQ$3)+(Sheet3!$DB101-(SUM(Sheet3!B101:G101)/4000))/$LP$3)</f>
        <v>0.14834102180818243</v>
      </c>
      <c r="DV101" s="183">
        <f>((Sheet3!$DB101-(SUM(Sheet3!B101:H101)/4000))/$LP$3)/(((Sheet3!$DA101-Sheet3!$DB101)/$LQ$3)+(Sheet3!$DB101-(SUM(Sheet3!B101:H101)/4000))/$LP$3)</f>
        <v>0.14834102180818243</v>
      </c>
      <c r="DW101" s="183">
        <f>((Sheet3!$DB101-(SUM(Sheet3!B101:I101)/4000))/$LP$3)/(((Sheet3!$DA101-Sheet3!$DB101)/$LQ$3)+(Sheet3!$DB101-(SUM(Sheet3!B101:I101)/4000))/$LP$3)</f>
        <v>0.14797954636165067</v>
      </c>
      <c r="DX101" s="186">
        <f>($LR$2*($LP$3/1000))/($LP$2*(Sheet3!DF101+273))*DO101</f>
        <v>7.8497978804433127E-2</v>
      </c>
      <c r="DY101" s="183">
        <f>(($LR$2*($LP$3/1000))/($LP$2*(Sheet3!BZ101+273)))*(DP101)</f>
        <v>7.864360992534096E-2</v>
      </c>
      <c r="DZ101" s="183">
        <f>(($LR$2*($LP$3/1000))/($LP$2*(Sheet3!CA101+273)))*(DQ101)</f>
        <v>7.9593140086175657E-2</v>
      </c>
      <c r="EA101" s="183">
        <f>(($LR$2*($LP$3/1000))/($LP$2*(Sheet3!CB101+273)))*(DR101)</f>
        <v>8.0616922759564946E-2</v>
      </c>
      <c r="EB101" s="183">
        <f>(($LR$2*($LP$3/1000))/($LP$2*(Sheet3!CC101+273)))*(DS101)</f>
        <v>8.1693538116815637E-2</v>
      </c>
      <c r="EC101" s="183">
        <f>(($LR$2*($LP$3/1000))/($LP$2*(Sheet3!CD101+273)))*(DT101)</f>
        <v>8.2493157290518718E-2</v>
      </c>
      <c r="ED101" s="183">
        <f>(($LR$2*($LP$3/1000))/($LP$2*(Sheet3!CE101+273)))*(DU101)</f>
        <v>8.3267624819591143E-2</v>
      </c>
      <c r="EE101" s="183">
        <f>(($LR$2*($LP$3/1000))/($LP$2*(Sheet3!CF101+273)))*(DV101)</f>
        <v>8.4155869825966775E-2</v>
      </c>
      <c r="EF101" s="183">
        <f>(($LR$2*($LP$3/1000))/($LP$2*(Sheet3!CG101+273)))*(DW101)</f>
        <v>8.4964107032845043E-2</v>
      </c>
      <c r="EG101" s="186">
        <f>(($LR$2*($LQ$3/1000))/($LQ$2*(Sheet3!DF101+273)))*(1-DO101)</f>
        <v>0.71817299757247333</v>
      </c>
      <c r="EH101" s="183">
        <f>(($LR$2*($LQ$3/1000))/($LQ$2*(Sheet3!BZ101+273)))*(1-DP101)</f>
        <v>0.71950536740205562</v>
      </c>
      <c r="EI101" s="183">
        <f>(($LR$2*($LQ$3/1000))/($LQ$2*(Sheet3!CA101+273)))*(1-DQ101)</f>
        <v>0.72988916229865253</v>
      </c>
      <c r="EJ101" s="183">
        <f>(($LR$2*($LQ$3/1000))/($LQ$2*(Sheet3!CB101+273)))*(1-DR101)</f>
        <v>0.73927750753854293</v>
      </c>
      <c r="EK101" s="183">
        <f>(($LR$2*($LQ$3/1000))/($LQ$2*(Sheet3!CC101+273)))*(1-DS101)</f>
        <v>0.7516349131067912</v>
      </c>
      <c r="EL101" s="183">
        <f>(($LR$2*($LQ$3/1000))/($LQ$2*(Sheet3!CD101+273)))*(1-DT101)</f>
        <v>0.7589919416062233</v>
      </c>
      <c r="EM101" s="183">
        <f>(($LR$2*($LQ$3/1000))/($LQ$2*(Sheet3!CE101+273)))*(1-DU101)</f>
        <v>0.76850187370721001</v>
      </c>
      <c r="EN101" s="183">
        <f>(($LR$2*($LQ$3/1000))/($LQ$2*(Sheet3!CF101+273)))*(1-DV101)</f>
        <v>0.77669975317344553</v>
      </c>
      <c r="EO101" s="183">
        <f>(($LR$2*($LQ$3/1000))/($LQ$2*(Sheet3!CG101+273)))*(1-DW101)</f>
        <v>0.78640835223856997</v>
      </c>
      <c r="EP101" s="186">
        <f t="shared" si="350"/>
        <v>9869.1441747182071</v>
      </c>
      <c r="EQ101" s="183">
        <f xml:space="preserve"> (($FV101-(Sheet3!B101/4000))*0.018)/(0.011*JO101*3600)</f>
        <v>9883.3860373469215</v>
      </c>
      <c r="ER101" s="183">
        <f>((($FV101-(SUM(Sheet3!B101:C101)/4000))*0.018)/(0.011*JP101*3600))</f>
        <v>9987.734198028742</v>
      </c>
      <c r="ES101" s="183">
        <f>((($FV101-(SUM(Sheet3!B101:D101)/4000))*0.018)/(0.011*JQ101*3600))</f>
        <v>10087.097647024137</v>
      </c>
      <c r="ET101" s="183">
        <f>((($FV101-(SUM(Sheet3!B101:E101)/4000))*0.018)/(0.011*JR101))/3600</f>
        <v>10207.957168722209</v>
      </c>
      <c r="EU101" s="183">
        <f>((($FV101-(SUM(Sheet3!B101:F101)/4000))*0.018)/(0.011*JS101))/3600</f>
        <v>10284.814356134981</v>
      </c>
      <c r="EV101" s="183">
        <f>((($FV101-(SUM(Sheet3!B101:G101)/4000))*0.018)/(0.011*JT101))/3600</f>
        <v>10375.013166171675</v>
      </c>
      <c r="EW101" s="183">
        <f>((($FV101-(SUM(Sheet3!B101:H101)/4000))*0.018)/(0.011*JU101))/3600</f>
        <v>10459.728595564206</v>
      </c>
      <c r="EX101" s="183">
        <f>((($FV101-(SUM(Sheet3!B101:I101)/4000))*0.018)/(0.011*JV101))/3600</f>
        <v>10551.42959004379</v>
      </c>
      <c r="EY101" s="186">
        <f t="shared" si="351"/>
        <v>77.825984118139743</v>
      </c>
      <c r="EZ101" s="183">
        <f t="shared" si="352"/>
        <v>77.906048270630237</v>
      </c>
      <c r="FA101" s="183">
        <f t="shared" si="353"/>
        <v>78.485391413737858</v>
      </c>
      <c r="FB101" s="183">
        <f t="shared" si="354"/>
        <v>79.044441471595547</v>
      </c>
      <c r="FC101" s="183">
        <f t="shared" si="355"/>
        <v>79.713826417291358</v>
      </c>
      <c r="FD101" s="183">
        <f t="shared" si="356"/>
        <v>80.146787201170611</v>
      </c>
      <c r="FE101" s="183">
        <f t="shared" si="357"/>
        <v>80.644414686058369</v>
      </c>
      <c r="FF101" s="183">
        <f t="shared" si="358"/>
        <v>81.122193915672966</v>
      </c>
      <c r="FG101" s="183">
        <f t="shared" si="359"/>
        <v>81.629430433211567</v>
      </c>
      <c r="FH101" s="186">
        <f t="shared" si="429"/>
        <v>151.61826190099646</v>
      </c>
      <c r="FI101" s="183">
        <f t="shared" si="430"/>
        <v>151.48218559631991</v>
      </c>
      <c r="FJ101" s="183">
        <f t="shared" si="431"/>
        <v>150.39721079843937</v>
      </c>
      <c r="FK101" s="183">
        <f t="shared" si="432"/>
        <v>149.46592872403119</v>
      </c>
      <c r="FL101" s="183">
        <f t="shared" si="433"/>
        <v>148.21614122389556</v>
      </c>
      <c r="FM101" s="183">
        <f t="shared" si="434"/>
        <v>147.51318044048949</v>
      </c>
      <c r="FN101" s="183">
        <f t="shared" si="435"/>
        <v>146.57584982436319</v>
      </c>
      <c r="FO101" s="183">
        <f t="shared" si="436"/>
        <v>145.81605578713715</v>
      </c>
      <c r="FP101" s="183">
        <f t="shared" si="437"/>
        <v>144.89356807885</v>
      </c>
      <c r="FQ101" s="314">
        <f>Sheet3!CV101</f>
        <v>3</v>
      </c>
      <c r="FR101" s="183">
        <v>10000</v>
      </c>
      <c r="FS101" s="183">
        <v>10</v>
      </c>
      <c r="FT101" s="183">
        <v>0.14386740331491712</v>
      </c>
      <c r="FU101" s="183">
        <v>18.37</v>
      </c>
      <c r="FV101" s="183">
        <v>477</v>
      </c>
      <c r="FW101" s="183">
        <v>47</v>
      </c>
      <c r="FX101" s="183">
        <v>1434</v>
      </c>
      <c r="FY101" s="183">
        <v>6.32</v>
      </c>
      <c r="FZ101" s="183">
        <v>7.27</v>
      </c>
      <c r="GA101" s="183">
        <v>145</v>
      </c>
      <c r="GB101" s="186">
        <f>EXP($LP$6-($LQ$6/('Trial and Error method'!T101+$LP$8))) / ($LR$2/1000)</f>
        <v>2.1390902238631982E-2</v>
      </c>
      <c r="GC101" s="183">
        <f>EXP($LP$6-($LQ$6/('Trial and Error method'!U101+$LP$8))) / ($LR$2/1000)</f>
        <v>2.9649183185022215E-2</v>
      </c>
      <c r="GD101" s="183">
        <f>EXP($LP$6-($LQ$6/('Trial and Error method'!V101+$LP$8))) / ($LR$2/1000)</f>
        <v>2.8036672841145912E-2</v>
      </c>
      <c r="GE101" s="183">
        <f>EXP($LP$6-($LQ$6/('Trial and Error method'!W101+$LP$8))) / ($LR$2/1000)</f>
        <v>2.6694219491546385E-2</v>
      </c>
      <c r="GF101" s="183">
        <f>EXP($LP$6-($LQ$6/('Trial and Error method'!X101+$LP$8))) / ($LR$2/1000)</f>
        <v>2.5380935172190588E-2</v>
      </c>
      <c r="GG101" s="183">
        <f>EXP($LP$6-($LQ$6/('Trial and Error method'!Y101+$LP$8))) / ($LR$2/1000)</f>
        <v>2.4327874686295256E-2</v>
      </c>
      <c r="GH101" s="183">
        <f>EXP($LP$6-($LQ$6/('Trial and Error method'!Z101+$LP$8))) / ($LR$2/1000)</f>
        <v>2.3232109036890616E-2</v>
      </c>
      <c r="GI101" s="183">
        <f>EXP($LP$6-($LQ$6/('Trial and Error method'!AA101+$LP$8))) / ($LR$2/1000)</f>
        <v>2.2203287208525008E-2</v>
      </c>
      <c r="GJ101" s="183">
        <f>EXP($LP$6-($LQ$6/('Trial and Error method'!AB101+$LP$8))) / ($LR$2/1000)</f>
        <v>2.108568986280605E-2</v>
      </c>
      <c r="GK101" s="188">
        <f t="shared" si="411"/>
        <v>0.91308372317776454</v>
      </c>
      <c r="GL101" s="165">
        <f t="shared" si="360"/>
        <v>0.90913559518354381</v>
      </c>
      <c r="GM101" s="165">
        <f t="shared" si="361"/>
        <v>0.91006194078037372</v>
      </c>
      <c r="GN101" s="165">
        <f t="shared" si="362"/>
        <v>0.91070421076679353</v>
      </c>
      <c r="GO101" s="165">
        <f t="shared" si="363"/>
        <v>0.91155191192327878</v>
      </c>
      <c r="GP101" s="165">
        <f t="shared" si="364"/>
        <v>0.91205538539477915</v>
      </c>
      <c r="GQ101" s="165">
        <f t="shared" si="365"/>
        <v>0.91278489963675113</v>
      </c>
      <c r="GR101" s="165">
        <f t="shared" si="366"/>
        <v>0.91327650776043523</v>
      </c>
      <c r="GS101" s="165">
        <f t="shared" si="367"/>
        <v>0.91399975928481636</v>
      </c>
      <c r="GT101" s="188">
        <f t="shared" si="438"/>
        <v>9.9943198866759841E-2</v>
      </c>
      <c r="GU101" s="165">
        <f t="shared" si="439"/>
        <v>0.1003675363531389</v>
      </c>
      <c r="GV101" s="165">
        <f t="shared" si="440"/>
        <v>0.10023913732841747</v>
      </c>
      <c r="GW101" s="165">
        <f t="shared" si="441"/>
        <v>0.10015963485594545</v>
      </c>
      <c r="GX101" s="165">
        <f t="shared" si="442"/>
        <v>0.10004584014245334</v>
      </c>
      <c r="GY101" s="165">
        <f t="shared" si="443"/>
        <v>9.9991477496873218E-2</v>
      </c>
      <c r="GZ101" s="165">
        <f t="shared" si="444"/>
        <v>9.9901130533024518E-2</v>
      </c>
      <c r="HA101" s="165">
        <f t="shared" si="445"/>
        <v>9.9855027583782979E-2</v>
      </c>
      <c r="HB101" s="165">
        <f t="shared" si="446"/>
        <v>9.976403502622487E-2</v>
      </c>
      <c r="HC101" s="188">
        <f>BV101*Sheet3!DF101</f>
        <v>161.11320188469509</v>
      </c>
      <c r="HD101" s="165">
        <f>BW101*Sheet3!BZ101</f>
        <v>160.22886998361489</v>
      </c>
      <c r="HE101" s="165">
        <f>BX101*Sheet3!CA101</f>
        <v>153.53757291519867</v>
      </c>
      <c r="HF101" s="165">
        <f>BY101*Sheet3!CB101</f>
        <v>147.59225995827526</v>
      </c>
      <c r="HG101" s="165">
        <f>BZ101*Sheet3!CC101</f>
        <v>140.1287859607784</v>
      </c>
      <c r="HH101" s="165">
        <f>CA101*Sheet3!CD101</f>
        <v>135.74256613246126</v>
      </c>
      <c r="HI101" s="165">
        <f>CB101*Sheet3!CE101</f>
        <v>130.31883241299988</v>
      </c>
      <c r="HJ101" s="165">
        <f>CC101*Sheet3!CF101</f>
        <v>125.66478040194494</v>
      </c>
      <c r="HK101" s="165">
        <f>CD101*Sheet3!CG101</f>
        <v>120.39263084319843</v>
      </c>
      <c r="HL101" s="188">
        <f>(CE101*Sheet3!DF101)+2501</f>
        <v>2777.9002721684374</v>
      </c>
      <c r="HM101" s="165">
        <f>(CF101*Sheet3!BZ101)+2501</f>
        <v>2776.3668537075728</v>
      </c>
      <c r="HN101" s="165">
        <f>(CG101*Sheet3!CA101)+2501</f>
        <v>2764.9137644824091</v>
      </c>
      <c r="HO101" s="165">
        <f>(CH101*Sheet3!CB101)+2501</f>
        <v>2754.6172161937502</v>
      </c>
      <c r="HP101" s="165">
        <f>(CI101*Sheet3!CC101)+2501</f>
        <v>2741.8888735264909</v>
      </c>
      <c r="HQ101" s="165">
        <f>(CJ101*Sheet3!CD101)+2501</f>
        <v>2734.3025870345746</v>
      </c>
      <c r="HR101" s="165">
        <f>(CK101*Sheet3!CE101)+2501</f>
        <v>2725.0877546406132</v>
      </c>
      <c r="HS101" s="165">
        <f>(CL101*Sheet3!CF101)+2501</f>
        <v>2717.0449695984903</v>
      </c>
      <c r="HT101" s="165">
        <f>(CM101*Sheet3!CG101)+2501</f>
        <v>2708.0750492370971</v>
      </c>
      <c r="HU101" s="188">
        <f>-0.0021*(Sheet3!DF101^2) - 2.2115*(Sheet3!DF101) + 2499</f>
        <v>2134.1799999999998</v>
      </c>
      <c r="HV101" s="165">
        <f>-0.0021*(Sheet3!BZ101^2) - 2.2115*(Sheet3!BZ101) + 2499</f>
        <v>2136.361939853979</v>
      </c>
      <c r="HW101" s="165">
        <f>-0.0021*(Sheet3!CA101^2) - 2.2115*(Sheet3!CA101) + 2499</f>
        <v>2152.6110984263769</v>
      </c>
      <c r="HX101" s="165">
        <f>-0.0021*(Sheet3!CB101^2) - 2.2115*(Sheet3!CB101) + 2499</f>
        <v>2167.1465911385226</v>
      </c>
      <c r="HY101" s="165">
        <f>-0.0021*(Sheet3!CC101^2) - 2.2115*(Sheet3!CC101) + 2499</f>
        <v>2185.017809907733</v>
      </c>
      <c r="HZ101" s="165">
        <f>-0.0021*(Sheet3!CD101^2) - 2.2115*(Sheet3!CD101) + 2499</f>
        <v>2195.6172762251913</v>
      </c>
      <c r="IA101" s="165">
        <f>-0.0021*(Sheet3!CE101^2) - 2.2115*(Sheet3!CE101) + 2499</f>
        <v>2208.4388871965252</v>
      </c>
      <c r="IB101" s="165">
        <f>-0.0021*(Sheet3!CF101^2) - 2.2115*(Sheet3!CF101) + 2499</f>
        <v>2219.5812256974741</v>
      </c>
      <c r="IC101" s="165">
        <f>-0.0021*(Sheet3!CG101^2) - 2.2115*(Sheet3!CG101) + 2499</f>
        <v>2231.9538151901475</v>
      </c>
      <c r="ID101" s="188">
        <f t="shared" si="447"/>
        <v>0.69611330313374353</v>
      </c>
      <c r="IE101" s="165">
        <f t="shared" si="448"/>
        <v>0.69634489845395986</v>
      </c>
      <c r="IF101" s="165">
        <f t="shared" si="449"/>
        <v>0.69787910085069271</v>
      </c>
      <c r="IG101" s="165">
        <f t="shared" si="450"/>
        <v>0.69955042614705365</v>
      </c>
      <c r="IH101" s="165">
        <f t="shared" si="451"/>
        <v>0.70135850219053852</v>
      </c>
      <c r="II101" s="165">
        <f t="shared" si="452"/>
        <v>0.70270630316143068</v>
      </c>
      <c r="IJ101" s="165">
        <f t="shared" si="453"/>
        <v>0.70405187055017404</v>
      </c>
      <c r="IK101" s="165">
        <f t="shared" si="454"/>
        <v>0.70558634984441859</v>
      </c>
      <c r="IL101" s="165">
        <f t="shared" si="455"/>
        <v>0.70702663889352857</v>
      </c>
      <c r="IM101" s="188">
        <f t="shared" si="456"/>
        <v>27.314444311051552</v>
      </c>
      <c r="IN101" s="165">
        <f t="shared" si="368"/>
        <v>25.687707843560521</v>
      </c>
      <c r="IO101" s="165">
        <f t="shared" si="369"/>
        <v>26.134139242174985</v>
      </c>
      <c r="IP101" s="165">
        <f t="shared" si="370"/>
        <v>26.581135912417984</v>
      </c>
      <c r="IQ101" s="165">
        <f t="shared" si="371"/>
        <v>26.965224807683636</v>
      </c>
      <c r="IR101" s="165">
        <f t="shared" si="372"/>
        <v>27.312501137184267</v>
      </c>
      <c r="IS101" s="165">
        <f t="shared" si="373"/>
        <v>27.602221632150755</v>
      </c>
      <c r="IT101" s="165">
        <f t="shared" si="374"/>
        <v>27.95670640225649</v>
      </c>
      <c r="IU101" s="165">
        <f t="shared" si="375"/>
        <v>28.255292424244843</v>
      </c>
      <c r="IV101" s="188">
        <f>_xlfn.FORECAST.LINEAR(Sheet3!DF101,Sheet2!$AK$2:$AK$69,Sheet2!$AJ$2:$AJ$69)</f>
        <v>1.386217343669711E-5</v>
      </c>
      <c r="IW101" s="165">
        <f>_xlfn.FORECAST.LINEAR(Sheet3!BZ101,Sheet2!$AK$2:$AK$69,Sheet2!$AJ$2:$AJ$69)</f>
        <v>1.3835072280486774E-5</v>
      </c>
      <c r="IX101" s="165">
        <f>_xlfn.FORECAST.LINEAR(Sheet3!CA101,Sheet2!$AK$2:$AK$69,Sheet2!$AJ$2:$AJ$69)</f>
        <v>1.3632254625522074E-5</v>
      </c>
      <c r="IY101" s="165">
        <f>_xlfn.FORECAST.LINEAR(Sheet3!CB101,Sheet2!$AK$2:$AK$69,Sheet2!$AJ$2:$AJ$69)</f>
        <v>1.3449317572297218E-5</v>
      </c>
      <c r="IZ101" s="165">
        <f>_xlfn.FORECAST.LINEAR(Sheet3!CC101,Sheet2!$AK$2:$AK$69,Sheet2!$AJ$2:$AJ$69)</f>
        <v>1.3222393354172808E-5</v>
      </c>
      <c r="JA101" s="165">
        <f>_xlfn.FORECAST.LINEAR(Sheet3!CD101,Sheet2!$AK$2:$AK$69,Sheet2!$AJ$2:$AJ$69)</f>
        <v>1.3086734064084416E-5</v>
      </c>
      <c r="JB101" s="165">
        <f>_xlfn.FORECAST.LINEAR(Sheet3!CE101,Sheet2!$AK$2:$AK$69,Sheet2!$AJ$2:$AJ$69)</f>
        <v>1.292154461533701E-5</v>
      </c>
      <c r="JC101" s="165">
        <f>_xlfn.FORECAST.LINEAR(Sheet3!CF101,Sheet2!$AK$2:$AK$69,Sheet2!$AJ$2:$AJ$69)</f>
        <v>1.2777002270598894E-5</v>
      </c>
      <c r="JD101" s="165">
        <f>_xlfn.FORECAST.LINEAR(Sheet3!CG101,Sheet2!$AK$2:$AK$69,Sheet2!$AJ$2:$AJ$69)</f>
        <v>1.2615401251597572E-5</v>
      </c>
      <c r="JE101" s="188">
        <f>_xlfn.FORECAST.LINEAR(Sheet3!DF101,New!$MC$2:$MC$18,New!$MB$2:$MB$18)</f>
        <v>2.337798370672098E-5</v>
      </c>
      <c r="JF101" s="165">
        <f>_xlfn.FORECAST.LINEAR(Sheet3!BZ101,New!$MC$2:$MC$18,New!$MB$2:$MB$18)</f>
        <v>2.3346125643462614E-5</v>
      </c>
      <c r="JG101" s="165">
        <f>_xlfn.FORECAST.LINEAR(Sheet3!CA101,New!$MC$2:$MC$18,New!$MB$2:$MB$18)</f>
        <v>2.3107708594697923E-5</v>
      </c>
      <c r="JH101" s="165">
        <f>_xlfn.FORECAST.LINEAR(Sheet3!CB101,New!$MC$2:$MC$18,New!$MB$2:$MB$18)</f>
        <v>2.289266167313101E-5</v>
      </c>
      <c r="JI101" s="165">
        <f>_xlfn.FORECAST.LINEAR(Sheet3!CC101,New!$MC$2:$MC$18,New!$MB$2:$MB$18)</f>
        <v>2.262590677751863E-5</v>
      </c>
      <c r="JJ101" s="165">
        <f>_xlfn.FORECAST.LINEAR(Sheet3!CD101,New!$MC$2:$MC$18,New!$MB$2:$MB$18)</f>
        <v>2.2466436007648928E-5</v>
      </c>
      <c r="JK101" s="165">
        <f>_xlfn.FORECAST.LINEAR(Sheet3!CE101,New!$MC$2:$MC$18,New!$MB$2:$MB$18)</f>
        <v>2.2272251823514284E-5</v>
      </c>
      <c r="JL101" s="165">
        <f>_xlfn.FORECAST.LINEAR(Sheet3!CF101,New!$MC$2:$MC$18,New!$MB$2:$MB$18)</f>
        <v>2.2102338808496002E-5</v>
      </c>
      <c r="JM101" s="165">
        <f>_xlfn.FORECAST.LINEAR(Sheet3!CG101,New!$MC$2:$MC$18,New!$MB$2:$MB$18)</f>
        <v>2.1912372910140812E-5</v>
      </c>
      <c r="JN101" s="188">
        <f t="shared" si="376"/>
        <v>2.1969299260376099E-5</v>
      </c>
      <c r="JO101" s="165">
        <f t="shared" si="377"/>
        <v>2.1937641714982944E-5</v>
      </c>
      <c r="JP101" s="165">
        <f t="shared" si="378"/>
        <v>2.1703473323314501E-5</v>
      </c>
      <c r="JQ101" s="165">
        <f t="shared" si="379"/>
        <v>2.1489682197259499E-5</v>
      </c>
      <c r="JR101" s="165">
        <f t="shared" si="380"/>
        <v>2.1228348101400153E-5</v>
      </c>
      <c r="JS101" s="165">
        <f t="shared" si="381"/>
        <v>2.1069711195375724E-5</v>
      </c>
      <c r="JT101" s="165">
        <f t="shared" si="382"/>
        <v>2.0880181607600333E-5</v>
      </c>
      <c r="JU101" s="165">
        <f t="shared" si="383"/>
        <v>2.071106884960468E-5</v>
      </c>
      <c r="JV101" s="165">
        <f t="shared" si="384"/>
        <v>2.0525331573405503E-5</v>
      </c>
      <c r="JW101" s="188">
        <f t="shared" si="302"/>
        <v>1.0152024173422087</v>
      </c>
      <c r="JX101" s="165">
        <f t="shared" si="385"/>
        <v>1.0155250873186401</v>
      </c>
      <c r="JY101" s="165">
        <f t="shared" si="386"/>
        <v>1.0179791357649728</v>
      </c>
      <c r="JZ101" s="165">
        <f t="shared" si="387"/>
        <v>1.0202538350861239</v>
      </c>
      <c r="KA101" s="165">
        <f t="shared" si="388"/>
        <v>1.0231597650409487</v>
      </c>
      <c r="KB101" s="165">
        <f t="shared" si="389"/>
        <v>1.0249433514957484</v>
      </c>
      <c r="KC101" s="165">
        <f t="shared" si="390"/>
        <v>1.0271638891618802</v>
      </c>
      <c r="KD101" s="165">
        <f t="shared" si="391"/>
        <v>1.0291522336234193</v>
      </c>
      <c r="KE101" s="165">
        <f t="shared" si="392"/>
        <v>1.0314271686308527</v>
      </c>
      <c r="KF101" s="188">
        <f t="shared" si="393"/>
        <v>0.9677010468805306</v>
      </c>
      <c r="KG101" s="165">
        <f t="shared" si="394"/>
        <v>0.9674344794481694</v>
      </c>
      <c r="KH101" s="165">
        <f t="shared" si="395"/>
        <v>0.96541485070939514</v>
      </c>
      <c r="KI101" s="165">
        <f t="shared" si="396"/>
        <v>0.96355494717810675</v>
      </c>
      <c r="KJ101" s="165">
        <f t="shared" si="397"/>
        <v>0.96119571053007558</v>
      </c>
      <c r="KK101" s="165">
        <f t="shared" si="398"/>
        <v>0.95975691063046409</v>
      </c>
      <c r="KL101" s="165">
        <f t="shared" si="399"/>
        <v>0.95797535643028631</v>
      </c>
      <c r="KM101" s="165">
        <f t="shared" si="400"/>
        <v>0.95638917538208834</v>
      </c>
      <c r="KN101" s="165">
        <f t="shared" si="401"/>
        <v>0.95458480313529692</v>
      </c>
      <c r="KO101" s="188">
        <f t="shared" si="457"/>
        <v>0.62448255045465784</v>
      </c>
      <c r="KP101" s="165">
        <f t="shared" si="458"/>
        <v>0.62408161703984855</v>
      </c>
      <c r="KQ101" s="165">
        <f t="shared" si="459"/>
        <v>0.62053946331022702</v>
      </c>
      <c r="KR101" s="165">
        <f t="shared" si="460"/>
        <v>0.61727994775370776</v>
      </c>
      <c r="KS101" s="165">
        <f t="shared" si="461"/>
        <v>0.61316717231597206</v>
      </c>
      <c r="KT101" s="165">
        <f t="shared" si="462"/>
        <v>0.61065882157063933</v>
      </c>
      <c r="KU101" s="165">
        <f t="shared" si="463"/>
        <v>0.60757102110476047</v>
      </c>
      <c r="KV101" s="165">
        <f t="shared" si="464"/>
        <v>0.60481797073144017</v>
      </c>
      <c r="KW101" s="165">
        <f t="shared" si="465"/>
        <v>0.60180003354352274</v>
      </c>
      <c r="KX101" s="188">
        <f>AVERAGE(Sheet3!J101:P101)*KO101^(1/3)/ID101^(1/3)</f>
        <v>114.59158952610284</v>
      </c>
      <c r="KY101" s="165">
        <f>Sheet3!J101*KP101^(1/3)/IE101^(1/3)</f>
        <v>114.75215116227659</v>
      </c>
      <c r="KZ101" s="165">
        <f>Sheet3!K101*KQ101^(1/3)/IF101^(1/3)</f>
        <v>105.86696650102238</v>
      </c>
      <c r="LA101" s="165">
        <f>Sheet3!L101*KR101^(1/3)/IG101^(1/3)</f>
        <v>102.95887599960822</v>
      </c>
      <c r="LB101" s="165">
        <f>Sheet3!M101*KS101^(1/3)/IH101^(1/3)</f>
        <v>103.99033140727096</v>
      </c>
      <c r="LC101" s="165">
        <f>Sheet3!N101*KT101^(1/3)/II101^(1/3)</f>
        <v>109.85329205574411</v>
      </c>
      <c r="LD101" s="165">
        <f>Sheet3!O101*KU101^(1/3)/IJ101^(1/3)</f>
        <v>120.93897013468225</v>
      </c>
      <c r="LE101" s="165">
        <f>Sheet3!P101*KV101^(1/3)/IK101^(1/3)</f>
        <v>137.12196463703802</v>
      </c>
      <c r="LF101" s="165">
        <f>Sheet3!Q101*KW101^(1/3)/IL101^(1/3)</f>
        <v>156.96526411068012</v>
      </c>
      <c r="LG101" s="186">
        <f t="shared" si="402"/>
        <v>27.324277364873399</v>
      </c>
      <c r="LH101" s="183">
        <f t="shared" si="403"/>
        <v>27.324277364873399</v>
      </c>
      <c r="LI101" s="183">
        <f t="shared" si="404"/>
        <v>27.456628138428332</v>
      </c>
      <c r="LJ101" s="183">
        <f t="shared" si="405"/>
        <v>27.456628138428332</v>
      </c>
      <c r="LK101" s="183">
        <f t="shared" si="406"/>
        <v>27.647058144393419</v>
      </c>
      <c r="LL101" s="183">
        <f t="shared" si="407"/>
        <v>27.647058144393419</v>
      </c>
      <c r="LM101" s="183">
        <f t="shared" si="408"/>
        <v>27.828082655172722</v>
      </c>
      <c r="LN101" s="183">
        <f t="shared" si="409"/>
        <v>27.828082655172722</v>
      </c>
      <c r="LO101" s="183">
        <f t="shared" si="410"/>
        <v>27.996948716914066</v>
      </c>
      <c r="LT101" s="165"/>
      <c r="MF101" s="165"/>
      <c r="MJ101"/>
      <c r="MK101"/>
      <c r="ML101"/>
      <c r="MM101"/>
      <c r="MN101"/>
      <c r="MO101"/>
      <c r="MP101"/>
      <c r="MQ101"/>
      <c r="MR101"/>
    </row>
    <row r="102" spans="1:356" x14ac:dyDescent="0.3">
      <c r="A102" s="184" t="str">
        <f>Sheet3!A102</f>
        <v>2023.03.02-2</v>
      </c>
      <c r="B102" s="186">
        <f t="shared" si="313"/>
        <v>0.96542336703191867</v>
      </c>
      <c r="C102" s="183">
        <f t="shared" si="412"/>
        <v>0.96595690490142139</v>
      </c>
      <c r="D102" s="183">
        <f t="shared" si="413"/>
        <v>0.95769204465655777</v>
      </c>
      <c r="E102" s="183">
        <f t="shared" si="414"/>
        <v>0.94952435436736604</v>
      </c>
      <c r="F102" s="183">
        <f t="shared" si="415"/>
        <v>0.93926872157604913</v>
      </c>
      <c r="G102" s="183">
        <f t="shared" si="416"/>
        <v>0.93259835827967696</v>
      </c>
      <c r="H102" s="183">
        <f t="shared" si="417"/>
        <v>0.92375421729744667</v>
      </c>
      <c r="I102" s="183">
        <f t="shared" si="418"/>
        <v>0.9182593671494822</v>
      </c>
      <c r="J102" s="183">
        <f t="shared" si="419"/>
        <v>0.91057997646049982</v>
      </c>
      <c r="K102" s="186">
        <f xml:space="preserve"> (6.057 * (10^(-6)))
+ (4.055 * (10^(-8)) * (Sheet3!DF102 + 273))
+ (1.25 * (10^(-10)) * (Sheet3!DF102 + 273)^2)
- (3.367 * (10^(-14)) * (DD102 + 273)^3)</f>
        <v>5.3313094526763156E-5</v>
      </c>
      <c r="L102" s="183">
        <f xml:space="preserve"> (6.057 * (10^(-6)))
+ (4.055 * (10^(-8)) * (Sheet3!BZ102 + 273))
+ (1.25 * (10^(-10)) * (Sheet3!BZ102 + 273)^2)
- (3.367 * (10^(-14)) * (BX102 + 273)^3)</f>
        <v>5.3373425552851752E-5</v>
      </c>
      <c r="M102" s="183">
        <f xml:space="preserve"> (6.057 * (10^(-6)))
+ (4.055 * (10^(-8)) * (Sheet3!CA102 + 273))
+ (1.25 * (10^(-10)) * (Sheet3!CA102 + 273)^2)
- (3.367 * (10^(-14)) * (BY102 + 273)^3)</f>
        <v>5.2044172351984611E-5</v>
      </c>
      <c r="N102" s="183">
        <f xml:space="preserve"> (6.057 * (10^(-6)))
+ (4.055 * (10^(-8)) * (Sheet3!CB102 + 273))
+ (1.25 * (10^(-10)) * (Sheet3!CB102 + 273)^2)
- (3.367 * (10^(-14)) * (BZ102 + 273)^3)</f>
        <v>5.0829706583081186E-5</v>
      </c>
      <c r="O102" s="183">
        <f xml:space="preserve"> (6.057 * (10^(-6)))
+ (4.055 * (10^(-8)) * (Sheet3!CC102 + 273))
+ (1.25 * (10^(-10)) * (Sheet3!CC102 + 273)^2)
- (3.367 * (10^(-14)) * (CA102 + 273)^3)</f>
        <v>4.9327710467600357E-5</v>
      </c>
      <c r="P102" s="183">
        <f xml:space="preserve"> (6.057 * (10^(-6)))
+ (4.055 * (10^(-8)) * (Sheet3!CD102 + 273))
+ (1.25 * (10^(-10)) * (Sheet3!CD102 + 273)^2)
- (3.367 * (10^(-14)) * (CB102 + 273)^3)</f>
        <v>4.8420039457468936E-5</v>
      </c>
      <c r="Q102" s="183">
        <f xml:space="preserve"> (6.057 * (10^(-6)))
+ (4.055 * (10^(-8)) * (Sheet3!CE102 + 273))
+ (1.25 * (10^(-10)) * (Sheet3!CE102 + 273)^2)
- (3.367 * (10^(-14)) * (CC102 + 273)^3)</f>
        <v>4.7219600814902661E-5</v>
      </c>
      <c r="R102" s="183">
        <f xml:space="preserve"> (6.057 * (10^(-6)))
+ (4.055 * (10^(-8)) * (Sheet3!CF102 + 273))
+ (1.25 * (10^(-10)) * (Sheet3!CF102 + 273)^2)
- (3.367 * (10^(-14)) * (CD102 + 273)^3)</f>
        <v>4.6523648653141035E-5</v>
      </c>
      <c r="S102" s="183">
        <f xml:space="preserve"> (6.057 * (10^(-6)))
+ (4.055 * (10^(-8)) * (Sheet3!CG102 + 273))
+ (1.25 * (10^(-10)) * (Sheet3!CG102 + 273)^2)
- (3.367 * (10^(-14)) * (CE102 + 273)^3)</f>
        <v>4.5518497271339408E-5</v>
      </c>
      <c r="T102" s="188">
        <f t="shared" si="314"/>
        <v>5.3313094526763156E-5</v>
      </c>
      <c r="U102" s="165">
        <f t="shared" si="315"/>
        <v>5.3373425552851752E-5</v>
      </c>
      <c r="V102" s="165">
        <f t="shared" si="316"/>
        <v>5.2044172351984611E-5</v>
      </c>
      <c r="W102" s="165">
        <f t="shared" si="317"/>
        <v>5.0829706583081186E-5</v>
      </c>
      <c r="X102" s="165">
        <f t="shared" si="318"/>
        <v>4.9327710467600357E-5</v>
      </c>
      <c r="Y102" s="165">
        <f t="shared" si="319"/>
        <v>4.8420039457468936E-5</v>
      </c>
      <c r="Z102" s="165">
        <f t="shared" si="320"/>
        <v>4.7219600814902661E-5</v>
      </c>
      <c r="AA102" s="165">
        <f t="shared" si="321"/>
        <v>4.6523648653141035E-5</v>
      </c>
      <c r="AB102" s="165">
        <f t="shared" si="322"/>
        <v>4.5518497271339408E-5</v>
      </c>
      <c r="AC102" s="186">
        <f t="shared" si="420"/>
        <v>5.1469707224918641E-5</v>
      </c>
      <c r="AD102" s="183">
        <f t="shared" si="421"/>
        <v>5.1556428951019113E-5</v>
      </c>
      <c r="AE102" s="183">
        <f t="shared" si="422"/>
        <v>4.9842289832230435E-5</v>
      </c>
      <c r="AF102" s="183">
        <f t="shared" si="423"/>
        <v>4.8264044325982816E-5</v>
      </c>
      <c r="AG102" s="183">
        <f t="shared" si="424"/>
        <v>4.6331975549176482E-5</v>
      </c>
      <c r="AH102" s="183">
        <f t="shared" si="425"/>
        <v>4.5156449305872712E-5</v>
      </c>
      <c r="AI102" s="183">
        <f t="shared" si="426"/>
        <v>4.3619305391868285E-5</v>
      </c>
      <c r="AJ102" s="183">
        <f t="shared" si="427"/>
        <v>4.2720776169718149E-5</v>
      </c>
      <c r="AK102" s="183">
        <f t="shared" si="428"/>
        <v>4.1448232173853561E-5</v>
      </c>
      <c r="AL102" s="186">
        <f t="shared" si="323"/>
        <v>4.0341848220910206E-2</v>
      </c>
      <c r="AM102" s="183">
        <f t="shared" si="324"/>
        <v>4.0378038166962567E-2</v>
      </c>
      <c r="AN102" s="183">
        <f t="shared" si="325"/>
        <v>3.9644972107902507E-2</v>
      </c>
      <c r="AO102" s="183">
        <f t="shared" si="326"/>
        <v>3.8971573604353701E-2</v>
      </c>
      <c r="AP102" s="183">
        <f t="shared" si="327"/>
        <v>3.8121060379617246E-2</v>
      </c>
      <c r="AQ102" s="183">
        <f t="shared" si="328"/>
        <v>3.7603186774981978E-2</v>
      </c>
      <c r="AR102" s="183">
        <f t="shared" si="329"/>
        <v>3.6905982350426414E-2</v>
      </c>
      <c r="AS102" s="183">
        <f t="shared" si="330"/>
        <v>3.6499466303751782E-2</v>
      </c>
      <c r="AT102" s="183">
        <f t="shared" si="331"/>
        <v>3.5906855665532214E-2</v>
      </c>
      <c r="AU102" s="186">
        <f>_xlfn.FORECAST.LINEAR(Sheet3!DF102,Sheet2!$AH$2:$AH$40,Sheet2!$AG$2:$AG$40)</f>
        <v>5.615110757455756E-2</v>
      </c>
      <c r="AV102" s="183">
        <f>_xlfn.FORECAST.LINEAR(Sheet3!BZ102,Sheet2!$AH$2:$AH$40,Sheet2!$AG$2:$AG$40)</f>
        <v>5.6256809424730242E-2</v>
      </c>
      <c r="AW102" s="183">
        <f>_xlfn.FORECAST.LINEAR(Sheet3!CA102,Sheet2!$AH$2:$AH$40,Sheet2!$AG$2:$AG$40)</f>
        <v>5.4133580138317011E-2</v>
      </c>
      <c r="AX102" s="183">
        <f>_xlfn.FORECAST.LINEAR(Sheet3!CB102,Sheet2!$AH$2:$AH$40,Sheet2!$AG$2:$AG$40)</f>
        <v>5.2168858774860098E-2</v>
      </c>
      <c r="AY102" s="183">
        <f>_xlfn.FORECAST.LINEAR(Sheet3!CC102,Sheet2!$AH$2:$AH$40,Sheet2!$AG$2:$AG$40)</f>
        <v>4.9704842905264043E-2</v>
      </c>
      <c r="AZ102" s="183">
        <f>_xlfn.FORECAST.LINEAR(Sheet3!CD102,Sheet2!$AH$2:$AH$40,Sheet2!$AG$2:$AG$40)</f>
        <v>4.8196776425089211E-2</v>
      </c>
      <c r="BA102" s="183">
        <f>_xlfn.FORECAST.LINEAR(Sheet3!CE102,Sheet2!$AH$2:$AH$40,Sheet2!$AG$2:$AG$40)</f>
        <v>4.6179445383518078E-2</v>
      </c>
      <c r="BB102" s="183">
        <f>_xlfn.FORECAST.LINEAR(Sheet3!CF102,Sheet2!$AH$2:$AH$40,Sheet2!$AG$2:$AG$40)</f>
        <v>4.4997585232461793E-2</v>
      </c>
      <c r="BC102" s="183">
        <f>_xlfn.FORECAST.LINEAR(Sheet3!CG102,Sheet2!$AH$2:$AH$40,Sheet2!$AG$2:$AG$40)</f>
        <v>4.3285107364108531E-2</v>
      </c>
      <c r="BD102" s="186">
        <f>_xlfn.FORECAST.LINEAR(Sheet3!DF102,Sheet2!$AB$12:$AB$37,Sheet2!$AA$12:$AA$37)/1000</f>
        <v>3.7324862686859299E-2</v>
      </c>
      <c r="BE102" s="183">
        <f>_xlfn.FORECAST.LINEAR(Sheet3!BZ102,Sheet2!$AB$12:$AB$37,Sheet2!$AA$12:$AA$37)/1000</f>
        <v>3.7348495173926903E-2</v>
      </c>
      <c r="BF102" s="183">
        <f>_xlfn.FORECAST.LINEAR(Sheet3!CA102,Sheet2!$AB$12:$AB$37,Sheet2!$AA$12:$AA$37)/1000</f>
        <v>3.6873790250874346E-2</v>
      </c>
      <c r="BG102" s="183">
        <f>_xlfn.FORECAST.LINEAR(Sheet3!CB102,Sheet2!$AB$12:$AB$37,Sheet2!$AA$12:$AA$37)/1000</f>
        <v>3.6434524030486484E-2</v>
      </c>
      <c r="BH102" s="183">
        <f>_xlfn.FORECAST.LINEAR(Sheet3!CC102,Sheet2!$AB$12:$AB$37,Sheet2!$AA$12:$AA$37)/1000</f>
        <v>3.5883627115460962E-2</v>
      </c>
      <c r="BI102" s="183">
        <f>_xlfn.FORECAST.LINEAR(Sheet3!CD102,Sheet2!$AB$12:$AB$37,Sheet2!$AA$12:$AA$37)/1000</f>
        <v>3.5546458356999225E-2</v>
      </c>
      <c r="BJ102" s="183">
        <f>_xlfn.FORECAST.LINEAR(Sheet3!CE102,Sheet2!$AB$12:$AB$37,Sheet2!$AA$12:$AA$37)/1000</f>
        <v>3.5095429830316507E-2</v>
      </c>
      <c r="BK102" s="183">
        <f>_xlfn.FORECAST.LINEAR(Sheet3!CF102,Sheet2!$AB$12:$AB$37,Sheet2!$AA$12:$AA$37)/1000</f>
        <v>3.483119325650124E-2</v>
      </c>
      <c r="BL102" s="183">
        <f>_xlfn.FORECAST.LINEAR(Sheet3!CG102,Sheet2!$AB$12:$AB$37,Sheet2!$AA$12:$AA$37)/1000</f>
        <v>3.4448322843057044E-2</v>
      </c>
      <c r="BM102" s="186">
        <f t="shared" si="332"/>
        <v>0.69562866357545727</v>
      </c>
      <c r="BN102" s="183">
        <f t="shared" si="333"/>
        <v>0.69502391765201987</v>
      </c>
      <c r="BO102" s="183">
        <f t="shared" si="334"/>
        <v>0.70746655218138088</v>
      </c>
      <c r="BP102" s="183">
        <f t="shared" si="335"/>
        <v>0.71929622034069873</v>
      </c>
      <c r="BQ102" s="183">
        <f t="shared" si="336"/>
        <v>0.73480117403060274</v>
      </c>
      <c r="BR102" s="183">
        <f t="shared" si="337"/>
        <v>0.74456210699097702</v>
      </c>
      <c r="BS102" s="183">
        <f t="shared" si="338"/>
        <v>0.75812560757029013</v>
      </c>
      <c r="BT102" s="183">
        <f t="shared" si="339"/>
        <v>0.76624684917676156</v>
      </c>
      <c r="BU102" s="183">
        <f t="shared" si="340"/>
        <v>0.77842530614996319</v>
      </c>
      <c r="BV102" s="186">
        <f t="shared" si="341"/>
        <v>1.1267475549132366</v>
      </c>
      <c r="BW102" s="183">
        <f t="shared" si="342"/>
        <v>1.1268409880097157</v>
      </c>
      <c r="BX102" s="183">
        <f t="shared" si="343"/>
        <v>1.1243051976137945</v>
      </c>
      <c r="BY102" s="183">
        <f t="shared" si="344"/>
        <v>1.1225778087902698</v>
      </c>
      <c r="BZ102" s="183">
        <f t="shared" si="345"/>
        <v>1.1197325742790545</v>
      </c>
      <c r="CA102" s="183">
        <f t="shared" si="346"/>
        <v>1.1184174547714503</v>
      </c>
      <c r="CB102" s="183">
        <f t="shared" si="347"/>
        <v>1.1160325414327714</v>
      </c>
      <c r="CC102" s="183">
        <f t="shared" si="348"/>
        <v>1.1150097833262527</v>
      </c>
      <c r="CD102" s="183">
        <f t="shared" si="349"/>
        <v>1.1128955806621932</v>
      </c>
      <c r="CE102" s="187">
        <f xml:space="preserve"> -0.0000000019505*Sheet3!DF102^3 + 0.0000015497*Sheet3!DF102^2  + 0.00016911*Sheet3!DF102 + 1.8585</f>
        <v>1.9414898911875</v>
      </c>
      <c r="CF102" s="185">
        <f xml:space="preserve"> -0.0000000019505*Sheet3!BZ102^3 + 0.0000015497*Sheet3!BZ102^2  + 0.00016911*Sheet3!BZ102 + 1.8585</f>
        <v>1.9417222705994019</v>
      </c>
      <c r="CG102" s="185">
        <f xml:space="preserve"> -0.0000000019505*Sheet3!CA102^3 + 0.0000015497*Sheet3!CA102^2  + 0.00016911*Sheet3!CA102 + 1.8585</f>
        <v>1.9370786687009194</v>
      </c>
      <c r="CH102" s="185">
        <f xml:space="preserve"> -0.0000000019505*Sheet3!CB102^3 + 0.0000015497*Sheet3!CB102^2  + 0.00016911*Sheet3!CB102 + 1.8585</f>
        <v>1.9328308960723402</v>
      </c>
      <c r="CI102" s="185">
        <f xml:space="preserve"> -0.0000000019505*Sheet3!CC102^3 + 0.0000015497*Sheet3!CC102^2  + 0.00016911*Sheet3!CC102 + 1.8585</f>
        <v>1.9275789323925252</v>
      </c>
      <c r="CJ102" s="185">
        <f xml:space="preserve"> -0.0000000019505*Sheet3!CD102^3 + 0.0000015497*Sheet3!CD102^2  + 0.00016911*Sheet3!CD102 + 1.8585</f>
        <v>1.9244100986502506</v>
      </c>
      <c r="CK102" s="185">
        <f xml:space="preserve"> -0.0000000019505*Sheet3!CE102^3 + 0.0000015497*Sheet3!CE102^2  + 0.00016911*Sheet3!CE102 + 1.8585</f>
        <v>1.9202303194668928</v>
      </c>
      <c r="CL102" s="185">
        <f xml:space="preserve"> -0.0000000019505*Sheet3!CF102^3 + 0.0000015497*Sheet3!CF102^2  + 0.00016911*Sheet3!CF102 + 1.8585</f>
        <v>1.9178151432869817</v>
      </c>
      <c r="CM102" s="185">
        <f xml:space="preserve"> -0.0000000019505*Sheet3!CG102^3 + 0.0000015497*Sheet3!CG102^2  + 0.00016911*Sheet3!CG102 + 1.8585</f>
        <v>1.9143625178796906</v>
      </c>
      <c r="CN102" s="186">
        <f>_xlfn.FORECAST.LINEAR(Sheet3!DF102,New!$LU$2:$LU$14,New!$LT$2:$LT$14)</f>
        <v>1.0350674194089138</v>
      </c>
      <c r="CO102" s="183">
        <f>_xlfn.FORECAST.LINEAR(Sheet3!BZ102,New!$LU$2:$LU$14,New!$LT$2:$LT$14)</f>
        <v>1.035145217357373</v>
      </c>
      <c r="CP102" s="183">
        <f>_xlfn.FORECAST.LINEAR(Sheet3!CA102,New!$LU$2:$LU$14,New!$LT$2:$LT$14)</f>
        <v>1.0335824927473358</v>
      </c>
      <c r="CQ102" s="183">
        <f>_xlfn.FORECAST.LINEAR(Sheet3!CB102,New!$LU$2:$LU$14,New!$LT$2:$LT$14)</f>
        <v>1.0321364320481041</v>
      </c>
      <c r="CR102" s="183">
        <f>_xlfn.FORECAST.LINEAR(Sheet3!CC102,New!$LU$2:$LU$14,New!$LT$2:$LT$14)</f>
        <v>1.03032288404197</v>
      </c>
      <c r="CS102" s="183">
        <f>_xlfn.FORECAST.LINEAR(Sheet3!CD102,New!$LU$2:$LU$14,New!$LT$2:$LT$14)</f>
        <v>1.0292129273278168</v>
      </c>
      <c r="CT102" s="183">
        <f>_xlfn.FORECAST.LINEAR(Sheet3!CE102,New!$LU$2:$LU$14,New!$LT$2:$LT$14)</f>
        <v>1.027728145215292</v>
      </c>
      <c r="CU102" s="183">
        <f>_xlfn.FORECAST.LINEAR(Sheet3!CF102,New!$LU$2:$LU$14,New!$LT$2:$LT$14)</f>
        <v>1.0268582806389617</v>
      </c>
      <c r="CV102" s="183">
        <f>_xlfn.FORECAST.LINEAR(Sheet3!CG102,New!$LU$2:$LU$14,New!$LT$2:$LT$14)</f>
        <v>1.025597874461379</v>
      </c>
      <c r="CW102" s="186">
        <f>EXP((17.625*Sheet3!BA102)/(243.04+Sheet3!BA102)) / EXP((17.625*Sheet3!DF102)/(243.04+Sheet3!DF102))</f>
        <v>7.2813317924982314E-3</v>
      </c>
      <c r="CX102" s="183">
        <f>EXP((17.625*(Sheet3!BC102+273))/(243.04+(Sheet3!BC102+273)))/EXP((17.625*(Sheet3!BZ102+273))/(243.04+(Sheet3!BZ102+273)))</f>
        <v>0.20311429006574036</v>
      </c>
      <c r="CY102" s="183">
        <f>EXP((17.625*(Sheet3!BE102+273))/(243.04+(Sheet3!BE102+273))) / EXP((17.625*(Sheet3!CA102+273))/(243.04+(Sheet3!CA102+273)))</f>
        <v>0.21761912357371124</v>
      </c>
      <c r="CZ102" s="183">
        <f>EXP((17.625*(Sheet3!BG102+273))/(243.04+(Sheet3!BG102+273))) / EXP((17.625*(Sheet3!CB102+273))/(243.04+(Sheet3!CB102+273)))</f>
        <v>0.23202831606889204</v>
      </c>
      <c r="DA102" s="183">
        <f>EXP((17.625*(Sheet3!BI102+273))/(243.04+(Sheet3!BI102+273))) / EXP((17.625*(Sheet3!CC102+273))/(243.04+(Sheet3!CC102+273)))</f>
        <v>0.25190899449871634</v>
      </c>
      <c r="DB102" s="183">
        <f>EXP((17.625*(Sheet3!BK102+273))/(243.04+(Sheet3!BK102+273)))/EXP((17.625*(Sheet3!CD102+273))/(243.04+(Sheet3!CD102+273)))</f>
        <v>0.26561308144685775</v>
      </c>
      <c r="DC102" s="183">
        <f>EXP((17.625*(Sheet3!BM102+273))/(243.04+(Sheet3!BM102+273))) / EXP((17.625*(Sheet3!CE102+273))/(243.04+(Sheet3!CE102+273)))</f>
        <v>0.28487845090110125</v>
      </c>
      <c r="DD102" s="183">
        <f>EXP((17.625*(Sheet3!BO102+273))/(243.04+(Sheet3!BO102+273))) / EXP((17.625*(Sheet3!CF102+273))/(243.04+(Sheet3!CF102+273)))</f>
        <v>0.2974389608331427</v>
      </c>
      <c r="DE102" s="183">
        <f>EXP((17.625*(Sheet3!BQ102+273))/(243.04+(Sheet3!BQ102+273))) / EXP((17.625*(Sheet3!CG102+273))/(243.04+(Sheet3!CG102+273)))</f>
        <v>0.31622476369976099</v>
      </c>
      <c r="DF102" s="186">
        <f>((Sheet3!DA102-Sheet3!DB102)/New!$LQ$3)/(((Sheet3!DA102-Sheet3!DB102)/New!$LQ$3)+(Sheet3!DB102/New!$LP$3))</f>
        <v>0.84681752245147057</v>
      </c>
      <c r="DG102" s="183">
        <f>((Sheet3!DA102-Sheet3!DB102)/New!$LQ$3)/(((Sheet3!DA102-Sheet3!DB102)/New!$LQ$3)+((Sheet3!DB102-(Sheet3!B102*0.004))/New!$LP$3))</f>
        <v>0.84681752245147057</v>
      </c>
      <c r="DH102" s="183" cm="1">
        <f t="array" ref="DH102">((Sheet3!DA102-Sheet3!DB102)/New!$LQ$3)/(((Sheet3!DA102-Sheet3!DB102)/New!$LQ$3)+((Sheet3!DB102-(SUM(Sheet3!B102:C102*0.004)))/New!$LP$3))</f>
        <v>0.85191929893456342</v>
      </c>
      <c r="DI102" s="183" cm="1">
        <f t="array" ref="DI102">((Sheet3!DA102-Sheet3!DB102)/New!$LQ$3)/(((Sheet3!DA102-Sheet3!DB102)/New!$LQ$3)+((Sheet3!DB102-(SUM(Sheet3!B102:D102*0.004)))/New!$LP$3))</f>
        <v>0.85191929893456342</v>
      </c>
      <c r="DJ102" s="183" cm="1">
        <f t="array" ref="DJ102">((Sheet3!DA102-Sheet3!DB102)/New!$LQ$3)/(((Sheet3!DA102-Sheet3!DB102)/New!$LQ$3)+((Sheet3!DB102-(SUM(Sheet3!B102:E102*0.004)))/New!$LP$3))</f>
        <v>0.85732367967658107</v>
      </c>
      <c r="DK102" s="183" cm="1">
        <f t="array" ref="DK102">((Sheet3!DA102-Sheet3!DB102)/New!$LQ$3)/(((Sheet3!DA102-Sheet3!DB102)/New!$LQ$3)+((Sheet3!DB102-(SUM(Sheet3!B102:F102*0.004)))/New!$LP$3))</f>
        <v>0.85732367967658107</v>
      </c>
      <c r="DL102" s="183" cm="1">
        <f t="array" ref="DL102">((Sheet3!DA102-Sheet3!DB102)/New!$LQ$3)/(((Sheet3!DA102-Sheet3!DB102)/New!$LQ$3)+((Sheet3!DB102-(SUM(Sheet3!B102:G102*0.004)))/New!$LP$3))</f>
        <v>0.86239073908111008</v>
      </c>
      <c r="DM102" s="183" cm="1">
        <f t="array" ref="DM102">((Sheet3!DA102-Sheet3!DB102)/New!$LQ$3)/(((Sheet3!DA102-Sheet3!DB102)/New!$LQ$3)+((Sheet3!DB102-(SUM(Sheet3!B102:H102*0.004)))/New!$LP$3))</f>
        <v>0.86239073908111008</v>
      </c>
      <c r="DN102" s="183" cm="1">
        <f t="array" ref="DN102">((Sheet3!DA102-Sheet3!DB102)/New!$LQ$3)/(((Sheet3!DA102-Sheet3!DB102)/New!$LQ$3)+((Sheet3!DB102-(SUM(Sheet3!B102:I102*0.004)))/New!$LP$3))</f>
        <v>0.86758997792111359</v>
      </c>
      <c r="DO102" s="186">
        <f>(Sheet3!DB102/$LP$3) / ((Sheet3!DB102/$LP$3) + ((Sheet3!DA102-Sheet3!DB102)/$LQ$3))</f>
        <v>0.15318247754852946</v>
      </c>
      <c r="DP102" s="183">
        <f>((Sheet3!$DB102-(Sheet3!B102/4000)) / $LP$3) / (((Sheet3!$DA102-Sheet3!DB102) / $LQ$3) + (Sheet3!$DB102-((Sheet3!B102/4000)))/$LP$3)</f>
        <v>0.15318247754852946</v>
      </c>
      <c r="DQ102" s="183">
        <f>((Sheet3!$DB102-(SUM(Sheet3!B102:C102)/4000))/$LP$3)/(((Sheet3!$DA102-Sheet3!$DB102)/$LQ$3)+(Sheet3!$DB102-(SUM(Sheet3!B102:C102)/4000))/$LP$3)</f>
        <v>0.1528654073644663</v>
      </c>
      <c r="DR102" s="183">
        <f>((Sheet3!$DB102-(SUM(Sheet3!B102:D102)/4000))/$LP$3)/(((Sheet3!$DA102-Sheet3!$DB102)/$LQ$3)+(Sheet3!$DB102-(SUM(Sheet3!B102:D102)/4000))/$LP$3)</f>
        <v>0.1528654073644663</v>
      </c>
      <c r="DS102" s="183">
        <f>((Sheet3!$DB102-(SUM(Sheet3!B102:E102)/4000))/$LP$3)/(((Sheet3!$DA102-Sheet3!$DB102)/$LQ$3)+(Sheet3!$DB102-(SUM(Sheet3!B102:E102)/4000))/$LP$3)</f>
        <v>0.15253339237555166</v>
      </c>
      <c r="DT102" s="183">
        <f>((Sheet3!$DB102-(SUM(Sheet3!B102:F102)/4000))/$LP$3)/(((Sheet3!$DA102-Sheet3!$DB102)/$LQ$3)+(Sheet3!$DB102-(SUM(Sheet3!B102:F102)/4000))/$LP$3)</f>
        <v>0.15253339237555166</v>
      </c>
      <c r="DU102" s="183">
        <f>((Sheet3!$DB102-(SUM(Sheet3!B102:G102)/4000))/$LP$3)/(((Sheet3!$DA102-Sheet3!$DB102)/$LQ$3)+(Sheet3!$DB102-(SUM(Sheet3!B102:G102)/4000))/$LP$3)</f>
        <v>0.15222564810358996</v>
      </c>
      <c r="DV102" s="183">
        <f>((Sheet3!$DB102-(SUM(Sheet3!B102:H102)/4000))/$LP$3)/(((Sheet3!$DA102-Sheet3!$DB102)/$LQ$3)+(Sheet3!$DB102-(SUM(Sheet3!B102:H102)/4000))/$LP$3)</f>
        <v>0.15222564810358996</v>
      </c>
      <c r="DW102" s="183">
        <f>((Sheet3!$DB102-(SUM(Sheet3!B102:I102)/4000))/$LP$3)/(((Sheet3!$DA102-Sheet3!$DB102)/$LQ$3)+(Sheet3!$DB102-(SUM(Sheet3!B102:I102)/4000))/$LP$3)</f>
        <v>0.15191338429109102</v>
      </c>
      <c r="DX102" s="186">
        <f>($LR$2*($LP$3/1000))/($LP$2*(Sheet3!DF102+273))*DO102</f>
        <v>7.0359387728051961E-2</v>
      </c>
      <c r="DY102" s="183">
        <f>(($LR$2*($LP$3/1000))/($LP$2*(Sheet3!BZ102+273)))*(DP102)</f>
        <v>7.0298220678543993E-2</v>
      </c>
      <c r="DZ102" s="183">
        <f>(($LR$2*($LP$3/1000))/($LP$2*(Sheet3!CA102+273)))*(DQ102)</f>
        <v>7.1399535471277156E-2</v>
      </c>
      <c r="EA102" s="183">
        <f>(($LR$2*($LP$3/1000))/($LP$2*(Sheet3!CB102+273)))*(DR102)</f>
        <v>7.2593419208607693E-2</v>
      </c>
      <c r="EB102" s="183">
        <f>(($LR$2*($LP$3/1000))/($LP$2*(Sheet3!CC102+273)))*(DS102)</f>
        <v>7.3987302571918698E-2</v>
      </c>
      <c r="EC102" s="183">
        <f>(($LR$2*($LP$3/1000))/($LP$2*(Sheet3!CD102+273)))*(DT102)</f>
        <v>7.4970133201273881E-2</v>
      </c>
      <c r="ED102" s="183">
        <f>(($LR$2*($LP$3/1000))/($LP$2*(Sheet3!CE102+273)))*(DU102)</f>
        <v>7.6172432225674241E-2</v>
      </c>
      <c r="EE102" s="183">
        <f>(($LR$2*($LP$3/1000))/($LP$2*(Sheet3!CF102+273)))*(DV102)</f>
        <v>7.6988411424477265E-2</v>
      </c>
      <c r="EF102" s="183">
        <f>(($LR$2*($LP$3/1000))/($LP$2*(Sheet3!CG102+273)))*(DW102)</f>
        <v>7.8041827633485009E-2</v>
      </c>
      <c r="EG102" s="186">
        <f>(($LR$2*($LQ$3/1000))/($LQ$2*(Sheet3!DF102+273)))*(1-DO102)</f>
        <v>0.62526927584740533</v>
      </c>
      <c r="EH102" s="183">
        <f>(($LR$2*($LQ$3/1000))/($LQ$2*(Sheet3!BZ102+273)))*(1-DP102)</f>
        <v>0.62472569697347591</v>
      </c>
      <c r="EI102" s="183">
        <f>(($LR$2*($LQ$3/1000))/($LQ$2*(Sheet3!CA102+273)))*(1-DQ102)</f>
        <v>0.63606701671010368</v>
      </c>
      <c r="EJ102" s="183">
        <f>(($LR$2*($LQ$3/1000))/($LQ$2*(Sheet3!CB102+273)))*(1-DR102)</f>
        <v>0.646702801132091</v>
      </c>
      <c r="EK102" s="183">
        <f>(($LR$2*($LQ$3/1000))/($LQ$2*(Sheet3!CC102+273)))*(1-DS102)</f>
        <v>0.66081387145868409</v>
      </c>
      <c r="EL102" s="183">
        <f>(($LR$2*($LQ$3/1000))/($LQ$2*(Sheet3!CD102+273)))*(1-DT102)</f>
        <v>0.66959197378970314</v>
      </c>
      <c r="EM102" s="183">
        <f>(($LR$2*($LQ$3/1000))/($LQ$2*(Sheet3!CE102+273)))*(1-DU102)</f>
        <v>0.68195317534461586</v>
      </c>
      <c r="EN102" s="183">
        <f>(($LR$2*($LQ$3/1000))/($LQ$2*(Sheet3!CF102+273)))*(1-DV102)</f>
        <v>0.68925843775228424</v>
      </c>
      <c r="EO102" s="183">
        <f>(($LR$2*($LQ$3/1000))/($LQ$2*(Sheet3!CG102+273)))*(1-DW102)</f>
        <v>0.7003834785164782</v>
      </c>
      <c r="EP102" s="186">
        <f t="shared" si="350"/>
        <v>9767.8834596937431</v>
      </c>
      <c r="EQ102" s="183">
        <f xml:space="preserve"> (($FV102-(Sheet3!B102/4000))*0.018)/(0.011*JO102*3600)</f>
        <v>9761.0924846430134</v>
      </c>
      <c r="ER102" s="183">
        <f>((($FV102-(SUM(Sheet3!B102:C102)/4000))*0.018)/(0.011*JP102*3600))</f>
        <v>9895.6602588656842</v>
      </c>
      <c r="ES102" s="183">
        <f>((($FV102-(SUM(Sheet3!B102:D102)/4000))*0.018)/(0.011*JQ102*3600))</f>
        <v>10027.11314390669</v>
      </c>
      <c r="ET102" s="183">
        <f>((($FV102-(SUM(Sheet3!B102:E102)/4000))*0.018)/(0.011*JR102))/3600</f>
        <v>10193.028035507077</v>
      </c>
      <c r="EU102" s="183">
        <f>((($FV102-(SUM(Sheet3!B102:F102)/4000))*0.018)/(0.011*JS102))/3600</f>
        <v>10299.883705141749</v>
      </c>
      <c r="EV102" s="183">
        <f>((($FV102-(SUM(Sheet3!B102:G102)/4000))*0.018)/(0.011*JT102))/3600</f>
        <v>10442.575870724424</v>
      </c>
      <c r="EW102" s="183">
        <f>((($FV102-(SUM(Sheet3!B102:H102)/4000))*0.018)/(0.011*JU102))/3600</f>
        <v>10530.358698945442</v>
      </c>
      <c r="EX102" s="183">
        <f>((($FV102-(SUM(Sheet3!B102:I102)/4000))*0.018)/(0.011*JV102))/3600</f>
        <v>10656.235268336088</v>
      </c>
      <c r="EY102" s="186">
        <f t="shared" si="351"/>
        <v>76.715388562024117</v>
      </c>
      <c r="EZ102" s="183">
        <f t="shared" si="352"/>
        <v>76.678517843160435</v>
      </c>
      <c r="FA102" s="183">
        <f t="shared" si="353"/>
        <v>77.402128737307251</v>
      </c>
      <c r="FB102" s="183">
        <f t="shared" si="354"/>
        <v>78.115709134285893</v>
      </c>
      <c r="FC102" s="183">
        <f t="shared" si="355"/>
        <v>79.008789085954163</v>
      </c>
      <c r="FD102" s="183">
        <f t="shared" si="356"/>
        <v>79.588999151724821</v>
      </c>
      <c r="FE102" s="183">
        <f t="shared" si="357"/>
        <v>80.356534666603679</v>
      </c>
      <c r="FF102" s="183">
        <f t="shared" si="358"/>
        <v>80.833454431446981</v>
      </c>
      <c r="FG102" s="183">
        <f t="shared" si="359"/>
        <v>81.509657067454214</v>
      </c>
      <c r="FH102" s="186">
        <f t="shared" si="429"/>
        <v>171.935586754296</v>
      </c>
      <c r="FI102" s="183">
        <f t="shared" si="430"/>
        <v>172.00711778095848</v>
      </c>
      <c r="FJ102" s="183">
        <f t="shared" si="431"/>
        <v>170.47806860460139</v>
      </c>
      <c r="FK102" s="183">
        <f t="shared" si="432"/>
        <v>169.12733934350598</v>
      </c>
      <c r="FL102" s="183">
        <f t="shared" si="433"/>
        <v>167.32771218145018</v>
      </c>
      <c r="FM102" s="183">
        <f t="shared" si="434"/>
        <v>166.26666668534392</v>
      </c>
      <c r="FN102" s="183">
        <f t="shared" si="435"/>
        <v>164.75760278595021</v>
      </c>
      <c r="FO102" s="183">
        <f t="shared" si="436"/>
        <v>163.90988590202525</v>
      </c>
      <c r="FP102" s="183">
        <f t="shared" si="437"/>
        <v>162.59752731489479</v>
      </c>
      <c r="FQ102" s="314">
        <f>Sheet3!CV102</f>
        <v>3</v>
      </c>
      <c r="FR102" s="183">
        <v>10000</v>
      </c>
      <c r="FS102" s="183">
        <v>10</v>
      </c>
      <c r="FT102" s="183">
        <v>0.13730386740331493</v>
      </c>
      <c r="FU102" s="183">
        <v>15.54</v>
      </c>
      <c r="FV102" s="183">
        <v>524</v>
      </c>
      <c r="FW102" s="183">
        <v>53</v>
      </c>
      <c r="FX102" s="183">
        <v>1575</v>
      </c>
      <c r="FY102" s="183">
        <v>6.6</v>
      </c>
      <c r="FZ102" s="183">
        <v>8.41</v>
      </c>
      <c r="GA102" s="183">
        <v>205</v>
      </c>
      <c r="GB102" s="186">
        <f>EXP($LP$6-($LQ$6/('Trial and Error method'!T102+$LP$8))) / ($LR$2/1000)</f>
        <v>2.4457689148836757E-2</v>
      </c>
      <c r="GC102" s="183">
        <f>EXP($LP$6-($LQ$6/('Trial and Error method'!U102+$LP$8))) / ($LR$2/1000)</f>
        <v>3.514153743465339E-2</v>
      </c>
      <c r="GD102" s="183">
        <f>EXP($LP$6-($LQ$6/('Trial and Error method'!V102+$LP$8))) / ($LR$2/1000)</f>
        <v>3.2903649353990108E-2</v>
      </c>
      <c r="GE102" s="183">
        <f>EXP($LP$6-($LQ$6/('Trial and Error method'!W102+$LP$8))) / ($LR$2/1000)</f>
        <v>3.1044604071086158E-2</v>
      </c>
      <c r="GF102" s="183">
        <f>EXP($LP$6-($LQ$6/('Trial and Error method'!X102+$LP$8))) / ($LR$2/1000)</f>
        <v>2.9221378213587682E-2</v>
      </c>
      <c r="GG102" s="183">
        <f>EXP($LP$6-($LQ$6/('Trial and Error method'!Y102+$LP$8))) / ($LR$2/1000)</f>
        <v>2.7787776341357508E-2</v>
      </c>
      <c r="GH102" s="183">
        <f>EXP($LP$6-($LQ$6/('Trial and Error method'!Z102+$LP$8))) / ($LR$2/1000)</f>
        <v>2.6254159235131323E-2</v>
      </c>
      <c r="GI102" s="183">
        <f>EXP($LP$6-($LQ$6/('Trial and Error method'!AA102+$LP$8))) / ($LR$2/1000)</f>
        <v>2.4937773477903501E-2</v>
      </c>
      <c r="GJ102" s="183">
        <f>EXP($LP$6-($LQ$6/('Trial and Error method'!AB102+$LP$8))) / ($LR$2/1000)</f>
        <v>2.3439161512108724E-2</v>
      </c>
      <c r="GK102" s="188">
        <f t="shared" si="411"/>
        <v>0.90966245417964309</v>
      </c>
      <c r="GL102" s="165">
        <f t="shared" si="360"/>
        <v>0.90455469896292839</v>
      </c>
      <c r="GM102" s="165">
        <f t="shared" si="361"/>
        <v>0.90579189515588765</v>
      </c>
      <c r="GN102" s="165">
        <f t="shared" si="362"/>
        <v>0.90668142778753269</v>
      </c>
      <c r="GO102" s="165">
        <f t="shared" si="363"/>
        <v>0.90772707979269995</v>
      </c>
      <c r="GP102" s="165">
        <f t="shared" si="364"/>
        <v>0.90841233057360793</v>
      </c>
      <c r="GQ102" s="165">
        <f t="shared" si="365"/>
        <v>0.9093062643456602</v>
      </c>
      <c r="GR102" s="165">
        <f t="shared" si="366"/>
        <v>0.90993494861906921</v>
      </c>
      <c r="GS102" s="165">
        <f t="shared" si="367"/>
        <v>0.91081407439472428</v>
      </c>
      <c r="GT102" s="188">
        <f t="shared" si="438"/>
        <v>0.10682741488920582</v>
      </c>
      <c r="GU102" s="165">
        <f t="shared" si="439"/>
        <v>0.10742684561122148</v>
      </c>
      <c r="GV102" s="165">
        <f t="shared" si="440"/>
        <v>0.10717849558177962</v>
      </c>
      <c r="GW102" s="165">
        <f t="shared" si="441"/>
        <v>0.10699766019750401</v>
      </c>
      <c r="GX102" s="165">
        <f t="shared" si="442"/>
        <v>0.10677610413269456</v>
      </c>
      <c r="GY102" s="165">
        <f t="shared" si="443"/>
        <v>0.10664917765433286</v>
      </c>
      <c r="GZ102" s="165">
        <f t="shared" si="444"/>
        <v>0.10647717239998336</v>
      </c>
      <c r="HA102" s="165">
        <f t="shared" si="445"/>
        <v>0.10637549362963111</v>
      </c>
      <c r="HB102" s="165">
        <f t="shared" si="446"/>
        <v>0.10621522277236885</v>
      </c>
      <c r="HC102" s="188">
        <f>BV102*Sheet3!DF102</f>
        <v>230.98324875721352</v>
      </c>
      <c r="HD102" s="165">
        <f>BW102*Sheet3!BZ102</f>
        <v>231.47106884798876</v>
      </c>
      <c r="HE102" s="165">
        <f>BX102*Sheet3!CA102</f>
        <v>221.55727882859006</v>
      </c>
      <c r="HF102" s="165">
        <f>BY102*Sheet3!CB102</f>
        <v>212.53855164271152</v>
      </c>
      <c r="HG102" s="165">
        <f>BZ102*Sheet3!CC102</f>
        <v>201.14369901012282</v>
      </c>
      <c r="HH102" s="165">
        <f>CA102*Sheet3!CD102</f>
        <v>194.27089833610191</v>
      </c>
      <c r="HI102" s="165">
        <f>CB102*Sheet3!CE102</f>
        <v>184.99788323648363</v>
      </c>
      <c r="HJ102" s="165">
        <f>CC102*Sheet3!CF102</f>
        <v>179.64317360285199</v>
      </c>
      <c r="HK102" s="165">
        <f>CD102*Sheet3!CG102</f>
        <v>171.80364122908671</v>
      </c>
      <c r="HL102" s="188">
        <f>(CE102*Sheet3!DF102)+2501</f>
        <v>2899.0054276934375</v>
      </c>
      <c r="HM102" s="165">
        <f>(CF102*Sheet3!BZ102)+2501</f>
        <v>2899.8606504059044</v>
      </c>
      <c r="HN102" s="165">
        <f>(CG102*Sheet3!CA102)+2501</f>
        <v>2882.723645523613</v>
      </c>
      <c r="HO102" s="165">
        <f>(CH102*Sheet3!CB102)+2501</f>
        <v>2866.9444147254198</v>
      </c>
      <c r="HP102" s="165">
        <f>(CI102*Sheet3!CC102)+2501</f>
        <v>2847.2615677185704</v>
      </c>
      <c r="HQ102" s="165">
        <f>(CJ102*Sheet3!CD102)+2501</f>
        <v>2835.273107985648</v>
      </c>
      <c r="HR102" s="165">
        <f>(CK102*Sheet3!CE102)+2501</f>
        <v>2819.3048264630652</v>
      </c>
      <c r="HS102" s="165">
        <f>(CL102*Sheet3!CF102)+2501</f>
        <v>2809.9859872761981</v>
      </c>
      <c r="HT102" s="165">
        <f>(CM102*Sheet3!CG102)+2501</f>
        <v>2796.5303776195383</v>
      </c>
      <c r="HU102" s="188">
        <f>-0.0021*(Sheet3!DF102^2) - 2.2115*(Sheet3!DF102) + 2499</f>
        <v>1957.3899999999999</v>
      </c>
      <c r="HV102" s="165">
        <f>-0.0021*(Sheet3!BZ102^2) - 2.2115*(Sheet3!BZ102) + 2499</f>
        <v>1956.1117481610595</v>
      </c>
      <c r="HW102" s="165">
        <f>-0.0021*(Sheet3!CA102^2) - 2.2115*(Sheet3!CA102) + 2499</f>
        <v>1981.6486723270821</v>
      </c>
      <c r="HX102" s="165">
        <f>-0.0021*(Sheet3!CB102^2) - 2.2115*(Sheet3!CB102) + 2499</f>
        <v>2005.0180248819595</v>
      </c>
      <c r="HY102" s="165">
        <f>-0.0021*(Sheet3!CC102^2) - 2.2115*(Sheet3!CC102) + 2499</f>
        <v>2033.9714325851614</v>
      </c>
      <c r="HZ102" s="165">
        <f>-0.0021*(Sheet3!CD102^2) - 2.2115*(Sheet3!CD102) + 2499</f>
        <v>2051.4972032869637</v>
      </c>
      <c r="IA102" s="165">
        <f>-0.0021*(Sheet3!CE102^2) - 2.2115*(Sheet3!CE102) + 2499</f>
        <v>2074.7100878669771</v>
      </c>
      <c r="IB102" s="165">
        <f>-0.0021*(Sheet3!CF102^2) - 2.2115*(Sheet3!CF102) + 2499</f>
        <v>2088.1865027539252</v>
      </c>
      <c r="IC102" s="165">
        <f>-0.0021*(Sheet3!CG102^2) - 2.2115*(Sheet3!CG102) + 2499</f>
        <v>2107.5522503513148</v>
      </c>
      <c r="ID102" s="188">
        <f t="shared" si="447"/>
        <v>0.68104995717759753</v>
      </c>
      <c r="IE102" s="165">
        <f t="shared" si="448"/>
        <v>0.68096940488378987</v>
      </c>
      <c r="IF102" s="165">
        <f t="shared" si="449"/>
        <v>0.68242132194351546</v>
      </c>
      <c r="IG102" s="165">
        <f t="shared" si="450"/>
        <v>0.68405946693160935</v>
      </c>
      <c r="IH102" s="165">
        <f t="shared" si="451"/>
        <v>0.68601725311616712</v>
      </c>
      <c r="II102" s="165">
        <f t="shared" si="452"/>
        <v>0.68744171189443637</v>
      </c>
      <c r="IJ102" s="165">
        <f t="shared" si="453"/>
        <v>0.68921907030573437</v>
      </c>
      <c r="IK102" s="165">
        <f t="shared" si="454"/>
        <v>0.69045254612640228</v>
      </c>
      <c r="IL102" s="165">
        <f t="shared" si="455"/>
        <v>0.6920739797228207</v>
      </c>
      <c r="IM102" s="188">
        <f t="shared" si="456"/>
        <v>26.916728310778726</v>
      </c>
      <c r="IN102" s="165">
        <f t="shared" si="368"/>
        <v>24.804995053723765</v>
      </c>
      <c r="IO102" s="165">
        <f t="shared" si="369"/>
        <v>25.47869259572095</v>
      </c>
      <c r="IP102" s="165">
        <f t="shared" si="370"/>
        <v>26.134489482184396</v>
      </c>
      <c r="IQ102" s="165">
        <f t="shared" si="371"/>
        <v>26.780847188983969</v>
      </c>
      <c r="IR102" s="165">
        <f t="shared" si="372"/>
        <v>27.293154418891671</v>
      </c>
      <c r="IS102" s="165">
        <f t="shared" si="373"/>
        <v>27.828268853854166</v>
      </c>
      <c r="IT102" s="165">
        <f t="shared" si="374"/>
        <v>28.274693621625477</v>
      </c>
      <c r="IU102" s="165">
        <f t="shared" si="375"/>
        <v>28.759485595717674</v>
      </c>
      <c r="IV102" s="188">
        <f>_xlfn.FORECAST.LINEAR(Sheet3!DF102,Sheet2!$AK$2:$AK$69,Sheet2!$AJ$2:$AJ$69)</f>
        <v>1.5962912137298422E-5</v>
      </c>
      <c r="IW102" s="165">
        <f>_xlfn.FORECAST.LINEAR(Sheet3!BZ102,Sheet2!$AK$2:$AK$69,Sheet2!$AJ$2:$AJ$69)</f>
        <v>1.5977474165971972E-5</v>
      </c>
      <c r="IX102" s="165">
        <f>_xlfn.FORECAST.LINEAR(Sheet3!CA102,Sheet2!$AK$2:$AK$69,Sheet2!$AJ$2:$AJ$69)</f>
        <v>1.5684967216483731E-5</v>
      </c>
      <c r="IY102" s="165">
        <f>_xlfn.FORECAST.LINEAR(Sheet3!CB102,Sheet2!$AK$2:$AK$69,Sheet2!$AJ$2:$AJ$69)</f>
        <v>1.5414297130922702E-5</v>
      </c>
      <c r="IZ102" s="165">
        <f>_xlfn.FORECAST.LINEAR(Sheet3!CC102,Sheet2!$AK$2:$AK$69,Sheet2!$AJ$2:$AJ$69)</f>
        <v>1.5074841674972531E-5</v>
      </c>
      <c r="JA102" s="165">
        <f>_xlfn.FORECAST.LINEAR(Sheet3!CD102,Sheet2!$AK$2:$AK$69,Sheet2!$AJ$2:$AJ$69)</f>
        <v>1.4867082706798826E-5</v>
      </c>
      <c r="JB102" s="165">
        <f>_xlfn.FORECAST.LINEAR(Sheet3!CE102,Sheet2!$AK$2:$AK$69,Sheet2!$AJ$2:$AJ$69)</f>
        <v>1.4589164842320453E-5</v>
      </c>
      <c r="JC102" s="165">
        <f>_xlfn.FORECAST.LINEAR(Sheet3!CF102,Sheet2!$AK$2:$AK$69,Sheet2!$AJ$2:$AJ$69)</f>
        <v>1.4426345730075076E-5</v>
      </c>
      <c r="JD102" s="165">
        <f>_xlfn.FORECAST.LINEAR(Sheet3!CG102,Sheet2!$AK$2:$AK$69,Sheet2!$AJ$2:$AJ$69)</f>
        <v>1.4190426001318732E-5</v>
      </c>
      <c r="JE102" s="188">
        <f>_xlfn.FORECAST.LINEAR(Sheet3!DF102,New!$MC$2:$MC$18,New!$MB$2:$MB$18)</f>
        <v>2.5847452754227255E-5</v>
      </c>
      <c r="JF102" s="165">
        <f>_xlfn.FORECAST.LINEAR(Sheet3!BZ102,New!$MC$2:$MC$18,New!$MB$2:$MB$18)</f>
        <v>2.5864570770412679E-5</v>
      </c>
      <c r="JG102" s="165">
        <f>_xlfn.FORECAST.LINEAR(Sheet3!CA102,New!$MC$2:$MC$18,New!$MB$2:$MB$18)</f>
        <v>2.5520721791129852E-5</v>
      </c>
      <c r="JH102" s="165">
        <f>_xlfn.FORECAST.LINEAR(Sheet3!CB102,New!$MC$2:$MC$18,New!$MB$2:$MB$18)</f>
        <v>2.5202542572463809E-5</v>
      </c>
      <c r="JI102" s="165">
        <f>_xlfn.FORECAST.LINEAR(Sheet3!CC102,New!$MC$2:$MC$18,New!$MB$2:$MB$18)</f>
        <v>2.4803504490651863E-5</v>
      </c>
      <c r="JJ102" s="165">
        <f>_xlfn.FORECAST.LINEAR(Sheet3!CD102,New!$MC$2:$MC$18,New!$MB$2:$MB$18)</f>
        <v>2.4559278808942872E-5</v>
      </c>
      <c r="JK102" s="165">
        <f>_xlfn.FORECAST.LINEAR(Sheet3!CE102,New!$MC$2:$MC$18,New!$MB$2:$MB$18)</f>
        <v>2.4232579651221859E-5</v>
      </c>
      <c r="JL102" s="165">
        <f>_xlfn.FORECAST.LINEAR(Sheet3!CF102,New!$MC$2:$MC$18,New!$MB$2:$MB$18)</f>
        <v>2.4041181854857503E-5</v>
      </c>
      <c r="JM102" s="165">
        <f>_xlfn.FORECAST.LINEAR(Sheet3!CG102,New!$MC$2:$MC$18,New!$MB$2:$MB$18)</f>
        <v>2.3763852519375131E-5</v>
      </c>
      <c r="JN102" s="188">
        <f t="shared" si="376"/>
        <v>2.4384178943642516E-5</v>
      </c>
      <c r="JO102" s="165">
        <f t="shared" si="377"/>
        <v>2.4401143474108681E-5</v>
      </c>
      <c r="JP102" s="165">
        <f t="shared" si="378"/>
        <v>2.4063372055656042E-5</v>
      </c>
      <c r="JQ102" s="165">
        <f t="shared" si="379"/>
        <v>2.3747907411432559E-5</v>
      </c>
      <c r="JR102" s="165">
        <f t="shared" si="380"/>
        <v>2.3355313338400002E-5</v>
      </c>
      <c r="JS102" s="165">
        <f t="shared" si="381"/>
        <v>2.3113014714673169E-5</v>
      </c>
      <c r="JT102" s="165">
        <f t="shared" si="382"/>
        <v>2.2791725061731089E-5</v>
      </c>
      <c r="JU102" s="165">
        <f t="shared" si="383"/>
        <v>2.2601729436401159E-5</v>
      </c>
      <c r="JV102" s="165">
        <f t="shared" si="384"/>
        <v>2.2329319058838807E-5</v>
      </c>
      <c r="JW102" s="188">
        <f t="shared" si="302"/>
        <v>0.99342087640971777</v>
      </c>
      <c r="JX102" s="165">
        <f t="shared" si="385"/>
        <v>0.99328924693511467</v>
      </c>
      <c r="JY102" s="165">
        <f t="shared" si="386"/>
        <v>0.99597860707955188</v>
      </c>
      <c r="JZ102" s="165">
        <f t="shared" si="387"/>
        <v>0.99855511014089593</v>
      </c>
      <c r="KA102" s="165">
        <f t="shared" si="388"/>
        <v>1.0019127656209197</v>
      </c>
      <c r="KB102" s="165">
        <f t="shared" si="389"/>
        <v>1.0040408500364386</v>
      </c>
      <c r="KC102" s="165">
        <f t="shared" si="390"/>
        <v>1.0069790958773073</v>
      </c>
      <c r="KD102" s="165">
        <f t="shared" si="391"/>
        <v>1.0087512538222365</v>
      </c>
      <c r="KE102" s="165">
        <f t="shared" si="392"/>
        <v>1.0113886935040979</v>
      </c>
      <c r="KF102" s="188">
        <f t="shared" si="393"/>
        <v>0.98626119619886909</v>
      </c>
      <c r="KG102" s="165">
        <f t="shared" si="394"/>
        <v>0.9863768557300866</v>
      </c>
      <c r="KH102" s="165">
        <f t="shared" si="395"/>
        <v>0.98402235169253616</v>
      </c>
      <c r="KI102" s="165">
        <f t="shared" si="396"/>
        <v>0.98178343192868844</v>
      </c>
      <c r="KJ102" s="165">
        <f t="shared" si="397"/>
        <v>0.97889004994373274</v>
      </c>
      <c r="KK102" s="165">
        <f t="shared" si="398"/>
        <v>0.97707032144465567</v>
      </c>
      <c r="KL102" s="165">
        <f t="shared" si="399"/>
        <v>0.97457558791215104</v>
      </c>
      <c r="KM102" s="165">
        <f t="shared" si="400"/>
        <v>0.97308079421296267</v>
      </c>
      <c r="KN102" s="165">
        <f t="shared" si="401"/>
        <v>0.970869751114667</v>
      </c>
      <c r="KO102" s="188">
        <f t="shared" si="457"/>
        <v>0.65750154277534012</v>
      </c>
      <c r="KP102" s="165">
        <f t="shared" si="458"/>
        <v>0.65778709867410856</v>
      </c>
      <c r="KQ102" s="165">
        <f t="shared" si="459"/>
        <v>0.65354947112931638</v>
      </c>
      <c r="KR102" s="165">
        <f t="shared" si="460"/>
        <v>0.64953112368712085</v>
      </c>
      <c r="KS102" s="165">
        <f t="shared" si="461"/>
        <v>0.64435454831353511</v>
      </c>
      <c r="KT102" s="165">
        <f t="shared" si="462"/>
        <v>0.64110701192572206</v>
      </c>
      <c r="KU102" s="165">
        <f t="shared" si="463"/>
        <v>0.63666902283674764</v>
      </c>
      <c r="KV102" s="165">
        <f t="shared" si="464"/>
        <v>0.63401451805277886</v>
      </c>
      <c r="KW102" s="165">
        <f t="shared" si="465"/>
        <v>0.63018870816493044</v>
      </c>
      <c r="KX102" s="188">
        <f>AVERAGE(Sheet3!J102:P102)*KO102^(1/3)/ID102^(1/3)</f>
        <v>90.621323265966041</v>
      </c>
      <c r="KY102" s="165">
        <f>Sheet3!J102*KP102^(1/3)/IE102^(1/3)</f>
        <v>87.973887971929301</v>
      </c>
      <c r="KZ102" s="165">
        <f>Sheet3!K102*KQ102^(1/3)/IF102^(1/3)</f>
        <v>81.617725341964885</v>
      </c>
      <c r="LA102" s="165">
        <f>Sheet3!L102*KR102^(1/3)/IG102^(1/3)</f>
        <v>79.954375198685909</v>
      </c>
      <c r="LB102" s="165">
        <f>Sheet3!M102*KS102^(1/3)/IH102^(1/3)</f>
        <v>81.431688957354382</v>
      </c>
      <c r="LC102" s="165">
        <f>Sheet3!N102*KT102^(1/3)/II102^(1/3)</f>
        <v>87.564724329779025</v>
      </c>
      <c r="LD102" s="165">
        <f>Sheet3!O102*KU102^(1/3)/IJ102^(1/3)</f>
        <v>97.518929985742588</v>
      </c>
      <c r="LE102" s="165">
        <f>Sheet3!P102*KV102^(1/3)/IK102^(1/3)</f>
        <v>112.53738930130865</v>
      </c>
      <c r="LF102" s="165">
        <f>Sheet3!Q102*KW102^(1/3)/IL102^(1/3)</f>
        <v>132.80311904668079</v>
      </c>
      <c r="LG102" s="186">
        <f t="shared" si="402"/>
        <v>27.283417783231346</v>
      </c>
      <c r="LH102" s="183">
        <f t="shared" si="403"/>
        <v>27.283417783231346</v>
      </c>
      <c r="LI102" s="183">
        <f t="shared" si="404"/>
        <v>27.425453210815817</v>
      </c>
      <c r="LJ102" s="183">
        <f t="shared" si="405"/>
        <v>27.425453210815817</v>
      </c>
      <c r="LK102" s="183">
        <f t="shared" si="406"/>
        <v>27.575982827079351</v>
      </c>
      <c r="LL102" s="183">
        <f t="shared" si="407"/>
        <v>27.575982827079351</v>
      </c>
      <c r="LM102" s="183">
        <f t="shared" si="408"/>
        <v>27.717180854375123</v>
      </c>
      <c r="LN102" s="183">
        <f t="shared" si="409"/>
        <v>27.717180854375123</v>
      </c>
      <c r="LO102" s="183">
        <f t="shared" si="410"/>
        <v>27.862125378599455</v>
      </c>
      <c r="LT102" s="165"/>
      <c r="MF102" s="165"/>
      <c r="MJ102"/>
      <c r="MK102"/>
      <c r="ML102"/>
      <c r="MM102"/>
      <c r="MN102"/>
      <c r="MO102"/>
      <c r="MP102"/>
      <c r="MQ102"/>
      <c r="MR102"/>
    </row>
    <row r="103" spans="1:356" x14ac:dyDescent="0.3">
      <c r="EK103" s="165"/>
      <c r="EL103" s="165"/>
      <c r="EM103" s="165"/>
    </row>
    <row r="104" spans="1:356" x14ac:dyDescent="0.3">
      <c r="EK104" s="165"/>
      <c r="EL104" s="165"/>
      <c r="EM104" s="165"/>
    </row>
    <row r="105" spans="1:356" x14ac:dyDescent="0.3">
      <c r="EK105" s="165"/>
      <c r="EL105" s="165"/>
      <c r="EM105" s="165"/>
    </row>
  </sheetData>
  <phoneticPr fontId="15" type="noConversion"/>
  <conditionalFormatting sqref="DO2:DO102">
    <cfRule type="expression" dxfId="11" priority="10">
      <formula>DO2&lt;GB2</formula>
    </cfRule>
  </conditionalFormatting>
  <conditionalFormatting sqref="DP2:DW102">
    <cfRule type="expression" dxfId="10" priority="2">
      <formula>DP2&gt;GC2</formula>
    </cfRule>
  </conditionalFormatting>
  <conditionalFormatting sqref="IM2:IU102">
    <cfRule type="cellIs" dxfId="9" priority="1" operator="lessThan">
      <formula>0</formula>
    </cfRule>
  </conditionalFormatting>
  <hyperlinks>
    <hyperlink ref="LW2" r:id="rId1" xr:uid="{D2790B37-DE00-420A-94E6-E50EA852C585}"/>
    <hyperlink ref="MR1" r:id="rId2" xr:uid="{88E49465-A911-4467-8B5C-48D3F7D6C3DD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7F80-DC8B-43CB-A056-C5D295DAE86E}">
  <sheetPr codeName="Sheet4"/>
  <dimension ref="A1:EC102"/>
  <sheetViews>
    <sheetView zoomScaleNormal="90" workbookViewId="0">
      <pane xSplit="1" ySplit="1" topLeftCell="CL2" activePane="bottomRight" state="frozen"/>
      <selection pane="topRight" activeCell="B1" sqref="B1"/>
      <selection pane="bottomLeft" activeCell="A2" sqref="A2"/>
      <selection pane="bottomRight" activeCell="CG2" sqref="CG2"/>
    </sheetView>
  </sheetViews>
  <sheetFormatPr defaultRowHeight="14.4" x14ac:dyDescent="0.3"/>
  <cols>
    <col min="1" max="1" width="12.33203125" bestFit="1" customWidth="1"/>
    <col min="2" max="2" width="8.44140625" bestFit="1" customWidth="1"/>
    <col min="3" max="3" width="12" bestFit="1" customWidth="1"/>
    <col min="4" max="11" width="12" customWidth="1"/>
    <col min="12" max="12" width="12" bestFit="1" customWidth="1"/>
    <col min="13" max="29" width="12" customWidth="1"/>
    <col min="30" max="30" width="12" bestFit="1" customWidth="1"/>
    <col min="31" max="38" width="12" customWidth="1"/>
    <col min="39" max="39" width="12" bestFit="1" customWidth="1"/>
    <col min="40" max="47" width="12" customWidth="1"/>
    <col min="48" max="48" width="12" bestFit="1" customWidth="1"/>
    <col min="49" max="56" width="12" customWidth="1"/>
    <col min="57" max="57" width="12" bestFit="1" customWidth="1"/>
    <col min="58" max="65" width="12" customWidth="1"/>
    <col min="66" max="66" width="12" bestFit="1" customWidth="1"/>
    <col min="67" max="74" width="12" customWidth="1"/>
    <col min="75" max="75" width="12" style="303" customWidth="1"/>
    <col min="76" max="83" width="12" customWidth="1"/>
    <col min="84" max="84" width="12" bestFit="1" customWidth="1"/>
    <col min="85" max="92" width="12" customWidth="1"/>
    <col min="93" max="93" width="12" bestFit="1" customWidth="1"/>
    <col min="94" max="94" width="11.77734375" customWidth="1"/>
    <col min="95" max="95" width="10" customWidth="1"/>
    <col min="96" max="97" width="10.33203125" customWidth="1"/>
    <col min="98" max="98" width="10" customWidth="1"/>
    <col min="99" max="99" width="10.33203125" customWidth="1"/>
    <col min="100" max="100" width="10.44140625" customWidth="1"/>
    <col min="101" max="101" width="10.5546875" customWidth="1"/>
    <col min="110" max="110" width="13" customWidth="1"/>
    <col min="111" max="111" width="12.6640625" customWidth="1"/>
  </cols>
  <sheetData>
    <row r="1" spans="1:133" s="172" customFormat="1" ht="58.2" thickBot="1" x14ac:dyDescent="0.35">
      <c r="A1" s="172" t="s">
        <v>194</v>
      </c>
      <c r="B1" s="173" t="s">
        <v>533</v>
      </c>
      <c r="C1" s="173" t="s">
        <v>641</v>
      </c>
      <c r="D1" s="172" t="s">
        <v>381</v>
      </c>
      <c r="E1" s="172" t="s">
        <v>382</v>
      </c>
      <c r="F1" s="172" t="s">
        <v>383</v>
      </c>
      <c r="G1" s="172" t="s">
        <v>384</v>
      </c>
      <c r="H1" s="172" t="s">
        <v>385</v>
      </c>
      <c r="I1" s="172" t="s">
        <v>386</v>
      </c>
      <c r="J1" s="172" t="s">
        <v>387</v>
      </c>
      <c r="K1" s="172" t="s">
        <v>440</v>
      </c>
      <c r="L1" s="173" t="s">
        <v>646</v>
      </c>
      <c r="M1" s="172" t="s">
        <v>782</v>
      </c>
      <c r="N1" s="172" t="s">
        <v>783</v>
      </c>
      <c r="O1" s="172" t="s">
        <v>784</v>
      </c>
      <c r="P1" s="172" t="s">
        <v>785</v>
      </c>
      <c r="Q1" s="172" t="s">
        <v>786</v>
      </c>
      <c r="R1" s="172" t="s">
        <v>787</v>
      </c>
      <c r="S1" s="172" t="s">
        <v>788</v>
      </c>
      <c r="T1" s="172" t="s">
        <v>789</v>
      </c>
      <c r="U1" s="173" t="s">
        <v>647</v>
      </c>
      <c r="V1" s="172" t="s">
        <v>790</v>
      </c>
      <c r="W1" s="172" t="s">
        <v>791</v>
      </c>
      <c r="X1" s="172" t="s">
        <v>792</v>
      </c>
      <c r="Y1" s="172" t="s">
        <v>793</v>
      </c>
      <c r="Z1" s="172" t="s">
        <v>794</v>
      </c>
      <c r="AA1" s="172" t="s">
        <v>795</v>
      </c>
      <c r="AB1" s="172" t="s">
        <v>796</v>
      </c>
      <c r="AC1" s="172" t="s">
        <v>797</v>
      </c>
      <c r="AD1" s="173" t="s">
        <v>654</v>
      </c>
      <c r="AE1" s="172" t="s">
        <v>798</v>
      </c>
      <c r="AF1" s="172" t="s">
        <v>799</v>
      </c>
      <c r="AG1" s="172" t="s">
        <v>800</v>
      </c>
      <c r="AH1" s="172" t="s">
        <v>801</v>
      </c>
      <c r="AI1" s="172" t="s">
        <v>802</v>
      </c>
      <c r="AJ1" s="172" t="s">
        <v>803</v>
      </c>
      <c r="AK1" s="172" t="s">
        <v>804</v>
      </c>
      <c r="AL1" s="172" t="s">
        <v>805</v>
      </c>
      <c r="AM1" s="173" t="s">
        <v>661</v>
      </c>
      <c r="AN1" s="172" t="s">
        <v>806</v>
      </c>
      <c r="AO1" s="172" t="s">
        <v>807</v>
      </c>
      <c r="AP1" s="172" t="s">
        <v>808</v>
      </c>
      <c r="AQ1" s="172" t="s">
        <v>809</v>
      </c>
      <c r="AR1" s="172" t="s">
        <v>810</v>
      </c>
      <c r="AS1" s="172" t="s">
        <v>811</v>
      </c>
      <c r="AT1" s="172" t="s">
        <v>812</v>
      </c>
      <c r="AU1" s="172" t="s">
        <v>813</v>
      </c>
      <c r="AV1" s="173" t="s">
        <v>662</v>
      </c>
      <c r="AW1" s="172" t="s">
        <v>365</v>
      </c>
      <c r="AX1" s="172" t="s">
        <v>366</v>
      </c>
      <c r="AY1" s="172" t="s">
        <v>367</v>
      </c>
      <c r="AZ1" s="172" t="s">
        <v>368</v>
      </c>
      <c r="BA1" s="172" t="s">
        <v>369</v>
      </c>
      <c r="BB1" s="172" t="s">
        <v>370</v>
      </c>
      <c r="BC1" s="172" t="s">
        <v>371</v>
      </c>
      <c r="BD1" s="172" t="s">
        <v>438</v>
      </c>
      <c r="BE1" s="173" t="s">
        <v>663</v>
      </c>
      <c r="BF1" s="172" t="s">
        <v>523</v>
      </c>
      <c r="BG1" s="172" t="s">
        <v>524</v>
      </c>
      <c r="BH1" s="172" t="s">
        <v>525</v>
      </c>
      <c r="BI1" s="172" t="s">
        <v>526</v>
      </c>
      <c r="BJ1" s="172" t="s">
        <v>527</v>
      </c>
      <c r="BK1" s="172" t="s">
        <v>528</v>
      </c>
      <c r="BL1" s="172" t="s">
        <v>529</v>
      </c>
      <c r="BM1" s="172" t="s">
        <v>530</v>
      </c>
      <c r="BN1" s="173" t="s">
        <v>664</v>
      </c>
      <c r="BO1" s="172" t="s">
        <v>814</v>
      </c>
      <c r="BP1" s="172" t="s">
        <v>815</v>
      </c>
      <c r="BQ1" s="172" t="s">
        <v>816</v>
      </c>
      <c r="BR1" s="172" t="s">
        <v>817</v>
      </c>
      <c r="BS1" s="172" t="s">
        <v>818</v>
      </c>
      <c r="BT1" s="172" t="s">
        <v>819</v>
      </c>
      <c r="BU1" s="172" t="s">
        <v>820</v>
      </c>
      <c r="BV1" s="172" t="s">
        <v>821</v>
      </c>
      <c r="BW1" s="173" t="s">
        <v>903</v>
      </c>
      <c r="BX1" s="172" t="s">
        <v>895</v>
      </c>
      <c r="BY1" s="172" t="s">
        <v>896</v>
      </c>
      <c r="BZ1" s="172" t="s">
        <v>897</v>
      </c>
      <c r="CA1" s="172" t="s">
        <v>898</v>
      </c>
      <c r="CB1" s="172" t="s">
        <v>899</v>
      </c>
      <c r="CC1" s="172" t="s">
        <v>900</v>
      </c>
      <c r="CD1" s="172" t="s">
        <v>901</v>
      </c>
      <c r="CE1" s="172" t="s">
        <v>902</v>
      </c>
      <c r="CF1" s="173" t="s">
        <v>667</v>
      </c>
      <c r="CG1" s="172" t="s">
        <v>822</v>
      </c>
      <c r="CH1" s="172" t="s">
        <v>823</v>
      </c>
      <c r="CI1" s="172" t="s">
        <v>824</v>
      </c>
      <c r="CJ1" s="172" t="s">
        <v>825</v>
      </c>
      <c r="CK1" s="172" t="s">
        <v>826</v>
      </c>
      <c r="CL1" s="172" t="s">
        <v>827</v>
      </c>
      <c r="CM1" s="172" t="s">
        <v>828</v>
      </c>
      <c r="CN1" s="172" t="s">
        <v>829</v>
      </c>
      <c r="CO1" s="173" t="s">
        <v>668</v>
      </c>
      <c r="CP1" s="172" t="s">
        <v>830</v>
      </c>
      <c r="CQ1" s="172" t="s">
        <v>831</v>
      </c>
      <c r="CR1" s="172" t="s">
        <v>832</v>
      </c>
      <c r="CS1" s="172" t="s">
        <v>833</v>
      </c>
      <c r="CT1" s="172" t="s">
        <v>834</v>
      </c>
      <c r="CU1" s="172" t="s">
        <v>835</v>
      </c>
      <c r="CV1" s="172" t="s">
        <v>836</v>
      </c>
      <c r="CW1" s="172" t="s">
        <v>837</v>
      </c>
      <c r="CY1" s="232" t="s">
        <v>648</v>
      </c>
      <c r="CZ1" s="233" t="s">
        <v>533</v>
      </c>
      <c r="DA1" s="321" t="s">
        <v>650</v>
      </c>
      <c r="DB1" s="322"/>
      <c r="DC1" s="323"/>
      <c r="DE1" s="227" t="s">
        <v>642</v>
      </c>
      <c r="DF1" s="228" t="s">
        <v>643</v>
      </c>
      <c r="DG1" s="228" t="s">
        <v>644</v>
      </c>
      <c r="DH1" s="228" t="s">
        <v>645</v>
      </c>
      <c r="DJ1" s="196" t="s">
        <v>533</v>
      </c>
      <c r="DK1" s="321" t="s">
        <v>655</v>
      </c>
      <c r="DL1" s="322"/>
      <c r="DM1" s="322"/>
      <c r="DN1" s="326"/>
      <c r="DO1" s="321" t="s">
        <v>656</v>
      </c>
      <c r="DP1" s="322"/>
      <c r="DQ1" s="322"/>
      <c r="DR1" s="323"/>
      <c r="DU1" s="290"/>
      <c r="DV1" s="291"/>
      <c r="DW1" s="291"/>
      <c r="DX1" s="291"/>
      <c r="DY1" s="291"/>
      <c r="DZ1" s="291"/>
      <c r="EA1" s="291"/>
      <c r="EB1" s="291"/>
      <c r="EC1" s="292"/>
    </row>
    <row r="2" spans="1:133" ht="48.6" thickBot="1" x14ac:dyDescent="0.35">
      <c r="A2" s="184">
        <f>'Su K. oro stendu'!B46</f>
        <v>44888</v>
      </c>
      <c r="B2" s="289">
        <f>Sheet3!DD2</f>
        <v>10</v>
      </c>
      <c r="C2" s="289">
        <f>_xlfn.FORECAST.LINEAR(Sheet3!DD2,$DW$3:$DW$24,$DU$3:$DU$24)</f>
        <v>1001.1948238419958</v>
      </c>
      <c r="D2" s="35">
        <f>_xlfn.FORECAST.LINEAR(Sheet3!CI2,'Cooling water'!$DW$3:$DW$24,'Cooling water'!$DU$3:$DU$24)</f>
        <v>988.63558485070564</v>
      </c>
      <c r="E2" s="35">
        <f>_xlfn.FORECAST.LINEAR(Sheet3!CJ2,'Cooling water'!$DW$3:$DW$24,'Cooling water'!$DU$3:$DU$24)</f>
        <v>989.47153186805667</v>
      </c>
      <c r="F2" s="35">
        <f>_xlfn.FORECAST.LINEAR(Sheet3!CK2,'Cooling water'!$DW$3:$DW$24,'Cooling water'!$DU$3:$DU$24)</f>
        <v>990.59896080853287</v>
      </c>
      <c r="G2" s="35">
        <f>_xlfn.FORECAST.LINEAR(Sheet3!CL2,'Cooling water'!$DW$3:$DW$24,'Cooling water'!$DU$3:$DU$24)</f>
        <v>991.96573736457947</v>
      </c>
      <c r="H2" s="35">
        <f>_xlfn.FORECAST.LINEAR(Sheet3!CM2,'Cooling water'!$DW$3:$DW$24,'Cooling water'!$DU$3:$DU$24)</f>
        <v>993.51972722864207</v>
      </c>
      <c r="I2" s="35">
        <f>_xlfn.FORECAST.LINEAR(Sheet3!CN2,'Cooling water'!$DW$3:$DW$24,'Cooling water'!$DU$3:$DU$24)</f>
        <v>995.20879609316592</v>
      </c>
      <c r="J2" s="35">
        <f>_xlfn.FORECAST.LINEAR(Sheet3!CO2,'Cooling water'!$DW$3:$DW$24,'Cooling water'!$DU$3:$DU$24)</f>
        <v>996.9808096505966</v>
      </c>
      <c r="K2" s="35">
        <f>_xlfn.FORECAST.LINEAR(Sheet3!CP2,'Cooling water'!$DW$3:$DW$24,'Cooling water'!$DU$3:$DU$24)</f>
        <v>998.78363359337936</v>
      </c>
      <c r="L2" s="289">
        <f xml:space="preserve"> 0.0000000000330128*((B2+273)^(4)) - 0.0000000448315*((B2+273)^(3)) + 0.0000228887*((B2+273)^(2)) - 0.00521331*((B2+273)) + 0.447905</f>
        <v>1.3093170758886608E-3</v>
      </c>
      <c r="M2" s="35">
        <f xml:space="preserve"> 0.0000000000330128*((Sheet3!CI2+273)^(4)) - 0.0000000448315*((Sheet3!CI2+273)^(3)) + 0.0000228887*((Sheet3!CI2+273)^(2)) - 0.00521331*((Sheet3!CI2+273)) + 0.447905</f>
        <v>6.4668532309908322E-4</v>
      </c>
      <c r="N2" s="35">
        <f xml:space="preserve"> 0.0000000000330128*((Sheet3!CJ2+273)^(4)) - 0.0000000448315*((Sheet3!CJ2+273)^(3)) + 0.0000228887*((Sheet3!CJ2+273)^(2)) - 0.00521331*((Sheet3!CJ2+273)) + 0.447905</f>
        <v>6.7150479713284916E-4</v>
      </c>
      <c r="O2" s="35">
        <f xml:space="preserve"> 0.0000000000330128*((Sheet3!CK2+273)^(4)) - 0.0000000448315*((Sheet3!CK2+273)^(3)) + 0.0000228887*((Sheet3!CK2+273)^(2)) - 0.00521331*((Sheet3!CK2+273)) + 0.447905</f>
        <v>7.0779525985420477E-4</v>
      </c>
      <c r="P2" s="35">
        <f xml:space="preserve"> 0.0000000000330128*((Sheet3!CL2+273)^(4)) - 0.0000000448315*((Sheet3!CL2+273)^(3)) + 0.0000228887*((Sheet3!CL2+273)^(2)) - 0.00521331*((Sheet3!CL2+273)) + 0.447905</f>
        <v>7.567563254153864E-4</v>
      </c>
      <c r="Q2" s="35">
        <f xml:space="preserve"> 0.0000000000330128*((Sheet3!CM2+273)^(4)) - 0.0000000448315*((Sheet3!CM2+273)^(3)) + 0.0000228887*((Sheet3!CM2+273)^(2)) - 0.00521331*((Sheet3!CM2+273)) + 0.447905</f>
        <v>8.2015290921244599E-4</v>
      </c>
      <c r="R2" s="35">
        <f xml:space="preserve"> 0.0000000000330128*((Sheet3!CN2+273)^(4)) - 0.0000000448315*((Sheet3!CN2+273)^(3)) + 0.0000228887*((Sheet3!CN2+273)^(2)) - 0.00521331*((Sheet3!CN2+273)) + 0.447905</f>
        <v>9.0008450386003247E-4</v>
      </c>
      <c r="S2" s="35">
        <f xml:space="preserve"> 0.0000000000330128*((Sheet3!CO2+273)^(4)) - 0.0000000448315*((Sheet3!CO2+273)^(3)) + 0.0000228887*((Sheet3!CO2+273)^(2)) - 0.00521331*((Sheet3!CO2+273)) + 0.447905</f>
        <v>9.9856957899913112E-4</v>
      </c>
      <c r="T2" s="35">
        <f xml:space="preserve"> 0.0000000000330128*((Sheet3!CP2+273)^(4)) - 0.0000000448315*((Sheet3!CP2+273)^(3)) + 0.0000228887*((Sheet3!CP2+273)^(2)) - 0.00521331*((Sheet3!CP2+273)) + 0.447905</f>
        <v>1.1169169795381961E-3</v>
      </c>
      <c r="U2" s="289">
        <f>(Sheet3!DC2*0.014*0.001*C2) / (L2*0.00015*3600*3)</f>
        <v>1731.3627766738382</v>
      </c>
      <c r="V2" s="35">
        <f>(Sheet3!$DC2*0.014*0.001*D2) / (M2*0.00015*3600*3)</f>
        <v>3461.4458844003775</v>
      </c>
      <c r="W2" s="35">
        <f>(Sheet3!$DC2*0.014*0.001*E2) / (N2*0.00015*3600*3)</f>
        <v>3336.3261273513158</v>
      </c>
      <c r="X2" s="35">
        <f>(Sheet3!$DC2*0.014*0.001*F2) / (O2*0.00015*3600*3)</f>
        <v>3168.8707856016531</v>
      </c>
      <c r="Y2" s="35">
        <f>(Sheet3!$DC2*0.014*0.001*G2) / (P2*0.00015*3600*3)</f>
        <v>2967.9386848995587</v>
      </c>
      <c r="Z2" s="35">
        <f>(Sheet3!$DC2*0.014*0.001*H2) / (Q2*0.00015*3600*3)</f>
        <v>2742.8116001150015</v>
      </c>
      <c r="AA2" s="35">
        <f>(Sheet3!$DC2*0.014*0.001*I2) / (R2*0.00015*3600*3)</f>
        <v>2503.4863828284324</v>
      </c>
      <c r="AB2" s="35">
        <f>(Sheet3!$DC2*0.014*0.001*J2) / (S2*0.00015*3600*3)</f>
        <v>2260.5950902213831</v>
      </c>
      <c r="AC2" s="35">
        <f>(Sheet3!$DC2*0.014*0.001*K2) / (T2*0.00015*3600*3)</f>
        <v>2024.7193645356926</v>
      </c>
      <c r="AD2" s="289">
        <f t="shared" ref="AD2:AD33" si="0">_xlfn.FORECAST.LINEAR(B2,$DA$3:$DA$12,$CZ$3:$CZ$12)/1000</f>
        <v>0.59027174606142774</v>
      </c>
      <c r="AE2" s="35">
        <f>_xlfn.FORECAST.LINEAR(Sheet3!CI2,$DA$3:$DA$12,$CZ$3:$CZ$12)/1000</f>
        <v>0.62293928143613209</v>
      </c>
      <c r="AF2" s="35">
        <f>_xlfn.FORECAST.LINEAR(Sheet3!CJ2,$DA$3:$DA$12,$CZ$3:$CZ$12)/1000</f>
        <v>0.62076491969497627</v>
      </c>
      <c r="AG2" s="35">
        <f>_xlfn.FORECAST.LINEAR(Sheet3!CK2,$DA$3:$DA$12,$CZ$3:$CZ$12)/1000</f>
        <v>0.61783239131319989</v>
      </c>
      <c r="AH2" s="35">
        <f>_xlfn.FORECAST.LINEAR(Sheet3!CL2,$DA$3:$DA$12,$CZ$3:$CZ$12)/1000</f>
        <v>0.61427730158802352</v>
      </c>
      <c r="AI2" s="35">
        <f>_xlfn.FORECAST.LINEAR(Sheet3!CM2,$DA$3:$DA$12,$CZ$3:$CZ$12)/1000</f>
        <v>0.61023525581666738</v>
      </c>
      <c r="AJ2" s="35">
        <f>_xlfn.FORECAST.LINEAR(Sheet3!CN2,$DA$3:$DA$12,$CZ$3:$CZ$12)/1000</f>
        <v>0.60584185929635193</v>
      </c>
      <c r="AK2" s="35">
        <f>_xlfn.FORECAST.LINEAR(Sheet3!CO2,$DA$3:$DA$12,$CZ$3:$CZ$12)/1000</f>
        <v>0.60123271732429728</v>
      </c>
      <c r="AL2" s="35">
        <f>_xlfn.FORECAST.LINEAR(Sheet3!CP2,$DA$3:$DA$12,$CZ$3:$CZ$12)/1000</f>
        <v>0.5965434351977239</v>
      </c>
      <c r="AM2" s="289">
        <f t="shared" ref="AM2:AM33" si="1">_xlfn.FORECAST.LINEAR(B2,$DP$3:$DP$14,$DJ$3:$DJ$14)*1000</f>
        <v>4189.3827552687999</v>
      </c>
      <c r="AN2" s="35">
        <f>_xlfn.FORECAST.LINEAR(Sheet3!CI2,$DP$3:$DP$14,$DJ$3:$DJ$14)*1000</f>
        <v>4192.2575434546325</v>
      </c>
      <c r="AO2" s="35">
        <f>_xlfn.FORECAST.LINEAR(Sheet3!CJ2,$DP$3:$DP$14,$DJ$3:$DJ$14)*1000</f>
        <v>4192.0661966213465</v>
      </c>
      <c r="AP2" s="35">
        <f>_xlfn.FORECAST.LINEAR(Sheet3!CK2,$DP$3:$DP$14,$DJ$3:$DJ$14)*1000</f>
        <v>4191.8081300776093</v>
      </c>
      <c r="AQ2" s="35">
        <f>_xlfn.FORECAST.LINEAR(Sheet3!CL2,$DP$3:$DP$14,$DJ$3:$DJ$14)*1000</f>
        <v>4191.4952772766774</v>
      </c>
      <c r="AR2" s="35">
        <f>_xlfn.FORECAST.LINEAR(Sheet3!CM2,$DP$3:$DP$14,$DJ$3:$DJ$14)*1000</f>
        <v>4191.1395716718071</v>
      </c>
      <c r="AS2" s="35">
        <f>_xlfn.FORECAST.LINEAR(Sheet3!CN2,$DP$3:$DP$14,$DJ$3:$DJ$14)*1000</f>
        <v>4190.7529467162549</v>
      </c>
      <c r="AT2" s="35">
        <f>_xlfn.FORECAST.LINEAR(Sheet3!CO2,$DP$3:$DP$14,$DJ$3:$DJ$14)*1000</f>
        <v>4190.3473358632746</v>
      </c>
      <c r="AU2" s="35">
        <f>_xlfn.FORECAST.LINEAR(Sheet3!CP2,$DP$3:$DP$14,$DJ$3:$DJ$14)*1000</f>
        <v>4189.9346725661235</v>
      </c>
      <c r="AV2" s="289">
        <f>AD2/(C2*AM2)</f>
        <v>1.4072892151789481E-7</v>
      </c>
      <c r="AW2" s="35">
        <f t="shared" ref="AW2:BD2" si="2">AE2/(D2*AN2)</f>
        <v>1.5030088034520431E-7</v>
      </c>
      <c r="AX2" s="35">
        <f t="shared" si="2"/>
        <v>1.4965655051094855E-7</v>
      </c>
      <c r="AY2" s="35">
        <f t="shared" si="2"/>
        <v>1.4878920037090065E-7</v>
      </c>
      <c r="AZ2" s="35">
        <f t="shared" si="2"/>
        <v>1.4774024498659323E-7</v>
      </c>
      <c r="BA2" s="35">
        <f t="shared" si="2"/>
        <v>1.4655096294291064E-7</v>
      </c>
      <c r="BB2" s="35">
        <f t="shared" si="2"/>
        <v>1.4526233193857013E-7</v>
      </c>
      <c r="BC2" s="35">
        <f t="shared" si="2"/>
        <v>1.4391490779795452E-7</v>
      </c>
      <c r="BD2" s="35">
        <f t="shared" si="2"/>
        <v>1.4254874621127939E-7</v>
      </c>
      <c r="BE2" s="289">
        <f t="shared" ref="BE2:BE32" si="3">AM2*L2/AD2</f>
        <v>9.2927205401698068</v>
      </c>
      <c r="BF2" s="35">
        <f t="shared" ref="BF2:BM2" si="4">AN2*M2/AE2</f>
        <v>4.3520636838848716</v>
      </c>
      <c r="BG2" s="35">
        <f t="shared" si="4"/>
        <v>4.5347159151855552</v>
      </c>
      <c r="BH2" s="35">
        <f t="shared" si="4"/>
        <v>4.8021793068845557</v>
      </c>
      <c r="BI2" s="35">
        <f t="shared" si="4"/>
        <v>5.1636948912612848</v>
      </c>
      <c r="BJ2" s="35">
        <f t="shared" si="4"/>
        <v>5.6328690941034818</v>
      </c>
      <c r="BK2" s="35">
        <f t="shared" si="4"/>
        <v>6.2260996478950004</v>
      </c>
      <c r="BL2" s="35">
        <f t="shared" si="4"/>
        <v>6.9596235441993315</v>
      </c>
      <c r="BM2" s="35">
        <f t="shared" si="4"/>
        <v>7.8448758343871408</v>
      </c>
      <c r="BN2" s="289">
        <f>((2*0.3)/0.014)/(U2*BE2)</f>
        <v>2.6637426334980871E-3</v>
      </c>
      <c r="BO2" s="35">
        <f t="shared" ref="BO2:BV2" si="5">((2*0.3)/0.014)/(V2*BF2)</f>
        <v>2.8449224118931799E-3</v>
      </c>
      <c r="BP2" s="35">
        <f t="shared" si="5"/>
        <v>2.832726419548254E-3</v>
      </c>
      <c r="BQ2" s="35">
        <f t="shared" si="5"/>
        <v>2.8163090582745639E-3</v>
      </c>
      <c r="BR2" s="35">
        <f t="shared" si="5"/>
        <v>2.7964542398926737E-3</v>
      </c>
      <c r="BS2" s="35">
        <f t="shared" si="5"/>
        <v>2.7739432929683189E-3</v>
      </c>
      <c r="BT2" s="35">
        <f t="shared" si="5"/>
        <v>2.7495518508391143E-3</v>
      </c>
      <c r="BU2" s="35">
        <f t="shared" si="5"/>
        <v>2.724047561528505E-3</v>
      </c>
      <c r="BV2" s="35">
        <f t="shared" si="5"/>
        <v>2.6981886064294191E-3</v>
      </c>
      <c r="BW2" s="289">
        <f>IF(U2&lt;2*100000,0.361*U2^-0.25,(0.79 * LN(U2)- 1.64)^-2)</f>
        <v>5.5964184909171058E-2</v>
      </c>
      <c r="BX2" s="35">
        <f>IF(V2&lt;2*100000,0.361*V2^-0.25,(0.79 * LN(V2)- 1.64)^-2)</f>
        <v>4.7064431304192911E-2</v>
      </c>
      <c r="BY2" s="35">
        <f t="shared" ref="BY2:CE2" si="6">IF(W2&lt;2*100000,0.361*W2^-0.25,(0.79 * LN(W2)- 1.64)^-2)</f>
        <v>4.7499613713417474E-2</v>
      </c>
      <c r="BZ2" s="35">
        <f t="shared" si="6"/>
        <v>4.8115064158278917E-2</v>
      </c>
      <c r="CA2" s="35">
        <f t="shared" si="6"/>
        <v>4.8909527895803037E-2</v>
      </c>
      <c r="CB2" s="35">
        <f t="shared" si="6"/>
        <v>4.9883648174371478E-2</v>
      </c>
      <c r="CC2" s="35">
        <f t="shared" si="6"/>
        <v>5.1035326030587518E-2</v>
      </c>
      <c r="CD2" s="35">
        <f t="shared" si="6"/>
        <v>5.2354197489226116E-2</v>
      </c>
      <c r="CE2" s="35">
        <f t="shared" si="6"/>
        <v>5.3816567303223747E-2</v>
      </c>
      <c r="CF2" s="289">
        <f t="shared" ref="CF2:CF33" si="7">IF(U2&lt;3000,_xlfn.FORECAST.LINEAR(BN2,$CY$14:$CY$20,$DA$14:$DA$20),((BW2/8)*(U2-1000)*BE2)/(1+12.7*(BW2/8)^0.5*(BE2^(2/3)-1)))</f>
        <v>11.678265197858467</v>
      </c>
      <c r="CG2" s="35">
        <f t="shared" ref="CG2:CG33" si="8">IF(V2&lt;3000,_xlfn.FORECAST.LINEAR(BO2,$CY$14:$CY$20,$DA$14:$DA$20),((BX2/8)*(V2-1000)*BF2)/(1+12.7*(BX2/8)^0.5*(BF2^(2/3)-1)))</f>
        <v>24.031258544288992</v>
      </c>
      <c r="CH2" s="35">
        <f t="shared" ref="CH2:CH33" si="9">IF(W2&lt;3000,_xlfn.FORECAST.LINEAR(BP2,$CY$14:$CY$20,$DA$14:$DA$20),((BY2/8)*(W2-1000)*BG2)/(1+12.7*(BY2/8)^0.5*(BG2^(2/3)-1)))</f>
        <v>23.276974593205942</v>
      </c>
      <c r="CI2" s="35">
        <f t="shared" ref="CI2:CI33" si="10">IF(X2&lt;3000,_xlfn.FORECAST.LINEAR(BQ2,$CY$14:$CY$20,$DA$14:$DA$20),((BZ2/8)*(X2-1000)*BH2)/(1+12.7*(BZ2/8)^0.5*(BH2^(2/3)-1)))</f>
        <v>22.224969674342226</v>
      </c>
      <c r="CJ2" s="35">
        <f t="shared" ref="CJ2:CJ33" si="11">IF(Y2&lt;3000,_xlfn.FORECAST.LINEAR(BR2,$CY$14:$CY$20,$DA$14:$DA$20),((CA2/8)*(Y2-1000)*BI2)/(1+12.7*(CA2/8)^0.5*(BI2^(2/3)-1)))</f>
        <v>11.671256630310733</v>
      </c>
      <c r="CK2" s="35">
        <f t="shared" ref="CK2:CK33" si="12">IF(Z2&lt;3000,_xlfn.FORECAST.LINEAR(BS2,$CY$14:$CY$20,$DA$14:$DA$20),((CB2/8)*(Z2-1000)*BJ2)/(1+12.7*(CB2/8)^0.5*(BJ2^(2/3)-1)))</f>
        <v>11.672445444886707</v>
      </c>
      <c r="CL2" s="35">
        <f t="shared" ref="CL2:CL33" si="13">IF(AA2&lt;3000,_xlfn.FORECAST.LINEAR(BT2,$CY$14:$CY$20,$DA$14:$DA$20),((CC2/8)*(AA2-1000)*BK2)/(1+12.7*(CC2/8)^0.5*(BK2^(2/3)-1)))</f>
        <v>11.673733569372525</v>
      </c>
      <c r="CM2" s="35">
        <f t="shared" ref="CM2:CM33" si="14">IF(AB2&lt;3000,_xlfn.FORECAST.LINEAR(BU2,$CY$14:$CY$20,$DA$14:$DA$20),((CD2/8)*(AB2-1000)*BL2)/(1+12.7*(CD2/8)^0.5*(BL2^(2/3)-1)))</f>
        <v>11.675080463884969</v>
      </c>
      <c r="CN2" s="35">
        <f t="shared" ref="CN2:CN33" si="15">IF(AC2&lt;3000,_xlfn.FORECAST.LINEAR(BV2,$CY$14:$CY$20,$DA$14:$DA$20),((CE2/8)*(AC2-1000)*BM2)/(1+12.7*(CE2/8)^0.5*(BM2^(2/3)-1)))</f>
        <v>11.676446088478396</v>
      </c>
      <c r="CO2" s="289">
        <f t="shared" ref="CO2:CW2" si="16">CF2*AD2/0.014</f>
        <v>492.38214209345159</v>
      </c>
      <c r="CP2" s="35">
        <f t="shared" si="16"/>
        <v>1069.2867806846639</v>
      </c>
      <c r="CQ2" s="35">
        <f t="shared" si="16"/>
        <v>1032.1092331495349</v>
      </c>
      <c r="CR2" s="35">
        <f t="shared" si="16"/>
        <v>980.80758291158622</v>
      </c>
      <c r="CS2" s="35">
        <f t="shared" si="16"/>
        <v>512.09914492918608</v>
      </c>
      <c r="CT2" s="35">
        <f t="shared" si="16"/>
        <v>508.78126657618094</v>
      </c>
      <c r="CU2" s="35">
        <f t="shared" si="16"/>
        <v>505.17403218563493</v>
      </c>
      <c r="CV2" s="35">
        <f t="shared" si="16"/>
        <v>501.38859659152689</v>
      </c>
      <c r="CW2" s="35">
        <f t="shared" si="16"/>
        <v>497.53623289442351</v>
      </c>
      <c r="CY2" s="224" t="s">
        <v>649</v>
      </c>
      <c r="CZ2" s="231" t="s">
        <v>553</v>
      </c>
      <c r="DA2" s="231" t="s">
        <v>651</v>
      </c>
      <c r="DB2" s="231" t="s">
        <v>652</v>
      </c>
      <c r="DC2" s="234" t="s">
        <v>653</v>
      </c>
      <c r="DE2" s="229">
        <v>2</v>
      </c>
      <c r="DF2" s="230">
        <v>1.6735</v>
      </c>
      <c r="DG2" s="230">
        <v>1.6736</v>
      </c>
      <c r="DH2" s="230">
        <v>0.99990000000000001</v>
      </c>
      <c r="DJ2" s="308" t="s">
        <v>553</v>
      </c>
      <c r="DK2" s="192" t="s">
        <v>657</v>
      </c>
      <c r="DL2" s="192" t="s">
        <v>658</v>
      </c>
      <c r="DM2" s="192" t="s">
        <v>659</v>
      </c>
      <c r="DN2" s="192" t="s">
        <v>660</v>
      </c>
      <c r="DO2" s="192" t="s">
        <v>657</v>
      </c>
      <c r="DP2" s="192" t="s">
        <v>658</v>
      </c>
      <c r="DQ2" s="192" t="s">
        <v>659</v>
      </c>
      <c r="DR2" s="225" t="s">
        <v>660</v>
      </c>
      <c r="DU2" s="284" t="s">
        <v>533</v>
      </c>
      <c r="DV2" s="316" t="s">
        <v>838</v>
      </c>
      <c r="DW2" s="317"/>
      <c r="DX2" s="317"/>
      <c r="DY2" s="317"/>
      <c r="DZ2" s="318"/>
      <c r="EA2" s="319" t="s">
        <v>839</v>
      </c>
      <c r="EB2" s="320"/>
      <c r="EC2" s="234" t="s">
        <v>840</v>
      </c>
    </row>
    <row r="3" spans="1:133" ht="15" thickBot="1" x14ac:dyDescent="0.35">
      <c r="A3" s="184" t="str">
        <f>'Su K. oro stendu'!B48</f>
        <v>2022.11.24-1</v>
      </c>
      <c r="B3" s="289">
        <f>Sheet3!DD3</f>
        <v>11</v>
      </c>
      <c r="C3" s="289">
        <f>_xlfn.FORECAST.LINEAR(Sheet3!DD3,$DW$3:$DW$24,$DU$3:$DU$24)</f>
        <v>1000.7799748785891</v>
      </c>
      <c r="D3" s="35">
        <f>_xlfn.FORECAST.LINEAR(Sheet3!CI3,'Cooling water'!$DW$3:$DW$24,'Cooling water'!$DU$3:$DU$24)</f>
        <v>993.0391917879208</v>
      </c>
      <c r="E3" s="35">
        <f>_xlfn.FORECAST.LINEAR(Sheet3!CJ3,'Cooling water'!$DW$3:$DW$24,'Cooling water'!$DU$3:$DU$24)</f>
        <v>993.71964574679441</v>
      </c>
      <c r="F3" s="35">
        <f>_xlfn.FORECAST.LINEAR(Sheet3!CK3,'Cooling water'!$DW$3:$DW$24,'Cooling water'!$DU$3:$DU$24)</f>
        <v>994.4957412416511</v>
      </c>
      <c r="G3" s="35">
        <f>_xlfn.FORECAST.LINEAR(Sheet3!CL3,'Cooling water'!$DW$3:$DW$24,'Cooling water'!$DU$3:$DU$24)</f>
        <v>995.35685176560787</v>
      </c>
      <c r="H3" s="35">
        <f>_xlfn.FORECAST.LINEAR(Sheet3!CM3,'Cooling water'!$DW$3:$DW$24,'Cooling water'!$DU$3:$DU$24)</f>
        <v>996.29235081178172</v>
      </c>
      <c r="I3" s="35">
        <f>_xlfn.FORECAST.LINEAR(Sheet3!CN3,'Cooling water'!$DW$3:$DW$24,'Cooling water'!$DU$3:$DU$24)</f>
        <v>997.29161187328964</v>
      </c>
      <c r="J3" s="35">
        <f>_xlfn.FORECAST.LINEAR(Sheet3!CO3,'Cooling water'!$DW$3:$DW$24,'Cooling water'!$DU$3:$DU$24)</f>
        <v>998.34400844324853</v>
      </c>
      <c r="K3" s="35">
        <f>_xlfn.FORECAST.LINEAR(Sheet3!CP3,'Cooling water'!$DW$3:$DW$24,'Cooling water'!$DU$3:$DU$24)</f>
        <v>999.43891401477538</v>
      </c>
      <c r="L3" s="289">
        <f t="shared" ref="L3:L66" si="17" xml:space="preserve"> 0.0000000000330128*((B3+273)^(4)) - 0.0000000448315*((B3+273)^(3)) + 0.0000228887*((B3+273)^(2)) - 0.00521331*((B3+273)) + 0.447905</f>
        <v>1.2731295083006078E-3</v>
      </c>
      <c r="M3" s="35">
        <f xml:space="preserve"> 0.0000000000330128*((Sheet3!CI3+273)^(4)) - 0.0000000448315*((Sheet3!CI3+273)^(3)) + 0.0000228887*((Sheet3!CI3+273)^(2)) - 0.00521331*((Sheet3!CI3+273)) + 0.447905</f>
        <v>7.995890614809209E-4</v>
      </c>
      <c r="N3" s="35">
        <f xml:space="preserve"> 0.0000000000330128*((Sheet3!CJ3+273)^(4)) - 0.0000000448315*((Sheet3!CJ3+273)^(3)) + 0.0000228887*((Sheet3!CJ3+273)^(2)) - 0.00521331*((Sheet3!CJ3+273)) + 0.447905</f>
        <v>8.289775761525231E-4</v>
      </c>
      <c r="O3" s="35">
        <f xml:space="preserve"> 0.0000000000330128*((Sheet3!CK3+273)^(4)) - 0.0000000448315*((Sheet3!CK3+273)^(3)) + 0.0000228887*((Sheet3!CK3+273)^(2)) - 0.00521331*((Sheet3!CK3+273)) + 0.447905</f>
        <v>8.6481411711103462E-4</v>
      </c>
      <c r="P3" s="35">
        <f xml:space="preserve"> 0.0000000000330128*((Sheet3!CL3+273)^(4)) - 0.0000000448315*((Sheet3!CL3+273)^(3)) + 0.0000228887*((Sheet3!CL3+273)^(2)) - 0.00521331*((Sheet3!CL3+273)) + 0.447905</f>
        <v>9.0770519038985142E-4</v>
      </c>
      <c r="Q3" s="35">
        <f xml:space="preserve"> 0.0000000000330128*((Sheet3!CM3+273)^(4)) - 0.0000000448315*((Sheet3!CM3+273)^(3)) + 0.0000228887*((Sheet3!CM3+273)^(2)) - 0.00521331*((Sheet3!CM3+273)) + 0.447905</f>
        <v>9.5836346005961914E-4</v>
      </c>
      <c r="R3" s="35">
        <f xml:space="preserve"> 0.0000000000330128*((Sheet3!CN3+273)^(4)) - 0.0000000448315*((Sheet3!CN3+273)^(3)) + 0.0000228887*((Sheet3!CN3+273)^(2)) - 0.00521331*((Sheet3!CN3+273)) + 0.447905</f>
        <v>1.0175832666095008E-3</v>
      </c>
      <c r="S3" s="35">
        <f xml:space="preserve"> 0.0000000000330128*((Sheet3!CO3+273)^(4)) - 0.0000000448315*((Sheet3!CO3+273)^(3)) + 0.0000228887*((Sheet3!CO3+273)^(2)) - 0.00521331*((Sheet3!CO3+273)) + 0.447905</f>
        <v>1.0862058191081214E-3</v>
      </c>
      <c r="T3" s="35">
        <f xml:space="preserve"> 0.0000000000330128*((Sheet3!CP3+273)^(4)) - 0.0000000448315*((Sheet3!CP3+273)^(3)) + 0.0000228887*((Sheet3!CP3+273)^(2)) - 0.00521331*((Sheet3!CP3+273)) + 0.447905</f>
        <v>1.1650723780460837E-3</v>
      </c>
      <c r="U3" s="289">
        <f>(Sheet3!DC3*0.014*0.001*C3) / (L3*0.00015*3600*3)</f>
        <v>2717.3090485754392</v>
      </c>
      <c r="V3" s="35">
        <f>(Sheet3!$DC3*0.014*0.001*D3) / (M3*0.00015*3600*3)</f>
        <v>4293.1153460506757</v>
      </c>
      <c r="W3" s="35">
        <f>(Sheet3!$DC3*0.014*0.001*E3) / (N3*0.00015*3600*3)</f>
        <v>4143.7553387698408</v>
      </c>
      <c r="X3" s="35">
        <f>(Sheet3!$DC3*0.014*0.001*F3) / (O3*0.00015*3600*3)</f>
        <v>3975.1467837135242</v>
      </c>
      <c r="Y3" s="35">
        <f>(Sheet3!$DC3*0.014*0.001*G3) / (P3*0.00015*3600*3)</f>
        <v>3790.5916710916131</v>
      </c>
      <c r="Z3" s="35">
        <f>(Sheet3!$DC3*0.014*0.001*H3) / (Q3*0.00015*3600*3)</f>
        <v>3593.5985686969625</v>
      </c>
      <c r="AA3" s="35">
        <f>(Sheet3!$DC3*0.014*0.001*I3) / (R3*0.00015*3600*3)</f>
        <v>3387.8581805068602</v>
      </c>
      <c r="AB3" s="35">
        <f>(Sheet3!$DC3*0.014*0.001*J3) / (S3*0.00015*3600*3)</f>
        <v>3177.1747559155401</v>
      </c>
      <c r="AC3" s="35">
        <f>(Sheet3!$DC3*0.014*0.001*K3) / (T3*0.00015*3600*3)</f>
        <v>2965.3527386502005</v>
      </c>
      <c r="AD3" s="289">
        <f t="shared" si="0"/>
        <v>0.59135079975223237</v>
      </c>
      <c r="AE3" s="35">
        <f>_xlfn.FORECAST.LINEAR(Sheet3!CI3,$DA$3:$DA$12,$CZ$3:$CZ$12)/1000</f>
        <v>0.61148516502847916</v>
      </c>
      <c r="AF3" s="35">
        <f>_xlfn.FORECAST.LINEAR(Sheet3!CJ3,$DA$3:$DA$12,$CZ$3:$CZ$12)/1000</f>
        <v>0.60971525255306769</v>
      </c>
      <c r="AG3" s="35">
        <f>_xlfn.FORECAST.LINEAR(Sheet3!CK3,$DA$3:$DA$12,$CZ$3:$CZ$12)/1000</f>
        <v>0.60769656917185633</v>
      </c>
      <c r="AH3" s="35">
        <f>_xlfn.FORECAST.LINEAR(Sheet3!CL3,$DA$3:$DA$12,$CZ$3:$CZ$12)/1000</f>
        <v>0.6054567552370792</v>
      </c>
      <c r="AI3" s="35">
        <f>_xlfn.FORECAST.LINEAR(Sheet3!CM3,$DA$3:$DA$12,$CZ$3:$CZ$12)/1000</f>
        <v>0.60302345110097033</v>
      </c>
      <c r="AJ3" s="35">
        <f>_xlfn.FORECAST.LINEAR(Sheet3!CN3,$DA$3:$DA$12,$CZ$3:$CZ$12)/1000</f>
        <v>0.60042429711576384</v>
      </c>
      <c r="AK3" s="35">
        <f>_xlfn.FORECAST.LINEAR(Sheet3!CO3,$DA$3:$DA$12,$CZ$3:$CZ$12)/1000</f>
        <v>0.59768693363369352</v>
      </c>
      <c r="AL3" s="35">
        <f>_xlfn.FORECAST.LINEAR(Sheet3!CP3,$DA$3:$DA$12,$CZ$3:$CZ$12)/1000</f>
        <v>0.59483900100699372</v>
      </c>
      <c r="AM3" s="289">
        <f t="shared" si="1"/>
        <v>4189.4777134824089</v>
      </c>
      <c r="AN3" s="35">
        <f>_xlfn.FORECAST.LINEAR(Sheet3!CI3,$DP$3:$DP$14,$DJ$3:$DJ$14)*1000</f>
        <v>4191.2495654070017</v>
      </c>
      <c r="AO3" s="35">
        <f>_xlfn.FORECAST.LINEAR(Sheet3!CJ3,$DP$3:$DP$14,$DJ$3:$DJ$14)*1000</f>
        <v>4191.0938106671392</v>
      </c>
      <c r="AP3" s="35">
        <f>_xlfn.FORECAST.LINEAR(Sheet3!CK3,$DP$3:$DP$14,$DJ$3:$DJ$14)*1000</f>
        <v>4190.916163744324</v>
      </c>
      <c r="AQ3" s="35">
        <f>_xlfn.FORECAST.LINEAR(Sheet3!CL3,$DP$3:$DP$14,$DJ$3:$DJ$14)*1000</f>
        <v>4190.7190570276925</v>
      </c>
      <c r="AR3" s="35">
        <f>_xlfn.FORECAST.LINEAR(Sheet3!CM3,$DP$3:$DP$14,$DJ$3:$DJ$14)*1000</f>
        <v>4190.504922906377</v>
      </c>
      <c r="AS3" s="35">
        <f>_xlfn.FORECAST.LINEAR(Sheet3!CN3,$DP$3:$DP$14,$DJ$3:$DJ$14)*1000</f>
        <v>4190.2761937695095</v>
      </c>
      <c r="AT3" s="35">
        <f>_xlfn.FORECAST.LINEAR(Sheet3!CO3,$DP$3:$DP$14,$DJ$3:$DJ$14)*1000</f>
        <v>4190.0353020062257</v>
      </c>
      <c r="AU3" s="35">
        <f>_xlfn.FORECAST.LINEAR(Sheet3!CP3,$DP$3:$DP$14,$DJ$3:$DJ$14)*1000</f>
        <v>4189.7846800056559</v>
      </c>
      <c r="AV3" s="289">
        <f t="shared" ref="AV3:AV65" si="18">AD3/(C3*AM3)</f>
        <v>1.4104142828035228E-7</v>
      </c>
      <c r="AW3" s="35">
        <f t="shared" ref="AW3:AW65" si="19">AE3/(D3*AN3)</f>
        <v>1.46918340761795E-7</v>
      </c>
      <c r="AX3" s="35">
        <f t="shared" ref="AX3:AX65" si="20">AF3/(E3*AO3)</f>
        <v>1.4639822178835825E-7</v>
      </c>
      <c r="AY3" s="35">
        <f t="shared" ref="AY3:AY65" si="21">AG3/(F3*AP3)</f>
        <v>1.4580582804864554E-7</v>
      </c>
      <c r="AZ3" s="35">
        <f t="shared" ref="AZ3:AZ65" si="22">AH3/(G3*AQ3)</f>
        <v>1.4514957606310554E-7</v>
      </c>
      <c r="BA3" s="35">
        <f t="shared" ref="BA3:BA65" si="23">AI3/(H3*AR3)</f>
        <v>1.444378617980842E-7</v>
      </c>
      <c r="BB3" s="35">
        <f t="shared" ref="BB3:BB65" si="24">AJ3/(I3*AS3)</f>
        <v>1.4367904825495968E-7</v>
      </c>
      <c r="BC3" s="35">
        <f t="shared" ref="BC3:BC65" si="25">AK3/(J3*AT3)</f>
        <v>1.4288145487059301E-7</v>
      </c>
      <c r="BD3" s="35">
        <f t="shared" ref="BD3:BD65" si="26">AL3/(K3*AU3)</f>
        <v>1.4205334871861921E-7</v>
      </c>
      <c r="BE3" s="289">
        <f t="shared" si="3"/>
        <v>9.0196000472764695</v>
      </c>
      <c r="BF3" s="35">
        <f t="shared" ref="BF3:BF65" si="27">AN3*M3/AE3</f>
        <v>5.4805537371949491</v>
      </c>
      <c r="BG3" s="35">
        <f t="shared" ref="BG3:BG65" si="28">AO3*N3/AF3</f>
        <v>5.6982710766158711</v>
      </c>
      <c r="BH3" s="35">
        <f t="shared" ref="BH3:BH65" si="29">AP3*O3/AG3</f>
        <v>5.9641005822594062</v>
      </c>
      <c r="BI3" s="35">
        <f t="shared" ref="BI3:BI65" si="30">AQ3*P3/AH3</f>
        <v>6.2827566240303803</v>
      </c>
      <c r="BJ3" s="35">
        <f t="shared" ref="BJ3:BJ65" si="31">AR3*Q3/AI3</f>
        <v>6.6598186023796595</v>
      </c>
      <c r="BK3" s="35">
        <f t="shared" ref="BK3:BK65" si="32">AS3*R3/AJ3</f>
        <v>7.1015696029201463</v>
      </c>
      <c r="BL3" s="35">
        <f t="shared" ref="BL3:BL65" si="33">AT3*S3/AK3</f>
        <v>7.6147569424647195</v>
      </c>
      <c r="BM3" s="35">
        <f t="shared" ref="BM3:BM65" si="34">AU3*T3/AL3</f>
        <v>8.2062581511494521</v>
      </c>
      <c r="BN3" s="289">
        <f t="shared" ref="BN3:BN65" si="35">((2*0.3)/0.014)/(U3*BE3)</f>
        <v>1.7486258710268166E-3</v>
      </c>
      <c r="BO3" s="35">
        <f t="shared" ref="BO3:BO65" si="36">((2*0.3)/0.014)/(V3*BF3)</f>
        <v>1.8214875920977639E-3</v>
      </c>
      <c r="BP3" s="35">
        <f t="shared" ref="BP3:BP65" si="37">((2*0.3)/0.014)/(W3*BG3)</f>
        <v>1.8150391782944411E-3</v>
      </c>
      <c r="BQ3" s="35">
        <f t="shared" ref="BQ3:BQ65" si="38">((2*0.3)/0.014)/(X3*BH3)</f>
        <v>1.8076947048888189E-3</v>
      </c>
      <c r="BR3" s="35">
        <f t="shared" ref="BR3:BR65" si="39">((2*0.3)/0.014)/(Y3*BI3)</f>
        <v>1.7995585195578903E-3</v>
      </c>
      <c r="BS3" s="35">
        <f t="shared" ref="BS3:BS65" si="40">((2*0.3)/0.014)/(Z3*BJ3)</f>
        <v>1.7907347151497166E-3</v>
      </c>
      <c r="BT3" s="35">
        <f t="shared" ref="BT3:BT65" si="41">((2*0.3)/0.014)/(AA3*BK3)</f>
        <v>1.7813269758140409E-3</v>
      </c>
      <c r="BU3" s="35">
        <f t="shared" ref="BU3:BU65" si="42">((2*0.3)/0.014)/(AB3*BL3)</f>
        <v>1.7714384455894941E-3</v>
      </c>
      <c r="BV3" s="35">
        <f t="shared" ref="BV3:BV65" si="43">((2*0.3)/0.014)/(AC3*BM3)</f>
        <v>1.7611716193175746E-3</v>
      </c>
      <c r="BW3" s="289">
        <f t="shared" ref="BW3:BW65" si="44">IF(U3&lt;2*100000,0.361*U3^-0.25,(0.79 * LN(U3)- 1.64)^-2)</f>
        <v>5.0000280780863181E-2</v>
      </c>
      <c r="BX3" s="35">
        <f t="shared" ref="BX3:BX65" si="45">IF(V3&lt;2*100000,0.361*V3^-0.25,(0.79 * LN(V3)- 1.64)^-2)</f>
        <v>4.4597864390854156E-2</v>
      </c>
      <c r="BY3" s="35">
        <f t="shared" ref="BY3:BY65" si="46">IF(W3&lt;2*100000,0.361*W3^-0.25,(0.79 * LN(W3)- 1.64)^-2)</f>
        <v>4.4994421829929077E-2</v>
      </c>
      <c r="BZ3" s="35">
        <f t="shared" ref="BZ3:BZ65" si="47">IF(X3&lt;2*100000,0.361*X3^-0.25,(0.79 * LN(X3)- 1.64)^-2)</f>
        <v>4.5464132575776924E-2</v>
      </c>
      <c r="CA3" s="35">
        <f t="shared" ref="CA3:CA65" si="48">IF(Y3&lt;2*100000,0.361*Y3^-0.25,(0.79 * LN(Y3)- 1.64)^-2)</f>
        <v>4.6007692392106593E-2</v>
      </c>
      <c r="CB3" s="35">
        <f t="shared" ref="CB3:CB65" si="49">IF(Z3&lt;2*100000,0.361*Z3^-0.25,(0.79 * LN(Z3)- 1.64)^-2)</f>
        <v>4.6625640576227922E-2</v>
      </c>
      <c r="CC3" s="35">
        <f t="shared" ref="CC3:CC65" si="50">IF(AA3&lt;2*100000,0.361*AA3^-0.25,(0.79 * LN(AA3)- 1.64)^-2)</f>
        <v>4.7317947318887089E-2</v>
      </c>
      <c r="CD3" s="35">
        <f t="shared" ref="CD3:CD65" si="51">IF(AB3&lt;2*100000,0.361*AB3^-0.25,(0.79 * LN(AB3)- 1.64)^-2)</f>
        <v>4.8083594512022723E-2</v>
      </c>
      <c r="CE3" s="35">
        <f t="shared" ref="CE3:CE65" si="52">IF(AC3&lt;2*100000,0.361*AC3^-0.25,(0.79 * LN(AC3)- 1.64)^-2)</f>
        <v>4.8920187341890915E-2</v>
      </c>
      <c r="CF3" s="289">
        <f t="shared" si="7"/>
        <v>11.726592980319142</v>
      </c>
      <c r="CG3" s="35">
        <f t="shared" si="8"/>
        <v>33.545106626238969</v>
      </c>
      <c r="CH3" s="35">
        <f t="shared" si="9"/>
        <v>32.647419445451149</v>
      </c>
      <c r="CI3" s="35">
        <f t="shared" si="10"/>
        <v>31.598945872533893</v>
      </c>
      <c r="CJ3" s="35">
        <f t="shared" si="11"/>
        <v>30.405628556996188</v>
      </c>
      <c r="CK3" s="35">
        <f t="shared" si="12"/>
        <v>29.074880074985586</v>
      </c>
      <c r="CL3" s="35">
        <f t="shared" si="13"/>
        <v>27.616284306841102</v>
      </c>
      <c r="CM3" s="35">
        <f t="shared" si="14"/>
        <v>26.042114497744009</v>
      </c>
      <c r="CN3" s="35">
        <f t="shared" si="15"/>
        <v>11.725930432960087</v>
      </c>
      <c r="CO3" s="289">
        <f t="shared" ref="CO3:CO65" si="53">CF3*AD3/0.014</f>
        <v>495.3235812343313</v>
      </c>
      <c r="CP3" s="35">
        <f t="shared" ref="CP3:CP65" si="54">CG3*AE3/0.014</f>
        <v>1465.1667900888331</v>
      </c>
      <c r="CQ3" s="35">
        <f t="shared" ref="CQ3:CQ65" si="55">CH3*AF3/0.014</f>
        <v>1421.8306851706557</v>
      </c>
      <c r="CR3" s="35">
        <f t="shared" ref="CR3:CR65" si="56">CI3*AG3/0.014</f>
        <v>1371.6122140132884</v>
      </c>
      <c r="CS3" s="35">
        <f t="shared" ref="CS3:CS65" si="57">CJ3*AH3/0.014</f>
        <v>1314.9495147901991</v>
      </c>
      <c r="CT3" s="35">
        <f t="shared" ref="CT3:CT65" si="58">CK3*AI3/0.014</f>
        <v>1252.3453230831892</v>
      </c>
      <c r="CU3" s="35">
        <f t="shared" ref="CU3:CU65" si="59">CL3*AJ3/0.014</f>
        <v>1184.3920067060119</v>
      </c>
      <c r="CV3" s="35">
        <f t="shared" ref="CV3:CV65" si="60">CM3*AK3/0.014</f>
        <v>1111.787968535298</v>
      </c>
      <c r="CW3" s="35">
        <f t="shared" ref="CW3:CW65" si="61">CN3*AL3/0.014</f>
        <v>498.21719604424879</v>
      </c>
      <c r="CY3" s="324"/>
      <c r="CZ3" s="194">
        <v>10</v>
      </c>
      <c r="DA3" s="194">
        <v>578.64</v>
      </c>
      <c r="DB3" s="194">
        <v>0.4975</v>
      </c>
      <c r="DC3" s="198">
        <v>0.33429999999999999</v>
      </c>
      <c r="DE3" s="229">
        <v>4</v>
      </c>
      <c r="DF3" s="230">
        <v>1.5672999999999999</v>
      </c>
      <c r="DG3" s="230">
        <v>1.5673999999999999</v>
      </c>
      <c r="DH3" s="230">
        <v>1</v>
      </c>
      <c r="DJ3" s="197">
        <v>0.01</v>
      </c>
      <c r="DK3" s="194">
        <v>75.980999999999995</v>
      </c>
      <c r="DL3" s="194">
        <v>4.2173999999999996</v>
      </c>
      <c r="DM3" s="194">
        <v>1.1720000000000001E-3</v>
      </c>
      <c r="DN3" s="194">
        <v>1.0073000000000001</v>
      </c>
      <c r="DO3" s="194">
        <v>76.025999999999996</v>
      </c>
      <c r="DP3" s="194">
        <v>4.2199</v>
      </c>
      <c r="DQ3" s="194">
        <v>1.1720000000000001E-3</v>
      </c>
      <c r="DR3" s="198">
        <v>1.0079</v>
      </c>
      <c r="DU3" s="197">
        <v>0.1</v>
      </c>
      <c r="DV3" s="194">
        <v>0.99984949999999995</v>
      </c>
      <c r="DW3" s="194">
        <v>999.85</v>
      </c>
      <c r="DX3" s="194">
        <v>1.94</v>
      </c>
      <c r="DY3" s="194">
        <v>62.418599999999998</v>
      </c>
      <c r="DZ3" s="194">
        <v>8.3440999999999992</v>
      </c>
      <c r="EA3" s="194">
        <v>9.8051999999999992</v>
      </c>
      <c r="EB3" s="194">
        <v>62.418999999999997</v>
      </c>
      <c r="EC3" s="198">
        <v>-0.68</v>
      </c>
    </row>
    <row r="4" spans="1:133" ht="15" thickBot="1" x14ac:dyDescent="0.35">
      <c r="A4" s="184" t="str">
        <f>'Su K. oro stendu'!B49</f>
        <v>2022.11.24-2</v>
      </c>
      <c r="B4" s="289">
        <f>Sheet3!DD4</f>
        <v>11</v>
      </c>
      <c r="C4" s="289">
        <f>_xlfn.FORECAST.LINEAR(Sheet3!DD4,$DW$3:$DW$24,$DU$3:$DU$24)</f>
        <v>1000.7799748785891</v>
      </c>
      <c r="D4" s="35">
        <f>_xlfn.FORECAST.LINEAR(Sheet3!CI4,'Cooling water'!$DW$3:$DW$24,'Cooling water'!$DU$3:$DU$24)</f>
        <v>992.91671043416386</v>
      </c>
      <c r="E4" s="35">
        <f>_xlfn.FORECAST.LINEAR(Sheet3!CJ4,'Cooling water'!$DW$3:$DW$24,'Cooling water'!$DU$3:$DU$24)</f>
        <v>993.58792716833477</v>
      </c>
      <c r="F4" s="35">
        <f>_xlfn.FORECAST.LINEAR(Sheet3!CK4,'Cooling water'!$DW$3:$DW$24,'Cooling water'!$DU$3:$DU$24)</f>
        <v>994.3677129591523</v>
      </c>
      <c r="G4" s="35">
        <f>_xlfn.FORECAST.LINEAR(Sheet3!CL4,'Cooling water'!$DW$3:$DW$24,'Cooling water'!$DU$3:$DU$24)</f>
        <v>995.24307057319038</v>
      </c>
      <c r="H4" s="35">
        <f>_xlfn.FORECAST.LINEAR(Sheet3!CM4,'Cooling water'!$DW$3:$DW$24,'Cooling water'!$DU$3:$DU$24)</f>
        <v>996.20100277702272</v>
      </c>
      <c r="I4" s="35">
        <f>_xlfn.FORECAST.LINEAR(Sheet3!CN4,'Cooling water'!$DW$3:$DW$24,'Cooling water'!$DU$3:$DU$24)</f>
        <v>997.22851233722292</v>
      </c>
      <c r="J4" s="35">
        <f>_xlfn.FORECAST.LINEAR(Sheet3!CO4,'Cooling water'!$DW$3:$DW$24,'Cooling water'!$DU$3:$DU$24)</f>
        <v>998.31260202036469</v>
      </c>
      <c r="K4" s="35">
        <f>_xlfn.FORECAST.LINEAR(Sheet3!CP4,'Cooling water'!$DW$3:$DW$24,'Cooling water'!$DU$3:$DU$24)</f>
        <v>999.44027459302174</v>
      </c>
      <c r="L4" s="289">
        <f t="shared" si="17"/>
        <v>1.2731295083006078E-3</v>
      </c>
      <c r="M4" s="35">
        <f xml:space="preserve"> 0.0000000000330128*((Sheet3!CI4+273)^(4)) - 0.0000000448315*((Sheet3!CI4+273)^(3)) + 0.0000228887*((Sheet3!CI4+273)^(2)) - 0.00521331*((Sheet3!CI4+273)) + 0.447905</f>
        <v>7.9448981571794697E-4</v>
      </c>
      <c r="N4" s="35">
        <f xml:space="preserve"> 0.0000000000330128*((Sheet3!CJ4+273)^(4)) - 0.0000000448315*((Sheet3!CJ4+273)^(3)) + 0.0000228887*((Sheet3!CJ4+273)^(2)) - 0.00521331*((Sheet3!CJ4+273)) + 0.447905</f>
        <v>8.2314520706883165E-4</v>
      </c>
      <c r="O4" s="35">
        <f xml:space="preserve"> 0.0000000000330128*((Sheet3!CK4+273)^(4)) - 0.0000000448315*((Sheet3!CK4+273)^(3)) + 0.0000228887*((Sheet3!CK4+273)^(2)) - 0.00521331*((Sheet3!CK4+273)) + 0.447905</f>
        <v>8.5872433317146779E-4</v>
      </c>
      <c r="P4" s="35">
        <f xml:space="preserve"> 0.0000000000330128*((Sheet3!CL4+273)^(4)) - 0.0000000448315*((Sheet3!CL4+273)^(3)) + 0.0000228887*((Sheet3!CL4+273)^(2)) - 0.00521331*((Sheet3!CL4+273)) + 0.447905</f>
        <v>9.0183935297294404E-4</v>
      </c>
      <c r="Q4" s="35">
        <f xml:space="preserve"> 0.0000000000330128*((Sheet3!CM4+273)^(4)) - 0.0000000448315*((Sheet3!CM4+273)^(3)) + 0.0000228887*((Sheet3!CM4+273)^(2)) - 0.00521331*((Sheet3!CM4+273)) + 0.447905</f>
        <v>9.5322005001219345E-4</v>
      </c>
      <c r="R4" s="35">
        <f xml:space="preserve"> 0.0000000000330128*((Sheet3!CN4+273)^(4)) - 0.0000000448315*((Sheet3!CN4+273)^(3)) + 0.0000228887*((Sheet3!CN4+273)^(2)) - 0.00521331*((Sheet3!CN4+273)) + 0.447905</f>
        <v>1.013678406474039E-3</v>
      </c>
      <c r="S4" s="35">
        <f xml:space="preserve"> 0.0000000000330128*((Sheet3!CO4+273)^(4)) - 0.0000000448315*((Sheet3!CO4+273)^(3)) + 0.0000228887*((Sheet3!CO4+273)^(2)) - 0.00521331*((Sheet3!CO4+273)) + 0.447905</f>
        <v>1.0840593380931907E-3</v>
      </c>
      <c r="T4" s="35">
        <f xml:space="preserve"> 0.0000000000330128*((Sheet3!CP4+273)^(4)) - 0.0000000448315*((Sheet3!CP4+273)^(3)) + 0.0000228887*((Sheet3!CP4+273)^(2)) - 0.00521331*((Sheet3!CP4+273)) + 0.447905</f>
        <v>1.1651754197941067E-3</v>
      </c>
      <c r="U4" s="289">
        <f>(Sheet3!DC4*0.014*0.001*C4) / (L4*0.00015*3600*3)</f>
        <v>2717.3090485754392</v>
      </c>
      <c r="V4" s="35">
        <f>(Sheet3!$DC4*0.014*0.001*D4) / (M4*0.00015*3600*3)</f>
        <v>4320.1367848150394</v>
      </c>
      <c r="W4" s="35">
        <f>(Sheet3!$DC4*0.014*0.001*E4) / (N4*0.00015*3600*3)</f>
        <v>4172.5626340605058</v>
      </c>
      <c r="X4" s="35">
        <f>(Sheet3!$DC4*0.014*0.001*F4) / (O4*0.00015*3600*3)</f>
        <v>4002.8218095866628</v>
      </c>
      <c r="Y4" s="35">
        <f>(Sheet3!$DC4*0.014*0.001*G4) / (P4*0.00015*3600*3)</f>
        <v>3814.8107037633658</v>
      </c>
      <c r="Z4" s="35">
        <f>(Sheet3!$DC4*0.014*0.001*H4) / (Q4*0.00015*3600*3)</f>
        <v>3612.6577355704094</v>
      </c>
      <c r="AA4" s="35">
        <f>(Sheet3!$DC4*0.014*0.001*I4) / (R4*0.00015*3600*3)</f>
        <v>3400.6936028829241</v>
      </c>
      <c r="AB4" s="35">
        <f>(Sheet3!$DC4*0.014*0.001*J4) / (S4*0.00015*3600*3)</f>
        <v>3183.3655423849004</v>
      </c>
      <c r="AC4" s="35">
        <f>(Sheet3!$DC4*0.014*0.001*K4) / (T4*0.00015*3600*3)</f>
        <v>2965.0945355580825</v>
      </c>
      <c r="AD4" s="289">
        <f t="shared" si="0"/>
        <v>0.59135079975223237</v>
      </c>
      <c r="AE4" s="35">
        <f>_xlfn.FORECAST.LINEAR(Sheet3!CI4,$DA$3:$DA$12,$CZ$3:$CZ$12)/1000</f>
        <v>0.61180374834068252</v>
      </c>
      <c r="AF4" s="35">
        <f>_xlfn.FORECAST.LINEAR(Sheet3!CJ4,$DA$3:$DA$12,$CZ$3:$CZ$12)/1000</f>
        <v>0.61005786258894024</v>
      </c>
      <c r="AG4" s="35">
        <f>_xlfn.FORECAST.LINEAR(Sheet3!CK4,$DA$3:$DA$12,$CZ$3:$CZ$12)/1000</f>
        <v>0.60802958046739664</v>
      </c>
      <c r="AH4" s="35">
        <f>_xlfn.FORECAST.LINEAR(Sheet3!CL4,$DA$3:$DA$12,$CZ$3:$CZ$12)/1000</f>
        <v>0.6057527087682486</v>
      </c>
      <c r="AI4" s="35">
        <f>_xlfn.FORECAST.LINEAR(Sheet3!CM4,$DA$3:$DA$12,$CZ$3:$CZ$12)/1000</f>
        <v>0.60326105428369248</v>
      </c>
      <c r="AJ4" s="35">
        <f>_xlfn.FORECAST.LINEAR(Sheet3!CN4,$DA$3:$DA$12,$CZ$3:$CZ$12)/1000</f>
        <v>0.60058842380592525</v>
      </c>
      <c r="AK4" s="35">
        <f>_xlfn.FORECAST.LINEAR(Sheet3!CO4,$DA$3:$DA$12,$CZ$3:$CZ$12)/1000</f>
        <v>0.59776862412714316</v>
      </c>
      <c r="AL4" s="35">
        <f>_xlfn.FORECAST.LINEAR(Sheet3!CP4,$DA$3:$DA$12,$CZ$3:$CZ$12)/1000</f>
        <v>0.59483546203954329</v>
      </c>
      <c r="AM4" s="289">
        <f t="shared" si="1"/>
        <v>4189.4777134824089</v>
      </c>
      <c r="AN4" s="35">
        <f>_xlfn.FORECAST.LINEAR(Sheet3!CI4,$DP$3:$DP$14,$DJ$3:$DJ$14)*1000</f>
        <v>4191.2776011780397</v>
      </c>
      <c r="AO4" s="35">
        <f>_xlfn.FORECAST.LINEAR(Sheet3!CJ4,$DP$3:$DP$14,$DJ$3:$DJ$14)*1000</f>
        <v>4191.1239608230098</v>
      </c>
      <c r="AP4" s="35">
        <f>_xlfn.FORECAST.LINEAR(Sheet3!CK4,$DP$3:$DP$14,$DJ$3:$DJ$14)*1000</f>
        <v>4190.9454691978026</v>
      </c>
      <c r="AQ4" s="35">
        <f>_xlfn.FORECAST.LINEAR(Sheet3!CL4,$DP$3:$DP$14,$DJ$3:$DJ$14)*1000</f>
        <v>4190.7451013467762</v>
      </c>
      <c r="AR4" s="35">
        <f>_xlfn.FORECAST.LINEAR(Sheet3!CM4,$DP$3:$DP$14,$DJ$3:$DJ$14)*1000</f>
        <v>4190.525832314288</v>
      </c>
      <c r="AS4" s="35">
        <f>_xlfn.FORECAST.LINEAR(Sheet3!CN4,$DP$3:$DP$14,$DJ$3:$DJ$14)*1000</f>
        <v>4190.290637144697</v>
      </c>
      <c r="AT4" s="35">
        <f>_xlfn.FORECAST.LINEAR(Sheet3!CO4,$DP$3:$DP$14,$DJ$3:$DJ$14)*1000</f>
        <v>4190.0424908823607</v>
      </c>
      <c r="AU4" s="35">
        <f>_xlfn.FORECAST.LINEAR(Sheet3!CP4,$DP$3:$DP$14,$DJ$3:$DJ$14)*1000</f>
        <v>4189.7843685716371</v>
      </c>
      <c r="AV4" s="289">
        <f t="shared" si="18"/>
        <v>1.4104142828035228E-7</v>
      </c>
      <c r="AW4" s="35">
        <f t="shared" si="19"/>
        <v>1.4701203429674678E-7</v>
      </c>
      <c r="AX4" s="35">
        <f t="shared" si="20"/>
        <v>1.4649885042174983E-7</v>
      </c>
      <c r="AY4" s="35">
        <f t="shared" si="21"/>
        <v>1.4590349114650683E-7</v>
      </c>
      <c r="AZ4" s="35">
        <f t="shared" si="22"/>
        <v>1.4523622641119555E-7</v>
      </c>
      <c r="BA4" s="35">
        <f t="shared" si="23"/>
        <v>1.445073017755401E-7</v>
      </c>
      <c r="BB4" s="35">
        <f t="shared" si="24"/>
        <v>1.4372692144580162E-7</v>
      </c>
      <c r="BC4" s="35">
        <f t="shared" si="25"/>
        <v>1.4290523399448756E-7</v>
      </c>
      <c r="BD4" s="35">
        <f t="shared" si="26"/>
        <v>1.420523207559237E-7</v>
      </c>
      <c r="BE4" s="289">
        <f t="shared" si="3"/>
        <v>9.0196000472764695</v>
      </c>
      <c r="BF4" s="35">
        <f t="shared" si="27"/>
        <v>5.4428031505430265</v>
      </c>
      <c r="BG4" s="35">
        <f t="shared" si="28"/>
        <v>5.6550432543271043</v>
      </c>
      <c r="BH4" s="35">
        <f t="shared" si="29"/>
        <v>5.9189009367412568</v>
      </c>
      <c r="BI4" s="35">
        <f t="shared" si="30"/>
        <v>6.2391447796546986</v>
      </c>
      <c r="BJ4" s="35">
        <f t="shared" si="31"/>
        <v>6.6215002859732834</v>
      </c>
      <c r="BK4" s="35">
        <f t="shared" si="32"/>
        <v>7.0724092695740977</v>
      </c>
      <c r="BL4" s="35">
        <f t="shared" si="33"/>
        <v>7.5986836811330454</v>
      </c>
      <c r="BM4" s="35">
        <f t="shared" si="34"/>
        <v>8.2070321492915799</v>
      </c>
      <c r="BN4" s="289">
        <f t="shared" si="35"/>
        <v>1.7486258710268166E-3</v>
      </c>
      <c r="BO4" s="35">
        <f t="shared" si="36"/>
        <v>1.8226492007198695E-3</v>
      </c>
      <c r="BP4" s="35">
        <f t="shared" si="37"/>
        <v>1.8162867679839391E-3</v>
      </c>
      <c r="BQ4" s="35">
        <f t="shared" si="38"/>
        <v>1.8089055279898543E-3</v>
      </c>
      <c r="BR4" s="35">
        <f t="shared" si="39"/>
        <v>1.8006328070367603E-3</v>
      </c>
      <c r="BS4" s="35">
        <f t="shared" si="40"/>
        <v>1.7915956291559305E-3</v>
      </c>
      <c r="BT4" s="35">
        <f t="shared" si="41"/>
        <v>1.7819205056800909E-3</v>
      </c>
      <c r="BU4" s="35">
        <f t="shared" si="42"/>
        <v>1.7717332581969627E-3</v>
      </c>
      <c r="BV4" s="35">
        <f t="shared" si="43"/>
        <v>1.7611588746780334E-3</v>
      </c>
      <c r="BW4" s="289">
        <f t="shared" si="44"/>
        <v>5.0000280780863181E-2</v>
      </c>
      <c r="BX4" s="35">
        <f t="shared" si="45"/>
        <v>4.4527962933893717E-2</v>
      </c>
      <c r="BY4" s="35">
        <f t="shared" si="46"/>
        <v>4.491655979056474E-2</v>
      </c>
      <c r="BZ4" s="35">
        <f t="shared" si="47"/>
        <v>4.5385344628142393E-2</v>
      </c>
      <c r="CA4" s="35">
        <f t="shared" si="48"/>
        <v>4.5934495807405051E-2</v>
      </c>
      <c r="CB4" s="35">
        <f t="shared" si="49"/>
        <v>4.6564023241196822E-2</v>
      </c>
      <c r="CC4" s="35">
        <f t="shared" si="50"/>
        <v>4.7273235310449642E-2</v>
      </c>
      <c r="CD4" s="35">
        <f t="shared" si="51"/>
        <v>4.8060200041949039E-2</v>
      </c>
      <c r="CE4" s="35">
        <f t="shared" si="52"/>
        <v>4.8921252310564538E-2</v>
      </c>
      <c r="CF4" s="289">
        <f t="shared" si="7"/>
        <v>11.726592980319142</v>
      </c>
      <c r="CG4" s="35">
        <f t="shared" si="8"/>
        <v>33.704528972128685</v>
      </c>
      <c r="CH4" s="35">
        <f t="shared" si="9"/>
        <v>32.822772453779812</v>
      </c>
      <c r="CI4" s="35">
        <f t="shared" si="10"/>
        <v>31.773693497559623</v>
      </c>
      <c r="CJ4" s="35">
        <f t="shared" si="11"/>
        <v>30.565076377619611</v>
      </c>
      <c r="CK4" s="35">
        <f t="shared" si="12"/>
        <v>29.206345166140093</v>
      </c>
      <c r="CL4" s="35">
        <f t="shared" si="13"/>
        <v>27.709467422287997</v>
      </c>
      <c r="CM4" s="35">
        <f t="shared" si="14"/>
        <v>26.089617522118886</v>
      </c>
      <c r="CN4" s="35">
        <f t="shared" si="15"/>
        <v>11.725931106010995</v>
      </c>
      <c r="CO4" s="289">
        <f t="shared" si="53"/>
        <v>495.3235812343313</v>
      </c>
      <c r="CP4" s="35">
        <f t="shared" si="54"/>
        <v>1472.8969400861045</v>
      </c>
      <c r="CQ4" s="35">
        <f t="shared" si="55"/>
        <v>1430.2707433854325</v>
      </c>
      <c r="CR4" s="35">
        <f t="shared" si="56"/>
        <v>1379.9532519443446</v>
      </c>
      <c r="CS4" s="35">
        <f t="shared" si="57"/>
        <v>1322.4912721036776</v>
      </c>
      <c r="CT4" s="35">
        <f t="shared" si="58"/>
        <v>1258.5036126213643</v>
      </c>
      <c r="CU4" s="35">
        <f t="shared" si="59"/>
        <v>1188.7132402609702</v>
      </c>
      <c r="CV4" s="35">
        <f t="shared" si="60"/>
        <v>1113.968197871458</v>
      </c>
      <c r="CW4" s="35">
        <f t="shared" si="61"/>
        <v>498.21426052056449</v>
      </c>
      <c r="CY4" s="324"/>
      <c r="CZ4" s="194">
        <v>20</v>
      </c>
      <c r="DA4" s="194">
        <v>598.03</v>
      </c>
      <c r="DB4" s="194">
        <v>0.51419999999999999</v>
      </c>
      <c r="DC4" s="198">
        <v>0.34549999999999997</v>
      </c>
      <c r="DE4" s="229">
        <v>5</v>
      </c>
      <c r="DF4" s="230">
        <v>1.5182</v>
      </c>
      <c r="DG4" s="230">
        <v>1.5182</v>
      </c>
      <c r="DH4" s="230">
        <v>1</v>
      </c>
      <c r="DJ4" s="197">
        <v>10</v>
      </c>
      <c r="DK4" s="194">
        <v>75.504999999999995</v>
      </c>
      <c r="DL4" s="194">
        <v>4.1909999999999998</v>
      </c>
      <c r="DM4" s="194">
        <v>1.1640000000000001E-3</v>
      </c>
      <c r="DN4" s="194">
        <v>1.0009999999999999</v>
      </c>
      <c r="DO4" s="194">
        <v>75.585999999999999</v>
      </c>
      <c r="DP4" s="194">
        <v>4.1955</v>
      </c>
      <c r="DQ4" s="194">
        <v>1.165E-3</v>
      </c>
      <c r="DR4" s="198">
        <v>1.0021</v>
      </c>
      <c r="DU4" s="197">
        <v>1</v>
      </c>
      <c r="DV4" s="194">
        <v>0.9999017</v>
      </c>
      <c r="DW4" s="194">
        <v>999.9</v>
      </c>
      <c r="DX4" s="194">
        <v>1.9400999999999999</v>
      </c>
      <c r="DY4" s="194">
        <v>62.421799999999998</v>
      </c>
      <c r="DZ4" s="194">
        <v>8.3445999999999998</v>
      </c>
      <c r="EA4" s="194">
        <v>9.8056999999999999</v>
      </c>
      <c r="EB4" s="194">
        <v>62.421999999999997</v>
      </c>
      <c r="EC4" s="198">
        <v>-0.5</v>
      </c>
    </row>
    <row r="5" spans="1:133" ht="15" thickBot="1" x14ac:dyDescent="0.35">
      <c r="A5" s="184">
        <f>'Su K. oro stendu'!B50</f>
        <v>44890</v>
      </c>
      <c r="B5" s="289">
        <f>Sheet3!DD5</f>
        <v>12</v>
      </c>
      <c r="C5" s="289">
        <f>_xlfn.FORECAST.LINEAR(Sheet3!DD5,$DW$3:$DW$24,$DU$3:$DU$24)</f>
        <v>1000.3651259151824</v>
      </c>
      <c r="D5" s="35">
        <f>_xlfn.FORECAST.LINEAR(Sheet3!CI5,'Cooling water'!$DW$3:$DW$24,'Cooling water'!$DU$3:$DU$24)</f>
        <v>992.50638221197323</v>
      </c>
      <c r="E5" s="35">
        <f>_xlfn.FORECAST.LINEAR(Sheet3!CJ5,'Cooling water'!$DW$3:$DW$24,'Cooling water'!$DU$3:$DU$24)</f>
        <v>993.37685170337113</v>
      </c>
      <c r="F5" s="35">
        <f>_xlfn.FORECAST.LINEAR(Sheet3!CK5,'Cooling water'!$DW$3:$DW$24,'Cooling water'!$DU$3:$DU$24)</f>
        <v>994.30760682436107</v>
      </c>
      <c r="G5" s="35">
        <f>_xlfn.FORECAST.LINEAR(Sheet3!CL5,'Cooling water'!$DW$3:$DW$24,'Cooling water'!$DU$3:$DU$24)</f>
        <v>995.28312056422362</v>
      </c>
      <c r="H5" s="35">
        <f>_xlfn.FORECAST.LINEAR(Sheet3!CM5,'Cooling water'!$DW$3:$DW$24,'Cooling water'!$DU$3:$DU$24)</f>
        <v>996.28786591223911</v>
      </c>
      <c r="I5" s="35">
        <f>_xlfn.FORECAST.LINEAR(Sheet3!CN5,'Cooling water'!$DW$3:$DW$24,'Cooling water'!$DU$3:$DU$24)</f>
        <v>997.30631585768833</v>
      </c>
      <c r="J5" s="35">
        <f>_xlfn.FORECAST.LINEAR(Sheet3!CO5,'Cooling water'!$DW$3:$DW$24,'Cooling water'!$DU$3:$DU$24)</f>
        <v>998.32294338985173</v>
      </c>
      <c r="K5" s="35">
        <f>_xlfn.FORECAST.LINEAR(Sheet3!CP5,'Cooling water'!$DW$3:$DW$24,'Cooling water'!$DU$3:$DU$24)</f>
        <v>999.32222149800987</v>
      </c>
      <c r="L5" s="289">
        <f t="shared" si="17"/>
        <v>1.2382786955003056E-3</v>
      </c>
      <c r="M5" s="35">
        <f xml:space="preserve"> 0.0000000000330128*((Sheet3!CI5+273)^(4)) - 0.0000000448315*((Sheet3!CI5+273)^(3)) + 0.0000228887*((Sheet3!CI5+273)^(2)) - 0.00521331*((Sheet3!CI5+273)) + 0.447905</f>
        <v>7.7781248280572868E-4</v>
      </c>
      <c r="N5" s="35">
        <f xml:space="preserve"> 0.0000000000330128*((Sheet3!CJ5+273)^(4)) - 0.0000000448315*((Sheet3!CJ5+273)^(3)) + 0.0000228887*((Sheet3!CJ5+273)^(2)) - 0.00521331*((Sheet3!CJ5+273)) + 0.447905</f>
        <v>8.1394435315895741E-4</v>
      </c>
      <c r="O5" s="35">
        <f xml:space="preserve"> 0.0000000000330128*((Sheet3!CK5+273)^(4)) - 0.0000000448315*((Sheet3!CK5+273)^(3)) + 0.0000228887*((Sheet3!CK5+273)^(2)) - 0.00521331*((Sheet3!CK5+273)) + 0.447905</f>
        <v>8.5589007991848653E-4</v>
      </c>
      <c r="P5" s="35">
        <f xml:space="preserve"> 0.0000000000330128*((Sheet3!CL5+273)^(4)) - 0.0000000448315*((Sheet3!CL5+273)^(3)) + 0.0000228887*((Sheet3!CL5+273)^(2)) - 0.00521331*((Sheet3!CL5+273)) + 0.447905</f>
        <v>9.0389700339899015E-4</v>
      </c>
      <c r="Q5" s="35">
        <f xml:space="preserve"> 0.0000000000330128*((Sheet3!CM5+273)^(4)) - 0.0000000448315*((Sheet3!CM5+273)^(3)) + 0.0000228887*((Sheet3!CM5+273)^(2)) - 0.00521331*((Sheet3!CM5+273)) + 0.447905</f>
        <v>9.5810991100786502E-4</v>
      </c>
      <c r="R5" s="35">
        <f xml:space="preserve"> 0.0000000000330128*((Sheet3!CN5+273)^(4)) - 0.0000000448315*((Sheet3!CN5+273)^(3)) + 0.0000228887*((Sheet3!CN5+273)^(2)) - 0.00521331*((Sheet3!CN5+273)) + 0.447905</f>
        <v>1.0184965120145772E-3</v>
      </c>
      <c r="S5" s="35">
        <f xml:space="preserve"> 0.0000000000330128*((Sheet3!CO5+273)^(4)) - 0.0000000448315*((Sheet3!CO5+273)^(3)) + 0.0000228887*((Sheet3!CO5+273)^(2)) - 0.00521331*((Sheet3!CO5+273)) + 0.447905</f>
        <v>1.0847654318109079E-3</v>
      </c>
      <c r="T5" s="35">
        <f xml:space="preserve"> 0.0000000000330128*((Sheet3!CP5+273)^(4)) - 0.0000000448315*((Sheet3!CP5+273)^(3)) + 0.0000228887*((Sheet3!CP5+273)^(2)) - 0.00521331*((Sheet3!CP5+273)) + 0.447905</f>
        <v>1.1562826327713438E-3</v>
      </c>
      <c r="U5" s="289">
        <f>(Sheet3!DC5*0.014*0.001*C5) / (L5*0.00015*3600*3)</f>
        <v>2792.6284282207112</v>
      </c>
      <c r="V5" s="35">
        <f>(Sheet3!$DC5*0.014*0.001*D5) / (M5*0.00015*3600*3)</f>
        <v>4410.9426569271191</v>
      </c>
      <c r="W5" s="35">
        <f>(Sheet3!$DC5*0.014*0.001*E5) / (N5*0.00015*3600*3)</f>
        <v>4218.8329908693395</v>
      </c>
      <c r="X5" s="35">
        <f>(Sheet3!$DC5*0.014*0.001*F5) / (O5*0.00015*3600*3)</f>
        <v>4015.8342707696224</v>
      </c>
      <c r="Y5" s="35">
        <f>(Sheet3!$DC5*0.014*0.001*G5) / (P5*0.00015*3600*3)</f>
        <v>3806.2797512019129</v>
      </c>
      <c r="Z5" s="35">
        <f>(Sheet3!$DC5*0.014*0.001*H5) / (Q5*0.00015*3600*3)</f>
        <v>3594.53337809904</v>
      </c>
      <c r="AA5" s="35">
        <f>(Sheet3!$DC5*0.014*0.001*I5) / (R5*0.00015*3600*3)</f>
        <v>3384.8703280277841</v>
      </c>
      <c r="AB5" s="35">
        <f>(Sheet3!$DC5*0.014*0.001*J5) / (S5*0.00015*3600*3)</f>
        <v>3181.3263858982523</v>
      </c>
      <c r="AC5" s="35">
        <f>(Sheet3!$DC5*0.014*0.001*K5) / (T5*0.00015*3600*3)</f>
        <v>2987.5456808909285</v>
      </c>
      <c r="AD5" s="289">
        <f t="shared" si="0"/>
        <v>0.59242985344303689</v>
      </c>
      <c r="AE5" s="35">
        <f>_xlfn.FORECAST.LINEAR(Sheet3!CI5,$DA$3:$DA$12,$CZ$3:$CZ$12)/1000</f>
        <v>0.61287104323991559</v>
      </c>
      <c r="AF5" s="35">
        <f>_xlfn.FORECAST.LINEAR(Sheet3!CJ5,$DA$3:$DA$12,$CZ$3:$CZ$12)/1000</f>
        <v>0.61060688591935153</v>
      </c>
      <c r="AG5" s="35">
        <f>_xlfn.FORECAST.LINEAR(Sheet3!CK5,$DA$3:$DA$12,$CZ$3:$CZ$12)/1000</f>
        <v>0.60818592109328107</v>
      </c>
      <c r="AH5" s="35">
        <f>_xlfn.FORECAST.LINEAR(Sheet3!CL5,$DA$3:$DA$12,$CZ$3:$CZ$12)/1000</f>
        <v>0.60564853569695498</v>
      </c>
      <c r="AI5" s="35">
        <f>_xlfn.FORECAST.LINEAR(Sheet3!CM5,$DA$3:$DA$12,$CZ$3:$CZ$12)/1000</f>
        <v>0.60303511666562426</v>
      </c>
      <c r="AJ5" s="35">
        <f>_xlfn.FORECAST.LINEAR(Sheet3!CN5,$DA$3:$DA$12,$CZ$3:$CZ$12)/1000</f>
        <v>0.60038605093453978</v>
      </c>
      <c r="AK5" s="35">
        <f>_xlfn.FORECAST.LINEAR(Sheet3!CO5,$DA$3:$DA$12,$CZ$3:$CZ$12)/1000</f>
        <v>0.59774172543895221</v>
      </c>
      <c r="AL5" s="35">
        <f>_xlfn.FORECAST.LINEAR(Sheet3!CP5,$DA$3:$DA$12,$CZ$3:$CZ$12)/1000</f>
        <v>0.59514252711411264</v>
      </c>
      <c r="AM5" s="289">
        <f t="shared" si="1"/>
        <v>4189.5726716960189</v>
      </c>
      <c r="AN5" s="35">
        <f>_xlfn.FORECAST.LINEAR(Sheet3!CI5,$DP$3:$DP$14,$DJ$3:$DJ$14)*1000</f>
        <v>4191.3715246017664</v>
      </c>
      <c r="AO5" s="35">
        <f>_xlfn.FORECAST.LINEAR(Sheet3!CJ5,$DP$3:$DP$14,$DJ$3:$DJ$14)*1000</f>
        <v>4191.1722756335985</v>
      </c>
      <c r="AP5" s="35">
        <f>_xlfn.FORECAST.LINEAR(Sheet3!CK5,$DP$3:$DP$14,$DJ$3:$DJ$14)*1000</f>
        <v>4190.959227388591</v>
      </c>
      <c r="AQ5" s="35">
        <f>_xlfn.FORECAST.LINEAR(Sheet3!CL5,$DP$3:$DP$14,$DJ$3:$DJ$14)*1000</f>
        <v>4190.73593397277</v>
      </c>
      <c r="AR5" s="35">
        <f>_xlfn.FORECAST.LINEAR(Sheet3!CM5,$DP$3:$DP$14,$DJ$3:$DJ$14)*1000</f>
        <v>4190.5059494921625</v>
      </c>
      <c r="AS5" s="35">
        <f>_xlfn.FORECAST.LINEAR(Sheet3!CN5,$DP$3:$DP$14,$DJ$3:$DJ$14)*1000</f>
        <v>4190.2728280527917</v>
      </c>
      <c r="AT5" s="35">
        <f>_xlfn.FORECAST.LINEAR(Sheet3!CO5,$DP$3:$DP$14,$DJ$3:$DJ$14)*1000</f>
        <v>4190.0401237606866</v>
      </c>
      <c r="AU5" s="35">
        <f>_xlfn.FORECAST.LINEAR(Sheet3!CP5,$DP$3:$DP$14,$DJ$3:$DJ$14)*1000</f>
        <v>4189.8113907218703</v>
      </c>
      <c r="AV5" s="289">
        <f t="shared" si="18"/>
        <v>1.4135418270784689E-7</v>
      </c>
      <c r="AW5" s="35">
        <f t="shared" si="19"/>
        <v>1.4732608077296622E-7</v>
      </c>
      <c r="AX5" s="35">
        <f t="shared" si="20"/>
        <v>1.4666015829780779E-7</v>
      </c>
      <c r="AY5" s="35">
        <f t="shared" si="21"/>
        <v>1.4594934986758917E-7</v>
      </c>
      <c r="AZ5" s="35">
        <f t="shared" si="22"/>
        <v>1.4520572408144467E-7</v>
      </c>
      <c r="BA5" s="35">
        <f t="shared" si="23"/>
        <v>1.4444127079716083E-7</v>
      </c>
      <c r="BB5" s="35">
        <f t="shared" si="24"/>
        <v>1.4366789327343901E-7</v>
      </c>
      <c r="BC5" s="35">
        <f t="shared" si="25"/>
        <v>1.4289740395072626E-7</v>
      </c>
      <c r="BD5" s="35">
        <f t="shared" si="26"/>
        <v>1.4214152379928662E-7</v>
      </c>
      <c r="BE5" s="289">
        <f t="shared" si="3"/>
        <v>8.7569162027556349</v>
      </c>
      <c r="BF5" s="35">
        <f t="shared" si="27"/>
        <v>5.3193916205884886</v>
      </c>
      <c r="BG5" s="35">
        <f t="shared" si="28"/>
        <v>5.5868695318298744</v>
      </c>
      <c r="BH5" s="35">
        <f t="shared" si="29"/>
        <v>5.897868240055133</v>
      </c>
      <c r="BI5" s="35">
        <f t="shared" si="30"/>
        <v>6.2544420228728708</v>
      </c>
      <c r="BJ5" s="35">
        <f t="shared" si="31"/>
        <v>6.6579294826906654</v>
      </c>
      <c r="BK5" s="35">
        <f t="shared" si="32"/>
        <v>7.1083900985343567</v>
      </c>
      <c r="BL5" s="35">
        <f t="shared" si="33"/>
        <v>7.6039708969931983</v>
      </c>
      <c r="BM5" s="35">
        <f t="shared" si="34"/>
        <v>8.1402452773305924</v>
      </c>
      <c r="BN5" s="289">
        <f t="shared" si="35"/>
        <v>1.7525033876534077E-3</v>
      </c>
      <c r="BO5" s="35">
        <f t="shared" si="36"/>
        <v>1.8265427361138153E-3</v>
      </c>
      <c r="BP5" s="35">
        <f t="shared" si="37"/>
        <v>1.8182866564473105E-3</v>
      </c>
      <c r="BQ5" s="35">
        <f t="shared" si="38"/>
        <v>1.8094740825420489E-3</v>
      </c>
      <c r="BR5" s="35">
        <f t="shared" si="39"/>
        <v>1.8002546403975022E-3</v>
      </c>
      <c r="BS5" s="35">
        <f t="shared" si="40"/>
        <v>1.790776979781126E-3</v>
      </c>
      <c r="BT5" s="35">
        <f t="shared" si="41"/>
        <v>1.7811886768084523E-3</v>
      </c>
      <c r="BU5" s="35">
        <f t="shared" si="42"/>
        <v>1.7716361816340035E-3</v>
      </c>
      <c r="BV5" s="35">
        <f t="shared" si="43"/>
        <v>1.7622648103687065E-3</v>
      </c>
      <c r="BW5" s="289">
        <f t="shared" si="44"/>
        <v>4.9659679603594409E-2</v>
      </c>
      <c r="BX5" s="35">
        <f t="shared" si="45"/>
        <v>4.4297003484588843E-2</v>
      </c>
      <c r="BY5" s="35">
        <f t="shared" si="46"/>
        <v>4.4792893595965839E-2</v>
      </c>
      <c r="BZ5" s="35">
        <f t="shared" si="47"/>
        <v>4.5348534468200814E-2</v>
      </c>
      <c r="CA5" s="35">
        <f t="shared" si="48"/>
        <v>4.5960212261854462E-2</v>
      </c>
      <c r="CB5" s="35">
        <f t="shared" si="49"/>
        <v>4.6622608865714975E-2</v>
      </c>
      <c r="CC5" s="35">
        <f t="shared" si="50"/>
        <v>4.7328385848130927E-2</v>
      </c>
      <c r="CD5" s="35">
        <f t="shared" si="51"/>
        <v>4.8067899560101268E-2</v>
      </c>
      <c r="CE5" s="35">
        <f t="shared" si="52"/>
        <v>4.8829082422601186E-2</v>
      </c>
      <c r="CF5" s="289">
        <f t="shared" si="7"/>
        <v>11.72638820669057</v>
      </c>
      <c r="CG5" s="35">
        <f t="shared" si="8"/>
        <v>34.233796403106645</v>
      </c>
      <c r="CH5" s="35">
        <f t="shared" si="9"/>
        <v>33.102188331353048</v>
      </c>
      <c r="CI5" s="35">
        <f t="shared" si="10"/>
        <v>31.855491222319333</v>
      </c>
      <c r="CJ5" s="35">
        <f t="shared" si="11"/>
        <v>30.509012835941927</v>
      </c>
      <c r="CK5" s="35">
        <f t="shared" si="12"/>
        <v>29.081342120048873</v>
      </c>
      <c r="CL5" s="35">
        <f t="shared" si="13"/>
        <v>27.594549759546538</v>
      </c>
      <c r="CM5" s="35">
        <f t="shared" si="14"/>
        <v>26.073979359788687</v>
      </c>
      <c r="CN5" s="35">
        <f t="shared" si="15"/>
        <v>11.725872700983716</v>
      </c>
      <c r="CO5" s="289">
        <f t="shared" si="53"/>
        <v>496.21874619327502</v>
      </c>
      <c r="CP5" s="35">
        <f t="shared" si="54"/>
        <v>1498.6358939739171</v>
      </c>
      <c r="CQ5" s="35">
        <f t="shared" si="55"/>
        <v>1443.7445810088129</v>
      </c>
      <c r="CR5" s="35">
        <f t="shared" si="56"/>
        <v>1383.861519351801</v>
      </c>
      <c r="CS5" s="35">
        <f t="shared" si="57"/>
        <v>1319.8384964034167</v>
      </c>
      <c r="CT5" s="35">
        <f t="shared" si="58"/>
        <v>1252.6478955826146</v>
      </c>
      <c r="CU5" s="35">
        <f t="shared" si="59"/>
        <v>1183.3844826750571</v>
      </c>
      <c r="CV5" s="35">
        <f t="shared" si="60"/>
        <v>1113.2503865414083</v>
      </c>
      <c r="CW5" s="35">
        <f t="shared" si="61"/>
        <v>498.46896513441675</v>
      </c>
      <c r="CY5" s="324"/>
      <c r="CZ5" s="194">
        <v>30</v>
      </c>
      <c r="DA5" s="194">
        <v>614.5</v>
      </c>
      <c r="DB5" s="194">
        <v>0.52839999999999998</v>
      </c>
      <c r="DC5" s="198">
        <v>0.35510000000000003</v>
      </c>
      <c r="DE5" s="229">
        <v>6</v>
      </c>
      <c r="DF5" s="230">
        <v>1.4715</v>
      </c>
      <c r="DG5" s="230">
        <v>1.4716</v>
      </c>
      <c r="DH5" s="230">
        <v>0.99990000000000001</v>
      </c>
      <c r="DJ5" s="197">
        <v>20</v>
      </c>
      <c r="DK5" s="194">
        <v>74.893000000000001</v>
      </c>
      <c r="DL5" s="194">
        <v>4.157</v>
      </c>
      <c r="DM5" s="194">
        <v>1.155E-3</v>
      </c>
      <c r="DN5" s="194">
        <v>0.9929</v>
      </c>
      <c r="DO5" s="194">
        <v>75.385999999999996</v>
      </c>
      <c r="DP5" s="194">
        <v>4.1844000000000001</v>
      </c>
      <c r="DQ5" s="194">
        <v>1.1620000000000001E-3</v>
      </c>
      <c r="DR5" s="198">
        <v>0.99939999999999996</v>
      </c>
      <c r="DU5" s="197">
        <v>4</v>
      </c>
      <c r="DV5" s="194">
        <v>0.9999749</v>
      </c>
      <c r="DW5" s="194">
        <v>999.97</v>
      </c>
      <c r="DX5" s="194">
        <v>1.9402999999999999</v>
      </c>
      <c r="DY5" s="194">
        <v>62.426400000000001</v>
      </c>
      <c r="DZ5" s="194">
        <v>8.3452000000000002</v>
      </c>
      <c r="EA5" s="194">
        <v>9.8064</v>
      </c>
      <c r="EB5" s="194">
        <v>62.426000000000002</v>
      </c>
      <c r="EC5" s="198">
        <v>3.0000000000000001E-3</v>
      </c>
    </row>
    <row r="6" spans="1:133" ht="15" thickBot="1" x14ac:dyDescent="0.35">
      <c r="A6" s="184">
        <f>'Su K. oro stendu'!B51</f>
        <v>44893</v>
      </c>
      <c r="B6" s="289">
        <f>Sheet3!DD6</f>
        <v>8.84</v>
      </c>
      <c r="C6" s="289">
        <f>_xlfn.FORECAST.LINEAR(Sheet3!DD6,$DW$3:$DW$24,$DU$3:$DU$24)</f>
        <v>1001.6760486395476</v>
      </c>
      <c r="D6" s="35">
        <f>_xlfn.FORECAST.LINEAR(Sheet3!CI6,'Cooling water'!$DW$3:$DW$24,'Cooling water'!$DU$3:$DU$24)</f>
        <v>993.16563524811215</v>
      </c>
      <c r="E6" s="35">
        <f>_xlfn.FORECAST.LINEAR(Sheet3!CJ6,'Cooling water'!$DW$3:$DW$24,'Cooling water'!$DU$3:$DU$24)</f>
        <v>993.57712010864896</v>
      </c>
      <c r="F6" s="35">
        <f>_xlfn.FORECAST.LINEAR(Sheet3!CK6,'Cooling water'!$DW$3:$DW$24,'Cooling water'!$DU$3:$DU$24)</f>
        <v>994.21026339121136</v>
      </c>
      <c r="G6" s="35">
        <f>_xlfn.FORECAST.LINEAR(Sheet3!CL6,'Cooling water'!$DW$3:$DW$24,'Cooling water'!$DU$3:$DU$24)</f>
        <v>995.04063766193667</v>
      </c>
      <c r="H6" s="35">
        <f>_xlfn.FORECAST.LINEAR(Sheet3!CM6,'Cooling water'!$DW$3:$DW$24,'Cooling water'!$DU$3:$DU$24)</f>
        <v>996.04381548696244</v>
      </c>
      <c r="I6" s="35">
        <f>_xlfn.FORECAST.LINEAR(Sheet3!CN6,'Cooling water'!$DW$3:$DW$24,'Cooling water'!$DU$3:$DU$24)</f>
        <v>997.19536943242611</v>
      </c>
      <c r="J6" s="35">
        <f>_xlfn.FORECAST.LINEAR(Sheet3!CO6,'Cooling water'!$DW$3:$DW$24,'Cooling water'!$DU$3:$DU$24)</f>
        <v>998.47087206446486</v>
      </c>
      <c r="K6" s="35">
        <f>_xlfn.FORECAST.LINEAR(Sheet3!CP6,'Cooling water'!$DW$3:$DW$24,'Cooling water'!$DU$3:$DU$24)</f>
        <v>999.84589594921636</v>
      </c>
      <c r="L6" s="289">
        <f t="shared" si="17"/>
        <v>1.3530279337514717E-3</v>
      </c>
      <c r="M6" s="35">
        <f xml:space="preserve"> 0.0000000000330128*((Sheet3!CI6+273)^(4)) - 0.0000000448315*((Sheet3!CI6+273)^(3)) + 0.0000228887*((Sheet3!CI6+273)^(2)) - 0.00521331*((Sheet3!CI6+273)) + 0.447905</f>
        <v>8.049130832874507E-4</v>
      </c>
      <c r="N6" s="35">
        <f xml:space="preserve"> 0.0000000000330128*((Sheet3!CJ6+273)^(4)) - 0.0000000448315*((Sheet3!CJ6+273)^(3)) + 0.0000228887*((Sheet3!CJ6+273)^(2)) - 0.00521331*((Sheet3!CJ6+273)) + 0.447905</f>
        <v>8.2266979722644962E-4</v>
      </c>
      <c r="O6" s="35">
        <f xml:space="preserve"> 0.0000000000330128*((Sheet3!CK6+273)^(4)) - 0.0000000448315*((Sheet3!CK6+273)^(3)) + 0.0000228887*((Sheet3!CK6+273)^(2)) - 0.00521331*((Sheet3!CK6+273)) + 0.447905</f>
        <v>8.513331568553717E-4</v>
      </c>
      <c r="P6" s="35">
        <f xml:space="preserve"> 0.0000000000330128*((Sheet3!CL6+273)^(4)) - 0.0000000448315*((Sheet3!CL6+273)^(3)) + 0.0000228887*((Sheet3!CL6+273)^(2)) - 0.00521331*((Sheet3!CL6+273)) + 0.447905</f>
        <v>8.9155531808726707E-4</v>
      </c>
      <c r="Q6" s="35">
        <f xml:space="preserve"> 0.0000000000330128*((Sheet3!CM6+273)^(4)) - 0.0000000448315*((Sheet3!CM6+273)^(3)) + 0.0000228887*((Sheet3!CM6+273)^(2)) - 0.00521331*((Sheet3!CM6+273)) + 0.447905</f>
        <v>9.4447141019071701E-4</v>
      </c>
      <c r="R6" s="35">
        <f xml:space="preserve"> 0.0000000000330128*((Sheet3!CN6+273)^(4)) - 0.0000000448315*((Sheet3!CN6+273)^(3)) + 0.0000228887*((Sheet3!CN6+273)^(2)) - 0.00521331*((Sheet3!CN6+273)) + 0.447905</f>
        <v>1.0116365625503221E-3</v>
      </c>
      <c r="S6" s="35">
        <f xml:space="preserve"> 0.0000000000330128*((Sheet3!CO6+273)^(4)) - 0.0000000448315*((Sheet3!CO6+273)^(3)) + 0.0000228887*((Sheet3!CO6+273)^(2)) - 0.00521331*((Sheet3!CO6+273)) + 0.447905</f>
        <v>1.0949402353670479E-3</v>
      </c>
      <c r="T6" s="35">
        <f xml:space="preserve"> 0.0000000000330128*((Sheet3!CP6+273)^(4)) - 0.0000000448315*((Sheet3!CP6+273)^(3)) + 0.0000228887*((Sheet3!CP6+273)^(2)) - 0.00521331*((Sheet3!CP6+273)) + 0.447905</f>
        <v>1.1964761042819738E-3</v>
      </c>
      <c r="U6" s="289">
        <f>(Sheet3!DC6*0.014*0.001*C6) / (L6*0.00015*3600*3)</f>
        <v>2581.5294670483863</v>
      </c>
      <c r="V6" s="35">
        <f>(Sheet3!$DC6*0.014*0.001*D6) / (M6*0.00015*3600*3)</f>
        <v>4302.5830066993749</v>
      </c>
      <c r="W6" s="35">
        <f>(Sheet3!$DC6*0.014*0.001*E6) / (N6*0.00015*3600*3)</f>
        <v>4211.4591159808588</v>
      </c>
      <c r="X6" s="35">
        <f>(Sheet3!$DC6*0.014*0.001*F6) / (O6*0.00015*3600*3)</f>
        <v>4072.2577091361495</v>
      </c>
      <c r="Y6" s="35">
        <f>(Sheet3!$DC6*0.014*0.001*G6) / (P6*0.00015*3600*3)</f>
        <v>3891.7871796537238</v>
      </c>
      <c r="Z6" s="35">
        <f>(Sheet3!$DC6*0.014*0.001*H6) / (Q6*0.00015*3600*3)</f>
        <v>3677.4450106577306</v>
      </c>
      <c r="AA6" s="35">
        <f>(Sheet3!$DC6*0.014*0.001*I6) / (R6*0.00015*3600*3)</f>
        <v>3437.2593034860101</v>
      </c>
      <c r="AB6" s="35">
        <f>(Sheet3!$DC6*0.014*0.001*J6) / (S6*0.00015*3600*3)</f>
        <v>3179.8127412171634</v>
      </c>
      <c r="AC6" s="35">
        <f>(Sheet3!$DC6*0.014*0.001*K6) / (T6*0.00015*3600*3)</f>
        <v>2913.973507725595</v>
      </c>
      <c r="AD6" s="289">
        <f t="shared" si="0"/>
        <v>0.58902004378009454</v>
      </c>
      <c r="AE6" s="35">
        <f>_xlfn.FORECAST.LINEAR(Sheet3!CI6,$DA$3:$DA$12,$CZ$3:$CZ$12)/1000</f>
        <v>0.61115627597623923</v>
      </c>
      <c r="AF6" s="35">
        <f>_xlfn.FORECAST.LINEAR(Sheet3!CJ6,$DA$3:$DA$12,$CZ$3:$CZ$12)/1000</f>
        <v>0.61008597257273978</v>
      </c>
      <c r="AG6" s="35">
        <f>_xlfn.FORECAST.LINEAR(Sheet3!CK6,$DA$3:$DA$12,$CZ$3:$CZ$12)/1000</f>
        <v>0.60843911876299017</v>
      </c>
      <c r="AH6" s="35">
        <f>_xlfn.FORECAST.LINEAR(Sheet3!CL6,$DA$3:$DA$12,$CZ$3:$CZ$12)/1000</f>
        <v>0.60627925215945011</v>
      </c>
      <c r="AI6" s="35">
        <f>_xlfn.FORECAST.LINEAR(Sheet3!CM6,$DA$3:$DA$12,$CZ$3:$CZ$12)/1000</f>
        <v>0.60366991037457962</v>
      </c>
      <c r="AJ6" s="35">
        <f>_xlfn.FORECAST.LINEAR(Sheet3!CN6,$DA$3:$DA$12,$CZ$3:$CZ$12)/1000</f>
        <v>0.60067463102083851</v>
      </c>
      <c r="AK6" s="35">
        <f>_xlfn.FORECAST.LINEAR(Sheet3!CO6,$DA$3:$DA$12,$CZ$3:$CZ$12)/1000</f>
        <v>0.59735695171068659</v>
      </c>
      <c r="AL6" s="35">
        <f>_xlfn.FORECAST.LINEAR(Sheet3!CP6,$DA$3:$DA$12,$CZ$3:$CZ$12)/1000</f>
        <v>0.59378041005658388</v>
      </c>
      <c r="AM6" s="289">
        <f t="shared" si="1"/>
        <v>4189.2726037410139</v>
      </c>
      <c r="AN6" s="35">
        <f>_xlfn.FORECAST.LINEAR(Sheet3!CI6,$DP$3:$DP$14,$DJ$3:$DJ$14)*1000</f>
        <v>4191.2206227166225</v>
      </c>
      <c r="AO6" s="35">
        <f>_xlfn.FORECAST.LINEAR(Sheet3!CJ6,$DP$3:$DP$14,$DJ$3:$DJ$14)*1000</f>
        <v>4191.1264345403688</v>
      </c>
      <c r="AP6" s="35">
        <f>_xlfn.FORECAST.LINEAR(Sheet3!CK6,$DP$3:$DP$14,$DJ$3:$DJ$14)*1000</f>
        <v>4190.9815091328737</v>
      </c>
      <c r="AQ6" s="35">
        <f>_xlfn.FORECAST.LINEAR(Sheet3!CL6,$DP$3:$DP$14,$DJ$3:$DJ$14)*1000</f>
        <v>4190.7914378916967</v>
      </c>
      <c r="AR6" s="35">
        <f>_xlfn.FORECAST.LINEAR(Sheet3!CM6,$DP$3:$DP$14,$DJ$3:$DJ$14)*1000</f>
        <v>4190.5618122144033</v>
      </c>
      <c r="AS6" s="35">
        <f>_xlfn.FORECAST.LINEAR(Sheet3!CN6,$DP$3:$DP$14,$DJ$3:$DJ$14)*1000</f>
        <v>4190.2982234985529</v>
      </c>
      <c r="AT6" s="35">
        <f>_xlfn.FORECAST.LINEAR(Sheet3!CO6,$DP$3:$DP$14,$DJ$3:$DJ$14)*1000</f>
        <v>4190.0062631417095</v>
      </c>
      <c r="AU6" s="35">
        <f>_xlfn.FORECAST.LINEAR(Sheet3!CP6,$DP$3:$DP$14,$DJ$3:$DJ$14)*1000</f>
        <v>4189.6915225414341</v>
      </c>
      <c r="AV6" s="289">
        <f t="shared" si="18"/>
        <v>1.4036672354110424E-7</v>
      </c>
      <c r="AW6" s="35">
        <f t="shared" si="19"/>
        <v>1.4682163954994101E-7</v>
      </c>
      <c r="AX6" s="35">
        <f t="shared" si="20"/>
        <v>1.4650710779004094E-7</v>
      </c>
      <c r="AY6" s="35">
        <f t="shared" si="21"/>
        <v>1.4602363049322836E-7</v>
      </c>
      <c r="AZ6" s="35">
        <f t="shared" si="22"/>
        <v>1.4539043653313675E-7</v>
      </c>
      <c r="BA6" s="35">
        <f t="shared" si="23"/>
        <v>1.4462681924003918E-7</v>
      </c>
      <c r="BB6" s="35">
        <f t="shared" si="24"/>
        <v>1.4375206906305526E-7</v>
      </c>
      <c r="BC6" s="35">
        <f t="shared" si="25"/>
        <v>1.427854156386924E-7</v>
      </c>
      <c r="BD6" s="35">
        <f t="shared" si="26"/>
        <v>1.4174597937132059E-7</v>
      </c>
      <c r="BE6" s="289">
        <f t="shared" si="3"/>
        <v>9.623106912601985</v>
      </c>
      <c r="BF6" s="35">
        <f t="shared" si="27"/>
        <v>5.5199765539181742</v>
      </c>
      <c r="BG6" s="35">
        <f t="shared" si="28"/>
        <v>5.6515200956249618</v>
      </c>
      <c r="BH6" s="35">
        <f t="shared" si="29"/>
        <v>5.8640567453099912</v>
      </c>
      <c r="BI6" s="35">
        <f t="shared" si="30"/>
        <v>6.1627086530486821</v>
      </c>
      <c r="BJ6" s="35">
        <f t="shared" si="31"/>
        <v>6.5563410669543432</v>
      </c>
      <c r="BK6" s="35">
        <f t="shared" si="32"/>
        <v>7.0571631827976047</v>
      </c>
      <c r="BL6" s="35">
        <f t="shared" si="33"/>
        <v>7.6801758660636894</v>
      </c>
      <c r="BM6" s="35">
        <f t="shared" si="34"/>
        <v>8.4422889440826943</v>
      </c>
      <c r="BN6" s="289">
        <f t="shared" si="35"/>
        <v>1.725165709252627E-3</v>
      </c>
      <c r="BO6" s="35">
        <f t="shared" si="36"/>
        <v>1.8044993253236053E-3</v>
      </c>
      <c r="BP6" s="35">
        <f t="shared" si="37"/>
        <v>1.8006335985119967E-3</v>
      </c>
      <c r="BQ6" s="35">
        <f t="shared" si="38"/>
        <v>1.7946914604281155E-3</v>
      </c>
      <c r="BR6" s="35">
        <f t="shared" si="39"/>
        <v>1.7869092419670854E-3</v>
      </c>
      <c r="BS6" s="35">
        <f t="shared" si="40"/>
        <v>1.7775240662230743E-3</v>
      </c>
      <c r="BT6" s="35">
        <f t="shared" si="41"/>
        <v>1.766773020879671E-3</v>
      </c>
      <c r="BU6" s="35">
        <f t="shared" si="42"/>
        <v>1.7548924462080391E-3</v>
      </c>
      <c r="BV6" s="35">
        <f t="shared" si="43"/>
        <v>1.7421173399707096E-3</v>
      </c>
      <c r="BW6" s="289">
        <f t="shared" si="44"/>
        <v>5.06451579850676E-2</v>
      </c>
      <c r="BX6" s="35">
        <f t="shared" si="45"/>
        <v>4.4573310168910855E-2</v>
      </c>
      <c r="BY6" s="35">
        <f t="shared" si="46"/>
        <v>4.4812487787402357E-2</v>
      </c>
      <c r="BZ6" s="35">
        <f t="shared" si="47"/>
        <v>4.5190629222176371E-2</v>
      </c>
      <c r="CA6" s="35">
        <f t="shared" si="48"/>
        <v>4.5705654369845666E-2</v>
      </c>
      <c r="CB6" s="35">
        <f t="shared" si="49"/>
        <v>4.6357569177082024E-2</v>
      </c>
      <c r="CC6" s="35">
        <f t="shared" si="50"/>
        <v>4.7147006992895785E-2</v>
      </c>
      <c r="CD6" s="35">
        <f t="shared" si="51"/>
        <v>4.8073618822704979E-2</v>
      </c>
      <c r="CE6" s="35">
        <f t="shared" si="52"/>
        <v>4.9134416411565775E-2</v>
      </c>
      <c r="CF6" s="289">
        <f t="shared" si="7"/>
        <v>11.727831923414943</v>
      </c>
      <c r="CG6" s="35">
        <f t="shared" si="8"/>
        <v>33.712427805260006</v>
      </c>
      <c r="CH6" s="35">
        <f t="shared" si="9"/>
        <v>33.167016773086168</v>
      </c>
      <c r="CI6" s="35">
        <f t="shared" si="10"/>
        <v>32.313298958017775</v>
      </c>
      <c r="CJ6" s="35">
        <f t="shared" si="11"/>
        <v>31.167432609371527</v>
      </c>
      <c r="CK6" s="35">
        <f t="shared" si="12"/>
        <v>29.744787656239964</v>
      </c>
      <c r="CL6" s="35">
        <f t="shared" si="13"/>
        <v>28.06308518558502</v>
      </c>
      <c r="CM6" s="35">
        <f t="shared" si="14"/>
        <v>26.145303863836997</v>
      </c>
      <c r="CN6" s="35">
        <f t="shared" si="15"/>
        <v>11.726936699160188</v>
      </c>
      <c r="CO6" s="289">
        <f t="shared" si="53"/>
        <v>493.42343378396146</v>
      </c>
      <c r="CP6" s="35">
        <f t="shared" si="54"/>
        <v>1471.6829879700374</v>
      </c>
      <c r="CQ6" s="35">
        <f t="shared" si="55"/>
        <v>1445.3379775246178</v>
      </c>
      <c r="CR6" s="35">
        <f t="shared" si="56"/>
        <v>1404.3339387386702</v>
      </c>
      <c r="CS6" s="35">
        <f t="shared" si="57"/>
        <v>1349.7262667242735</v>
      </c>
      <c r="CT6" s="35">
        <f t="shared" si="58"/>
        <v>1282.5738070395203</v>
      </c>
      <c r="CU6" s="35">
        <f t="shared" si="59"/>
        <v>1204.0559527969742</v>
      </c>
      <c r="CV6" s="35">
        <f t="shared" si="60"/>
        <v>1115.5770726893788</v>
      </c>
      <c r="CW6" s="35">
        <f t="shared" si="61"/>
        <v>497.3732344239242</v>
      </c>
      <c r="CY6" s="324"/>
      <c r="CZ6" s="194">
        <v>40</v>
      </c>
      <c r="DA6" s="194">
        <v>628.55999999999995</v>
      </c>
      <c r="DB6" s="194">
        <v>0.54049999999999998</v>
      </c>
      <c r="DC6" s="198">
        <v>0.36320000000000002</v>
      </c>
      <c r="DE6" s="229">
        <v>7</v>
      </c>
      <c r="DF6" s="230">
        <v>1.4271</v>
      </c>
      <c r="DG6" s="230">
        <v>1.4272</v>
      </c>
      <c r="DH6" s="230">
        <v>0.99990000000000001</v>
      </c>
      <c r="DJ6" s="197">
        <v>25</v>
      </c>
      <c r="DK6" s="194">
        <v>74.548000000000002</v>
      </c>
      <c r="DL6" s="194">
        <v>4.1379000000000001</v>
      </c>
      <c r="DM6" s="194">
        <v>1.1490000000000001E-3</v>
      </c>
      <c r="DN6" s="194">
        <v>0.98829999999999996</v>
      </c>
      <c r="DO6" s="194">
        <v>75.335999999999999</v>
      </c>
      <c r="DP6" s="194">
        <v>4.1816000000000004</v>
      </c>
      <c r="DQ6" s="194">
        <v>1.1620000000000001E-3</v>
      </c>
      <c r="DR6" s="198">
        <v>0.99880000000000002</v>
      </c>
      <c r="DU6" s="197">
        <v>10</v>
      </c>
      <c r="DV6" s="194">
        <v>0.99970000000000003</v>
      </c>
      <c r="DW6" s="194">
        <v>999.7</v>
      </c>
      <c r="DX6" s="194">
        <v>1.9397</v>
      </c>
      <c r="DY6" s="194">
        <v>62.409399999999998</v>
      </c>
      <c r="DZ6" s="194">
        <v>8.3429000000000002</v>
      </c>
      <c r="EA6" s="194">
        <v>9.8036999999999992</v>
      </c>
      <c r="EB6" s="194">
        <v>62.408999999999999</v>
      </c>
      <c r="EC6" s="198">
        <v>0.88</v>
      </c>
    </row>
    <row r="7" spans="1:133" ht="15" thickBot="1" x14ac:dyDescent="0.35">
      <c r="A7" s="184">
        <f>'Su K. oro stendu'!B52</f>
        <v>44893</v>
      </c>
      <c r="B7" s="289">
        <f>Sheet3!DD7</f>
        <v>8.8800000000000008</v>
      </c>
      <c r="C7" s="289">
        <f>_xlfn.FORECAST.LINEAR(Sheet3!DD7,$DW$3:$DW$24,$DU$3:$DU$24)</f>
        <v>1001.6594546810113</v>
      </c>
      <c r="D7" s="35">
        <f>_xlfn.FORECAST.LINEAR(Sheet3!CI7,'Cooling water'!$DW$3:$DW$24,'Cooling water'!$DU$3:$DU$24)</f>
        <v>993.01579681367207</v>
      </c>
      <c r="E7" s="35">
        <f>_xlfn.FORECAST.LINEAR(Sheet3!CJ7,'Cooling water'!$DW$3:$DW$24,'Cooling water'!$DU$3:$DU$24)</f>
        <v>993.53994073929402</v>
      </c>
      <c r="F7" s="35">
        <f>_xlfn.FORECAST.LINEAR(Sheet3!CK7,'Cooling water'!$DW$3:$DW$24,'Cooling water'!$DU$3:$DU$24)</f>
        <v>994.22985301801441</v>
      </c>
      <c r="G7" s="35">
        <f>_xlfn.FORECAST.LINEAR(Sheet3!CL7,'Cooling water'!$DW$3:$DW$24,'Cooling water'!$DU$3:$DU$24)</f>
        <v>995.07557479036313</v>
      </c>
      <c r="H7" s="35">
        <f>_xlfn.FORECAST.LINEAR(Sheet3!CM7,'Cooling water'!$DW$3:$DW$24,'Cooling water'!$DU$3:$DU$24)</f>
        <v>996.06714719686943</v>
      </c>
      <c r="I7" s="35">
        <f>_xlfn.FORECAST.LINEAR(Sheet3!CN7,'Cooling water'!$DW$3:$DW$24,'Cooling water'!$DU$3:$DU$24)</f>
        <v>997.19461137806297</v>
      </c>
      <c r="J7" s="35">
        <f>_xlfn.FORECAST.LINEAR(Sheet3!CO7,'Cooling water'!$DW$3:$DW$24,'Cooling water'!$DU$3:$DU$24)</f>
        <v>998.44800847447323</v>
      </c>
      <c r="K7" s="35">
        <f>_xlfn.FORECAST.LINEAR(Sheet3!CP7,'Cooling water'!$DW$3:$DW$24,'Cooling water'!$DU$3:$DU$24)</f>
        <v>999.81737962662976</v>
      </c>
      <c r="L7" s="289">
        <f t="shared" si="17"/>
        <v>1.3514889592121104E-3</v>
      </c>
      <c r="M7" s="35">
        <f xml:space="preserve"> 0.0000000000330128*((Sheet3!CI7+273)^(4)) - 0.0000000448315*((Sheet3!CI7+273)^(3)) + 0.0000228887*((Sheet3!CI7+273)^(2)) - 0.00521331*((Sheet3!CI7+273)) + 0.447905</f>
        <v>7.9861068017628156E-4</v>
      </c>
      <c r="N7" s="35">
        <f xml:space="preserve"> 0.0000000000330128*((Sheet3!CJ7+273)^(4)) - 0.0000000448315*((Sheet3!CJ7+273)^(3)) + 0.0000228887*((Sheet3!CJ7+273)^(2)) - 0.00521331*((Sheet3!CJ7+273)) + 0.447905</f>
        <v>8.2103783844655887E-4</v>
      </c>
      <c r="O7" s="35">
        <f xml:space="preserve"> 0.0000000000330128*((Sheet3!CK7+273)^(4)) - 0.0000000448315*((Sheet3!CK7+273)^(3)) + 0.0000228887*((Sheet3!CK7+273)^(2)) - 0.00521331*((Sheet3!CK7+273)) + 0.447905</f>
        <v>8.5224691677732167E-4</v>
      </c>
      <c r="P7" s="35">
        <f xml:space="preserve"> 0.0000000000330128*((Sheet3!CL7+273)^(4)) - 0.0000000448315*((Sheet3!CL7+273)^(3)) + 0.0000228887*((Sheet3!CL7+273)^(2)) - 0.00521331*((Sheet3!CL7+273)) + 0.447905</f>
        <v>8.9331642179835136E-4</v>
      </c>
      <c r="Q7" s="35">
        <f xml:space="preserve"> 0.0000000000330128*((Sheet3!CM7+273)^(4)) - 0.0000000448315*((Sheet3!CM7+273)^(3)) + 0.0000228887*((Sheet3!CM7+273)^(2)) - 0.00521331*((Sheet3!CM7+273)) + 0.447905</f>
        <v>9.4576190527528858E-4</v>
      </c>
      <c r="R7" s="35">
        <f xml:space="preserve"> 0.0000000000330128*((Sheet3!CN7+273)^(4)) - 0.0000000448315*((Sheet3!CN7+273)^(3)) + 0.0000228887*((Sheet3!CN7+273)^(2)) - 0.00521331*((Sheet3!CN7+273)) + 0.447905</f>
        <v>1.0115899346012647E-3</v>
      </c>
      <c r="S7" s="35">
        <f xml:space="preserve"> 0.0000000000330128*((Sheet3!CO7+273)^(4)) - 0.0000000448315*((Sheet3!CO7+273)^(3)) + 0.0000228887*((Sheet3!CO7+273)^(2)) - 0.00521331*((Sheet3!CO7+273)) + 0.447905</f>
        <v>1.0933585079115904E-3</v>
      </c>
      <c r="T7" s="35">
        <f xml:space="preserve"> 0.0000000000330128*((Sheet3!CP7+273)^(4)) - 0.0000000448315*((Sheet3!CP7+273)^(3)) + 0.0000228887*((Sheet3!CP7+273)^(2)) - 0.00521331*((Sheet3!CP7+273)) + 0.447905</f>
        <v>1.1942373049016464E-3</v>
      </c>
      <c r="U7" s="289">
        <f>(Sheet3!DC7*0.014*0.001*C7) / (L7*0.00015*3600*3)</f>
        <v>2594.0338376329405</v>
      </c>
      <c r="V7" s="35">
        <f>(Sheet3!$DC7*0.014*0.001*D7) / (M7*0.00015*3600*3)</f>
        <v>4352.0020143991496</v>
      </c>
      <c r="W7" s="35">
        <f>(Sheet3!$DC7*0.014*0.001*E7) / (N7*0.00015*3600*3)</f>
        <v>4235.3587493201403</v>
      </c>
      <c r="X7" s="35">
        <f>(Sheet3!$DC7*0.014*0.001*F7) / (O7*0.00015*3600*3)</f>
        <v>4083.0942501048289</v>
      </c>
      <c r="Y7" s="35">
        <f>(Sheet3!$DC7*0.014*0.001*G7) / (P7*0.00015*3600*3)</f>
        <v>3898.6907962075247</v>
      </c>
      <c r="Z7" s="35">
        <f>(Sheet3!$DC7*0.014*0.001*H7) / (Q7*0.00015*3600*3)</f>
        <v>3686.1656149856067</v>
      </c>
      <c r="AA7" s="35">
        <f>(Sheet3!$DC7*0.014*0.001*I7) / (R7*0.00015*3600*3)</f>
        <v>3450.1936213896142</v>
      </c>
      <c r="AB7" s="35">
        <f>(Sheet3!$DC7*0.014*0.001*J7) / (S7*0.00015*3600*3)</f>
        <v>3196.1776529599465</v>
      </c>
      <c r="AC7" s="35">
        <f>(Sheet3!$DC7*0.014*0.001*K7) / (T7*0.00015*3600*3)</f>
        <v>2930.2055917449343</v>
      </c>
      <c r="AD7" s="289">
        <f t="shared" si="0"/>
        <v>0.58906320592772665</v>
      </c>
      <c r="AE7" s="35">
        <f>_xlfn.FORECAST.LINEAR(Sheet3!CI7,$DA$3:$DA$12,$CZ$3:$CZ$12)/1000</f>
        <v>0.61154601713499535</v>
      </c>
      <c r="AF7" s="35">
        <f>_xlfn.FORECAST.LINEAR(Sheet3!CJ7,$DA$3:$DA$12,$CZ$3:$CZ$12)/1000</f>
        <v>0.61018267893882261</v>
      </c>
      <c r="AG7" s="35">
        <f>_xlfn.FORECAST.LINEAR(Sheet3!CK7,$DA$3:$DA$12,$CZ$3:$CZ$12)/1000</f>
        <v>0.60838816465446388</v>
      </c>
      <c r="AH7" s="35">
        <f>_xlfn.FORECAST.LINEAR(Sheet3!CL7,$DA$3:$DA$12,$CZ$3:$CZ$12)/1000</f>
        <v>0.6061883780324786</v>
      </c>
      <c r="AI7" s="35">
        <f>_xlfn.FORECAST.LINEAR(Sheet3!CM7,$DA$3:$DA$12,$CZ$3:$CZ$12)/1000</f>
        <v>0.60360922282342577</v>
      </c>
      <c r="AJ7" s="35">
        <f>_xlfn.FORECAST.LINEAR(Sheet3!CN7,$DA$3:$DA$12,$CZ$3:$CZ$12)/1000</f>
        <v>0.6006766027778645</v>
      </c>
      <c r="AK7" s="35">
        <f>_xlfn.FORECAST.LINEAR(Sheet3!CO7,$DA$3:$DA$12,$CZ$3:$CZ$12)/1000</f>
        <v>0.59741642164635411</v>
      </c>
      <c r="AL7" s="35">
        <f>_xlfn.FORECAST.LINEAR(Sheet3!CP7,$DA$3:$DA$12,$CZ$3:$CZ$12)/1000</f>
        <v>0.59385458317945372</v>
      </c>
      <c r="AM7" s="289">
        <f t="shared" si="1"/>
        <v>4189.2764020695577</v>
      </c>
      <c r="AN7" s="35">
        <f>_xlfn.FORECAST.LINEAR(Sheet3!CI7,$DP$3:$DP$14,$DJ$3:$DJ$14)*1000</f>
        <v>4191.2549204763354</v>
      </c>
      <c r="AO7" s="35">
        <f>_xlfn.FORECAST.LINEAR(Sheet3!CJ7,$DP$3:$DP$14,$DJ$3:$DJ$14)*1000</f>
        <v>4191.1349448340143</v>
      </c>
      <c r="AP7" s="35">
        <f>_xlfn.FORECAST.LINEAR(Sheet3!CK7,$DP$3:$DP$14,$DJ$3:$DJ$14)*1000</f>
        <v>4190.9770251010195</v>
      </c>
      <c r="AQ7" s="35">
        <f>_xlfn.FORECAST.LINEAR(Sheet3!CL7,$DP$3:$DP$14,$DJ$3:$DJ$14)*1000</f>
        <v>4190.7834408431399</v>
      </c>
      <c r="AR7" s="35">
        <f>_xlfn.FORECAST.LINEAR(Sheet3!CM7,$DP$3:$DP$14,$DJ$3:$DJ$14)*1000</f>
        <v>4190.5564716261679</v>
      </c>
      <c r="AS7" s="35">
        <f>_xlfn.FORECAST.LINEAR(Sheet3!CN7,$DP$3:$DP$14,$DJ$3:$DJ$14)*1000</f>
        <v>4190.2983970158921</v>
      </c>
      <c r="AT7" s="35">
        <f>_xlfn.FORECAST.LINEAR(Sheet3!CO7,$DP$3:$DP$14,$DJ$3:$DJ$14)*1000</f>
        <v>4190.0114965781013</v>
      </c>
      <c r="AU7" s="35">
        <f>_xlfn.FORECAST.LINEAR(Sheet3!CP7,$DP$3:$DP$14,$DJ$3:$DJ$14)*1000</f>
        <v>4189.698049878587</v>
      </c>
      <c r="AV7" s="289">
        <f t="shared" si="18"/>
        <v>1.4037920759096986E-7</v>
      </c>
      <c r="AW7" s="35">
        <f t="shared" si="19"/>
        <v>1.4693623531158376E-7</v>
      </c>
      <c r="AX7" s="35">
        <f t="shared" si="20"/>
        <v>1.4653551680534927E-7</v>
      </c>
      <c r="AY7" s="35">
        <f t="shared" si="21"/>
        <v>1.460086809635495E-7</v>
      </c>
      <c r="AZ7" s="35">
        <f t="shared" si="22"/>
        <v>1.4536381770997346E-7</v>
      </c>
      <c r="BA7" s="35">
        <f t="shared" si="23"/>
        <v>1.44609076679251E-7</v>
      </c>
      <c r="BB7" s="35">
        <f t="shared" si="24"/>
        <v>1.4375264426551808E-7</v>
      </c>
      <c r="BC7" s="35">
        <f t="shared" si="25"/>
        <v>1.4280272227868293E-7</v>
      </c>
      <c r="BD7" s="35">
        <f t="shared" si="26"/>
        <v>1.417675082697573E-7</v>
      </c>
      <c r="BE7" s="289">
        <f t="shared" si="3"/>
        <v>9.6114657094700533</v>
      </c>
      <c r="BF7" s="35">
        <f t="shared" si="27"/>
        <v>5.4733100192768021</v>
      </c>
      <c r="BG7" s="35">
        <f t="shared" si="28"/>
        <v>5.6394265103178425</v>
      </c>
      <c r="BH7" s="35">
        <f t="shared" si="29"/>
        <v>5.8708361789968775</v>
      </c>
      <c r="BI7" s="35">
        <f t="shared" si="30"/>
        <v>6.1757958475825401</v>
      </c>
      <c r="BJ7" s="35">
        <f t="shared" si="31"/>
        <v>6.5659511533478234</v>
      </c>
      <c r="BK7" s="35">
        <f t="shared" si="32"/>
        <v>7.0568150345697074</v>
      </c>
      <c r="BL7" s="35">
        <f t="shared" si="33"/>
        <v>7.6683274045367895</v>
      </c>
      <c r="BM7" s="35">
        <f t="shared" si="34"/>
        <v>8.4254527104099282</v>
      </c>
      <c r="BN7" s="289">
        <f t="shared" si="35"/>
        <v>1.7189290725424882E-3</v>
      </c>
      <c r="BO7" s="35">
        <f t="shared" si="36"/>
        <v>1.7992192078969439E-3</v>
      </c>
      <c r="BP7" s="35">
        <f t="shared" si="37"/>
        <v>1.7943124506777459E-3</v>
      </c>
      <c r="BQ7" s="35">
        <f t="shared" si="38"/>
        <v>1.787861399553667E-3</v>
      </c>
      <c r="BR7" s="35">
        <f t="shared" si="39"/>
        <v>1.7799651148160014E-3</v>
      </c>
      <c r="BS7" s="35">
        <f t="shared" si="40"/>
        <v>1.7707233879091957E-3</v>
      </c>
      <c r="BT7" s="35">
        <f t="shared" si="41"/>
        <v>1.760236460394099E-3</v>
      </c>
      <c r="BU7" s="35">
        <f t="shared" si="42"/>
        <v>1.7486047625961173E-3</v>
      </c>
      <c r="BV7" s="35">
        <f t="shared" si="43"/>
        <v>1.7359286726909059E-3</v>
      </c>
      <c r="BW7" s="289">
        <f t="shared" si="44"/>
        <v>5.0584014428302591E-2</v>
      </c>
      <c r="BX7" s="35">
        <f t="shared" si="45"/>
        <v>4.4446230067439647E-2</v>
      </c>
      <c r="BY7" s="35">
        <f t="shared" si="46"/>
        <v>4.4749135666196184E-2</v>
      </c>
      <c r="BZ7" s="35">
        <f t="shared" si="47"/>
        <v>4.5160615327366982E-2</v>
      </c>
      <c r="CA7" s="35">
        <f t="shared" si="48"/>
        <v>4.56854075696859E-2</v>
      </c>
      <c r="CB7" s="35">
        <f t="shared" si="49"/>
        <v>4.6330127032186579E-2</v>
      </c>
      <c r="CC7" s="35">
        <f t="shared" si="50"/>
        <v>4.710275776983034E-2</v>
      </c>
      <c r="CD7" s="35">
        <f t="shared" si="51"/>
        <v>4.8011964270746658E-2</v>
      </c>
      <c r="CE7" s="35">
        <f t="shared" si="52"/>
        <v>4.9066228692738828E-2</v>
      </c>
      <c r="CF7" s="289">
        <f t="shared" si="7"/>
        <v>11.728161283377053</v>
      </c>
      <c r="CG7" s="35">
        <f t="shared" si="8"/>
        <v>34.051945750957735</v>
      </c>
      <c r="CH7" s="35">
        <f t="shared" si="9"/>
        <v>33.357902809407371</v>
      </c>
      <c r="CI7" s="35">
        <f t="shared" si="10"/>
        <v>32.425934837785853</v>
      </c>
      <c r="CJ7" s="35">
        <f t="shared" si="11"/>
        <v>31.255438078374539</v>
      </c>
      <c r="CK7" s="35">
        <f t="shared" si="12"/>
        <v>29.845104639145156</v>
      </c>
      <c r="CL7" s="35">
        <f t="shared" si="13"/>
        <v>28.194635593382941</v>
      </c>
      <c r="CM7" s="35">
        <f t="shared" si="14"/>
        <v>26.306646024836084</v>
      </c>
      <c r="CN7" s="35">
        <f t="shared" si="15"/>
        <v>11.727263525832242</v>
      </c>
      <c r="CO7" s="289">
        <f t="shared" si="53"/>
        <v>493.47344894453772</v>
      </c>
      <c r="CP7" s="35">
        <f t="shared" si="54"/>
        <v>1487.452271406795</v>
      </c>
      <c r="CQ7" s="35">
        <f t="shared" si="55"/>
        <v>1453.8867500017902</v>
      </c>
      <c r="CR7" s="35">
        <f t="shared" si="56"/>
        <v>1409.1110702261269</v>
      </c>
      <c r="CS7" s="35">
        <f t="shared" si="57"/>
        <v>1353.3345223874592</v>
      </c>
      <c r="CT7" s="35">
        <f t="shared" si="58"/>
        <v>1286.7700297370163</v>
      </c>
      <c r="CU7" s="35">
        <f t="shared" si="59"/>
        <v>1209.7041374852233</v>
      </c>
      <c r="CV7" s="35">
        <f t="shared" si="60"/>
        <v>1122.5730238339186</v>
      </c>
      <c r="CW7" s="35">
        <f t="shared" si="61"/>
        <v>497.44922806919408</v>
      </c>
      <c r="CY7" s="324"/>
      <c r="CZ7" s="195">
        <v>50</v>
      </c>
      <c r="DA7" s="195">
        <v>640.6</v>
      </c>
      <c r="DB7" s="195">
        <v>0.55079999999999996</v>
      </c>
      <c r="DC7" s="200">
        <v>0.37009999999999998</v>
      </c>
      <c r="DE7" s="229">
        <v>8</v>
      </c>
      <c r="DF7" s="230">
        <v>1.3847</v>
      </c>
      <c r="DG7" s="230">
        <v>1.3849</v>
      </c>
      <c r="DH7" s="230">
        <v>0.99990000000000001</v>
      </c>
      <c r="DJ7" s="197">
        <v>30</v>
      </c>
      <c r="DK7" s="194">
        <v>74.180999999999997</v>
      </c>
      <c r="DL7" s="194">
        <v>4.1174999999999997</v>
      </c>
      <c r="DM7" s="194">
        <v>1.1440000000000001E-3</v>
      </c>
      <c r="DN7" s="194">
        <v>0.98340000000000005</v>
      </c>
      <c r="DO7" s="194">
        <v>75.308999999999997</v>
      </c>
      <c r="DP7" s="194">
        <v>4.1801000000000004</v>
      </c>
      <c r="DQ7" s="194">
        <v>1.1609999999999999E-3</v>
      </c>
      <c r="DR7" s="198">
        <v>0.99839999999999995</v>
      </c>
      <c r="DU7" s="197">
        <v>15</v>
      </c>
      <c r="DV7" s="194">
        <v>0.99910259999999995</v>
      </c>
      <c r="DW7" s="194">
        <v>999.1</v>
      </c>
      <c r="DX7" s="194">
        <v>1.9386000000000001</v>
      </c>
      <c r="DY7" s="194">
        <v>62.371899999999997</v>
      </c>
      <c r="DZ7" s="194">
        <v>8.3378999999999994</v>
      </c>
      <c r="EA7" s="194">
        <v>9.7978000000000005</v>
      </c>
      <c r="EB7" s="194">
        <v>62.372</v>
      </c>
      <c r="EC7" s="198">
        <v>1.51</v>
      </c>
    </row>
    <row r="8" spans="1:133" ht="15" thickBot="1" x14ac:dyDescent="0.35">
      <c r="A8" s="184" t="str">
        <f>'Su K. oro stendu'!B53</f>
        <v>30.11.2022</v>
      </c>
      <c r="B8" s="289">
        <f>Sheet3!DD8</f>
        <v>11.11</v>
      </c>
      <c r="C8" s="289">
        <f>_xlfn.FORECAST.LINEAR(Sheet3!DD8,$DW$3:$DW$24,$DU$3:$DU$24)</f>
        <v>1000.7343414926144</v>
      </c>
      <c r="D8" s="35">
        <f>_xlfn.FORECAST.LINEAR(Sheet3!CI8,'Cooling water'!$DW$3:$DW$24,'Cooling water'!$DU$3:$DU$24)</f>
        <v>992.19744623852796</v>
      </c>
      <c r="E8" s="35">
        <f>_xlfn.FORECAST.LINEAR(Sheet3!CJ8,'Cooling water'!$DW$3:$DW$24,'Cooling water'!$DU$3:$DU$24)</f>
        <v>993.24076397234887</v>
      </c>
      <c r="F8" s="35">
        <f>_xlfn.FORECAST.LINEAR(Sheet3!CK8,'Cooling water'!$DW$3:$DW$24,'Cooling water'!$DU$3:$DU$24)</f>
        <v>994.3110785092897</v>
      </c>
      <c r="G8" s="35">
        <f>_xlfn.FORECAST.LINEAR(Sheet3!CL8,'Cooling water'!$DW$3:$DW$24,'Cooling water'!$DU$3:$DU$24)</f>
        <v>995.39669156182401</v>
      </c>
      <c r="H8" s="35">
        <f>_xlfn.FORECAST.LINEAR(Sheet3!CM8,'Cooling water'!$DW$3:$DW$24,'Cooling water'!$DU$3:$DU$24)</f>
        <v>996.48590484242538</v>
      </c>
      <c r="I8" s="35">
        <f>_xlfn.FORECAST.LINEAR(Sheet3!CN8,'Cooling water'!$DW$3:$DW$24,'Cooling water'!$DU$3:$DU$24)</f>
        <v>997.56702006356761</v>
      </c>
      <c r="J8" s="35">
        <f>_xlfn.FORECAST.LINEAR(Sheet3!CO8,'Cooling water'!$DW$3:$DW$24,'Cooling water'!$DU$3:$DU$24)</f>
        <v>998.62833893772427</v>
      </c>
      <c r="K8" s="35">
        <f>_xlfn.FORECAST.LINEAR(Sheet3!CP8,'Cooling water'!$DW$3:$DW$24,'Cooling water'!$DU$3:$DU$24)</f>
        <v>999.65816317736903</v>
      </c>
      <c r="L8" s="289">
        <f t="shared" si="17"/>
        <v>1.269231280781824E-3</v>
      </c>
      <c r="M8" s="35">
        <f xml:space="preserve"> 0.0000000000330128*((Sheet3!CI8+273)^(4)) - 0.0000000448315*((Sheet3!CI8+273)^(3)) + 0.0000228887*((Sheet3!CI8+273)^(2)) - 0.00521331*((Sheet3!CI8+273)) + 0.447905</f>
        <v>7.6565612951617901E-4</v>
      </c>
      <c r="N8" s="35">
        <f xml:space="preserve"> 0.0000000000330128*((Sheet3!CJ8+273)^(4)) - 0.0000000448315*((Sheet3!CJ8+273)^(3)) + 0.0000228887*((Sheet3!CJ8+273)^(2)) - 0.00521331*((Sheet3!CJ8+273)) + 0.447905</f>
        <v>8.0810556794785882E-4</v>
      </c>
      <c r="O8" s="35">
        <f xml:space="preserve"> 0.0000000000330128*((Sheet3!CK8+273)^(4)) - 0.0000000448315*((Sheet3!CK8+273)^(3)) + 0.0000228887*((Sheet3!CK8+273)^(2)) - 0.00521331*((Sheet3!CK8+273)) + 0.447905</f>
        <v>8.5605335658356374E-4</v>
      </c>
      <c r="P8" s="35">
        <f xml:space="preserve"> 0.0000000000330128*((Sheet3!CL8+273)^(4)) - 0.0000000448315*((Sheet3!CL8+273)^(3)) + 0.0000228887*((Sheet3!CL8+273)^(2)) - 0.00521331*((Sheet3!CL8+273)) + 0.447905</f>
        <v>9.0977379252921153E-4</v>
      </c>
      <c r="Q8" s="35">
        <f xml:space="preserve"> 0.0000000000330128*((Sheet3!CM8+273)^(4)) - 0.0000000448315*((Sheet3!CM8+273)^(3)) + 0.0000228887*((Sheet3!CM8+273)^(2)) - 0.00521331*((Sheet3!CM8+273)) + 0.447905</f>
        <v>9.6940747976659303E-4</v>
      </c>
      <c r="R8" s="35">
        <f xml:space="preserve"> 0.0000000000330128*((Sheet3!CN8+273)^(4)) - 0.0000000448315*((Sheet3!CN8+273)^(3)) + 0.0000228887*((Sheet3!CN8+273)^(2)) - 0.00521331*((Sheet3!CN8+273)) + 0.447905</f>
        <v>1.0348978766663297E-3</v>
      </c>
      <c r="S8" s="35">
        <f xml:space="preserve"> 0.0000000000330128*((Sheet3!CO8+273)^(4)) - 0.0000000448315*((Sheet3!CO8+273)^(3)) + 0.0000228887*((Sheet3!CO8+273)^(2)) - 0.00521331*((Sheet3!CO8+273)) + 0.447905</f>
        <v>1.1059254099268223E-3</v>
      </c>
      <c r="T8" s="35">
        <f xml:space="preserve"> 0.0000000000330128*((Sheet3!CP8+273)^(4)) - 0.0000000448315*((Sheet3!CP8+273)^(3)) + 0.0000228887*((Sheet3!CP8+273)^(2)) - 0.00521331*((Sheet3!CP8+273)) + 0.447905</f>
        <v>1.1818443355842145E-3</v>
      </c>
      <c r="U8" s="289">
        <f>(Sheet3!DC8*0.014*0.001*C8) / (L8*0.00015*3600*3)</f>
        <v>2780.0411265153466</v>
      </c>
      <c r="V8" s="35">
        <f>(Sheet3!$DC8*0.014*0.001*D8) / (M8*0.00015*3600*3)</f>
        <v>4569.1721968458378</v>
      </c>
      <c r="W8" s="35">
        <f>(Sheet3!$DC8*0.014*0.001*E8) / (N8*0.00015*3600*3)</f>
        <v>4333.7077472067904</v>
      </c>
      <c r="X8" s="35">
        <f>(Sheet3!$DC8*0.014*0.001*F8) / (O8*0.00015*3600*3)</f>
        <v>4095.3839888472517</v>
      </c>
      <c r="Y8" s="35">
        <f>(Sheet3!$DC8*0.014*0.001*G8) / (P8*0.00015*3600*3)</f>
        <v>3857.7666560405305</v>
      </c>
      <c r="Z8" s="35">
        <f>(Sheet3!$DC8*0.014*0.001*H8) / (Q8*0.00015*3600*3)</f>
        <v>3624.4154909446611</v>
      </c>
      <c r="AA8" s="35">
        <f>(Sheet3!$DC8*0.014*0.001*I8) / (R8*0.00015*3600*3)</f>
        <v>3398.7386564373637</v>
      </c>
      <c r="AB8" s="35">
        <f>(Sheet3!$DC8*0.014*0.001*J8) / (S8*0.00015*3600*3)</f>
        <v>3183.8399941076054</v>
      </c>
      <c r="AC8" s="35">
        <f>(Sheet3!$DC8*0.014*0.001*K8) / (T8*0.00015*3600*3)</f>
        <v>2982.3899209773849</v>
      </c>
      <c r="AD8" s="289">
        <f t="shared" si="0"/>
        <v>0.59146949565822082</v>
      </c>
      <c r="AE8" s="35">
        <f>_xlfn.FORECAST.LINEAR(Sheet3!CI8,$DA$3:$DA$12,$CZ$3:$CZ$12)/1000</f>
        <v>0.61367460919228267</v>
      </c>
      <c r="AF8" s="35">
        <f>_xlfn.FORECAST.LINEAR(Sheet3!CJ8,$DA$3:$DA$12,$CZ$3:$CZ$12)/1000</f>
        <v>0.61096086045318398</v>
      </c>
      <c r="AG8" s="35">
        <f>_xlfn.FORECAST.LINEAR(Sheet3!CK8,$DA$3:$DA$12,$CZ$3:$CZ$12)/1000</f>
        <v>0.60817689097686289</v>
      </c>
      <c r="AH8" s="35">
        <f>_xlfn.FORECAST.LINEAR(Sheet3!CL8,$DA$3:$DA$12,$CZ$3:$CZ$12)/1000</f>
        <v>0.60535312889848381</v>
      </c>
      <c r="AI8" s="35">
        <f>_xlfn.FORECAST.LINEAR(Sheet3!CM8,$DA$3:$DA$12,$CZ$3:$CZ$12)/1000</f>
        <v>0.60252000235321135</v>
      </c>
      <c r="AJ8" s="35">
        <f>_xlfn.FORECAST.LINEAR(Sheet3!CN8,$DA$3:$DA$12,$CZ$3:$CZ$12)/1000</f>
        <v>0.59970793947621004</v>
      </c>
      <c r="AK8" s="35">
        <f>_xlfn.FORECAST.LINEAR(Sheet3!CO8,$DA$3:$DA$12,$CZ$3:$CZ$12)/1000</f>
        <v>0.5969473684026444</v>
      </c>
      <c r="AL8" s="35">
        <f>_xlfn.FORECAST.LINEAR(Sheet3!CP8,$DA$3:$DA$12,$CZ$3:$CZ$12)/1000</f>
        <v>0.59426871726767883</v>
      </c>
      <c r="AM8" s="289">
        <f t="shared" si="1"/>
        <v>4189.4881588859062</v>
      </c>
      <c r="AN8" s="35">
        <f>_xlfn.FORECAST.LINEAR(Sheet3!CI8,$DP$3:$DP$14,$DJ$3:$DJ$14)*1000</f>
        <v>4191.4422395142901</v>
      </c>
      <c r="AO8" s="35">
        <f>_xlfn.FORECAST.LINEAR(Sheet3!CJ8,$DP$3:$DP$14,$DJ$3:$DJ$14)*1000</f>
        <v>4191.2034258809699</v>
      </c>
      <c r="AP8" s="35">
        <f>_xlfn.FORECAST.LINEAR(Sheet3!CK8,$DP$3:$DP$14,$DJ$3:$DJ$14)*1000</f>
        <v>4190.9584327258863</v>
      </c>
      <c r="AQ8" s="35">
        <f>_xlfn.FORECAST.LINEAR(Sheet3!CL8,$DP$3:$DP$14,$DJ$3:$DJ$14)*1000</f>
        <v>4190.7099377669183</v>
      </c>
      <c r="AR8" s="35">
        <f>_xlfn.FORECAST.LINEAR(Sheet3!CM8,$DP$3:$DP$14,$DJ$3:$DJ$14)*1000</f>
        <v>4190.4606187219433</v>
      </c>
      <c r="AS8" s="35">
        <f>_xlfn.FORECAST.LINEAR(Sheet3!CN8,$DP$3:$DP$14,$DJ$3:$DJ$14)*1000</f>
        <v>4190.2131533088386</v>
      </c>
      <c r="AT8" s="35">
        <f>_xlfn.FORECAST.LINEAR(Sheet3!CO8,$DP$3:$DP$14,$DJ$3:$DJ$14)*1000</f>
        <v>4189.9702192454806</v>
      </c>
      <c r="AU8" s="35">
        <f>_xlfn.FORECAST.LINEAR(Sheet3!CP8,$DP$3:$DP$14,$DJ$3:$DJ$14)*1000</f>
        <v>4189.7344942497502</v>
      </c>
      <c r="AV8" s="289">
        <f t="shared" si="18"/>
        <v>1.4107581913858048E-7</v>
      </c>
      <c r="AW8" s="35">
        <f t="shared" si="19"/>
        <v>1.4756269016568165E-7</v>
      </c>
      <c r="AX8" s="35">
        <f t="shared" si="20"/>
        <v>1.4676419388390457E-7</v>
      </c>
      <c r="AY8" s="35">
        <f t="shared" si="21"/>
        <v>1.4594670095825864E-7</v>
      </c>
      <c r="AZ8" s="35">
        <f t="shared" si="22"/>
        <v>1.4511924044454194E-7</v>
      </c>
      <c r="BA8" s="35">
        <f t="shared" si="23"/>
        <v>1.4429076816783948E-7</v>
      </c>
      <c r="BB8" s="35">
        <f t="shared" si="24"/>
        <v>1.4347016570025129E-7</v>
      </c>
      <c r="BC8" s="35">
        <f t="shared" si="25"/>
        <v>1.426662413470516E-7</v>
      </c>
      <c r="BD8" s="35">
        <f t="shared" si="26"/>
        <v>1.4188773309601075E-7</v>
      </c>
      <c r="BE8" s="289">
        <f t="shared" si="3"/>
        <v>8.990200611792341</v>
      </c>
      <c r="BF8" s="35">
        <f t="shared" si="27"/>
        <v>5.229487083425342</v>
      </c>
      <c r="BG8" s="35">
        <f t="shared" si="28"/>
        <v>5.5436199666608319</v>
      </c>
      <c r="BH8" s="35">
        <f t="shared" si="29"/>
        <v>5.8990798349384743</v>
      </c>
      <c r="BI8" s="35">
        <f t="shared" si="30"/>
        <v>6.2981388737670638</v>
      </c>
      <c r="BJ8" s="35">
        <f t="shared" si="31"/>
        <v>6.742122836736967</v>
      </c>
      <c r="BK8" s="35">
        <f t="shared" si="32"/>
        <v>7.2309242711145831</v>
      </c>
      <c r="BL8" s="35">
        <f t="shared" si="33"/>
        <v>7.7624842282154347</v>
      </c>
      <c r="BM8" s="35">
        <f t="shared" si="34"/>
        <v>8.3322810636866915</v>
      </c>
      <c r="BN8" s="289">
        <f t="shared" si="35"/>
        <v>1.714757105375903E-3</v>
      </c>
      <c r="BO8" s="35">
        <f t="shared" si="36"/>
        <v>1.7936041271638971E-3</v>
      </c>
      <c r="BP8" s="35">
        <f t="shared" si="37"/>
        <v>1.7838985150954779E-3</v>
      </c>
      <c r="BQ8" s="35">
        <f t="shared" si="38"/>
        <v>1.7739620014434192E-3</v>
      </c>
      <c r="BR8" s="35">
        <f t="shared" si="39"/>
        <v>1.7639043331344384E-3</v>
      </c>
      <c r="BS8" s="35">
        <f t="shared" si="40"/>
        <v>1.7538343669860437E-3</v>
      </c>
      <c r="BT8" s="35">
        <f t="shared" si="41"/>
        <v>1.7438600572809654E-3</v>
      </c>
      <c r="BU8" s="35">
        <f t="shared" si="42"/>
        <v>1.7340884677537779E-3</v>
      </c>
      <c r="BV8" s="35">
        <f t="shared" si="43"/>
        <v>1.7246258074395066E-3</v>
      </c>
      <c r="BW8" s="289">
        <f t="shared" si="44"/>
        <v>4.9715795935039532E-2</v>
      </c>
      <c r="BX8" s="35">
        <f t="shared" si="45"/>
        <v>4.3908421091773606E-2</v>
      </c>
      <c r="BY8" s="35">
        <f t="shared" si="46"/>
        <v>4.4493062205430839E-2</v>
      </c>
      <c r="BZ8" s="35">
        <f t="shared" si="47"/>
        <v>4.5126696784448993E-2</v>
      </c>
      <c r="CA8" s="35">
        <f t="shared" si="48"/>
        <v>4.5806089060805744E-2</v>
      </c>
      <c r="CB8" s="35">
        <f t="shared" si="49"/>
        <v>4.6526213304168562E-2</v>
      </c>
      <c r="CC8" s="35">
        <f t="shared" si="50"/>
        <v>4.7280031707964881E-2</v>
      </c>
      <c r="CD8" s="35">
        <f t="shared" si="51"/>
        <v>4.8058409474655173E-2</v>
      </c>
      <c r="CE8" s="35">
        <f t="shared" si="52"/>
        <v>4.8850171883807414E-2</v>
      </c>
      <c r="CF8" s="289">
        <f t="shared" si="7"/>
        <v>11.728381607088657</v>
      </c>
      <c r="CG8" s="35">
        <f t="shared" si="8"/>
        <v>35.400883135813366</v>
      </c>
      <c r="CH8" s="35">
        <f t="shared" si="9"/>
        <v>34.039490064561171</v>
      </c>
      <c r="CI8" s="35">
        <f t="shared" si="10"/>
        <v>32.592704507199294</v>
      </c>
      <c r="CJ8" s="35">
        <f t="shared" si="11"/>
        <v>31.074588125976419</v>
      </c>
      <c r="CK8" s="35">
        <f t="shared" si="12"/>
        <v>29.502620900326498</v>
      </c>
      <c r="CL8" s="35">
        <f t="shared" si="13"/>
        <v>27.897460174067255</v>
      </c>
      <c r="CM8" s="35">
        <f t="shared" si="14"/>
        <v>26.282366233823367</v>
      </c>
      <c r="CN8" s="35">
        <f t="shared" si="15"/>
        <v>11.727860435904763</v>
      </c>
      <c r="CO8" s="289">
        <f t="shared" si="53"/>
        <v>495.49856814513441</v>
      </c>
      <c r="CP8" s="35">
        <f t="shared" si="54"/>
        <v>1551.7587945308528</v>
      </c>
      <c r="CQ8" s="35">
        <f t="shared" si="55"/>
        <v>1485.4854385165643</v>
      </c>
      <c r="CR8" s="35">
        <f t="shared" si="56"/>
        <v>1415.866406836861</v>
      </c>
      <c r="CS8" s="35">
        <f t="shared" si="57"/>
        <v>1343.6499393779641</v>
      </c>
      <c r="CT8" s="35">
        <f t="shared" si="58"/>
        <v>1269.7085153064731</v>
      </c>
      <c r="CU8" s="35">
        <f t="shared" si="59"/>
        <v>1195.0234541149646</v>
      </c>
      <c r="CV8" s="35">
        <f t="shared" si="60"/>
        <v>1120.6563827625271</v>
      </c>
      <c r="CW8" s="35">
        <f t="shared" si="61"/>
        <v>497.82146982424882</v>
      </c>
      <c r="CY8" s="324"/>
      <c r="CZ8" s="194">
        <v>60</v>
      </c>
      <c r="DA8" s="194">
        <v>650.91</v>
      </c>
      <c r="DB8" s="194">
        <v>0.55969999999999998</v>
      </c>
      <c r="DC8" s="198">
        <v>0.37609999999999999</v>
      </c>
      <c r="DE8" s="229">
        <v>9</v>
      </c>
      <c r="DF8" s="230">
        <v>1.3444</v>
      </c>
      <c r="DG8" s="230">
        <v>1.3447</v>
      </c>
      <c r="DH8" s="230">
        <v>0.99980000000000002</v>
      </c>
      <c r="DJ8" s="197">
        <v>40</v>
      </c>
      <c r="DK8" s="194">
        <v>73.391999999999996</v>
      </c>
      <c r="DL8" s="194">
        <v>4.0736999999999997</v>
      </c>
      <c r="DM8" s="194">
        <v>1.132E-3</v>
      </c>
      <c r="DN8" s="194">
        <v>0.97299999999999998</v>
      </c>
      <c r="DO8" s="194">
        <v>75.3</v>
      </c>
      <c r="DP8" s="194">
        <v>4.1795999999999998</v>
      </c>
      <c r="DQ8" s="194">
        <v>1.1609999999999999E-3</v>
      </c>
      <c r="DR8" s="198">
        <v>0.99829999999999997</v>
      </c>
      <c r="DU8" s="197">
        <v>20</v>
      </c>
      <c r="DV8" s="194">
        <v>0.9982067</v>
      </c>
      <c r="DW8" s="194">
        <v>998.21</v>
      </c>
      <c r="DX8" s="194">
        <v>1.9368000000000001</v>
      </c>
      <c r="DY8" s="194">
        <v>62.316000000000003</v>
      </c>
      <c r="DZ8" s="194">
        <v>8.3303999999999991</v>
      </c>
      <c r="EA8" s="194">
        <v>9.7890999999999995</v>
      </c>
      <c r="EB8" s="194">
        <v>62.316000000000003</v>
      </c>
      <c r="EC8" s="198">
        <v>2.0699999999999998</v>
      </c>
    </row>
    <row r="9" spans="1:133" ht="15" thickBot="1" x14ac:dyDescent="0.35">
      <c r="A9" s="184" t="str">
        <f>'Su K. oro stendu'!B54</f>
        <v>30.11.2022</v>
      </c>
      <c r="B9" s="289">
        <f>Sheet3!DD9</f>
        <v>11.11</v>
      </c>
      <c r="C9" s="289">
        <f>_xlfn.FORECAST.LINEAR(Sheet3!DD9,$DW$3:$DW$24,$DU$3:$DU$24)</f>
        <v>1000.7343414926144</v>
      </c>
      <c r="D9" s="35">
        <f>_xlfn.FORECAST.LINEAR(Sheet3!CI9,'Cooling water'!$DW$3:$DW$24,'Cooling water'!$DU$3:$DU$24)</f>
        <v>992.18436588205839</v>
      </c>
      <c r="E9" s="35">
        <f>_xlfn.FORECAST.LINEAR(Sheet3!CJ9,'Cooling water'!$DW$3:$DW$24,'Cooling water'!$DU$3:$DU$24)</f>
        <v>993.29897788459584</v>
      </c>
      <c r="F9" s="35">
        <f>_xlfn.FORECAST.LINEAR(Sheet3!CK9,'Cooling water'!$DW$3:$DW$24,'Cooling water'!$DU$3:$DU$24)</f>
        <v>994.40755654636689</v>
      </c>
      <c r="G9" s="35">
        <f>_xlfn.FORECAST.LINEAR(Sheet3!CL9,'Cooling water'!$DW$3:$DW$24,'Cooling water'!$DU$3:$DU$24)</f>
        <v>995.50417606542248</v>
      </c>
      <c r="H9" s="35">
        <f>_xlfn.FORECAST.LINEAR(Sheet3!CM9,'Cooling water'!$DW$3:$DW$24,'Cooling water'!$DU$3:$DU$24)</f>
        <v>996.5829106398138</v>
      </c>
      <c r="I9" s="35">
        <f>_xlfn.FORECAST.LINEAR(Sheet3!CN9,'Cooling water'!$DW$3:$DW$24,'Cooling water'!$DU$3:$DU$24)</f>
        <v>997.63783446759214</v>
      </c>
      <c r="J9" s="35">
        <f>_xlfn.FORECAST.LINEAR(Sheet3!CO9,'Cooling water'!$DW$3:$DW$24,'Cooling water'!$DU$3:$DU$24)</f>
        <v>998.66302174680845</v>
      </c>
      <c r="K9" s="35">
        <f>_xlfn.FORECAST.LINEAR(Sheet3!CP9,'Cooling water'!$DW$3:$DW$24,'Cooling water'!$DU$3:$DU$24)</f>
        <v>999.65254667551415</v>
      </c>
      <c r="L9" s="289">
        <f t="shared" si="17"/>
        <v>1.269231280781824E-3</v>
      </c>
      <c r="M9" s="35">
        <f xml:space="preserve"> 0.0000000000330128*((Sheet3!CI9+273)^(4)) - 0.0000000448315*((Sheet3!CI9+273)^(3)) + 0.0000228887*((Sheet3!CI9+273)^(2)) - 0.00521331*((Sheet3!CI9+273)) + 0.447905</f>
        <v>7.6514880950173669E-4</v>
      </c>
      <c r="N9" s="35">
        <f xml:space="preserve"> 0.0000000000330128*((Sheet3!CJ9+273)^(4)) - 0.0000000448315*((Sheet3!CJ9+273)^(3)) + 0.0000228887*((Sheet3!CJ9+273)^(2)) - 0.00521331*((Sheet3!CJ9+273)) + 0.447905</f>
        <v>8.1059434674313202E-4</v>
      </c>
      <c r="O9" s="35">
        <f xml:space="preserve"> 0.0000000000330128*((Sheet3!CK9+273)^(4)) - 0.0000000448315*((Sheet3!CK9+273)^(3)) + 0.0000228887*((Sheet3!CK9+273)^(2)) - 0.00521331*((Sheet3!CK9+273)) + 0.447905</f>
        <v>8.6061181380303609E-4</v>
      </c>
      <c r="P9" s="35">
        <f xml:space="preserve"> 0.0000000000330128*((Sheet3!CL9+273)^(4)) - 0.0000000448315*((Sheet3!CL9+273)^(3)) + 0.0000228887*((Sheet3!CL9+273)^(2)) - 0.00521331*((Sheet3!CL9+273)) + 0.447905</f>
        <v>9.1539310802124518E-4</v>
      </c>
      <c r="Q9" s="35">
        <f xml:space="preserve"> 0.0000000000330128*((Sheet3!CM9+273)^(4)) - 0.0000000448315*((Sheet3!CM9+273)^(3)) + 0.0000228887*((Sheet3!CM9+273)^(2)) - 0.00521331*((Sheet3!CM9+273)) + 0.447905</f>
        <v>9.7501797945964697E-4</v>
      </c>
      <c r="R9" s="35">
        <f xml:space="preserve"> 0.0000000000330128*((Sheet3!CN9+273)^(4)) - 0.0000000448315*((Sheet3!CN9+273)^(3)) + 0.0000228887*((Sheet3!CN9+273)^(2)) - 0.00521331*((Sheet3!CN9+273)) + 0.447905</f>
        <v>1.0394221057061781E-3</v>
      </c>
      <c r="S9" s="35">
        <f xml:space="preserve"> 0.0000000000330128*((Sheet3!CO9+273)^(4)) - 0.0000000448315*((Sheet3!CO9+273)^(3)) + 0.0000228887*((Sheet3!CO9+273)^(2)) - 0.00521331*((Sheet3!CO9+273)) + 0.447905</f>
        <v>1.1083665406255161E-3</v>
      </c>
      <c r="T9" s="35">
        <f xml:space="preserve"> 0.0000000000330128*((Sheet3!CP9+273)^(4)) - 0.0000000448315*((Sheet3!CP9+273)^(3)) + 0.0000228887*((Sheet3!CP9+273)^(2)) - 0.00521331*((Sheet3!CP9+273)) + 0.447905</f>
        <v>1.1814104596981068E-3</v>
      </c>
      <c r="U9" s="289">
        <f>(Sheet3!DC9*0.014*0.001*C9) / (L9*0.00015*3600*3)</f>
        <v>2780.0411265153466</v>
      </c>
      <c r="V9" s="35">
        <f>(Sheet3!$DC9*0.014*0.001*D9) / (M9*0.00015*3600*3)</f>
        <v>4572.1414390490327</v>
      </c>
      <c r="W9" s="35">
        <f>(Sheet3!$DC9*0.014*0.001*E9) / (N9*0.00015*3600*3)</f>
        <v>4320.6551247129009</v>
      </c>
      <c r="X9" s="35">
        <f>(Sheet3!$DC9*0.014*0.001*F9) / (O9*0.00015*3600*3)</f>
        <v>4074.08697897091</v>
      </c>
      <c r="Y9" s="35">
        <f>(Sheet3!$DC9*0.014*0.001*G9) / (P9*0.00015*3600*3)</f>
        <v>3834.4990288862173</v>
      </c>
      <c r="Z9" s="35">
        <f>(Sheet3!$DC9*0.014*0.001*H9) / (Q9*0.00015*3600*3)</f>
        <v>3603.9104877912341</v>
      </c>
      <c r="AA9" s="35">
        <f>(Sheet3!$DC9*0.014*0.001*I9) / (R9*0.00015*3600*3)</f>
        <v>3384.1853910197951</v>
      </c>
      <c r="AB9" s="35">
        <f>(Sheet3!$DC9*0.014*0.001*J9) / (S9*0.00015*3600*3)</f>
        <v>3176.9380530500075</v>
      </c>
      <c r="AC9" s="35">
        <f>(Sheet3!$DC9*0.014*0.001*K9) / (T9*0.00015*3600*3)</f>
        <v>2983.4684485032926</v>
      </c>
      <c r="AD9" s="289">
        <f t="shared" si="0"/>
        <v>0.59146949565822082</v>
      </c>
      <c r="AE9" s="35">
        <f>_xlfn.FORECAST.LINEAR(Sheet3!CI9,$DA$3:$DA$12,$CZ$3:$CZ$12)/1000</f>
        <v>0.61370863219383398</v>
      </c>
      <c r="AF9" s="35">
        <f>_xlfn.FORECAST.LINEAR(Sheet3!CJ9,$DA$3:$DA$12,$CZ$3:$CZ$12)/1000</f>
        <v>0.61080944164198481</v>
      </c>
      <c r="AG9" s="35">
        <f>_xlfn.FORECAST.LINEAR(Sheet3!CK9,$DA$3:$DA$12,$CZ$3:$CZ$12)/1000</f>
        <v>0.60792594426812641</v>
      </c>
      <c r="AH9" s="35">
        <f>_xlfn.FORECAST.LINEAR(Sheet3!CL9,$DA$3:$DA$12,$CZ$3:$CZ$12)/1000</f>
        <v>0.60507355353360948</v>
      </c>
      <c r="AI9" s="35">
        <f>_xlfn.FORECAST.LINEAR(Sheet3!CM9,$DA$3:$DA$12,$CZ$3:$CZ$12)/1000</f>
        <v>0.60226768289978483</v>
      </c>
      <c r="AJ9" s="35">
        <f>_xlfn.FORECAST.LINEAR(Sheet3!CN9,$DA$3:$DA$12,$CZ$3:$CZ$12)/1000</f>
        <v>0.59952374582800327</v>
      </c>
      <c r="AK9" s="35">
        <f>_xlfn.FORECAST.LINEAR(Sheet3!CO9,$DA$3:$DA$12,$CZ$3:$CZ$12)/1000</f>
        <v>0.5968571557796154</v>
      </c>
      <c r="AL9" s="35">
        <f>_xlfn.FORECAST.LINEAR(Sheet3!CP9,$DA$3:$DA$12,$CZ$3:$CZ$12)/1000</f>
        <v>0.59428332621597213</v>
      </c>
      <c r="AM9" s="289">
        <f t="shared" si="1"/>
        <v>4189.4881588859062</v>
      </c>
      <c r="AN9" s="35">
        <f>_xlfn.FORECAST.LINEAR(Sheet3!CI9,$DP$3:$DP$14,$DJ$3:$DJ$14)*1000</f>
        <v>4191.4452335853703</v>
      </c>
      <c r="AO9" s="35">
        <f>_xlfn.FORECAST.LINEAR(Sheet3!CJ9,$DP$3:$DP$14,$DJ$3:$DJ$14)*1000</f>
        <v>4191.1901008166651</v>
      </c>
      <c r="AP9" s="35">
        <f>_xlfn.FORECAST.LINEAR(Sheet3!CK9,$DP$3:$DP$14,$DJ$3:$DJ$14)*1000</f>
        <v>4190.9363490692758</v>
      </c>
      <c r="AQ9" s="35">
        <f>_xlfn.FORECAST.LINEAR(Sheet3!CL9,$DP$3:$DP$14,$DJ$3:$DJ$14)*1000</f>
        <v>4190.6853347490669</v>
      </c>
      <c r="AR9" s="35">
        <f>_xlfn.FORECAST.LINEAR(Sheet3!CM9,$DP$3:$DP$14,$DJ$3:$DJ$14)*1000</f>
        <v>4190.4384142619056</v>
      </c>
      <c r="AS9" s="35">
        <f>_xlfn.FORECAST.LINEAR(Sheet3!CN9,$DP$3:$DP$14,$DJ$3:$DJ$14)*1000</f>
        <v>4190.1969440136563</v>
      </c>
      <c r="AT9" s="35">
        <f>_xlfn.FORECAST.LINEAR(Sheet3!CO9,$DP$3:$DP$14,$DJ$3:$DJ$14)*1000</f>
        <v>4189.9622804101846</v>
      </c>
      <c r="AU9" s="35">
        <f>_xlfn.FORECAST.LINEAR(Sheet3!CP9,$DP$3:$DP$14,$DJ$3:$DJ$14)*1000</f>
        <v>4189.7357798573566</v>
      </c>
      <c r="AV9" s="289">
        <f t="shared" si="18"/>
        <v>1.4107581913858048E-7</v>
      </c>
      <c r="AW9" s="35">
        <f t="shared" si="19"/>
        <v>1.4757271132236817E-7</v>
      </c>
      <c r="AX9" s="35">
        <f t="shared" si="20"/>
        <v>1.467196875021524E-7</v>
      </c>
      <c r="AY9" s="35">
        <f t="shared" si="21"/>
        <v>1.4587309490888649E-7</v>
      </c>
      <c r="AZ9" s="35">
        <f t="shared" si="22"/>
        <v>1.4503740901248336E-7</v>
      </c>
      <c r="BA9" s="35">
        <f t="shared" si="23"/>
        <v>1.4421706803404438E-7</v>
      </c>
      <c r="BB9" s="35">
        <f t="shared" si="24"/>
        <v>1.4341647453437743E-7</v>
      </c>
      <c r="BC9" s="35">
        <f t="shared" si="25"/>
        <v>1.4263999748360594E-7</v>
      </c>
      <c r="BD9" s="35">
        <f t="shared" si="26"/>
        <v>1.4189197480197132E-7</v>
      </c>
      <c r="BE9" s="289">
        <f t="shared" si="3"/>
        <v>8.990200611792341</v>
      </c>
      <c r="BF9" s="35">
        <f t="shared" si="27"/>
        <v>5.2257360615984449</v>
      </c>
      <c r="BG9" s="35">
        <f t="shared" si="28"/>
        <v>5.5620538423816086</v>
      </c>
      <c r="BH9" s="35">
        <f t="shared" si="29"/>
        <v>5.9329090441233312</v>
      </c>
      <c r="BI9" s="35">
        <f t="shared" si="30"/>
        <v>6.3399308247933845</v>
      </c>
      <c r="BJ9" s="35">
        <f t="shared" si="31"/>
        <v>6.7839482537926319</v>
      </c>
      <c r="BK9" s="35">
        <f t="shared" si="32"/>
        <v>7.2647386549385793</v>
      </c>
      <c r="BL9" s="35">
        <f t="shared" si="33"/>
        <v>7.7807796272855594</v>
      </c>
      <c r="BM9" s="35">
        <f t="shared" si="34"/>
        <v>8.3290199393816575</v>
      </c>
      <c r="BN9" s="289">
        <f t="shared" si="35"/>
        <v>1.714757105375903E-3</v>
      </c>
      <c r="BO9" s="35">
        <f t="shared" si="36"/>
        <v>1.793725932939949E-3</v>
      </c>
      <c r="BP9" s="35">
        <f t="shared" si="37"/>
        <v>1.7833575461696193E-3</v>
      </c>
      <c r="BQ9" s="35">
        <f t="shared" si="38"/>
        <v>1.7730673300750005E-3</v>
      </c>
      <c r="BR9" s="35">
        <f t="shared" si="39"/>
        <v>1.7629096833750226E-3</v>
      </c>
      <c r="BS9" s="35">
        <f t="shared" si="40"/>
        <v>1.752938552034453E-3</v>
      </c>
      <c r="BT9" s="35">
        <f t="shared" si="41"/>
        <v>1.7432074485721142E-3</v>
      </c>
      <c r="BU9" s="35">
        <f t="shared" si="42"/>
        <v>1.7337694772166987E-3</v>
      </c>
      <c r="BV9" s="35">
        <f t="shared" si="43"/>
        <v>1.7246773647898673E-3</v>
      </c>
      <c r="BW9" s="289">
        <f t="shared" si="44"/>
        <v>4.9715795935039532E-2</v>
      </c>
      <c r="BX9" s="35">
        <f t="shared" si="45"/>
        <v>4.3901290598258612E-2</v>
      </c>
      <c r="BY9" s="35">
        <f t="shared" si="46"/>
        <v>4.4526627392319842E-2</v>
      </c>
      <c r="BZ9" s="35">
        <f t="shared" si="47"/>
        <v>4.5185555706452288E-2</v>
      </c>
      <c r="CA9" s="35">
        <f t="shared" si="48"/>
        <v>4.587541899990312E-2</v>
      </c>
      <c r="CB9" s="35">
        <f t="shared" si="49"/>
        <v>4.6592252081115344E-2</v>
      </c>
      <c r="CC9" s="35">
        <f t="shared" si="50"/>
        <v>4.7330780405400466E-2</v>
      </c>
      <c r="CD9" s="35">
        <f t="shared" si="51"/>
        <v>4.8084490123333858E-2</v>
      </c>
      <c r="CE9" s="35">
        <f t="shared" si="52"/>
        <v>4.8845756435836121E-2</v>
      </c>
      <c r="CF9" s="289">
        <f t="shared" si="7"/>
        <v>11.728381607088657</v>
      </c>
      <c r="CG9" s="35">
        <f t="shared" si="8"/>
        <v>35.417643498995751</v>
      </c>
      <c r="CH9" s="35">
        <f t="shared" si="9"/>
        <v>33.962100790836232</v>
      </c>
      <c r="CI9" s="35">
        <f t="shared" si="10"/>
        <v>32.459827692555685</v>
      </c>
      <c r="CJ9" s="35">
        <f t="shared" si="11"/>
        <v>30.921589998227063</v>
      </c>
      <c r="CK9" s="35">
        <f t="shared" si="12"/>
        <v>29.360361041375295</v>
      </c>
      <c r="CL9" s="35">
        <f t="shared" si="13"/>
        <v>27.790859467051003</v>
      </c>
      <c r="CM9" s="35">
        <f t="shared" si="14"/>
        <v>26.228981818488769</v>
      </c>
      <c r="CN9" s="35">
        <f t="shared" si="15"/>
        <v>11.727857713134823</v>
      </c>
      <c r="CO9" s="289">
        <f t="shared" si="53"/>
        <v>495.49856814513441</v>
      </c>
      <c r="CP9" s="35">
        <f t="shared" si="54"/>
        <v>1552.5795390926799</v>
      </c>
      <c r="CQ9" s="35">
        <f t="shared" si="55"/>
        <v>1481.7408443599636</v>
      </c>
      <c r="CR9" s="35">
        <f t="shared" si="56"/>
        <v>1409.5122429126852</v>
      </c>
      <c r="CS9" s="35">
        <f t="shared" si="57"/>
        <v>1336.4168815097546</v>
      </c>
      <c r="CT9" s="35">
        <f t="shared" si="58"/>
        <v>1263.0569009635865</v>
      </c>
      <c r="CU9" s="35">
        <f t="shared" si="59"/>
        <v>1190.091440533289</v>
      </c>
      <c r="CV9" s="35">
        <f t="shared" si="60"/>
        <v>1118.2111062270321</v>
      </c>
      <c r="CW9" s="35">
        <f t="shared" si="61"/>
        <v>497.83359222495761</v>
      </c>
      <c r="CY9" s="324"/>
      <c r="CZ9" s="194">
        <v>70</v>
      </c>
      <c r="DA9" s="194">
        <v>659.69</v>
      </c>
      <c r="DB9" s="194">
        <v>0.56720000000000004</v>
      </c>
      <c r="DC9" s="198">
        <v>0.38119999999999998</v>
      </c>
      <c r="DE9" s="229">
        <v>10</v>
      </c>
      <c r="DF9" s="230">
        <v>1.3059000000000001</v>
      </c>
      <c r="DG9" s="230">
        <v>1.3063</v>
      </c>
      <c r="DH9" s="230">
        <v>0.99970000000000003</v>
      </c>
      <c r="DJ9" s="197">
        <v>50</v>
      </c>
      <c r="DK9" s="194">
        <v>72.540000000000006</v>
      </c>
      <c r="DL9" s="194">
        <v>4.0263999999999998</v>
      </c>
      <c r="DM9" s="194">
        <v>1.1180000000000001E-3</v>
      </c>
      <c r="DN9" s="194">
        <v>0.9617</v>
      </c>
      <c r="DO9" s="194">
        <v>75.334000000000003</v>
      </c>
      <c r="DP9" s="194">
        <v>4.1814999999999998</v>
      </c>
      <c r="DQ9" s="194">
        <v>1.1620000000000001E-3</v>
      </c>
      <c r="DR9" s="198">
        <v>0.99870000000000003</v>
      </c>
      <c r="DU9" s="197">
        <v>25</v>
      </c>
      <c r="DV9" s="194">
        <v>0.99704700000000002</v>
      </c>
      <c r="DW9" s="194">
        <v>997.05</v>
      </c>
      <c r="DX9" s="194">
        <v>1.9346000000000001</v>
      </c>
      <c r="DY9" s="194">
        <v>62.243600000000001</v>
      </c>
      <c r="DZ9" s="194">
        <v>8.3208000000000002</v>
      </c>
      <c r="EA9" s="194">
        <v>9.7776999999999994</v>
      </c>
      <c r="EB9" s="194">
        <v>62.244</v>
      </c>
      <c r="EC9" s="198">
        <v>2.57</v>
      </c>
    </row>
    <row r="10" spans="1:133" ht="15" thickBot="1" x14ac:dyDescent="0.35">
      <c r="A10" s="184" t="str">
        <f>'Su K. oro stendu'!B55</f>
        <v>01.12.2022</v>
      </c>
      <c r="B10" s="289">
        <f>Sheet3!DD10</f>
        <v>11.05</v>
      </c>
      <c r="C10" s="289">
        <f>_xlfn.FORECAST.LINEAR(Sheet3!DD10,$DW$3:$DW$24,$DU$3:$DU$24)</f>
        <v>1000.7592324304188</v>
      </c>
      <c r="D10" s="35">
        <f>_xlfn.FORECAST.LINEAR(Sheet3!CI10,'Cooling water'!$DW$3:$DW$24,'Cooling water'!$DU$3:$DU$24)</f>
        <v>991.46726853112114</v>
      </c>
      <c r="E10" s="35">
        <f>_xlfn.FORECAST.LINEAR(Sheet3!CJ10,'Cooling water'!$DW$3:$DW$24,'Cooling water'!$DU$3:$DU$24)</f>
        <v>992.30001115207517</v>
      </c>
      <c r="F10" s="35">
        <f>_xlfn.FORECAST.LINEAR(Sheet3!CK10,'Cooling water'!$DW$3:$DW$24,'Cooling water'!$DU$3:$DU$24)</f>
        <v>993.29104610926265</v>
      </c>
      <c r="G10" s="35">
        <f>_xlfn.FORECAST.LINEAR(Sheet3!CL10,'Cooling water'!$DW$3:$DW$24,'Cooling water'!$DU$3:$DU$24)</f>
        <v>994.40510961571567</v>
      </c>
      <c r="H10" s="35">
        <f>_xlfn.FORECAST.LINEAR(Sheet3!CM10,'Cooling water'!$DW$3:$DW$24,'Cooling water'!$DU$3:$DU$24)</f>
        <v>995.60693788446599</v>
      </c>
      <c r="I10" s="35">
        <f>_xlfn.FORECAST.LINEAR(Sheet3!CN10,'Cooling water'!$DW$3:$DW$24,'Cooling water'!$DU$3:$DU$24)</f>
        <v>996.86126712854582</v>
      </c>
      <c r="J10" s="35">
        <f>_xlfn.FORECAST.LINEAR(Sheet3!CO10,'Cooling water'!$DW$3:$DW$24,'Cooling water'!$DU$3:$DU$24)</f>
        <v>998.13283356098714</v>
      </c>
      <c r="K10" s="35">
        <f>_xlfn.FORECAST.LINEAR(Sheet3!CP10,'Cooling water'!$DW$3:$DW$24,'Cooling water'!$DU$3:$DU$24)</f>
        <v>999.38637339482182</v>
      </c>
      <c r="L10" s="289">
        <f t="shared" si="17"/>
        <v>1.2713555851842084E-3</v>
      </c>
      <c r="M10" s="35">
        <f xml:space="preserve"> 0.0000000000330128*((Sheet3!CI10+273)^(4)) - 0.0000000448315*((Sheet3!CI10+273)^(3)) + 0.0000228887*((Sheet3!CI10+273)^(2)) - 0.00521331*((Sheet3!CI10+273)) + 0.447905</f>
        <v>7.3821895586467789E-4</v>
      </c>
      <c r="N10" s="35">
        <f xml:space="preserve"> 0.0000000000330128*((Sheet3!CJ10+273)^(4)) - 0.0000000448315*((Sheet3!CJ10+273)^(3)) + 0.0000228887*((Sheet3!CJ10+273)^(2)) - 0.00521331*((Sheet3!CJ10+273)) + 0.447905</f>
        <v>7.6965472104117971E-4</v>
      </c>
      <c r="O10" s="35">
        <f xml:space="preserve"> 0.0000000000330128*((Sheet3!CK10+273)^(4)) - 0.0000000448315*((Sheet3!CK10+273)^(3)) + 0.0000228887*((Sheet3!CK10+273)^(2)) - 0.00521331*((Sheet3!CK10+273)) + 0.447905</f>
        <v>8.1025446764027009E-4</v>
      </c>
      <c r="P10" s="35">
        <f xml:space="preserve"> 0.0000000000330128*((Sheet3!CL10+273)^(4)) - 0.0000000448315*((Sheet3!CL10+273)^(3)) + 0.0000228887*((Sheet3!CL10+273)^(2)) - 0.00521331*((Sheet3!CL10+273)) + 0.447905</f>
        <v>8.6049569682589144E-4</v>
      </c>
      <c r="Q10" s="35">
        <f xml:space="preserve"> 0.0000000000330128*((Sheet3!CM10+273)^(4)) - 0.0000000448315*((Sheet3!CM10+273)^(3)) + 0.0000228887*((Sheet3!CM10+273)^(2)) - 0.00521331*((Sheet3!CM10+273)) + 0.447905</f>
        <v>9.2081833509616295E-4</v>
      </c>
      <c r="R10" s="35">
        <f xml:space="preserve"> 0.0000000000330128*((Sheet3!CN10+273)^(4)) - 0.0000000448315*((Sheet3!CN10+273)^(3)) + 0.0000228887*((Sheet3!CN10+273)^(2)) - 0.00521331*((Sheet3!CN10+273)) + 0.447905</f>
        <v>9.9140183333457088E-4</v>
      </c>
      <c r="S10" s="35">
        <f xml:space="preserve"> 0.0000000000330128*((Sheet3!CO10+273)^(4)) - 0.0000000448315*((Sheet3!CO10+273)^(3)) + 0.0000228887*((Sheet3!CO10+273)^(2)) - 0.00521331*((Sheet3!CO10+273)) + 0.447905</f>
        <v>1.0718926223118874E-3</v>
      </c>
      <c r="T10" s="35">
        <f xml:space="preserve"> 0.0000000000330128*((Sheet3!CP10+273)^(4)) - 0.0000000448315*((Sheet3!CP10+273)^(3)) + 0.0000228887*((Sheet3!CP10+273)^(2)) - 0.00521331*((Sheet3!CP10+273)) + 0.447905</f>
        <v>1.1611031262115379E-3</v>
      </c>
      <c r="U10" s="289">
        <f>(Sheet3!DC10*0.014*0.001*C10) / (L10*0.00015*3600*3)</f>
        <v>2775.4649952828736</v>
      </c>
      <c r="V10" s="35">
        <f>(Sheet3!$DC10*0.014*0.001*D10) / (M10*0.00015*3600*3)</f>
        <v>4735.5057995309198</v>
      </c>
      <c r="W10" s="35">
        <f>(Sheet3!$DC10*0.014*0.001*E10) / (N10*0.00015*3600*3)</f>
        <v>4545.9038189028252</v>
      </c>
      <c r="X10" s="35">
        <f>(Sheet3!$DC10*0.014*0.001*F10) / (O10*0.00015*3600*3)</f>
        <v>4322.4330026423777</v>
      </c>
      <c r="Y10" s="35">
        <f>(Sheet3!$DC10*0.014*0.001*G10) / (P10*0.00015*3600*3)</f>
        <v>4074.6267178331882</v>
      </c>
      <c r="Z10" s="35">
        <f>(Sheet3!$DC10*0.014*0.001*H10) / (Q10*0.00015*3600*3)</f>
        <v>3812.3006249131204</v>
      </c>
      <c r="AA10" s="35">
        <f>(Sheet3!$DC10*0.014*0.001*I10) / (R10*0.00015*3600*3)</f>
        <v>3545.3424314313747</v>
      </c>
      <c r="AB10" s="35">
        <f>(Sheet3!$DC10*0.014*0.001*J10) / (S10*0.00015*3600*3)</f>
        <v>3283.2975636869087</v>
      </c>
      <c r="AC10" s="35">
        <f>(Sheet3!$DC10*0.014*0.001*K10) / (T10*0.00015*3600*3)</f>
        <v>3034.8400968200535</v>
      </c>
      <c r="AD10" s="289">
        <f t="shared" si="0"/>
        <v>0.5914047524367726</v>
      </c>
      <c r="AE10" s="35">
        <f>_xlfn.FORECAST.LINEAR(Sheet3!CI10,$DA$3:$DA$12,$CZ$3:$CZ$12)/1000</f>
        <v>0.61557385691764843</v>
      </c>
      <c r="AF10" s="35">
        <f>_xlfn.FORECAST.LINEAR(Sheet3!CJ10,$DA$3:$DA$12,$CZ$3:$CZ$12)/1000</f>
        <v>0.61340783005512056</v>
      </c>
      <c r="AG10" s="35">
        <f>_xlfn.FORECAST.LINEAR(Sheet3!CK10,$DA$3:$DA$12,$CZ$3:$CZ$12)/1000</f>
        <v>0.61083007279260315</v>
      </c>
      <c r="AH10" s="35">
        <f>_xlfn.FORECAST.LINEAR(Sheet3!CL10,$DA$3:$DA$12,$CZ$3:$CZ$12)/1000</f>
        <v>0.60793230892076677</v>
      </c>
      <c r="AI10" s="35">
        <f>_xlfn.FORECAST.LINEAR(Sheet3!CM10,$DA$3:$DA$12,$CZ$3:$CZ$12)/1000</f>
        <v>0.60480626223028255</v>
      </c>
      <c r="AJ10" s="35">
        <f>_xlfn.FORECAST.LINEAR(Sheet3!CN10,$DA$3:$DA$12,$CZ$3:$CZ$12)/1000</f>
        <v>0.6015436565118214</v>
      </c>
      <c r="AK10" s="35">
        <f>_xlfn.FORECAST.LINEAR(Sheet3!CO10,$DA$3:$DA$12,$CZ$3:$CZ$12)/1000</f>
        <v>0.59823621555605411</v>
      </c>
      <c r="AL10" s="35">
        <f>_xlfn.FORECAST.LINEAR(Sheet3!CP10,$DA$3:$DA$12,$CZ$3:$CZ$12)/1000</f>
        <v>0.59497566315365191</v>
      </c>
      <c r="AM10" s="289">
        <f t="shared" si="1"/>
        <v>4189.4824613930896</v>
      </c>
      <c r="AN10" s="35">
        <f>_xlfn.FORECAST.LINEAR(Sheet3!CI10,$DP$3:$DP$14,$DJ$3:$DJ$14)*1000</f>
        <v>4191.6093759346004</v>
      </c>
      <c r="AO10" s="35">
        <f>_xlfn.FORECAST.LINEAR(Sheet3!CJ10,$DP$3:$DP$14,$DJ$3:$DJ$14)*1000</f>
        <v>4191.4187625821341</v>
      </c>
      <c r="AP10" s="35">
        <f>_xlfn.FORECAST.LINEAR(Sheet3!CK10,$DP$3:$DP$14,$DJ$3:$DJ$14)*1000</f>
        <v>4191.1919163863849</v>
      </c>
      <c r="AQ10" s="35">
        <f>_xlfn.FORECAST.LINEAR(Sheet3!CL10,$DP$3:$DP$14,$DJ$3:$DJ$14)*1000</f>
        <v>4190.9369091674898</v>
      </c>
      <c r="AR10" s="35">
        <f>_xlfn.FORECAST.LINEAR(Sheet3!CM10,$DP$3:$DP$14,$DJ$3:$DJ$14)*1000</f>
        <v>4190.6618127455804</v>
      </c>
      <c r="AS10" s="35">
        <f>_xlfn.FORECAST.LINEAR(Sheet3!CN10,$DP$3:$DP$14,$DJ$3:$DJ$14)*1000</f>
        <v>4190.3746989407928</v>
      </c>
      <c r="AT10" s="35">
        <f>_xlfn.FORECAST.LINEAR(Sheet3!CO10,$DP$3:$DP$14,$DJ$3:$DJ$14)*1000</f>
        <v>4190.0836395732613</v>
      </c>
      <c r="AU10" s="35">
        <f>_xlfn.FORECAST.LINEAR(Sheet3!CP10,$DP$3:$DP$14,$DJ$3:$DJ$14)*1000</f>
        <v>4189.7967064631202</v>
      </c>
      <c r="AV10" s="289">
        <f t="shared" si="18"/>
        <v>1.4105706011711562E-7</v>
      </c>
      <c r="AW10" s="35">
        <f t="shared" si="19"/>
        <v>1.4812248274246229E-7</v>
      </c>
      <c r="AX10" s="35">
        <f t="shared" si="20"/>
        <v>1.4748412162534247E-7</v>
      </c>
      <c r="AY10" s="35">
        <f t="shared" si="21"/>
        <v>1.4672575130235379E-7</v>
      </c>
      <c r="AZ10" s="35">
        <f t="shared" si="22"/>
        <v>1.4587496157843845E-7</v>
      </c>
      <c r="BA10" s="35">
        <f t="shared" si="23"/>
        <v>1.4495918890810102E-7</v>
      </c>
      <c r="BB10" s="35">
        <f t="shared" si="24"/>
        <v>1.4400566287447887E-7</v>
      </c>
      <c r="BC10" s="35">
        <f t="shared" si="25"/>
        <v>1.4304137178037493E-7</v>
      </c>
      <c r="BD10" s="35">
        <f t="shared" si="26"/>
        <v>1.4209304697287632E-7</v>
      </c>
      <c r="BE10" s="289">
        <f t="shared" si="3"/>
        <v>9.0062210429951346</v>
      </c>
      <c r="BF10" s="35">
        <f t="shared" si="27"/>
        <v>5.0267331240952853</v>
      </c>
      <c r="BG10" s="35">
        <f t="shared" si="28"/>
        <v>5.2590545480843254</v>
      </c>
      <c r="BH10" s="35">
        <f t="shared" si="29"/>
        <v>5.5595363199199985</v>
      </c>
      <c r="BI10" s="35">
        <f t="shared" si="30"/>
        <v>5.932047241261925</v>
      </c>
      <c r="BJ10" s="35">
        <f t="shared" si="31"/>
        <v>6.3802881589446647</v>
      </c>
      <c r="BK10" s="35">
        <f t="shared" si="32"/>
        <v>6.9061407495817591</v>
      </c>
      <c r="BL10" s="35">
        <f t="shared" si="33"/>
        <v>7.5076025545422507</v>
      </c>
      <c r="BM10" s="35">
        <f t="shared" si="34"/>
        <v>8.1764454503558532</v>
      </c>
      <c r="BN10" s="289">
        <f t="shared" si="35"/>
        <v>1.7145290920597784E-3</v>
      </c>
      <c r="BO10" s="35">
        <f t="shared" si="36"/>
        <v>1.8004083286523773E-3</v>
      </c>
      <c r="BP10" s="35">
        <f t="shared" si="37"/>
        <v>1.7926491374028724E-3</v>
      </c>
      <c r="BQ10" s="35">
        <f t="shared" si="38"/>
        <v>1.7834312508239279E-3</v>
      </c>
      <c r="BR10" s="35">
        <f t="shared" si="39"/>
        <v>1.7730900191857014E-3</v>
      </c>
      <c r="BS10" s="35">
        <f t="shared" si="40"/>
        <v>1.7619589288049493E-3</v>
      </c>
      <c r="BT10" s="35">
        <f t="shared" si="41"/>
        <v>1.7503689515055202E-3</v>
      </c>
      <c r="BU10" s="35">
        <f t="shared" si="42"/>
        <v>1.7386481263821081E-3</v>
      </c>
      <c r="BV10" s="35">
        <f t="shared" si="43"/>
        <v>1.7271213692681545E-3</v>
      </c>
      <c r="BW10" s="289">
        <f t="shared" si="44"/>
        <v>4.9736275879552413E-2</v>
      </c>
      <c r="BX10" s="35">
        <f t="shared" si="45"/>
        <v>4.3517667409912017E-2</v>
      </c>
      <c r="BY10" s="35">
        <f t="shared" si="46"/>
        <v>4.3964500286994057E-2</v>
      </c>
      <c r="BZ10" s="35">
        <f t="shared" si="47"/>
        <v>4.4522048077770215E-2</v>
      </c>
      <c r="CA10" s="35">
        <f t="shared" si="48"/>
        <v>4.5184059274160762E-2</v>
      </c>
      <c r="CB10" s="35">
        <f t="shared" si="49"/>
        <v>4.5942054940369452E-2</v>
      </c>
      <c r="CC10" s="35">
        <f t="shared" si="50"/>
        <v>4.6783494114627386E-2</v>
      </c>
      <c r="CD10" s="35">
        <f t="shared" si="51"/>
        <v>4.7690254581355424E-2</v>
      </c>
      <c r="CE10" s="35">
        <f t="shared" si="52"/>
        <v>4.8637724515701336E-2</v>
      </c>
      <c r="CF10" s="289">
        <f t="shared" si="7"/>
        <v>11.728393648588051</v>
      </c>
      <c r="CG10" s="35">
        <f t="shared" si="8"/>
        <v>36.324881922803243</v>
      </c>
      <c r="CH10" s="35">
        <f t="shared" si="9"/>
        <v>35.269198904305746</v>
      </c>
      <c r="CI10" s="35">
        <f t="shared" si="10"/>
        <v>33.972654109774957</v>
      </c>
      <c r="CJ10" s="35">
        <f t="shared" si="11"/>
        <v>32.463202768446962</v>
      </c>
      <c r="CK10" s="35">
        <f t="shared" si="12"/>
        <v>30.774871013046663</v>
      </c>
      <c r="CL10" s="35">
        <f t="shared" si="13"/>
        <v>28.950173525439098</v>
      </c>
      <c r="CM10" s="35">
        <f t="shared" si="14"/>
        <v>27.040976076128132</v>
      </c>
      <c r="CN10" s="35">
        <f t="shared" si="15"/>
        <v>25.107541987228995</v>
      </c>
      <c r="CO10" s="289">
        <f t="shared" si="53"/>
        <v>495.44483873030237</v>
      </c>
      <c r="CP10" s="35">
        <f t="shared" si="54"/>
        <v>1597.1891190927254</v>
      </c>
      <c r="CQ10" s="35">
        <f t="shared" si="55"/>
        <v>1545.3144834051873</v>
      </c>
      <c r="CR10" s="35">
        <f t="shared" si="56"/>
        <v>1482.2513416308404</v>
      </c>
      <c r="CS10" s="35">
        <f t="shared" si="57"/>
        <v>1409.673558141785</v>
      </c>
      <c r="CT10" s="35">
        <f t="shared" si="58"/>
        <v>1329.4881934299872</v>
      </c>
      <c r="CU10" s="35">
        <f t="shared" si="59"/>
        <v>1243.9138027960259</v>
      </c>
      <c r="CV10" s="35">
        <f t="shared" si="60"/>
        <v>1155.4922280517637</v>
      </c>
      <c r="CW10" s="35">
        <f t="shared" si="61"/>
        <v>1067.0268888578378</v>
      </c>
      <c r="CY10" s="324"/>
      <c r="CZ10" s="194">
        <v>80</v>
      </c>
      <c r="DA10" s="194">
        <v>667.02</v>
      </c>
      <c r="DB10" s="194">
        <v>0.57350000000000001</v>
      </c>
      <c r="DC10" s="198">
        <v>0.38540000000000002</v>
      </c>
      <c r="DE10" s="229">
        <v>11</v>
      </c>
      <c r="DF10" s="230">
        <v>1.2692000000000001</v>
      </c>
      <c r="DG10" s="230">
        <v>1.2696000000000001</v>
      </c>
      <c r="DH10" s="230">
        <v>0.99960000000000004</v>
      </c>
      <c r="DJ10" s="197">
        <v>60</v>
      </c>
      <c r="DK10" s="194">
        <v>71.644000000000005</v>
      </c>
      <c r="DL10" s="194">
        <v>3.9767000000000001</v>
      </c>
      <c r="DM10" s="194">
        <v>1.1050000000000001E-3</v>
      </c>
      <c r="DN10" s="194">
        <v>0.94979999999999998</v>
      </c>
      <c r="DO10" s="194">
        <v>75.399000000000001</v>
      </c>
      <c r="DP10" s="194">
        <v>4.1851000000000003</v>
      </c>
      <c r="DQ10" s="194">
        <v>1.163E-3</v>
      </c>
      <c r="DR10" s="198">
        <v>0.99960000000000004</v>
      </c>
      <c r="DU10" s="197">
        <v>30</v>
      </c>
      <c r="DV10" s="194">
        <v>0.9956488</v>
      </c>
      <c r="DW10" s="194">
        <v>995.65</v>
      </c>
      <c r="DX10" s="194">
        <v>1.9319</v>
      </c>
      <c r="DY10" s="194">
        <v>62.156300000000002</v>
      </c>
      <c r="DZ10" s="194">
        <v>8.3091000000000008</v>
      </c>
      <c r="EA10" s="194">
        <v>9.7639999999999993</v>
      </c>
      <c r="EB10" s="194">
        <v>62.155999999999999</v>
      </c>
      <c r="EC10" s="198">
        <v>3.03</v>
      </c>
    </row>
    <row r="11" spans="1:133" ht="15" thickBot="1" x14ac:dyDescent="0.35">
      <c r="A11" s="184" t="str">
        <f>'Su K. oro stendu'!B56</f>
        <v>02.12.2022</v>
      </c>
      <c r="B11" s="289">
        <f>Sheet3!DD11</f>
        <v>10.85</v>
      </c>
      <c r="C11" s="289">
        <f>_xlfn.FORECAST.LINEAR(Sheet3!DD11,$DW$3:$DW$24,$DU$3:$DU$24)</f>
        <v>1000.8422022231001</v>
      </c>
      <c r="D11" s="35">
        <f>_xlfn.FORECAST.LINEAR(Sheet3!CI11,'Cooling water'!$DW$3:$DW$24,'Cooling water'!$DU$3:$DU$24)</f>
        <v>991.46726853112114</v>
      </c>
      <c r="E11" s="35">
        <f>_xlfn.FORECAST.LINEAR(Sheet3!CJ11,'Cooling water'!$DW$3:$DW$24,'Cooling water'!$DU$3:$DU$24)</f>
        <v>992.30001115207517</v>
      </c>
      <c r="F11" s="35">
        <f>_xlfn.FORECAST.LINEAR(Sheet3!CK11,'Cooling water'!$DW$3:$DW$24,'Cooling water'!$DU$3:$DU$24)</f>
        <v>993.29104610926265</v>
      </c>
      <c r="G11" s="35">
        <f>_xlfn.FORECAST.LINEAR(Sheet3!CL11,'Cooling water'!$DW$3:$DW$24,'Cooling water'!$DU$3:$DU$24)</f>
        <v>994.40510961571567</v>
      </c>
      <c r="H11" s="35">
        <f>_xlfn.FORECAST.LINEAR(Sheet3!CM11,'Cooling water'!$DW$3:$DW$24,'Cooling water'!$DU$3:$DU$24)</f>
        <v>995.60693788446599</v>
      </c>
      <c r="I11" s="35">
        <f>_xlfn.FORECAST.LINEAR(Sheet3!CN11,'Cooling water'!$DW$3:$DW$24,'Cooling water'!$DU$3:$DU$24)</f>
        <v>996.86126712854582</v>
      </c>
      <c r="J11" s="35">
        <f>_xlfn.FORECAST.LINEAR(Sheet3!CO11,'Cooling water'!$DW$3:$DW$24,'Cooling water'!$DU$3:$DU$24)</f>
        <v>998.13283356098714</v>
      </c>
      <c r="K11" s="35">
        <f>_xlfn.FORECAST.LINEAR(Sheet3!CP11,'Cooling water'!$DW$3:$DW$24,'Cooling water'!$DU$3:$DU$24)</f>
        <v>999.38637339482182</v>
      </c>
      <c r="L11" s="289">
        <f t="shared" si="17"/>
        <v>1.2784713499864875E-3</v>
      </c>
      <c r="M11" s="35">
        <f xml:space="preserve"> 0.0000000000330128*((Sheet3!CI11+273)^(4)) - 0.0000000448315*((Sheet3!CI11+273)^(3)) + 0.0000228887*((Sheet3!CI11+273)^(2)) - 0.00521331*((Sheet3!CI11+273)) + 0.447905</f>
        <v>7.3821895586467789E-4</v>
      </c>
      <c r="N11" s="35">
        <f xml:space="preserve"> 0.0000000000330128*((Sheet3!CJ11+273)^(4)) - 0.0000000448315*((Sheet3!CJ11+273)^(3)) + 0.0000228887*((Sheet3!CJ11+273)^(2)) - 0.00521331*((Sheet3!CJ11+273)) + 0.447905</f>
        <v>7.6965472104117971E-4</v>
      </c>
      <c r="O11" s="35">
        <f xml:space="preserve"> 0.0000000000330128*((Sheet3!CK11+273)^(4)) - 0.0000000448315*((Sheet3!CK11+273)^(3)) + 0.0000228887*((Sheet3!CK11+273)^(2)) - 0.00521331*((Sheet3!CK11+273)) + 0.447905</f>
        <v>8.1025446764027009E-4</v>
      </c>
      <c r="P11" s="35">
        <f xml:space="preserve"> 0.0000000000330128*((Sheet3!CL11+273)^(4)) - 0.0000000448315*((Sheet3!CL11+273)^(3)) + 0.0000228887*((Sheet3!CL11+273)^(2)) - 0.00521331*((Sheet3!CL11+273)) + 0.447905</f>
        <v>8.6049569682589144E-4</v>
      </c>
      <c r="Q11" s="35">
        <f xml:space="preserve"> 0.0000000000330128*((Sheet3!CM11+273)^(4)) - 0.0000000448315*((Sheet3!CM11+273)^(3)) + 0.0000228887*((Sheet3!CM11+273)^(2)) - 0.00521331*((Sheet3!CM11+273)) + 0.447905</f>
        <v>9.2081833509616295E-4</v>
      </c>
      <c r="R11" s="35">
        <f xml:space="preserve"> 0.0000000000330128*((Sheet3!CN11+273)^(4)) - 0.0000000448315*((Sheet3!CN11+273)^(3)) + 0.0000228887*((Sheet3!CN11+273)^(2)) - 0.00521331*((Sheet3!CN11+273)) + 0.447905</f>
        <v>9.9140183333457088E-4</v>
      </c>
      <c r="S11" s="35">
        <f xml:space="preserve"> 0.0000000000330128*((Sheet3!CO11+273)^(4)) - 0.0000000448315*((Sheet3!CO11+273)^(3)) + 0.0000228887*((Sheet3!CO11+273)^(2)) - 0.00521331*((Sheet3!CO11+273)) + 0.447905</f>
        <v>1.0718926223118874E-3</v>
      </c>
      <c r="T11" s="35">
        <f xml:space="preserve"> 0.0000000000330128*((Sheet3!CP11+273)^(4)) - 0.0000000448315*((Sheet3!CP11+273)^(3)) + 0.0000228887*((Sheet3!CP11+273)^(2)) - 0.00521331*((Sheet3!CP11+273)) + 0.447905</f>
        <v>1.1611031262115379E-3</v>
      </c>
      <c r="U11" s="289">
        <f>(Sheet3!DC11*0.014*0.001*C11) / (L11*0.00015*3600*3)</f>
        <v>2922.613443786388</v>
      </c>
      <c r="V11" s="35">
        <f>(Sheet3!$DC11*0.014*0.001*D11) / (M11*0.00015*3600*3)</f>
        <v>5014.0649642092103</v>
      </c>
      <c r="W11" s="35">
        <f>(Sheet3!$DC11*0.014*0.001*E11) / (N11*0.00015*3600*3)</f>
        <v>4813.3099258971097</v>
      </c>
      <c r="X11" s="35">
        <f>(Sheet3!$DC11*0.014*0.001*F11) / (O11*0.00015*3600*3)</f>
        <v>4576.6937675036943</v>
      </c>
      <c r="Y11" s="35">
        <f>(Sheet3!$DC11*0.014*0.001*G11) / (P11*0.00015*3600*3)</f>
        <v>4314.3106424116113</v>
      </c>
      <c r="Z11" s="35">
        <f>(Sheet3!$DC11*0.014*0.001*H11) / (Q11*0.00015*3600*3)</f>
        <v>4036.5536028491865</v>
      </c>
      <c r="AA11" s="35">
        <f>(Sheet3!$DC11*0.014*0.001*I11) / (R11*0.00015*3600*3)</f>
        <v>3753.8919862214557</v>
      </c>
      <c r="AB11" s="35">
        <f>(Sheet3!$DC11*0.014*0.001*J11) / (S11*0.00015*3600*3)</f>
        <v>3476.4327144920212</v>
      </c>
      <c r="AC11" s="35">
        <f>(Sheet3!$DC11*0.014*0.001*K11) / (T11*0.00015*3600*3)</f>
        <v>3213.3601025153512</v>
      </c>
      <c r="AD11" s="289">
        <f t="shared" si="0"/>
        <v>0.59118894169861169</v>
      </c>
      <c r="AE11" s="35">
        <f>_xlfn.FORECAST.LINEAR(Sheet3!CI11,$DA$3:$DA$12,$CZ$3:$CZ$12)/1000</f>
        <v>0.61557385691764843</v>
      </c>
      <c r="AF11" s="35">
        <f>_xlfn.FORECAST.LINEAR(Sheet3!CJ11,$DA$3:$DA$12,$CZ$3:$CZ$12)/1000</f>
        <v>0.61340783005512056</v>
      </c>
      <c r="AG11" s="35">
        <f>_xlfn.FORECAST.LINEAR(Sheet3!CK11,$DA$3:$DA$12,$CZ$3:$CZ$12)/1000</f>
        <v>0.61083007279260315</v>
      </c>
      <c r="AH11" s="35">
        <f>_xlfn.FORECAST.LINEAR(Sheet3!CL11,$DA$3:$DA$12,$CZ$3:$CZ$12)/1000</f>
        <v>0.60793230892076677</v>
      </c>
      <c r="AI11" s="35">
        <f>_xlfn.FORECAST.LINEAR(Sheet3!CM11,$DA$3:$DA$12,$CZ$3:$CZ$12)/1000</f>
        <v>0.60480626223028255</v>
      </c>
      <c r="AJ11" s="35">
        <f>_xlfn.FORECAST.LINEAR(Sheet3!CN11,$DA$3:$DA$12,$CZ$3:$CZ$12)/1000</f>
        <v>0.6015436565118214</v>
      </c>
      <c r="AK11" s="35">
        <f>_xlfn.FORECAST.LINEAR(Sheet3!CO11,$DA$3:$DA$12,$CZ$3:$CZ$12)/1000</f>
        <v>0.59823621555605411</v>
      </c>
      <c r="AL11" s="35">
        <f>_xlfn.FORECAST.LINEAR(Sheet3!CP11,$DA$3:$DA$12,$CZ$3:$CZ$12)/1000</f>
        <v>0.59497566315365191</v>
      </c>
      <c r="AM11" s="289">
        <f t="shared" si="1"/>
        <v>4189.4634697503679</v>
      </c>
      <c r="AN11" s="35">
        <f>_xlfn.FORECAST.LINEAR(Sheet3!CI11,$DP$3:$DP$14,$DJ$3:$DJ$14)*1000</f>
        <v>4191.6093759346004</v>
      </c>
      <c r="AO11" s="35">
        <f>_xlfn.FORECAST.LINEAR(Sheet3!CJ11,$DP$3:$DP$14,$DJ$3:$DJ$14)*1000</f>
        <v>4191.4187625821341</v>
      </c>
      <c r="AP11" s="35">
        <f>_xlfn.FORECAST.LINEAR(Sheet3!CK11,$DP$3:$DP$14,$DJ$3:$DJ$14)*1000</f>
        <v>4191.1919163863849</v>
      </c>
      <c r="AQ11" s="35">
        <f>_xlfn.FORECAST.LINEAR(Sheet3!CL11,$DP$3:$DP$14,$DJ$3:$DJ$14)*1000</f>
        <v>4190.9369091674898</v>
      </c>
      <c r="AR11" s="35">
        <f>_xlfn.FORECAST.LINEAR(Sheet3!CM11,$DP$3:$DP$14,$DJ$3:$DJ$14)*1000</f>
        <v>4190.6618127455804</v>
      </c>
      <c r="AS11" s="35">
        <f>_xlfn.FORECAST.LINEAR(Sheet3!CN11,$DP$3:$DP$14,$DJ$3:$DJ$14)*1000</f>
        <v>4190.3746989407928</v>
      </c>
      <c r="AT11" s="35">
        <f>_xlfn.FORECAST.LINEAR(Sheet3!CO11,$DP$3:$DP$14,$DJ$3:$DJ$14)*1000</f>
        <v>4190.0836395732613</v>
      </c>
      <c r="AU11" s="35">
        <f>_xlfn.FORECAST.LINEAR(Sheet3!CP11,$DP$3:$DP$14,$DJ$3:$DJ$14)*1000</f>
        <v>4189.7967064631202</v>
      </c>
      <c r="AV11" s="289">
        <f t="shared" si="18"/>
        <v>1.4099453648488272E-7</v>
      </c>
      <c r="AW11" s="35">
        <f t="shared" si="19"/>
        <v>1.4812248274246229E-7</v>
      </c>
      <c r="AX11" s="35">
        <f t="shared" si="20"/>
        <v>1.4748412162534247E-7</v>
      </c>
      <c r="AY11" s="35">
        <f t="shared" si="21"/>
        <v>1.4672575130235379E-7</v>
      </c>
      <c r="AZ11" s="35">
        <f t="shared" si="22"/>
        <v>1.4587496157843845E-7</v>
      </c>
      <c r="BA11" s="35">
        <f t="shared" si="23"/>
        <v>1.4495918890810102E-7</v>
      </c>
      <c r="BB11" s="35">
        <f t="shared" si="24"/>
        <v>1.4400566287447887E-7</v>
      </c>
      <c r="BC11" s="35">
        <f t="shared" si="25"/>
        <v>1.4304137178037493E-7</v>
      </c>
      <c r="BD11" s="35">
        <f t="shared" si="26"/>
        <v>1.4209304697287632E-7</v>
      </c>
      <c r="BE11" s="289">
        <f t="shared" si="3"/>
        <v>9.0598937837057392</v>
      </c>
      <c r="BF11" s="35">
        <f t="shared" si="27"/>
        <v>5.0267331240952853</v>
      </c>
      <c r="BG11" s="35">
        <f t="shared" si="28"/>
        <v>5.2590545480843254</v>
      </c>
      <c r="BH11" s="35">
        <f t="shared" si="29"/>
        <v>5.5595363199199985</v>
      </c>
      <c r="BI11" s="35">
        <f t="shared" si="30"/>
        <v>5.932047241261925</v>
      </c>
      <c r="BJ11" s="35">
        <f t="shared" si="31"/>
        <v>6.3802881589446647</v>
      </c>
      <c r="BK11" s="35">
        <f t="shared" si="32"/>
        <v>6.9061407495817591</v>
      </c>
      <c r="BL11" s="35">
        <f t="shared" si="33"/>
        <v>7.5076025545422507</v>
      </c>
      <c r="BM11" s="35">
        <f t="shared" si="34"/>
        <v>8.1764454503558532</v>
      </c>
      <c r="BN11" s="289">
        <f t="shared" si="35"/>
        <v>1.6185597300560515E-3</v>
      </c>
      <c r="BO11" s="35">
        <f t="shared" si="36"/>
        <v>1.7003856437272449E-3</v>
      </c>
      <c r="BP11" s="35">
        <f t="shared" si="37"/>
        <v>1.693057518658268E-3</v>
      </c>
      <c r="BQ11" s="35">
        <f t="shared" si="38"/>
        <v>1.684351736889265E-3</v>
      </c>
      <c r="BR11" s="35">
        <f t="shared" si="39"/>
        <v>1.6745850181198289E-3</v>
      </c>
      <c r="BS11" s="35">
        <f t="shared" si="40"/>
        <v>1.664072321649119E-3</v>
      </c>
      <c r="BT11" s="35">
        <f t="shared" si="41"/>
        <v>1.6531262319774357E-3</v>
      </c>
      <c r="BU11" s="35">
        <f t="shared" si="42"/>
        <v>1.6420565638053241E-3</v>
      </c>
      <c r="BV11" s="35">
        <f t="shared" si="43"/>
        <v>1.6311701820865903E-3</v>
      </c>
      <c r="BW11" s="289">
        <f t="shared" si="44"/>
        <v>4.9098062848766798E-2</v>
      </c>
      <c r="BX11" s="35">
        <f t="shared" si="45"/>
        <v>4.2900239108083521E-2</v>
      </c>
      <c r="BY11" s="35">
        <f t="shared" si="46"/>
        <v>4.3340732324036679E-2</v>
      </c>
      <c r="BZ11" s="35">
        <f t="shared" si="47"/>
        <v>4.3890369631412969E-2</v>
      </c>
      <c r="CA11" s="35">
        <f t="shared" si="48"/>
        <v>4.4542988218477089E-2</v>
      </c>
      <c r="CB11" s="35">
        <f t="shared" si="49"/>
        <v>4.5290229448503062E-2</v>
      </c>
      <c r="CC11" s="35">
        <f t="shared" si="50"/>
        <v>4.611973029078284E-2</v>
      </c>
      <c r="CD11" s="35">
        <f t="shared" si="51"/>
        <v>4.7013625647580631E-2</v>
      </c>
      <c r="CE11" s="35">
        <f t="shared" si="52"/>
        <v>4.794765288640964E-2</v>
      </c>
      <c r="CF11" s="289">
        <f t="shared" si="7"/>
        <v>11.73346183949003</v>
      </c>
      <c r="CG11" s="35">
        <f t="shared" si="8"/>
        <v>38.657184018922216</v>
      </c>
      <c r="CH11" s="35">
        <f t="shared" si="9"/>
        <v>37.566212766479531</v>
      </c>
      <c r="CI11" s="35">
        <f t="shared" si="10"/>
        <v>36.226312410950911</v>
      </c>
      <c r="CJ11" s="35">
        <f t="shared" si="11"/>
        <v>34.666419125933608</v>
      </c>
      <c r="CK11" s="35">
        <f t="shared" si="12"/>
        <v>32.921791370945876</v>
      </c>
      <c r="CL11" s="35">
        <f t="shared" si="13"/>
        <v>31.036504606284829</v>
      </c>
      <c r="CM11" s="35">
        <f t="shared" si="14"/>
        <v>29.064320953288082</v>
      </c>
      <c r="CN11" s="35">
        <f t="shared" si="15"/>
        <v>27.067663836472043</v>
      </c>
      <c r="CO11" s="289">
        <f t="shared" si="53"/>
        <v>495.47806338208255</v>
      </c>
      <c r="CP11" s="35">
        <f t="shared" si="54"/>
        <v>1699.7394188645164</v>
      </c>
      <c r="CQ11" s="35">
        <f t="shared" si="55"/>
        <v>1645.9577897482268</v>
      </c>
      <c r="CR11" s="35">
        <f t="shared" si="56"/>
        <v>1580.5800747849091</v>
      </c>
      <c r="CS11" s="35">
        <f t="shared" si="57"/>
        <v>1505.3454443745607</v>
      </c>
      <c r="CT11" s="35">
        <f t="shared" si="58"/>
        <v>1422.2361132133531</v>
      </c>
      <c r="CU11" s="35">
        <f t="shared" si="59"/>
        <v>1333.5580333007547</v>
      </c>
      <c r="CV11" s="35">
        <f t="shared" si="60"/>
        <v>1241.9520982001134</v>
      </c>
      <c r="CW11" s="35">
        <f t="shared" si="61"/>
        <v>1150.3286600803624</v>
      </c>
      <c r="CY11" s="324"/>
      <c r="CZ11" s="194">
        <v>90</v>
      </c>
      <c r="DA11" s="194">
        <v>672.88</v>
      </c>
      <c r="DB11" s="194">
        <v>0.5786</v>
      </c>
      <c r="DC11" s="198">
        <v>0.38879999999999998</v>
      </c>
      <c r="DE11" s="229">
        <v>12</v>
      </c>
      <c r="DF11" s="230">
        <v>1.234</v>
      </c>
      <c r="DG11" s="230">
        <v>1.2346999999999999</v>
      </c>
      <c r="DH11" s="230">
        <v>0.99950000000000006</v>
      </c>
      <c r="DJ11" s="197">
        <v>70</v>
      </c>
      <c r="DK11" s="194">
        <v>70.715999999999994</v>
      </c>
      <c r="DL11" s="194">
        <v>3.9251999999999998</v>
      </c>
      <c r="DM11" s="194">
        <v>1.09E-3</v>
      </c>
      <c r="DN11" s="194">
        <v>0.9375</v>
      </c>
      <c r="DO11" s="194">
        <v>75.491</v>
      </c>
      <c r="DP11" s="194">
        <v>4.1901999999999999</v>
      </c>
      <c r="DQ11" s="194">
        <v>1.1640000000000001E-3</v>
      </c>
      <c r="DR11" s="198">
        <v>1.0007999999999999</v>
      </c>
      <c r="DU11" s="197">
        <v>35</v>
      </c>
      <c r="DV11" s="194">
        <v>0.99403260000000004</v>
      </c>
      <c r="DW11" s="194">
        <v>994.03</v>
      </c>
      <c r="DX11" s="194">
        <v>1.9287000000000001</v>
      </c>
      <c r="DY11" s="194">
        <v>62.055399999999999</v>
      </c>
      <c r="DZ11" s="194">
        <v>8.2956000000000003</v>
      </c>
      <c r="EA11" s="194">
        <v>9.7481000000000009</v>
      </c>
      <c r="EB11" s="194">
        <v>62.055</v>
      </c>
      <c r="EC11" s="198">
        <v>3.45</v>
      </c>
    </row>
    <row r="12" spans="1:133" ht="15" thickBot="1" x14ac:dyDescent="0.35">
      <c r="A12" s="184" t="str">
        <f>'Su K. oro stendu'!B57</f>
        <v>05.12.2022</v>
      </c>
      <c r="B12" s="289">
        <f>Sheet3!DD12</f>
        <v>10.44</v>
      </c>
      <c r="C12" s="289">
        <f>_xlfn.FORECAST.LINEAR(Sheet3!DD12,$DW$3:$DW$24,$DU$3:$DU$24)</f>
        <v>1001.0122902980969</v>
      </c>
      <c r="D12" s="35">
        <f>_xlfn.FORECAST.LINEAR(Sheet3!CI12,'Cooling water'!$DW$3:$DW$24,'Cooling water'!$DU$3:$DU$24)</f>
        <v>991.97545515903869</v>
      </c>
      <c r="E12" s="35">
        <f>_xlfn.FORECAST.LINEAR(Sheet3!CJ12,'Cooling water'!$DW$3:$DW$24,'Cooling water'!$DU$3:$DU$24)</f>
        <v>992.89804076755445</v>
      </c>
      <c r="F12" s="35">
        <f>_xlfn.FORECAST.LINEAR(Sheet3!CK12,'Cooling water'!$DW$3:$DW$24,'Cooling water'!$DU$3:$DU$24)</f>
        <v>993.91864595561708</v>
      </c>
      <c r="G12" s="35">
        <f>_xlfn.FORECAST.LINEAR(Sheet3!CL12,'Cooling water'!$DW$3:$DW$24,'Cooling water'!$DU$3:$DU$24)</f>
        <v>995.01491788552426</v>
      </c>
      <c r="H12" s="35">
        <f>_xlfn.FORECAST.LINEAR(Sheet3!CM12,'Cooling water'!$DW$3:$DW$24,'Cooling water'!$DU$3:$DU$24)</f>
        <v>996.16450371957376</v>
      </c>
      <c r="I12" s="35">
        <f>_xlfn.FORECAST.LINEAR(Sheet3!CN12,'Cooling water'!$DW$3:$DW$24,'Cooling water'!$DU$3:$DU$24)</f>
        <v>997.34505062006349</v>
      </c>
      <c r="J12" s="35">
        <f>_xlfn.FORECAST.LINEAR(Sheet3!CO12,'Cooling water'!$DW$3:$DW$24,'Cooling water'!$DU$3:$DU$24)</f>
        <v>998.53420574929146</v>
      </c>
      <c r="K12" s="35">
        <f>_xlfn.FORECAST.LINEAR(Sheet3!CP12,'Cooling water'!$DW$3:$DW$24,'Cooling water'!$DU$3:$DU$24)</f>
        <v>999.70961626955523</v>
      </c>
      <c r="L12" s="289">
        <f t="shared" si="17"/>
        <v>1.2932270337193685E-3</v>
      </c>
      <c r="M12" s="35">
        <f xml:space="preserve"> 0.0000000000330128*((Sheet3!CI12+273)^(4)) - 0.0000000448315*((Sheet3!CI12+273)^(3)) + 0.0000228887*((Sheet3!CI12+273)^(2)) - 0.00521331*((Sheet3!CI12+273)) + 0.447905</f>
        <v>7.5712590437349014E-4</v>
      </c>
      <c r="N12" s="35">
        <f xml:space="preserve"> 0.0000000000330128*((Sheet3!CJ12+273)^(4)) - 0.0000000448315*((Sheet3!CJ12+273)^(3)) + 0.0000228887*((Sheet3!CJ12+273)^(2)) - 0.00521331*((Sheet3!CJ12+273)) + 0.447905</f>
        <v>7.9371750529366736E-4</v>
      </c>
      <c r="O12" s="35">
        <f xml:space="preserve"> 0.0000000000330128*((Sheet3!CK12+273)^(4)) - 0.0000000448315*((Sheet3!CK12+273)^(3)) + 0.0000228887*((Sheet3!CK12+273)^(2)) - 0.00521331*((Sheet3!CK12+273)) + 0.447905</f>
        <v>8.3792385333358865E-4</v>
      </c>
      <c r="P12" s="35">
        <f xml:space="preserve"> 0.0000000000330128*((Sheet3!CL12+273)^(4)) - 0.0000000448315*((Sheet3!CL12+273)^(3)) + 0.0000228887*((Sheet3!CL12+273)^(2)) - 0.00521331*((Sheet3!CL12+273)) + 0.447905</f>
        <v>8.9026248669354935E-4</v>
      </c>
      <c r="Q12" s="35">
        <f xml:space="preserve"> 0.0000000000330128*((Sheet3!CM12+273)^(4)) - 0.0000000448315*((Sheet3!CM12+273)^(3)) + 0.0000228887*((Sheet3!CM12+273)^(2)) - 0.00521331*((Sheet3!CM12+273)) + 0.447905</f>
        <v>9.511771637376043E-4</v>
      </c>
      <c r="R12" s="35">
        <f xml:space="preserve"> 0.0000000000330128*((Sheet3!CN12+273)^(4)) - 0.0000000448315*((Sheet3!CN12+273)^(3)) + 0.0000228887*((Sheet3!CN12+273)^(2)) - 0.00521331*((Sheet3!CN12+273)) + 0.447905</f>
        <v>1.0209082734908836E-3</v>
      </c>
      <c r="S12" s="35">
        <f xml:space="preserve"> 0.0000000000330128*((Sheet3!CO12+273)^(4)) - 0.0000000448315*((Sheet3!CO12+273)^(3)) + 0.0000228887*((Sheet3!CO12+273)^(2)) - 0.00521331*((Sheet3!CO12+273)) + 0.447905</f>
        <v>1.0993392606211128E-3</v>
      </c>
      <c r="T12" s="35">
        <f xml:space="preserve"> 0.0000000000330128*((Sheet3!CP12+273)^(4)) - 0.0000000448315*((Sheet3!CP12+273)^(3)) + 0.0000228887*((Sheet3!CP12+273)^(2)) - 0.00521331*((Sheet3!CP12+273)) + 0.447905</f>
        <v>1.1858295240676497E-3</v>
      </c>
      <c r="U12" s="289">
        <f>(Sheet3!DC12*0.014*0.001*C12) / (L12*0.00015*3600*3)</f>
        <v>3030.2318476904625</v>
      </c>
      <c r="V12" s="35">
        <f>(Sheet3!$DC12*0.014*0.001*D12) / (M12*0.00015*3600*3)</f>
        <v>5129.133985981799</v>
      </c>
      <c r="W12" s="35">
        <f>(Sheet3!$DC12*0.014*0.001*E12) / (N12*0.00015*3600*3)</f>
        <v>4897.2234247993201</v>
      </c>
      <c r="X12" s="35">
        <f>(Sheet3!$DC12*0.014*0.001*F12) / (O12*0.00015*3600*3)</f>
        <v>4643.6289221601492</v>
      </c>
      <c r="Y12" s="35">
        <f>(Sheet3!$DC12*0.014*0.001*G12) / (P12*0.00015*3600*3)</f>
        <v>4375.4501618586755</v>
      </c>
      <c r="Z12" s="35">
        <f>(Sheet3!$DC12*0.014*0.001*H12) / (Q12*0.00015*3600*3)</f>
        <v>4099.9718094891632</v>
      </c>
      <c r="AA12" s="35">
        <f>(Sheet3!$DC12*0.014*0.001*I12) / (R12*0.00015*3600*3)</f>
        <v>3824.4583583390086</v>
      </c>
      <c r="AB12" s="35">
        <f>(Sheet3!$DC12*0.014*0.001*J12) / (S12*0.00015*3600*3)</f>
        <v>3555.8418058844663</v>
      </c>
      <c r="AC12" s="35">
        <f>(Sheet3!$DC12*0.014*0.001*K12) / (T12*0.00015*3600*3)</f>
        <v>3300.3715431710061</v>
      </c>
      <c r="AD12" s="289">
        <f t="shared" si="0"/>
        <v>0.59074652968538177</v>
      </c>
      <c r="AE12" s="35">
        <f>_xlfn.FORECAST.LINEAR(Sheet3!CI12,$DA$3:$DA$12,$CZ$3:$CZ$12)/1000</f>
        <v>0.6142520248658847</v>
      </c>
      <c r="AF12" s="35">
        <f>_xlfn.FORECAST.LINEAR(Sheet3!CJ12,$DA$3:$DA$12,$CZ$3:$CZ$12)/1000</f>
        <v>0.611852309562809</v>
      </c>
      <c r="AG12" s="35">
        <f>_xlfn.FORECAST.LINEAR(Sheet3!CK12,$DA$3:$DA$12,$CZ$3:$CZ$12)/1000</f>
        <v>0.60919763788184467</v>
      </c>
      <c r="AH12" s="35">
        <f>_xlfn.FORECAST.LINEAR(Sheet3!CL12,$DA$3:$DA$12,$CZ$3:$CZ$12)/1000</f>
        <v>0.60634615125312674</v>
      </c>
      <c r="AI12" s="35">
        <f>_xlfn.FORECAST.LINEAR(Sheet3!CM12,$DA$3:$DA$12,$CZ$3:$CZ$12)/1000</f>
        <v>0.60335599110679017</v>
      </c>
      <c r="AJ12" s="35">
        <f>_xlfn.FORECAST.LINEAR(Sheet3!CN12,$DA$3:$DA$12,$CZ$3:$CZ$12)/1000</f>
        <v>0.60028529887296989</v>
      </c>
      <c r="AK12" s="35">
        <f>_xlfn.FORECAST.LINEAR(Sheet3!CO12,$DA$3:$DA$12,$CZ$3:$CZ$12)/1000</f>
        <v>0.59719221598180083</v>
      </c>
      <c r="AL12" s="35">
        <f>_xlfn.FORECAST.LINEAR(Sheet3!CP12,$DA$3:$DA$12,$CZ$3:$CZ$12)/1000</f>
        <v>0.59413488386341784</v>
      </c>
      <c r="AM12" s="289">
        <f t="shared" si="1"/>
        <v>4189.4245368827878</v>
      </c>
      <c r="AN12" s="35">
        <f>_xlfn.FORECAST.LINEAR(Sheet3!CI12,$DP$3:$DP$14,$DJ$3:$DJ$14)*1000</f>
        <v>4191.4930528902541</v>
      </c>
      <c r="AO12" s="35">
        <f>_xlfn.FORECAST.LINEAR(Sheet3!CJ12,$DP$3:$DP$14,$DJ$3:$DJ$14)*1000</f>
        <v>4191.2818746325893</v>
      </c>
      <c r="AP12" s="35">
        <f>_xlfn.FORECAST.LINEAR(Sheet3!CK12,$DP$3:$DP$14,$DJ$3:$DJ$14)*1000</f>
        <v>4191.0482598618946</v>
      </c>
      <c r="AQ12" s="35">
        <f>_xlfn.FORECAST.LINEAR(Sheet3!CL12,$DP$3:$DP$14,$DJ$3:$DJ$14)*1000</f>
        <v>4190.7973251042449</v>
      </c>
      <c r="AR12" s="35">
        <f>_xlfn.FORECAST.LINEAR(Sheet3!CM12,$DP$3:$DP$14,$DJ$3:$DJ$14)*1000</f>
        <v>4190.5341868857095</v>
      </c>
      <c r="AS12" s="35">
        <f>_xlfn.FORECAST.LINEAR(Sheet3!CN12,$DP$3:$DP$14,$DJ$3:$DJ$14)*1000</f>
        <v>4190.2639617323621</v>
      </c>
      <c r="AT12" s="35">
        <f>_xlfn.FORECAST.LINEAR(Sheet3!CO12,$DP$3:$DP$14,$DJ$3:$DJ$14)*1000</f>
        <v>4189.9917661702739</v>
      </c>
      <c r="AU12" s="35">
        <f>_xlfn.FORECAST.LINEAR(Sheet3!CP12,$DP$3:$DP$14,$DJ$3:$DJ$14)*1000</f>
        <v>4189.7227167255187</v>
      </c>
      <c r="AV12" s="289">
        <f t="shared" si="18"/>
        <v>1.4086639400082023E-7</v>
      </c>
      <c r="AW12" s="35">
        <f t="shared" si="19"/>
        <v>1.4773279680172268E-7</v>
      </c>
      <c r="AX12" s="35">
        <f t="shared" si="20"/>
        <v>1.4702631781666554E-7</v>
      </c>
      <c r="AY12" s="35">
        <f t="shared" si="21"/>
        <v>1.4624624058771759E-7</v>
      </c>
      <c r="AZ12" s="35">
        <f t="shared" si="22"/>
        <v>1.4541003373855171E-7</v>
      </c>
      <c r="BA12" s="35">
        <f t="shared" si="23"/>
        <v>1.4453505064484397E-7</v>
      </c>
      <c r="BB12" s="35">
        <f t="shared" si="24"/>
        <v>1.4363850916794996E-7</v>
      </c>
      <c r="BC12" s="35">
        <f t="shared" si="25"/>
        <v>1.4273747903512453E-7</v>
      </c>
      <c r="BD12" s="35">
        <f t="shared" si="26"/>
        <v>1.4184887670692421E-7</v>
      </c>
      <c r="BE12" s="289">
        <f t="shared" si="3"/>
        <v>9.1712380768609947</v>
      </c>
      <c r="BF12" s="35">
        <f t="shared" si="27"/>
        <v>5.1664265478614118</v>
      </c>
      <c r="BG12" s="35">
        <f t="shared" si="28"/>
        <v>5.4370862731448861</v>
      </c>
      <c r="BH12" s="35">
        <f t="shared" si="29"/>
        <v>5.7645977085873534</v>
      </c>
      <c r="BI12" s="35">
        <f t="shared" si="30"/>
        <v>6.1531018877012142</v>
      </c>
      <c r="BJ12" s="35">
        <f t="shared" si="31"/>
        <v>6.6062829924264905</v>
      </c>
      <c r="BK12" s="35">
        <f t="shared" si="32"/>
        <v>7.1264033196797039</v>
      </c>
      <c r="BL12" s="35">
        <f t="shared" si="33"/>
        <v>7.7131320987789831</v>
      </c>
      <c r="BM12" s="35">
        <f t="shared" si="34"/>
        <v>8.3622373135932122</v>
      </c>
      <c r="BN12" s="289">
        <f t="shared" si="35"/>
        <v>1.5421243295129659E-3</v>
      </c>
      <c r="BO12" s="35">
        <f t="shared" si="36"/>
        <v>1.6172937614460786E-3</v>
      </c>
      <c r="BP12" s="35">
        <f t="shared" si="37"/>
        <v>1.6095596355115429E-3</v>
      </c>
      <c r="BQ12" s="35">
        <f t="shared" si="38"/>
        <v>1.6010197982977592E-3</v>
      </c>
      <c r="BR12" s="35">
        <f t="shared" si="39"/>
        <v>1.5918654862579654E-3</v>
      </c>
      <c r="BS12" s="35">
        <f t="shared" si="40"/>
        <v>1.5822866741765588E-3</v>
      </c>
      <c r="BT12" s="35">
        <f t="shared" si="41"/>
        <v>1.5724718533050336E-3</v>
      </c>
      <c r="BU12" s="35">
        <f t="shared" si="42"/>
        <v>1.5626078932078774E-3</v>
      </c>
      <c r="BV12" s="35">
        <f t="shared" si="43"/>
        <v>1.5528799855738422E-3</v>
      </c>
      <c r="BW12" s="289">
        <f t="shared" si="44"/>
        <v>4.8656205530990176E-2</v>
      </c>
      <c r="BX12" s="35">
        <f t="shared" si="45"/>
        <v>4.2657577736848404E-2</v>
      </c>
      <c r="BY12" s="35">
        <f t="shared" si="46"/>
        <v>4.3153867359586179E-2</v>
      </c>
      <c r="BZ12" s="35">
        <f t="shared" si="47"/>
        <v>4.3731344027175149E-2</v>
      </c>
      <c r="CA12" s="35">
        <f t="shared" si="48"/>
        <v>4.4386562907839759E-2</v>
      </c>
      <c r="CB12" s="35">
        <f t="shared" si="49"/>
        <v>4.5114067421810566E-2</v>
      </c>
      <c r="CC12" s="35">
        <f t="shared" si="50"/>
        <v>4.5905499545269138E-2</v>
      </c>
      <c r="CD12" s="35">
        <f t="shared" si="51"/>
        <v>4.6748921271186995E-2</v>
      </c>
      <c r="CE12" s="35">
        <f t="shared" si="52"/>
        <v>4.7628454956964376E-2</v>
      </c>
      <c r="CF12" s="289">
        <f t="shared" si="7"/>
        <v>26.03871793593412</v>
      </c>
      <c r="CG12" s="35">
        <f t="shared" si="8"/>
        <v>39.994951007125593</v>
      </c>
      <c r="CH12" s="35">
        <f t="shared" si="9"/>
        <v>38.728371248004869</v>
      </c>
      <c r="CI12" s="35">
        <f t="shared" si="10"/>
        <v>37.28036447828643</v>
      </c>
      <c r="CJ12" s="35">
        <f t="shared" si="11"/>
        <v>35.671161612890423</v>
      </c>
      <c r="CK12" s="35">
        <f t="shared" si="12"/>
        <v>33.926369748422921</v>
      </c>
      <c r="CL12" s="35">
        <f t="shared" si="13"/>
        <v>32.077865610493618</v>
      </c>
      <c r="CM12" s="35">
        <f t="shared" si="14"/>
        <v>30.163736899133564</v>
      </c>
      <c r="CN12" s="35">
        <f t="shared" si="15"/>
        <v>28.227273190953824</v>
      </c>
      <c r="CO12" s="289">
        <f t="shared" si="53"/>
        <v>1098.7344470078278</v>
      </c>
      <c r="CP12" s="35">
        <f t="shared" si="54"/>
        <v>1754.7842600384822</v>
      </c>
      <c r="CQ12" s="35">
        <f t="shared" si="55"/>
        <v>1692.5745281212619</v>
      </c>
      <c r="CR12" s="35">
        <f t="shared" si="56"/>
        <v>1622.2221413961659</v>
      </c>
      <c r="CS12" s="35">
        <f t="shared" si="57"/>
        <v>1544.9336824788845</v>
      </c>
      <c r="CT12" s="35">
        <f t="shared" si="58"/>
        <v>1462.1198888725096</v>
      </c>
      <c r="CU12" s="35">
        <f t="shared" si="59"/>
        <v>1375.4193675144375</v>
      </c>
      <c r="CV12" s="35">
        <f t="shared" si="60"/>
        <v>1286.6820629346848</v>
      </c>
      <c r="CW12" s="35">
        <f t="shared" si="61"/>
        <v>1197.914834220594</v>
      </c>
      <c r="CY12" s="325"/>
      <c r="CZ12" s="201">
        <v>99.6</v>
      </c>
      <c r="DA12" s="201">
        <v>677.03</v>
      </c>
      <c r="DB12" s="201">
        <v>0.58209999999999995</v>
      </c>
      <c r="DC12" s="202">
        <v>0.39119999999999999</v>
      </c>
      <c r="DE12" s="229">
        <v>13</v>
      </c>
      <c r="DF12" s="230">
        <v>1.2004999999999999</v>
      </c>
      <c r="DG12" s="230">
        <v>1.2012</v>
      </c>
      <c r="DH12" s="230">
        <v>0.99939999999999996</v>
      </c>
      <c r="DJ12" s="197">
        <v>80</v>
      </c>
      <c r="DK12" s="194">
        <v>69.774000000000001</v>
      </c>
      <c r="DL12" s="194">
        <v>3.8729</v>
      </c>
      <c r="DM12" s="194">
        <v>1.0759999999999999E-3</v>
      </c>
      <c r="DN12" s="194">
        <v>0.92500000000000004</v>
      </c>
      <c r="DO12" s="194">
        <v>75.611000000000004</v>
      </c>
      <c r="DP12" s="194">
        <v>4.1969000000000003</v>
      </c>
      <c r="DQ12" s="194">
        <v>1.1659999999999999E-3</v>
      </c>
      <c r="DR12" s="198">
        <v>1.0024</v>
      </c>
      <c r="DU12" s="197">
        <v>40</v>
      </c>
      <c r="DV12" s="194">
        <v>0.99221519999999996</v>
      </c>
      <c r="DW12" s="194">
        <v>992.22</v>
      </c>
      <c r="DX12" s="194">
        <v>1.9252</v>
      </c>
      <c r="DY12" s="194">
        <v>61.942</v>
      </c>
      <c r="DZ12" s="194">
        <v>8.2804000000000002</v>
      </c>
      <c r="EA12" s="194">
        <v>9.7302999999999997</v>
      </c>
      <c r="EB12" s="194">
        <v>61.942</v>
      </c>
      <c r="EC12" s="198">
        <v>3.84</v>
      </c>
    </row>
    <row r="13" spans="1:133" ht="15" thickBot="1" x14ac:dyDescent="0.35">
      <c r="A13" s="184" t="str">
        <f>'Su K. oro stendu'!B58</f>
        <v>06.12.2022</v>
      </c>
      <c r="B13" s="289">
        <f>Sheet3!DD13</f>
        <v>10.42</v>
      </c>
      <c r="C13" s="289">
        <f>_xlfn.FORECAST.LINEAR(Sheet3!DD13,$DW$3:$DW$24,$DU$3:$DU$24)</f>
        <v>1001.0205872773651</v>
      </c>
      <c r="D13" s="35">
        <f>_xlfn.FORECAST.LINEAR(Sheet3!CI13,'Cooling water'!$DW$3:$DW$24,'Cooling water'!$DU$3:$DU$24)</f>
        <v>991.97315730306639</v>
      </c>
      <c r="E13" s="35">
        <f>_xlfn.FORECAST.LINEAR(Sheet3!CJ13,'Cooling water'!$DW$3:$DW$24,'Cooling water'!$DU$3:$DU$24)</f>
        <v>992.90889186395418</v>
      </c>
      <c r="F13" s="35">
        <f>_xlfn.FORECAST.LINEAR(Sheet3!CK13,'Cooling water'!$DW$3:$DW$24,'Cooling water'!$DU$3:$DU$24)</f>
        <v>993.94089286289261</v>
      </c>
      <c r="G13" s="35">
        <f>_xlfn.FORECAST.LINEAR(Sheet3!CL13,'Cooling water'!$DW$3:$DW$24,'Cooling water'!$DU$3:$DU$24)</f>
        <v>995.04642152635529</v>
      </c>
      <c r="H13" s="35">
        <f>_xlfn.FORECAST.LINEAR(Sheet3!CM13,'Cooling water'!$DW$3:$DW$24,'Cooling water'!$DU$3:$DU$24)</f>
        <v>996.20273908081572</v>
      </c>
      <c r="I13" s="35">
        <f>_xlfn.FORECAST.LINEAR(Sheet3!CN13,'Cooling water'!$DW$3:$DW$24,'Cooling water'!$DU$3:$DU$24)</f>
        <v>997.3871067527474</v>
      </c>
      <c r="J13" s="35">
        <f>_xlfn.FORECAST.LINEAR(Sheet3!CO13,'Cooling water'!$DW$3:$DW$24,'Cooling water'!$DU$3:$DU$24)</f>
        <v>998.57678576862418</v>
      </c>
      <c r="K13" s="35">
        <f>_xlfn.FORECAST.LINEAR(Sheet3!CP13,'Cooling water'!$DW$3:$DW$24,'Cooling water'!$DU$3:$DU$24)</f>
        <v>999.74903735491944</v>
      </c>
      <c r="L13" s="289">
        <f t="shared" si="17"/>
        <v>1.2939526525708178E-3</v>
      </c>
      <c r="M13" s="35">
        <f xml:space="preserve"> 0.0000000000330128*((Sheet3!CI13+273)^(4)) - 0.0000000448315*((Sheet3!CI13+273)^(3)) + 0.0000228887*((Sheet3!CI13+273)^(2)) - 0.00521331*((Sheet3!CI13+273)) + 0.447905</f>
        <v>7.5703848544561581E-4</v>
      </c>
      <c r="N13" s="35">
        <f xml:space="preserve"> 0.0000000000330128*((Sheet3!CJ13+273)^(4)) - 0.0000000448315*((Sheet3!CJ13+273)^(3)) + 0.0000228887*((Sheet3!CJ13+273)^(2)) - 0.00521331*((Sheet3!CJ13+273)) + 0.447905</f>
        <v>7.9416622499239864E-4</v>
      </c>
      <c r="O13" s="35">
        <f xml:space="preserve"> 0.0000000000330128*((Sheet3!CK13+273)^(4)) - 0.0000000448315*((Sheet3!CK13+273)^(3)) + 0.0000228887*((Sheet3!CK13+273)^(2)) - 0.00521331*((Sheet3!CK13+273)) + 0.447905</f>
        <v>8.3893418944924747E-4</v>
      </c>
      <c r="P13" s="35">
        <f xml:space="preserve"> 0.0000000000330128*((Sheet3!CL13+273)^(4)) - 0.0000000448315*((Sheet3!CL13+273)^(3)) + 0.0000228887*((Sheet3!CL13+273)^(2)) - 0.00521331*((Sheet3!CL13+273)) + 0.447905</f>
        <v>8.9184647548679052E-4</v>
      </c>
      <c r="Q13" s="35">
        <f xml:space="preserve"> 0.0000000000330128*((Sheet3!CM13+273)^(4)) - 0.0000000448315*((Sheet3!CM13+273)^(3)) + 0.0000228887*((Sheet3!CM13+273)^(2)) - 0.00521331*((Sheet3!CM13+273)) + 0.447905</f>
        <v>9.533174058737881E-4</v>
      </c>
      <c r="R13" s="35">
        <f xml:space="preserve"> 0.0000000000330128*((Sheet3!CN13+273)^(4)) - 0.0000000448315*((Sheet3!CN13+273)^(3)) + 0.0000228887*((Sheet3!CN13+273)^(2)) - 0.00521331*((Sheet3!CN13+273)) + 0.447905</f>
        <v>1.0235367050448474E-3</v>
      </c>
      <c r="S13" s="35">
        <f xml:space="preserve"> 0.0000000000330128*((Sheet3!CO13+273)^(4)) - 0.0000000448315*((Sheet3!CO13+273)^(3)) + 0.0000228887*((Sheet3!CO13+273)^(2)) - 0.00521331*((Sheet3!CO13+273)) + 0.447905</f>
        <v>1.1023113178492139E-3</v>
      </c>
      <c r="T13" s="35">
        <f xml:space="preserve"> 0.0000000000330128*((Sheet3!CP13+273)^(4)) - 0.0000000448315*((Sheet3!CP13+273)^(3)) + 0.0000228887*((Sheet3!CP13+273)^(2)) - 0.00521331*((Sheet3!CP13+273)) + 0.447905</f>
        <v>1.1888955537537882E-3</v>
      </c>
      <c r="U13" s="289">
        <f>(Sheet3!DC13*0.014*0.001*C13) / (L13*0.00015*3600*3)</f>
        <v>3128.8410321233737</v>
      </c>
      <c r="V13" s="35">
        <f>(Sheet3!$DC13*0.014*0.001*D13) / (M13*0.00015*3600*3)</f>
        <v>5299.5724817488372</v>
      </c>
      <c r="W13" s="35">
        <f>(Sheet3!$DC13*0.014*0.001*E13) / (N13*0.00015*3600*3)</f>
        <v>5056.579750136184</v>
      </c>
      <c r="X13" s="35">
        <f>(Sheet3!$DC13*0.014*0.001*F13) / (O13*0.00015*3600*3)</f>
        <v>4791.7211776582017</v>
      </c>
      <c r="Y13" s="35">
        <f>(Sheet3!$DC13*0.014*0.001*G13) / (P13*0.00015*3600*3)</f>
        <v>4512.4470210077097</v>
      </c>
      <c r="Z13" s="35">
        <f>(Sheet3!$DC13*0.014*0.001*H13) / (Q13*0.00015*3600*3)</f>
        <v>4226.3852613944237</v>
      </c>
      <c r="AA13" s="35">
        <f>(Sheet3!$DC13*0.014*0.001*I13) / (R13*0.00015*3600*3)</f>
        <v>3941.1158612918716</v>
      </c>
      <c r="AB13" s="35">
        <f>(Sheet3!$DC13*0.014*0.001*J13) / (S13*0.00015*3600*3)</f>
        <v>3663.8364027988314</v>
      </c>
      <c r="AC13" s="35">
        <f>(Sheet3!$DC13*0.014*0.001*K13) / (T13*0.00015*3600*3)</f>
        <v>3400.9963509428276</v>
      </c>
      <c r="AD13" s="289">
        <f t="shared" si="0"/>
        <v>0.59072494861156566</v>
      </c>
      <c r="AE13" s="35">
        <f>_xlfn.FORECAST.LINEAR(Sheet3!CI13,$DA$3:$DA$12,$CZ$3:$CZ$12)/1000</f>
        <v>0.6142580017639524</v>
      </c>
      <c r="AF13" s="35">
        <f>_xlfn.FORECAST.LINEAR(Sheet3!CJ13,$DA$3:$DA$12,$CZ$3:$CZ$12)/1000</f>
        <v>0.61182408503616859</v>
      </c>
      <c r="AG13" s="35">
        <f>_xlfn.FORECAST.LINEAR(Sheet3!CK13,$DA$3:$DA$12,$CZ$3:$CZ$12)/1000</f>
        <v>0.60913977198480207</v>
      </c>
      <c r="AH13" s="35">
        <f>_xlfn.FORECAST.LINEAR(Sheet3!CL13,$DA$3:$DA$12,$CZ$3:$CZ$12)/1000</f>
        <v>0.60626420788840585</v>
      </c>
      <c r="AI13" s="35">
        <f>_xlfn.FORECAST.LINEAR(Sheet3!CM13,$DA$3:$DA$12,$CZ$3:$CZ$12)/1000</f>
        <v>0.60325653802553247</v>
      </c>
      <c r="AJ13" s="35">
        <f>_xlfn.FORECAST.LINEAR(Sheet3!CN13,$DA$3:$DA$12,$CZ$3:$CZ$12)/1000</f>
        <v>0.60017590767473505</v>
      </c>
      <c r="AK13" s="35">
        <f>_xlfn.FORECAST.LINEAR(Sheet3!CO13,$DA$3:$DA$12,$CZ$3:$CZ$12)/1000</f>
        <v>0.59708146211456614</v>
      </c>
      <c r="AL13" s="35">
        <f>_xlfn.FORECAST.LINEAR(Sheet3!CP13,$DA$3:$DA$12,$CZ$3:$CZ$12)/1000</f>
        <v>0.59403234662357907</v>
      </c>
      <c r="AM13" s="289">
        <f t="shared" si="1"/>
        <v>4189.4226377185159</v>
      </c>
      <c r="AN13" s="35">
        <f>_xlfn.FORECAST.LINEAR(Sheet3!CI13,$DP$3:$DP$14,$DJ$3:$DJ$14)*1000</f>
        <v>4191.4935788655312</v>
      </c>
      <c r="AO13" s="35">
        <f>_xlfn.FORECAST.LINEAR(Sheet3!CJ13,$DP$3:$DP$14,$DJ$3:$DJ$14)*1000</f>
        <v>4191.2793908353015</v>
      </c>
      <c r="AP13" s="35">
        <f>_xlfn.FORECAST.LINEAR(Sheet3!CK13,$DP$3:$DP$14,$DJ$3:$DJ$14)*1000</f>
        <v>4191.0431675831151</v>
      </c>
      <c r="AQ13" s="35">
        <f>_xlfn.FORECAST.LINEAR(Sheet3!CL13,$DP$3:$DP$14,$DJ$3:$DJ$14)*1000</f>
        <v>4190.7901139750875</v>
      </c>
      <c r="AR13" s="35">
        <f>_xlfn.FORECAST.LINEAR(Sheet3!CM13,$DP$3:$DP$14,$DJ$3:$DJ$14)*1000</f>
        <v>4190.5254348773387</v>
      </c>
      <c r="AS13" s="35">
        <f>_xlfn.FORECAST.LINEAR(Sheet3!CN13,$DP$3:$DP$14,$DJ$3:$DJ$14)*1000</f>
        <v>4190.2543351559852</v>
      </c>
      <c r="AT13" s="35">
        <f>_xlfn.FORECAST.LINEAR(Sheet3!CO13,$DP$3:$DP$14,$DJ$3:$DJ$14)*1000</f>
        <v>4189.9820196771461</v>
      </c>
      <c r="AU13" s="35">
        <f>_xlfn.FORECAST.LINEAR(Sheet3!CP13,$DP$3:$DP$14,$DJ$3:$DJ$14)*1000</f>
        <v>4189.7136933069387</v>
      </c>
      <c r="AV13" s="289">
        <f t="shared" si="18"/>
        <v>1.4086014421232786E-7</v>
      </c>
      <c r="AW13" s="35">
        <f t="shared" si="19"/>
        <v>1.4773455797641387E-7</v>
      </c>
      <c r="AX13" s="35">
        <f t="shared" si="20"/>
        <v>1.4701801595343972E-7</v>
      </c>
      <c r="AY13" s="35">
        <f t="shared" si="21"/>
        <v>1.4622925371090649E-7</v>
      </c>
      <c r="AZ13" s="35">
        <f t="shared" si="22"/>
        <v>1.4538602964614529E-7</v>
      </c>
      <c r="BA13" s="35">
        <f t="shared" si="23"/>
        <v>1.44505981777091E-7</v>
      </c>
      <c r="BB13" s="35">
        <f t="shared" si="24"/>
        <v>1.4360660794847518E-7</v>
      </c>
      <c r="BC13" s="35">
        <f t="shared" si="25"/>
        <v>1.4270525393093542E-7</v>
      </c>
      <c r="BD13" s="35">
        <f t="shared" si="26"/>
        <v>1.4181910924477733E-7</v>
      </c>
      <c r="BE13" s="289">
        <f t="shared" si="3"/>
        <v>9.176715064358417</v>
      </c>
      <c r="BF13" s="35">
        <f t="shared" si="27"/>
        <v>5.1657804075603329</v>
      </c>
      <c r="BG13" s="35">
        <f t="shared" si="28"/>
        <v>5.4404078118489565</v>
      </c>
      <c r="BH13" s="35">
        <f t="shared" si="29"/>
        <v>5.7720896983736454</v>
      </c>
      <c r="BI13" s="35">
        <f t="shared" si="30"/>
        <v>6.1648722521015626</v>
      </c>
      <c r="BJ13" s="35">
        <f t="shared" si="31"/>
        <v>6.6222255127159695</v>
      </c>
      <c r="BK13" s="35">
        <f t="shared" si="32"/>
        <v>7.1460367879841655</v>
      </c>
      <c r="BL13" s="35">
        <f t="shared" si="33"/>
        <v>7.7354011050984708</v>
      </c>
      <c r="BM13" s="35">
        <f t="shared" si="34"/>
        <v>8.385287450736044</v>
      </c>
      <c r="BN13" s="289">
        <f t="shared" si="35"/>
        <v>1.4926310414964095E-3</v>
      </c>
      <c r="BO13" s="35">
        <f t="shared" si="36"/>
        <v>1.5654760853073678E-3</v>
      </c>
      <c r="BP13" s="35">
        <f t="shared" si="37"/>
        <v>1.557883214577265E-3</v>
      </c>
      <c r="BQ13" s="35">
        <f t="shared" si="38"/>
        <v>1.5495250589460262E-3</v>
      </c>
      <c r="BR13" s="35">
        <f t="shared" si="39"/>
        <v>1.5405897960933763E-3</v>
      </c>
      <c r="BS13" s="35">
        <f t="shared" si="40"/>
        <v>1.5312643280931933E-3</v>
      </c>
      <c r="BT13" s="35">
        <f t="shared" si="41"/>
        <v>1.5217340716675153E-3</v>
      </c>
      <c r="BU13" s="35">
        <f t="shared" si="42"/>
        <v>1.5121828320782008E-3</v>
      </c>
      <c r="BV13" s="35">
        <f t="shared" si="43"/>
        <v>1.5027927588732288E-3</v>
      </c>
      <c r="BW13" s="289">
        <f t="shared" si="44"/>
        <v>4.8268224866635408E-2</v>
      </c>
      <c r="BX13" s="35">
        <f t="shared" si="45"/>
        <v>4.231038652411348E-2</v>
      </c>
      <c r="BY13" s="35">
        <f t="shared" si="46"/>
        <v>4.2809779076144756E-2</v>
      </c>
      <c r="BZ13" s="35">
        <f t="shared" si="47"/>
        <v>4.3389467184385487E-2</v>
      </c>
      <c r="CA13" s="35">
        <f t="shared" si="48"/>
        <v>4.4045766576963137E-2</v>
      </c>
      <c r="CB13" s="35">
        <f t="shared" si="49"/>
        <v>4.477286968944983E-2</v>
      </c>
      <c r="CC13" s="35">
        <f t="shared" si="50"/>
        <v>4.5561960298703116E-2</v>
      </c>
      <c r="CD13" s="35">
        <f t="shared" si="51"/>
        <v>4.6400555892691028E-2</v>
      </c>
      <c r="CE13" s="35">
        <f t="shared" si="52"/>
        <v>4.7272183239484525E-2</v>
      </c>
      <c r="CF13" s="289">
        <f t="shared" si="7"/>
        <v>27.174737791867823</v>
      </c>
      <c r="CG13" s="35">
        <f t="shared" si="8"/>
        <v>41.414556074290445</v>
      </c>
      <c r="CH13" s="35">
        <f t="shared" si="9"/>
        <v>40.104994959224861</v>
      </c>
      <c r="CI13" s="35">
        <f t="shared" si="10"/>
        <v>38.611795232387436</v>
      </c>
      <c r="CJ13" s="35">
        <f t="shared" si="11"/>
        <v>36.956381546508567</v>
      </c>
      <c r="CK13" s="35">
        <f t="shared" si="12"/>
        <v>35.165888690954866</v>
      </c>
      <c r="CL13" s="35">
        <f t="shared" si="13"/>
        <v>33.274008279382997</v>
      </c>
      <c r="CM13" s="35">
        <f t="shared" si="14"/>
        <v>31.320824265741642</v>
      </c>
      <c r="CN13" s="35">
        <f t="shared" si="15"/>
        <v>29.351666322408423</v>
      </c>
      <c r="CO13" s="289">
        <f t="shared" si="53"/>
        <v>1146.6282561167066</v>
      </c>
      <c r="CP13" s="35">
        <f t="shared" si="54"/>
        <v>1817.0873184382006</v>
      </c>
      <c r="CQ13" s="35">
        <f t="shared" si="55"/>
        <v>1752.6572747362789</v>
      </c>
      <c r="CR13" s="35">
        <f t="shared" si="56"/>
        <v>1679.9985816985966</v>
      </c>
      <c r="CS13" s="35">
        <f t="shared" si="57"/>
        <v>1600.3808131939797</v>
      </c>
      <c r="CT13" s="35">
        <f t="shared" si="58"/>
        <v>1515.2894477354753</v>
      </c>
      <c r="CU13" s="35">
        <f t="shared" si="59"/>
        <v>1426.44700864681</v>
      </c>
      <c r="CV13" s="35">
        <f t="shared" si="60"/>
        <v>1335.7916819444574</v>
      </c>
      <c r="CW13" s="35">
        <f t="shared" si="61"/>
        <v>1245.4170873437538</v>
      </c>
      <c r="CY13" s="226" t="s">
        <v>665</v>
      </c>
      <c r="CZ13" s="226" t="s">
        <v>666</v>
      </c>
      <c r="DA13" s="226" t="s">
        <v>363</v>
      </c>
      <c r="DE13" s="229">
        <v>14</v>
      </c>
      <c r="DF13" s="230">
        <v>1.1682999999999999</v>
      </c>
      <c r="DG13" s="230">
        <v>1.1692</v>
      </c>
      <c r="DH13" s="230">
        <v>0.99919999999999998</v>
      </c>
      <c r="DJ13" s="197">
        <v>90</v>
      </c>
      <c r="DK13" s="194">
        <v>68.828000000000003</v>
      </c>
      <c r="DL13" s="194">
        <v>3.8203999999999998</v>
      </c>
      <c r="DM13" s="194">
        <v>1.0610000000000001E-3</v>
      </c>
      <c r="DN13" s="194">
        <v>0.91249999999999998</v>
      </c>
      <c r="DO13" s="194">
        <v>75.763000000000005</v>
      </c>
      <c r="DP13" s="194">
        <v>4.2053000000000003</v>
      </c>
      <c r="DQ13" s="194">
        <v>1.168E-3</v>
      </c>
      <c r="DR13" s="198">
        <v>1.0044</v>
      </c>
      <c r="DU13" s="197">
        <v>45</v>
      </c>
      <c r="DV13" s="194">
        <v>0.99021000000000003</v>
      </c>
      <c r="DW13" s="194">
        <v>990.21</v>
      </c>
      <c r="DX13" s="194">
        <v>1.9213</v>
      </c>
      <c r="DY13" s="194">
        <v>61.816800000000001</v>
      </c>
      <c r="DZ13" s="194">
        <v>8.2637</v>
      </c>
      <c r="EA13" s="194">
        <v>9.7105999999999995</v>
      </c>
      <c r="EB13" s="194">
        <v>61.817</v>
      </c>
      <c r="EC13" s="198">
        <v>4.2</v>
      </c>
    </row>
    <row r="14" spans="1:133" ht="15" thickBot="1" x14ac:dyDescent="0.35">
      <c r="A14" s="184" t="str">
        <f>'Su K. oro stendu'!B59</f>
        <v>06.12.2022</v>
      </c>
      <c r="B14" s="289">
        <f>Sheet3!DD14</f>
        <v>10.45</v>
      </c>
      <c r="C14" s="289">
        <f>_xlfn.FORECAST.LINEAR(Sheet3!DD14,$DW$3:$DW$24,$DU$3:$DU$24)</f>
        <v>1001.0081418084628</v>
      </c>
      <c r="D14" s="35">
        <f>_xlfn.FORECAST.LINEAR(Sheet3!CI14,'Cooling water'!$DW$3:$DW$24,'Cooling water'!$DU$3:$DU$24)</f>
        <v>991.6309074072816</v>
      </c>
      <c r="E14" s="35">
        <f>_xlfn.FORECAST.LINEAR(Sheet3!CJ14,'Cooling water'!$DW$3:$DW$24,'Cooling water'!$DU$3:$DU$24)</f>
        <v>992.65353759842401</v>
      </c>
      <c r="F14" s="35">
        <f>_xlfn.FORECAST.LINEAR(Sheet3!CK14,'Cooling water'!$DW$3:$DW$24,'Cooling water'!$DU$3:$DU$24)</f>
        <v>993.73913975611993</v>
      </c>
      <c r="G14" s="35">
        <f>_xlfn.FORECAST.LINEAR(Sheet3!CL14,'Cooling water'!$DW$3:$DW$24,'Cooling water'!$DU$3:$DU$24)</f>
        <v>994.87491151613006</v>
      </c>
      <c r="H14" s="35">
        <f>_xlfn.FORECAST.LINEAR(Sheet3!CM14,'Cooling water'!$DW$3:$DW$24,'Cooling water'!$DU$3:$DU$24)</f>
        <v>996.04805051421511</v>
      </c>
      <c r="I14" s="35">
        <f>_xlfn.FORECAST.LINEAR(Sheet3!CN14,'Cooling water'!$DW$3:$DW$24,'Cooling water'!$DU$3:$DU$24)</f>
        <v>997.2457543861359</v>
      </c>
      <c r="J14" s="35">
        <f>_xlfn.FORECAST.LINEAR(Sheet3!CO14,'Cooling water'!$DW$3:$DW$24,'Cooling water'!$DU$3:$DU$24)</f>
        <v>998.45522076765315</v>
      </c>
      <c r="K14" s="35">
        <f>_xlfn.FORECAST.LINEAR(Sheet3!CP14,'Cooling water'!$DW$3:$DW$24,'Cooling water'!$DU$3:$DU$24)</f>
        <v>999.66364729452778</v>
      </c>
      <c r="L14" s="289">
        <f t="shared" si="17"/>
        <v>1.2928644285319368E-3</v>
      </c>
      <c r="M14" s="35">
        <f xml:space="preserve"> 0.0000000000330128*((Sheet3!CI14+273)^(4)) - 0.0000000448315*((Sheet3!CI14+273)^(3)) + 0.0000228887*((Sheet3!CI14+273)^(2)) - 0.00521331*((Sheet3!CI14+273)) + 0.447905</f>
        <v>7.4421479959529968E-4</v>
      </c>
      <c r="N14" s="35">
        <f xml:space="preserve"> 0.0000000000330128*((Sheet3!CJ14+273)^(4)) - 0.0000000448315*((Sheet3!CJ14+273)^(3)) + 0.0000228887*((Sheet3!CJ14+273)^(2)) - 0.00521331*((Sheet3!CJ14+273)) + 0.447905</f>
        <v>7.8372256794656536E-4</v>
      </c>
      <c r="O14" s="35">
        <f xml:space="preserve"> 0.0000000000330128*((Sheet3!CK14+273)^(4)) - 0.0000000448315*((Sheet3!CK14+273)^(3)) + 0.0000228887*((Sheet3!CK14+273)^(2)) - 0.00521331*((Sheet3!CK14+273)) + 0.447905</f>
        <v>8.2984674910613343E-4</v>
      </c>
      <c r="P14" s="35">
        <f xml:space="preserve"> 0.0000000000330128*((Sheet3!CL14+273)^(4)) - 0.0000000448315*((Sheet3!CL14+273)^(3)) + 0.0000228887*((Sheet3!CL14+273)^(2)) - 0.00521331*((Sheet3!CL14+273)) + 0.447905</f>
        <v>8.832787870509673E-4</v>
      </c>
      <c r="Q14" s="35">
        <f xml:space="preserve"> 0.0000000000330128*((Sheet3!CM14+273)^(4)) - 0.0000000448315*((Sheet3!CM14+273)^(3)) + 0.0000228887*((Sheet3!CM14+273)^(2)) - 0.00521331*((Sheet3!CM14+273)) + 0.447905</f>
        <v>9.4470544442337712E-4</v>
      </c>
      <c r="R14" s="35">
        <f xml:space="preserve"> 0.0000000000330128*((Sheet3!CN14+273)^(4)) - 0.0000000448315*((Sheet3!CN14+273)^(3)) + 0.0000228887*((Sheet3!CN14+273)^(2)) - 0.00521331*((Sheet3!CN14+273)) + 0.447905</f>
        <v>1.0147431377185434E-3</v>
      </c>
      <c r="S14" s="35">
        <f xml:space="preserve"> 0.0000000000330128*((Sheet3!CO14+273)^(4)) - 0.0000000448315*((Sheet3!CO14+273)^(3)) + 0.0000228887*((Sheet3!CO14+273)^(2)) - 0.00521331*((Sheet3!CO14+273)) + 0.447905</f>
        <v>1.0938571002934161E-3</v>
      </c>
      <c r="T14" s="35">
        <f xml:space="preserve"> 0.0000000000330128*((Sheet3!CP14+273)^(4)) - 0.0000000448315*((Sheet3!CP14+273)^(3)) + 0.0000228887*((Sheet3!CP14+273)^(2)) - 0.00521331*((Sheet3!CP14+273)) + 0.447905</f>
        <v>1.1822682006203955E-3</v>
      </c>
      <c r="U14" s="289">
        <f>(Sheet3!DC14*0.014*0.001*C14) / (L14*0.00015*3600*3)</f>
        <v>3131.4356932056985</v>
      </c>
      <c r="V14" s="35">
        <f>(Sheet3!$DC14*0.014*0.001*D14) / (M14*0.00015*3600*3)</f>
        <v>5389.0303130006632</v>
      </c>
      <c r="W14" s="35">
        <f>(Sheet3!$DC14*0.014*0.001*E14) / (N14*0.00015*3600*3)</f>
        <v>5122.644478539245</v>
      </c>
      <c r="X14" s="35">
        <f>(Sheet3!$DC14*0.014*0.001*F14) / (O14*0.00015*3600*3)</f>
        <v>4843.210806504725</v>
      </c>
      <c r="Y14" s="35">
        <f>(Sheet3!$DC14*0.014*0.001*G14) / (P14*0.00015*3600*3)</f>
        <v>4555.4318384942644</v>
      </c>
      <c r="Z14" s="35">
        <f>(Sheet3!$DC14*0.014*0.001*H14) / (Q14*0.00015*3600*3)</f>
        <v>4264.2508605005469</v>
      </c>
      <c r="AA14" s="35">
        <f>(Sheet3!$DC14*0.014*0.001*I14) / (R14*0.00015*3600*3)</f>
        <v>3974.7054216507786</v>
      </c>
      <c r="AB14" s="35">
        <f>(Sheet3!$DC14*0.014*0.001*J14) / (S14*0.00015*3600*3)</f>
        <v>3691.704034811386</v>
      </c>
      <c r="AC14" s="35">
        <f>(Sheet3!$DC14*0.014*0.001*K14) / (T14*0.00015*3600*3)</f>
        <v>3419.7689513190112</v>
      </c>
      <c r="AD14" s="289">
        <f t="shared" si="0"/>
        <v>0.59075732022228988</v>
      </c>
      <c r="AE14" s="35">
        <f>_xlfn.FORECAST.LINEAR(Sheet3!CI14,$DA$3:$DA$12,$CZ$3:$CZ$12)/1000</f>
        <v>0.61514821976086231</v>
      </c>
      <c r="AF14" s="35">
        <f>_xlfn.FORECAST.LINEAR(Sheet3!CJ14,$DA$3:$DA$12,$CZ$3:$CZ$12)/1000</f>
        <v>0.61248828089294571</v>
      </c>
      <c r="AG14" s="35">
        <f>_xlfn.FORECAST.LINEAR(Sheet3!CK14,$DA$3:$DA$12,$CZ$3:$CZ$12)/1000</f>
        <v>0.60966454715286966</v>
      </c>
      <c r="AH14" s="35">
        <f>_xlfn.FORECAST.LINEAR(Sheet3!CL14,$DA$3:$DA$12,$CZ$3:$CZ$12)/1000</f>
        <v>0.60671031846326107</v>
      </c>
      <c r="AI14" s="35">
        <f>_xlfn.FORECAST.LINEAR(Sheet3!CM14,$DA$3:$DA$12,$CZ$3:$CZ$12)/1000</f>
        <v>0.60365889474674717</v>
      </c>
      <c r="AJ14" s="35">
        <f>_xlfn.FORECAST.LINEAR(Sheet3!CN14,$DA$3:$DA$12,$CZ$3:$CZ$12)/1000</f>
        <v>0.60054357592595498</v>
      </c>
      <c r="AK14" s="35">
        <f>_xlfn.FORECAST.LINEAR(Sheet3!CO14,$DA$3:$DA$12,$CZ$3:$CZ$12)/1000</f>
        <v>0.59739766192351174</v>
      </c>
      <c r="AL14" s="35">
        <f>_xlfn.FORECAST.LINEAR(Sheet3!CP14,$DA$3:$DA$12,$CZ$3:$CZ$12)/1000</f>
        <v>0.59425445266204424</v>
      </c>
      <c r="AM14" s="289">
        <f t="shared" si="1"/>
        <v>4189.4254864649247</v>
      </c>
      <c r="AN14" s="35">
        <f>_xlfn.FORECAST.LINEAR(Sheet3!CI14,$DP$3:$DP$14,$DJ$3:$DJ$14)*1000</f>
        <v>4191.5719192775323</v>
      </c>
      <c r="AO14" s="35">
        <f>_xlfn.FORECAST.LINEAR(Sheet3!CJ14,$DP$3:$DP$14,$DJ$3:$DJ$14)*1000</f>
        <v>4191.3378409871193</v>
      </c>
      <c r="AP14" s="35">
        <f>_xlfn.FORECAST.LINEAR(Sheet3!CK14,$DP$3:$DP$14,$DJ$3:$DJ$14)*1000</f>
        <v>4191.0893485219603</v>
      </c>
      <c r="AQ14" s="35">
        <f>_xlfn.FORECAST.LINEAR(Sheet3!CL14,$DP$3:$DP$14,$DJ$3:$DJ$14)*1000</f>
        <v>4190.8293723211946</v>
      </c>
      <c r="AR14" s="35">
        <f>_xlfn.FORECAST.LINEAR(Sheet3!CM14,$DP$3:$DP$14,$DJ$3:$DJ$14)*1000</f>
        <v>4190.5608428239548</v>
      </c>
      <c r="AS14" s="35">
        <f>_xlfn.FORECAST.LINEAR(Sheet3!CN14,$DP$3:$DP$14,$DJ$3:$DJ$14)*1000</f>
        <v>4190.286690469381</v>
      </c>
      <c r="AT14" s="35">
        <f>_xlfn.FORECAST.LINEAR(Sheet3!CO14,$DP$3:$DP$14,$DJ$3:$DJ$14)*1000</f>
        <v>4190.009845696608</v>
      </c>
      <c r="AU14" s="35">
        <f>_xlfn.FORECAST.LINEAR(Sheet3!CP14,$DP$3:$DP$14,$DJ$3:$DJ$14)*1000</f>
        <v>4189.7332389447729</v>
      </c>
      <c r="AV14" s="289">
        <f t="shared" si="18"/>
        <v>1.4086951893219003E-7</v>
      </c>
      <c r="AW14" s="35">
        <f t="shared" si="19"/>
        <v>1.4799696003909386E-7</v>
      </c>
      <c r="AX14" s="35">
        <f t="shared" si="20"/>
        <v>1.4721342620845877E-7</v>
      </c>
      <c r="AY14" s="35">
        <f t="shared" si="21"/>
        <v>1.4638333117749107E-7</v>
      </c>
      <c r="AZ14" s="35">
        <f t="shared" si="22"/>
        <v>1.4551672870010474E-7</v>
      </c>
      <c r="BA14" s="35">
        <f t="shared" si="23"/>
        <v>1.4462359866143711E-7</v>
      </c>
      <c r="BB14" s="35">
        <f t="shared" si="24"/>
        <v>1.4371383944502427E-7</v>
      </c>
      <c r="BC14" s="35">
        <f t="shared" si="25"/>
        <v>1.4279726283720054E-7</v>
      </c>
      <c r="BD14" s="35">
        <f t="shared" si="26"/>
        <v>1.4188359141384135E-7</v>
      </c>
      <c r="BE14" s="289">
        <f t="shared" si="3"/>
        <v>9.1685011798034797</v>
      </c>
      <c r="BF14" s="35">
        <f t="shared" si="27"/>
        <v>5.071021512680451</v>
      </c>
      <c r="BG14" s="35">
        <f t="shared" si="28"/>
        <v>5.3631165825427161</v>
      </c>
      <c r="BH14" s="35">
        <f t="shared" si="29"/>
        <v>5.7047139895641887</v>
      </c>
      <c r="BI14" s="35">
        <f t="shared" si="30"/>
        <v>6.101215970905864</v>
      </c>
      <c r="BJ14" s="35">
        <f t="shared" si="31"/>
        <v>6.5580838414781573</v>
      </c>
      <c r="BK14" s="35">
        <f t="shared" si="32"/>
        <v>7.0803599183807036</v>
      </c>
      <c r="BL14" s="35">
        <f t="shared" si="33"/>
        <v>7.6720621993351195</v>
      </c>
      <c r="BM14" s="35">
        <f t="shared" si="34"/>
        <v>8.3354669961618573</v>
      </c>
      <c r="BN14" s="289">
        <f t="shared" si="35"/>
        <v>1.4927303811495801E-3</v>
      </c>
      <c r="BO14" s="35">
        <f t="shared" si="36"/>
        <v>1.5682566409166146E-3</v>
      </c>
      <c r="BP14" s="35">
        <f t="shared" si="37"/>
        <v>1.5599538883941861E-3</v>
      </c>
      <c r="BQ14" s="35">
        <f t="shared" si="38"/>
        <v>1.5511577479561454E-3</v>
      </c>
      <c r="BR14" s="35">
        <f t="shared" si="39"/>
        <v>1.5419747546714388E-3</v>
      </c>
      <c r="BS14" s="35">
        <f t="shared" si="40"/>
        <v>1.5325106608551024E-3</v>
      </c>
      <c r="BT14" s="35">
        <f t="shared" si="41"/>
        <v>1.5228703551866773E-3</v>
      </c>
      <c r="BU14" s="35">
        <f t="shared" si="42"/>
        <v>1.5131578087144478E-3</v>
      </c>
      <c r="BV14" s="35">
        <f t="shared" si="43"/>
        <v>1.5034760471639382E-3</v>
      </c>
      <c r="BW14" s="289">
        <f t="shared" si="44"/>
        <v>4.8258223174913843E-2</v>
      </c>
      <c r="BX14" s="35">
        <f t="shared" si="45"/>
        <v>4.2133694820538449E-2</v>
      </c>
      <c r="BY14" s="35">
        <f t="shared" si="46"/>
        <v>4.2671081272819322E-2</v>
      </c>
      <c r="BZ14" s="35">
        <f t="shared" si="47"/>
        <v>4.327368294048179E-2</v>
      </c>
      <c r="CA14" s="35">
        <f t="shared" si="48"/>
        <v>4.3941493490263842E-2</v>
      </c>
      <c r="CB14" s="35">
        <f t="shared" si="49"/>
        <v>4.4673143712286423E-2</v>
      </c>
      <c r="CC14" s="35">
        <f t="shared" si="50"/>
        <v>4.5465394638350469E-2</v>
      </c>
      <c r="CD14" s="35">
        <f t="shared" si="51"/>
        <v>4.6312740740130122E-2</v>
      </c>
      <c r="CE14" s="35">
        <f t="shared" si="52"/>
        <v>4.7207174866031099E-2</v>
      </c>
      <c r="CF14" s="289">
        <f t="shared" si="7"/>
        <v>27.196219691639335</v>
      </c>
      <c r="CG14" s="35">
        <f t="shared" si="8"/>
        <v>41.882992002306182</v>
      </c>
      <c r="CH14" s="35">
        <f t="shared" si="9"/>
        <v>40.466559593087844</v>
      </c>
      <c r="CI14" s="35">
        <f t="shared" si="10"/>
        <v>38.907717494525144</v>
      </c>
      <c r="CJ14" s="35">
        <f t="shared" si="11"/>
        <v>37.216899564785912</v>
      </c>
      <c r="CK14" s="35">
        <f t="shared" si="12"/>
        <v>35.408769095346429</v>
      </c>
      <c r="CL14" s="35">
        <f t="shared" si="13"/>
        <v>33.502692263976677</v>
      </c>
      <c r="CM14" s="35">
        <f t="shared" si="14"/>
        <v>31.522627462020829</v>
      </c>
      <c r="CN14" s="35">
        <f t="shared" si="15"/>
        <v>29.496432780349807</v>
      </c>
      <c r="CO14" s="289">
        <f t="shared" si="53"/>
        <v>1147.5975618006803</v>
      </c>
      <c r="CP14" s="35">
        <f t="shared" si="54"/>
        <v>1840.3034263197915</v>
      </c>
      <c r="CQ14" s="35">
        <f t="shared" si="55"/>
        <v>1770.3781084873081</v>
      </c>
      <c r="CR14" s="35">
        <f t="shared" si="56"/>
        <v>1694.3325690751039</v>
      </c>
      <c r="CS14" s="35">
        <f t="shared" si="57"/>
        <v>1612.8483562261761</v>
      </c>
      <c r="CT14" s="35">
        <f t="shared" si="58"/>
        <v>1526.7727440314002</v>
      </c>
      <c r="CU14" s="35">
        <f t="shared" si="59"/>
        <v>1437.1304725253844</v>
      </c>
      <c r="CV14" s="35">
        <f t="shared" si="60"/>
        <v>1345.1102816783662</v>
      </c>
      <c r="CW14" s="35">
        <f t="shared" si="61"/>
        <v>1252.0276083835395</v>
      </c>
      <c r="CY14" s="35">
        <v>19.29</v>
      </c>
      <c r="CZ14" s="35">
        <v>12.8</v>
      </c>
      <c r="DA14" s="35">
        <v>1E-3</v>
      </c>
      <c r="DE14" s="229">
        <v>15</v>
      </c>
      <c r="DF14" s="230">
        <v>1.1375</v>
      </c>
      <c r="DG14" s="230">
        <v>1.1386000000000001</v>
      </c>
      <c r="DH14" s="230">
        <v>0.99909999999999999</v>
      </c>
      <c r="DJ14" s="197">
        <v>100</v>
      </c>
      <c r="DK14" s="194">
        <v>67.888000000000005</v>
      </c>
      <c r="DL14" s="194">
        <v>3.7682000000000002</v>
      </c>
      <c r="DM14" s="194">
        <v>1.047E-3</v>
      </c>
      <c r="DN14" s="194">
        <v>0.9</v>
      </c>
      <c r="DO14" s="194">
        <v>75.95</v>
      </c>
      <c r="DP14" s="194">
        <v>4.2157</v>
      </c>
      <c r="DQ14" s="194">
        <v>1.1709999999999999E-3</v>
      </c>
      <c r="DR14" s="198">
        <v>1.0068999999999999</v>
      </c>
      <c r="DU14" s="197">
        <v>50</v>
      </c>
      <c r="DV14" s="194">
        <v>0.98804000000000003</v>
      </c>
      <c r="DW14" s="194">
        <v>988.04</v>
      </c>
      <c r="DX14" s="194">
        <v>1.9171</v>
      </c>
      <c r="DY14" s="194">
        <v>61.6813</v>
      </c>
      <c r="DZ14" s="194">
        <v>8.2455999999999996</v>
      </c>
      <c r="EA14" s="194">
        <v>9.6893999999999991</v>
      </c>
      <c r="EB14" s="194">
        <v>61.680999999999997</v>
      </c>
      <c r="EC14" s="198">
        <v>4.54</v>
      </c>
    </row>
    <row r="15" spans="1:133" ht="15" thickBot="1" x14ac:dyDescent="0.35">
      <c r="A15" s="240" t="str">
        <f>'Su K. oro stendu'!B60</f>
        <v>07.12.2022</v>
      </c>
      <c r="B15" s="289">
        <f>Sheet3!DD15</f>
        <v>10.220000000000001</v>
      </c>
      <c r="C15" s="289">
        <f>_xlfn.FORECAST.LINEAR(Sheet3!DD15,$DW$3:$DW$24,$DU$3:$DU$24)</f>
        <v>1001.1035570700463</v>
      </c>
      <c r="D15" s="35">
        <f>_xlfn.FORECAST.LINEAR(Sheet3!CI15,'Cooling water'!$DW$3:$DW$24,'Cooling water'!$DU$3:$DU$24)</f>
        <v>993.54475579425605</v>
      </c>
      <c r="E15" s="35">
        <f>_xlfn.FORECAST.LINEAR(Sheet3!CJ15,'Cooling water'!$DW$3:$DW$24,'Cooling water'!$DU$3:$DU$24)</f>
        <v>994.37690557305393</v>
      </c>
      <c r="F15" s="35">
        <f>_xlfn.FORECAST.LINEAR(Sheet3!CK15,'Cooling water'!$DW$3:$DW$24,'Cooling water'!$DU$3:$DU$24)</f>
        <v>995.26206405007542</v>
      </c>
      <c r="G15" s="35">
        <f>_xlfn.FORECAST.LINEAR(Sheet3!CL15,'Cooling water'!$DW$3:$DW$24,'Cooling water'!$DU$3:$DU$24)</f>
        <v>996.18741482391442</v>
      </c>
      <c r="H15" s="35">
        <f>_xlfn.FORECAST.LINEAR(Sheet3!CM15,'Cooling water'!$DW$3:$DW$24,'Cooling water'!$DU$3:$DU$24)</f>
        <v>997.14014149316529</v>
      </c>
      <c r="I15" s="35">
        <f>_xlfn.FORECAST.LINEAR(Sheet3!CN15,'Cooling water'!$DW$3:$DW$24,'Cooling water'!$DU$3:$DU$24)</f>
        <v>998.10742765642181</v>
      </c>
      <c r="J15" s="35">
        <f>_xlfn.FORECAST.LINEAR(Sheet3!CO15,'Cooling water'!$DW$3:$DW$24,'Cooling water'!$DU$3:$DU$24)</f>
        <v>999.07645691227822</v>
      </c>
      <c r="K15" s="35">
        <f>_xlfn.FORECAST.LINEAR(Sheet3!CP15,'Cooling water'!$DW$3:$DW$24,'Cooling water'!$DU$3:$DU$24)</f>
        <v>1000.0344128593284</v>
      </c>
      <c r="L15" s="289">
        <f t="shared" si="17"/>
        <v>1.3012388709774392E-3</v>
      </c>
      <c r="M15" s="35">
        <f xml:space="preserve"> 0.0000000000330128*((Sheet3!CI15+273)^(4)) - 0.0000000448315*((Sheet3!CI15+273)^(3)) + 0.0000228887*((Sheet3!CI15+273)^(2)) - 0.00521331*((Sheet3!CI15+273)) + 0.447905</f>
        <v>8.2124887862877749E-4</v>
      </c>
      <c r="N15" s="35">
        <f xml:space="preserve"> 0.0000000000330128*((Sheet3!CJ15+273)^(4)) - 0.0000000448315*((Sheet3!CJ15+273)^(3)) + 0.0000228887*((Sheet3!CJ15+273)^(2)) - 0.00521331*((Sheet3!CJ15+273)) + 0.447905</f>
        <v>8.5915919171664079E-4</v>
      </c>
      <c r="O15" s="35">
        <f xml:space="preserve"> 0.0000000000330128*((Sheet3!CK15+273)^(4)) - 0.0000000448315*((Sheet3!CK15+273)^(3)) + 0.0000228887*((Sheet3!CK15+273)^(2)) - 0.00521331*((Sheet3!CK15+273)) + 0.447905</f>
        <v>9.0281422676730116E-4</v>
      </c>
      <c r="P15" s="35">
        <f xml:space="preserve"> 0.0000000000330128*((Sheet3!CL15+273)^(4)) - 0.0000000448315*((Sheet3!CL15+273)^(3)) + 0.0000228887*((Sheet3!CL15+273)^(2)) - 0.00521331*((Sheet3!CL15+273)) + 0.447905</f>
        <v>9.5245870725069182E-4</v>
      </c>
      <c r="Q15" s="35">
        <f xml:space="preserve"> 0.0000000000330128*((Sheet3!CM15+273)^(4)) - 0.0000000448315*((Sheet3!CM15+273)^(3)) + 0.0000228887*((Sheet3!CM15+273)^(2)) - 0.00521331*((Sheet3!CM15+273)) + 0.447905</f>
        <v>1.0082480957378515E-3</v>
      </c>
      <c r="R15" s="35">
        <f xml:space="preserve"> 0.0000000000330128*((Sheet3!CN15+273)^(4)) - 0.0000000448315*((Sheet3!CN15+273)^(3)) + 0.0000228887*((Sheet3!CN15+273)^(2)) - 0.00521331*((Sheet3!CN15+273)) + 0.447905</f>
        <v>1.0701894638913689E-3</v>
      </c>
      <c r="S15" s="35">
        <f xml:space="preserve"> 0.0000000000330128*((Sheet3!CO15+273)^(4)) - 0.0000000448315*((Sheet3!CO15+273)^(3)) + 0.0000228887*((Sheet3!CO15+273)^(2)) - 0.00521331*((Sheet3!CO15+273)) + 0.447905</f>
        <v>1.1380767760993393E-3</v>
      </c>
      <c r="T15" s="35">
        <f xml:space="preserve"> 0.0000000000330128*((Sheet3!CP15+273)^(4)) - 0.0000000448315*((Sheet3!CP15+273)^(3)) + 0.0000228887*((Sheet3!CP15+273)^(2)) - 0.00521331*((Sheet3!CP15+273)) + 0.447905</f>
        <v>1.2114244594134682E-3</v>
      </c>
      <c r="U15" s="289">
        <f>(Sheet3!DC15*0.014*0.001*C15) / (L15*0.00015*3600*3)</f>
        <v>2632.8746521208295</v>
      </c>
      <c r="V15" s="35">
        <f>(Sheet3!$DC15*0.014*0.001*D15) / (M15*0.00015*3600*3)</f>
        <v>4140.1955369833613</v>
      </c>
      <c r="W15" s="35">
        <f>(Sheet3!$DC15*0.014*0.001*E15) / (N15*0.00015*3600*3)</f>
        <v>3960.8244622482134</v>
      </c>
      <c r="X15" s="35">
        <f>(Sheet3!$DC15*0.014*0.001*F15) / (O15*0.00015*3600*3)</f>
        <v>3772.6564907187908</v>
      </c>
      <c r="Y15" s="35">
        <f>(Sheet3!$DC15*0.014*0.001*G15) / (P15*0.00015*3600*3)</f>
        <v>3579.3412171633345</v>
      </c>
      <c r="Z15" s="35">
        <f>(Sheet3!$DC15*0.014*0.001*H15) / (Q15*0.00015*3600*3)</f>
        <v>3384.5193115792094</v>
      </c>
      <c r="AA15" s="35">
        <f>(Sheet3!$DC15*0.014*0.001*I15) / (R15*0.00015*3600*3)</f>
        <v>3191.7202835007411</v>
      </c>
      <c r="AB15" s="35">
        <f>(Sheet3!$DC15*0.014*0.001*J15) / (S15*0.00015*3600*3)</f>
        <v>3004.2451654824049</v>
      </c>
      <c r="AC15" s="35">
        <f>(Sheet3!$DC15*0.014*0.001*K15) / (T15*0.00015*3600*3)</f>
        <v>2825.0543928518091</v>
      </c>
      <c r="AD15" s="289">
        <f t="shared" si="0"/>
        <v>0.59050913787340487</v>
      </c>
      <c r="AE15" s="35">
        <f>_xlfn.FORECAST.LINEAR(Sheet3!CI15,$DA$3:$DA$12,$CZ$3:$CZ$12)/1000</f>
        <v>0.61017015461482393</v>
      </c>
      <c r="AF15" s="35">
        <f>_xlfn.FORECAST.LINEAR(Sheet3!CJ15,$DA$3:$DA$12,$CZ$3:$CZ$12)/1000</f>
        <v>0.60800566977981252</v>
      </c>
      <c r="AG15" s="35">
        <f>_xlfn.FORECAST.LINEAR(Sheet3!CK15,$DA$3:$DA$12,$CZ$3:$CZ$12)/1000</f>
        <v>0.60570330529097904</v>
      </c>
      <c r="AH15" s="35">
        <f>_xlfn.FORECAST.LINEAR(Sheet3!CL15,$DA$3:$DA$12,$CZ$3:$CZ$12)/1000</f>
        <v>0.6032963975826886</v>
      </c>
      <c r="AI15" s="35">
        <f>_xlfn.FORECAST.LINEAR(Sheet3!CM15,$DA$3:$DA$12,$CZ$3:$CZ$12)/1000</f>
        <v>0.60081828308930585</v>
      </c>
      <c r="AJ15" s="35">
        <f>_xlfn.FORECAST.LINEAR(Sheet3!CN15,$DA$3:$DA$12,$CZ$3:$CZ$12)/1000</f>
        <v>0.59830229824519554</v>
      </c>
      <c r="AK15" s="35">
        <f>_xlfn.FORECAST.LINEAR(Sheet3!CO15,$DA$3:$DA$12,$CZ$3:$CZ$12)/1000</f>
        <v>0.59578177948472244</v>
      </c>
      <c r="AL15" s="35">
        <f>_xlfn.FORECAST.LINEAR(Sheet3!CP15,$DA$3:$DA$12,$CZ$3:$CZ$12)/1000</f>
        <v>0.59329006324225142</v>
      </c>
      <c r="AM15" s="289">
        <f t="shared" si="1"/>
        <v>4189.4036460757943</v>
      </c>
      <c r="AN15" s="35">
        <f>_xlfn.FORECAST.LINEAR(Sheet3!CI15,$DP$3:$DP$14,$DJ$3:$DJ$14)*1000</f>
        <v>4191.1338426762222</v>
      </c>
      <c r="AO15" s="35">
        <f>_xlfn.FORECAST.LINEAR(Sheet3!CJ15,$DP$3:$DP$14,$DJ$3:$DJ$14)*1000</f>
        <v>4190.9433650243045</v>
      </c>
      <c r="AP15" s="35">
        <f>_xlfn.FORECAST.LINEAR(Sheet3!CK15,$DP$3:$DP$14,$DJ$3:$DJ$14)*1000</f>
        <v>4190.7407537726122</v>
      </c>
      <c r="AQ15" s="35">
        <f>_xlfn.FORECAST.LINEAR(Sheet3!CL15,$DP$3:$DP$14,$DJ$3:$DJ$14)*1000</f>
        <v>4190.5289425733645</v>
      </c>
      <c r="AR15" s="35">
        <f>_xlfn.FORECAST.LINEAR(Sheet3!CM15,$DP$3:$DP$14,$DJ$3:$DJ$14)*1000</f>
        <v>4190.3108650787808</v>
      </c>
      <c r="AS15" s="35">
        <f>_xlfn.FORECAST.LINEAR(Sheet3!CN15,$DP$3:$DP$14,$DJ$3:$DJ$14)*1000</f>
        <v>4190.0894549410832</v>
      </c>
      <c r="AT15" s="35">
        <f>_xlfn.FORECAST.LINEAR(Sheet3!CO15,$DP$3:$DP$14,$DJ$3:$DJ$14)*1000</f>
        <v>4189.8676458124892</v>
      </c>
      <c r="AU15" s="35">
        <f>_xlfn.FORECAST.LINEAR(Sheet3!CP15,$DP$3:$DP$14,$DJ$3:$DJ$14)*1000</f>
        <v>4189.6483713452199</v>
      </c>
      <c r="AV15" s="289">
        <f t="shared" si="18"/>
        <v>1.4079765177168928E-7</v>
      </c>
      <c r="AW15" s="35">
        <f t="shared" si="19"/>
        <v>1.4653183747368538E-7</v>
      </c>
      <c r="AX15" s="35">
        <f t="shared" si="20"/>
        <v>1.4589647799505199E-7</v>
      </c>
      <c r="AY15" s="35">
        <f t="shared" si="21"/>
        <v>1.4522176056492378E-7</v>
      </c>
      <c r="AZ15" s="35">
        <f t="shared" si="22"/>
        <v>1.4451763196134164E-7</v>
      </c>
      <c r="BA15" s="35">
        <f t="shared" si="23"/>
        <v>1.437939775421559E-7</v>
      </c>
      <c r="BB15" s="35">
        <f t="shared" si="24"/>
        <v>1.4306061532928633E-7</v>
      </c>
      <c r="BC15" s="35">
        <f t="shared" si="25"/>
        <v>1.4232729257114892E-7</v>
      </c>
      <c r="BD15" s="35">
        <f t="shared" si="26"/>
        <v>1.4160368473759353E-7</v>
      </c>
      <c r="BE15" s="289">
        <f t="shared" si="3"/>
        <v>9.231719749707116</v>
      </c>
      <c r="BF15" s="35">
        <f t="shared" si="27"/>
        <v>5.6409903736667379</v>
      </c>
      <c r="BG15" s="35">
        <f t="shared" si="28"/>
        <v>5.9221281856277406</v>
      </c>
      <c r="BH15" s="35">
        <f t="shared" si="29"/>
        <v>6.2463921529730939</v>
      </c>
      <c r="BI15" s="35">
        <f t="shared" si="30"/>
        <v>6.6158289612411973</v>
      </c>
      <c r="BJ15" s="35">
        <f t="shared" si="31"/>
        <v>7.0318648236563783</v>
      </c>
      <c r="BK15" s="35">
        <f t="shared" si="32"/>
        <v>7.494856029455816</v>
      </c>
      <c r="BL15" s="35">
        <f t="shared" si="33"/>
        <v>8.0035865929858989</v>
      </c>
      <c r="BM15" s="35">
        <f t="shared" si="34"/>
        <v>8.5547404681831019</v>
      </c>
      <c r="BN15" s="289">
        <f t="shared" si="35"/>
        <v>1.7632358988105793E-3</v>
      </c>
      <c r="BO15" s="35">
        <f t="shared" si="36"/>
        <v>1.8350462021287123E-3</v>
      </c>
      <c r="BP15" s="35">
        <f t="shared" si="37"/>
        <v>1.8270894739640089E-3</v>
      </c>
      <c r="BQ15" s="35">
        <f t="shared" si="38"/>
        <v>1.8186398586516423E-3</v>
      </c>
      <c r="BR15" s="35">
        <f t="shared" si="39"/>
        <v>1.8098219215937959E-3</v>
      </c>
      <c r="BS15" s="35">
        <f t="shared" si="40"/>
        <v>1.8007594590158664E-3</v>
      </c>
      <c r="BT15" s="35">
        <f t="shared" si="41"/>
        <v>1.7915754238825281E-3</v>
      </c>
      <c r="BU15" s="35">
        <f t="shared" si="42"/>
        <v>1.7823918828483397E-3</v>
      </c>
      <c r="BV15" s="35">
        <f t="shared" si="43"/>
        <v>1.7733300036711619E-3</v>
      </c>
      <c r="BW15" s="289">
        <f t="shared" si="44"/>
        <v>5.0396416449841351E-2</v>
      </c>
      <c r="BX15" s="35">
        <f t="shared" si="45"/>
        <v>4.5004090431542666E-2</v>
      </c>
      <c r="BY15" s="35">
        <f t="shared" si="46"/>
        <v>4.5505176481227809E-2</v>
      </c>
      <c r="BZ15" s="35">
        <f t="shared" si="47"/>
        <v>4.6062275236104983E-2</v>
      </c>
      <c r="CA15" s="35">
        <f t="shared" si="48"/>
        <v>4.6672001585923502E-2</v>
      </c>
      <c r="CB15" s="35">
        <f t="shared" si="49"/>
        <v>4.7329612934927469E-2</v>
      </c>
      <c r="CC15" s="35">
        <f t="shared" si="50"/>
        <v>4.8028718172975549E-2</v>
      </c>
      <c r="CD15" s="35">
        <f t="shared" si="51"/>
        <v>4.8761084828390582E-2</v>
      </c>
      <c r="CE15" s="35">
        <f t="shared" si="52"/>
        <v>4.9516563707604017E-2</v>
      </c>
      <c r="CF15" s="289">
        <f t="shared" si="7"/>
        <v>11.725821417308351</v>
      </c>
      <c r="CG15" s="35">
        <f t="shared" si="8"/>
        <v>32.502059052853213</v>
      </c>
      <c r="CH15" s="35">
        <f t="shared" si="9"/>
        <v>31.389524567006276</v>
      </c>
      <c r="CI15" s="35">
        <f t="shared" si="10"/>
        <v>30.173805378180408</v>
      </c>
      <c r="CJ15" s="35">
        <f t="shared" si="11"/>
        <v>28.868623951045116</v>
      </c>
      <c r="CK15" s="35">
        <f t="shared" si="12"/>
        <v>27.490308535989499</v>
      </c>
      <c r="CL15" s="35">
        <f t="shared" si="13"/>
        <v>26.057840840411536</v>
      </c>
      <c r="CM15" s="35">
        <f t="shared" si="14"/>
        <v>24.592623147098561</v>
      </c>
      <c r="CN15" s="35">
        <f t="shared" si="15"/>
        <v>11.725288342487909</v>
      </c>
      <c r="CO15" s="289">
        <f t="shared" si="53"/>
        <v>494.5860497137329</v>
      </c>
      <c r="CP15" s="35">
        <f t="shared" si="54"/>
        <v>1416.5561712556844</v>
      </c>
      <c r="CQ15" s="35">
        <f t="shared" si="55"/>
        <v>1363.214922030895</v>
      </c>
      <c r="CR15" s="35">
        <f t="shared" si="56"/>
        <v>1305.4552607693281</v>
      </c>
      <c r="CS15" s="35">
        <f t="shared" si="57"/>
        <v>1244.024059488203</v>
      </c>
      <c r="CT15" s="35">
        <f t="shared" si="58"/>
        <v>1179.7628554420355</v>
      </c>
      <c r="CU15" s="35">
        <f t="shared" si="59"/>
        <v>1113.6047187232671</v>
      </c>
      <c r="CV15" s="35">
        <f t="shared" si="60"/>
        <v>1046.5597700553967</v>
      </c>
      <c r="CW15" s="35">
        <f t="shared" si="61"/>
        <v>496.89264730344888</v>
      </c>
      <c r="CY15" s="35">
        <v>12.09</v>
      </c>
      <c r="CZ15" s="35">
        <v>8.0299999999999994</v>
      </c>
      <c r="DA15" s="35">
        <v>4.0000000000000001E-3</v>
      </c>
      <c r="DE15" s="229">
        <v>16</v>
      </c>
      <c r="DF15" s="230">
        <v>1.1081000000000001</v>
      </c>
      <c r="DG15" s="230">
        <v>1.1092</v>
      </c>
      <c r="DH15" s="230">
        <v>0.99890000000000001</v>
      </c>
      <c r="DJ15" s="197">
        <v>110</v>
      </c>
      <c r="DK15" s="194">
        <v>66.959999999999994</v>
      </c>
      <c r="DL15" s="194">
        <v>3.7166999999999999</v>
      </c>
      <c r="DM15" s="194">
        <v>1.0319999999999999E-3</v>
      </c>
      <c r="DN15" s="194">
        <v>0.88770000000000004</v>
      </c>
      <c r="DO15" s="194">
        <v>76.177000000000007</v>
      </c>
      <c r="DP15" s="194">
        <v>4.2282999999999999</v>
      </c>
      <c r="DQ15" s="194">
        <v>1.175E-3</v>
      </c>
      <c r="DR15" s="198">
        <v>1.0099</v>
      </c>
      <c r="DU15" s="197">
        <v>55</v>
      </c>
      <c r="DV15" s="194">
        <v>0.98568999999999996</v>
      </c>
      <c r="DW15" s="194">
        <v>985.69</v>
      </c>
      <c r="DX15" s="194">
        <v>1.9126000000000001</v>
      </c>
      <c r="DY15" s="194">
        <v>61.534599999999998</v>
      </c>
      <c r="DZ15" s="194">
        <v>8.2260000000000009</v>
      </c>
      <c r="EA15" s="194">
        <v>9.6662999999999997</v>
      </c>
      <c r="EB15" s="194">
        <v>61.534999999999997</v>
      </c>
      <c r="EC15" s="198">
        <v>4.8600000000000003</v>
      </c>
    </row>
    <row r="16" spans="1:133" ht="15" thickBot="1" x14ac:dyDescent="0.35">
      <c r="A16" s="184" t="str">
        <f>'Su K. oro stendu'!B61</f>
        <v>07.12.2022</v>
      </c>
      <c r="B16" s="289">
        <f>Sheet3!DD16</f>
        <v>10.35</v>
      </c>
      <c r="C16" s="289">
        <f>_xlfn.FORECAST.LINEAR(Sheet3!DD16,$DW$3:$DW$24,$DU$3:$DU$24)</f>
        <v>1001.0496267048035</v>
      </c>
      <c r="D16" s="35">
        <f>_xlfn.FORECAST.LINEAR(Sheet3!CI16,'Cooling water'!$DW$3:$DW$24,'Cooling water'!$DU$3:$DU$24)</f>
        <v>993.53910631309861</v>
      </c>
      <c r="E16" s="35">
        <f>_xlfn.FORECAST.LINEAR(Sheet3!CJ16,'Cooling water'!$DW$3:$DW$24,'Cooling water'!$DU$3:$DU$24)</f>
        <v>994.40783607822641</v>
      </c>
      <c r="F16" s="35">
        <f>_xlfn.FORECAST.LINEAR(Sheet3!CK16,'Cooling water'!$DW$3:$DW$24,'Cooling water'!$DU$3:$DU$24)</f>
        <v>995.31056226949943</v>
      </c>
      <c r="G16" s="35">
        <f>_xlfn.FORECAST.LINEAR(Sheet3!CL16,'Cooling water'!$DW$3:$DW$24,'Cooling water'!$DU$3:$DU$24)</f>
        <v>996.23796336986572</v>
      </c>
      <c r="H16" s="35">
        <f>_xlfn.FORECAST.LINEAR(Sheet3!CM16,'Cooling water'!$DW$3:$DW$24,'Cooling water'!$DU$3:$DU$24)</f>
        <v>997.18071786227358</v>
      </c>
      <c r="I16" s="35">
        <f>_xlfn.FORECAST.LINEAR(Sheet3!CN16,'Cooling water'!$DW$3:$DW$24,'Cooling water'!$DU$3:$DU$24)</f>
        <v>998.12950422967117</v>
      </c>
      <c r="J16" s="35">
        <f>_xlfn.FORECAST.LINEAR(Sheet3!CO16,'Cooling water'!$DW$3:$DW$24,'Cooling water'!$DU$3:$DU$24)</f>
        <v>999.07500095500666</v>
      </c>
      <c r="K16" s="35">
        <f>_xlfn.FORECAST.LINEAR(Sheet3!CP16,'Cooling water'!$DW$3:$DW$24,'Cooling water'!$DU$3:$DU$24)</f>
        <v>1000.0078865212281</v>
      </c>
      <c r="L16" s="289">
        <f t="shared" si="17"/>
        <v>1.2964966122130939E-3</v>
      </c>
      <c r="M16" s="35">
        <f xml:space="preserve"> 0.0000000000330128*((Sheet3!CI16+273)^(4)) - 0.0000000448315*((Sheet3!CI16+273)^(3)) + 0.0000228887*((Sheet3!CI16+273)^(2)) - 0.00521331*((Sheet3!CI16+273)) + 0.447905</f>
        <v>8.210012756335594E-4</v>
      </c>
      <c r="N16" s="35">
        <f xml:space="preserve"> 0.0000000000330128*((Sheet3!CJ16+273)^(4)) - 0.0000000448315*((Sheet3!CJ16+273)^(3)) + 0.0000228887*((Sheet3!CJ16+273)^(2)) - 0.00521331*((Sheet3!CJ16+273)) + 0.447905</f>
        <v>8.6062508041639951E-4</v>
      </c>
      <c r="O16" s="35">
        <f xml:space="preserve"> 0.0000000000330128*((Sheet3!CK16+273)^(4)) - 0.0000000448315*((Sheet3!CK16+273)^(3)) + 0.0000228887*((Sheet3!CK16+273)^(2)) - 0.00521331*((Sheet3!CK16+273)) + 0.447905</f>
        <v>9.0531130701787532E-4</v>
      </c>
      <c r="P16" s="35">
        <f xml:space="preserve"> 0.0000000000330128*((Sheet3!CL16+273)^(4)) - 0.0000000448315*((Sheet3!CL16+273)^(3)) + 0.0000228887*((Sheet3!CL16+273)^(2)) - 0.00521331*((Sheet3!CL16+273)) + 0.447905</f>
        <v>9.5529586505627151E-4</v>
      </c>
      <c r="Q16" s="35">
        <f xml:space="preserve"> 0.0000000000330128*((Sheet3!CM16+273)^(4)) - 0.0000000448315*((Sheet3!CM16+273)^(3)) + 0.0000228887*((Sheet3!CM16+273)^(2)) - 0.00521331*((Sheet3!CM16+273)) + 0.447905</f>
        <v>1.0107359270188354E-3</v>
      </c>
      <c r="R16" s="35">
        <f xml:space="preserve"> 0.0000000000330128*((Sheet3!CN16+273)^(4)) - 0.0000000448315*((Sheet3!CN16+273)^(3)) + 0.0000228887*((Sheet3!CN16+273)^(2)) - 0.00521331*((Sheet3!CN16+273)) + 0.447905</f>
        <v>1.0716692021703889E-3</v>
      </c>
      <c r="S16" s="35">
        <f xml:space="preserve"> 0.0000000000330128*((Sheet3!CO16+273)^(4)) - 0.0000000448315*((Sheet3!CO16+273)^(3)) + 0.0000228887*((Sheet3!CO16+273)^(2)) - 0.00521331*((Sheet3!CO16+273)) + 0.447905</f>
        <v>1.1379701454232727E-3</v>
      </c>
      <c r="T16" s="35">
        <f xml:space="preserve"> 0.0000000000330128*((Sheet3!CP16+273)^(4)) - 0.0000000448315*((Sheet3!CP16+273)^(3)) + 0.0000228887*((Sheet3!CP16+273)^(2)) - 0.00521331*((Sheet3!CP16+273)) + 0.447905</f>
        <v>1.2093054414283877E-3</v>
      </c>
      <c r="U16" s="289">
        <f>(Sheet3!DC16*0.014*0.001*C16) / (L16*0.00015*3600*3)</f>
        <v>2672.3895404920318</v>
      </c>
      <c r="V16" s="35">
        <f>(Sheet3!$DC16*0.014*0.001*D16) / (M16*0.00015*3600*3)</f>
        <v>4188.4822134168035</v>
      </c>
      <c r="W16" s="35">
        <f>(Sheet3!$DC16*0.014*0.001*E16) / (N16*0.00015*3600*3)</f>
        <v>3999.1351504200511</v>
      </c>
      <c r="X16" s="35">
        <f>(Sheet3!$DC16*0.014*0.001*F16) / (O16*0.00015*3600*3)</f>
        <v>3805.1888001098318</v>
      </c>
      <c r="Y16" s="35">
        <f>(Sheet3!$DC16*0.014*0.001*G16) / (P16*0.00015*3600*3)</f>
        <v>3609.4475130247083</v>
      </c>
      <c r="Z16" s="35">
        <f>(Sheet3!$DC16*0.014*0.001*H16) / (Q16*0.00015*3600*3)</f>
        <v>3414.6933636351805</v>
      </c>
      <c r="AA16" s="35">
        <f>(Sheet3!$DC16*0.014*0.001*I16) / (R16*0.00015*3600*3)</f>
        <v>3223.6039912509059</v>
      </c>
      <c r="AB16" s="35">
        <f>(Sheet3!$DC16*0.014*0.001*J16) / (S16*0.00015*3600*3)</f>
        <v>3038.6645911106348</v>
      </c>
      <c r="AC16" s="35">
        <f>(Sheet3!$DC16*0.014*0.001*K16) / (T16*0.00015*3600*3)</f>
        <v>2862.087847011745</v>
      </c>
      <c r="AD16" s="289">
        <f t="shared" si="0"/>
        <v>0.59064941485320932</v>
      </c>
      <c r="AE16" s="35">
        <f>_xlfn.FORECAST.LINEAR(Sheet3!CI16,$DA$3:$DA$12,$CZ$3:$CZ$12)/1000</f>
        <v>0.61018484934479023</v>
      </c>
      <c r="AF16" s="35">
        <f>_xlfn.FORECAST.LINEAR(Sheet3!CJ16,$DA$3:$DA$12,$CZ$3:$CZ$12)/1000</f>
        <v>0.60792521718450954</v>
      </c>
      <c r="AG16" s="35">
        <f>_xlfn.FORECAST.LINEAR(Sheet3!CK16,$DA$3:$DA$12,$CZ$3:$CZ$12)/1000</f>
        <v>0.60557715773540322</v>
      </c>
      <c r="AH16" s="35">
        <f>_xlfn.FORECAST.LINEAR(Sheet3!CL16,$DA$3:$DA$12,$CZ$3:$CZ$12)/1000</f>
        <v>0.60316491697194874</v>
      </c>
      <c r="AI16" s="35">
        <f>_xlfn.FORECAST.LINEAR(Sheet3!CM16,$DA$3:$DA$12,$CZ$3:$CZ$12)/1000</f>
        <v>0.60071274086862336</v>
      </c>
      <c r="AJ16" s="35">
        <f>_xlfn.FORECAST.LINEAR(Sheet3!CN16,$DA$3:$DA$12,$CZ$3:$CZ$12)/1000</f>
        <v>0.59824487539990401</v>
      </c>
      <c r="AK16" s="35">
        <f>_xlfn.FORECAST.LINEAR(Sheet3!CO16,$DA$3:$DA$12,$CZ$3:$CZ$12)/1000</f>
        <v>0.59578556654026826</v>
      </c>
      <c r="AL16" s="35">
        <f>_xlfn.FORECAST.LINEAR(Sheet3!CP16,$DA$3:$DA$12,$CZ$3:$CZ$12)/1000</f>
        <v>0.59335906026419327</v>
      </c>
      <c r="AM16" s="289">
        <f t="shared" si="1"/>
        <v>4189.4159906435634</v>
      </c>
      <c r="AN16" s="35">
        <f>_xlfn.FORECAST.LINEAR(Sheet3!CI16,$DP$3:$DP$14,$DJ$3:$DJ$14)*1000</f>
        <v>4191.1351358327347</v>
      </c>
      <c r="AO16" s="35">
        <f>_xlfn.FORECAST.LINEAR(Sheet3!CJ16,$DP$3:$DP$14,$DJ$3:$DJ$14)*1000</f>
        <v>4190.9362850849138</v>
      </c>
      <c r="AP16" s="35">
        <f>_xlfn.FORECAST.LINEAR(Sheet3!CK16,$DP$3:$DP$14,$DJ$3:$DJ$14)*1000</f>
        <v>4190.7296526136697</v>
      </c>
      <c r="AQ16" s="35">
        <f>_xlfn.FORECAST.LINEAR(Sheet3!CL16,$DP$3:$DP$14,$DJ$3:$DJ$14)*1000</f>
        <v>4190.5173720982102</v>
      </c>
      <c r="AR16" s="35">
        <f>_xlfn.FORECAST.LINEAR(Sheet3!CM16,$DP$3:$DP$14,$DJ$3:$DJ$14)*1000</f>
        <v>4190.3015772177405</v>
      </c>
      <c r="AS16" s="35">
        <f>_xlfn.FORECAST.LINEAR(Sheet3!CN16,$DP$3:$DP$14,$DJ$3:$DJ$14)*1000</f>
        <v>4190.0844016514684</v>
      </c>
      <c r="AT16" s="35">
        <f>_xlfn.FORECAST.LINEAR(Sheet3!CO16,$DP$3:$DP$14,$DJ$3:$DJ$14)*1000</f>
        <v>4189.8679790786027</v>
      </c>
      <c r="AU16" s="35">
        <f>_xlfn.FORECAST.LINEAR(Sheet3!CP16,$DP$3:$DP$14,$DJ$3:$DJ$14)*1000</f>
        <v>4189.6544431783495</v>
      </c>
      <c r="AV16" s="289">
        <f t="shared" si="18"/>
        <v>1.4083827073216938E-7</v>
      </c>
      <c r="AW16" s="35">
        <f t="shared" si="19"/>
        <v>1.4653615441954869E-7</v>
      </c>
      <c r="AX16" s="35">
        <f t="shared" si="20"/>
        <v>1.4587288166531015E-7</v>
      </c>
      <c r="AY16" s="35">
        <f t="shared" si="21"/>
        <v>1.4518482565782751E-7</v>
      </c>
      <c r="AZ16" s="35">
        <f t="shared" si="22"/>
        <v>1.444792039988865E-7</v>
      </c>
      <c r="BA16" s="35">
        <f t="shared" si="23"/>
        <v>1.4376318664496726E-7</v>
      </c>
      <c r="BB16" s="35">
        <f t="shared" si="24"/>
        <v>1.4304389350895367E-7</v>
      </c>
      <c r="BC16" s="35">
        <f t="shared" si="25"/>
        <v>1.4232839336179371E-7</v>
      </c>
      <c r="BD16" s="35">
        <f t="shared" si="26"/>
        <v>1.4162370400937981E-7</v>
      </c>
      <c r="BE16" s="289">
        <f t="shared" si="3"/>
        <v>9.1959180902102773</v>
      </c>
      <c r="BF16" s="35">
        <f t="shared" si="27"/>
        <v>5.639155571571691</v>
      </c>
      <c r="BG16" s="35">
        <f t="shared" si="28"/>
        <v>5.933007507198889</v>
      </c>
      <c r="BH16" s="35">
        <f t="shared" si="29"/>
        <v>6.2649571416363354</v>
      </c>
      <c r="BI16" s="35">
        <f t="shared" si="30"/>
        <v>6.6369641293279464</v>
      </c>
      <c r="BJ16" s="35">
        <f t="shared" si="31"/>
        <v>7.0504386889039257</v>
      </c>
      <c r="BK16" s="35">
        <f t="shared" si="32"/>
        <v>7.505930418113099</v>
      </c>
      <c r="BL16" s="35">
        <f t="shared" si="33"/>
        <v>8.0027864742408674</v>
      </c>
      <c r="BM16" s="35">
        <f t="shared" si="34"/>
        <v>8.5387959081374891</v>
      </c>
      <c r="BN16" s="289">
        <f t="shared" si="35"/>
        <v>1.7439272230078298E-3</v>
      </c>
      <c r="BO16" s="35">
        <f t="shared" si="36"/>
        <v>1.8144811599760664E-3</v>
      </c>
      <c r="BP16" s="35">
        <f t="shared" si="37"/>
        <v>1.8062681976442898E-3</v>
      </c>
      <c r="BQ16" s="35">
        <f t="shared" si="38"/>
        <v>1.7977483571480581E-3</v>
      </c>
      <c r="BR16" s="35">
        <f t="shared" si="39"/>
        <v>1.7890110103049464E-3</v>
      </c>
      <c r="BS16" s="35">
        <f t="shared" si="40"/>
        <v>1.7801449389654282E-3</v>
      </c>
      <c r="BT16" s="35">
        <f t="shared" si="41"/>
        <v>1.7712383053160967E-3</v>
      </c>
      <c r="BU16" s="35">
        <f t="shared" si="42"/>
        <v>1.7623786382794905E-3</v>
      </c>
      <c r="BV16" s="35">
        <f t="shared" si="43"/>
        <v>1.7536528357043131E-3</v>
      </c>
      <c r="BW16" s="289">
        <f t="shared" si="44"/>
        <v>5.0209079696816941E-2</v>
      </c>
      <c r="BX16" s="35">
        <f t="shared" si="45"/>
        <v>4.4873819119154584E-2</v>
      </c>
      <c r="BY16" s="35">
        <f t="shared" si="46"/>
        <v>4.5395800794234012E-2</v>
      </c>
      <c r="BZ16" s="35">
        <f t="shared" si="47"/>
        <v>4.5963506116414872E-2</v>
      </c>
      <c r="CA16" s="35">
        <f t="shared" si="48"/>
        <v>4.6574373235707074E-2</v>
      </c>
      <c r="CB16" s="35">
        <f t="shared" si="49"/>
        <v>4.7224707239402086E-2</v>
      </c>
      <c r="CC16" s="35">
        <f t="shared" si="50"/>
        <v>4.7909515694237334E-2</v>
      </c>
      <c r="CD16" s="35">
        <f t="shared" si="51"/>
        <v>4.8622413303024567E-2</v>
      </c>
      <c r="CE16" s="35">
        <f t="shared" si="52"/>
        <v>4.9355602972890766E-2</v>
      </c>
      <c r="CF16" s="289">
        <f t="shared" si="7"/>
        <v>11.726841118314896</v>
      </c>
      <c r="CG16" s="35">
        <f t="shared" si="8"/>
        <v>32.9347744863828</v>
      </c>
      <c r="CH16" s="35">
        <f t="shared" si="9"/>
        <v>31.765373821927511</v>
      </c>
      <c r="CI16" s="35">
        <f t="shared" si="10"/>
        <v>30.516043922488464</v>
      </c>
      <c r="CJ16" s="35">
        <f t="shared" si="11"/>
        <v>29.197742316334672</v>
      </c>
      <c r="CK16" s="35">
        <f t="shared" si="12"/>
        <v>27.823537447289393</v>
      </c>
      <c r="CL16" s="35">
        <f t="shared" si="13"/>
        <v>26.408527224646289</v>
      </c>
      <c r="CM16" s="35">
        <f t="shared" si="14"/>
        <v>24.969577093440211</v>
      </c>
      <c r="CN16" s="35">
        <f t="shared" si="15"/>
        <v>11.72632750375338</v>
      </c>
      <c r="CO16" s="289">
        <f t="shared" si="53"/>
        <v>494.74656032923201</v>
      </c>
      <c r="CP16" s="35">
        <f t="shared" si="54"/>
        <v>1435.4500291555808</v>
      </c>
      <c r="CQ16" s="35">
        <f t="shared" si="55"/>
        <v>1379.3551271173153</v>
      </c>
      <c r="CR16" s="35">
        <f t="shared" si="56"/>
        <v>1319.9870817078063</v>
      </c>
      <c r="CS16" s="35">
        <f t="shared" si="57"/>
        <v>1257.9324157143112</v>
      </c>
      <c r="CT16" s="35">
        <f t="shared" si="58"/>
        <v>1193.8538171872851</v>
      </c>
      <c r="CU16" s="35">
        <f t="shared" si="59"/>
        <v>1128.4832913573923</v>
      </c>
      <c r="CV16" s="35">
        <f t="shared" si="60"/>
        <v>1062.6081167775844</v>
      </c>
      <c r="CW16" s="35">
        <f t="shared" si="61"/>
        <v>496.99447628409064</v>
      </c>
      <c r="CY16" s="35">
        <v>8.92</v>
      </c>
      <c r="CZ16" s="35">
        <v>6</v>
      </c>
      <c r="DA16" s="35">
        <v>0.01</v>
      </c>
      <c r="DE16" s="229">
        <v>17</v>
      </c>
      <c r="DF16" s="230">
        <v>1.0798000000000001</v>
      </c>
      <c r="DG16" s="230">
        <v>1.0810999999999999</v>
      </c>
      <c r="DH16" s="230">
        <v>0.99880000000000002</v>
      </c>
      <c r="DJ16" s="197">
        <v>120</v>
      </c>
      <c r="DK16" s="194">
        <v>66.05</v>
      </c>
      <c r="DL16" s="194">
        <v>3.6661999999999999</v>
      </c>
      <c r="DM16" s="194">
        <v>1.018E-3</v>
      </c>
      <c r="DN16" s="194">
        <v>0.87570000000000003</v>
      </c>
      <c r="DO16" s="194">
        <v>76.450999999999993</v>
      </c>
      <c r="DP16" s="194">
        <v>4.2435</v>
      </c>
      <c r="DQ16" s="194">
        <v>1.1789999999999999E-3</v>
      </c>
      <c r="DR16" s="198">
        <v>1.0135000000000001</v>
      </c>
      <c r="DU16" s="197">
        <v>60</v>
      </c>
      <c r="DV16" s="194">
        <v>0.98319999999999996</v>
      </c>
      <c r="DW16" s="194">
        <v>983.2</v>
      </c>
      <c r="DX16" s="194">
        <v>1.9077</v>
      </c>
      <c r="DY16" s="194">
        <v>61.379199999999997</v>
      </c>
      <c r="DZ16" s="194">
        <v>8.2051999999999996</v>
      </c>
      <c r="EA16" s="194">
        <v>9.6418999999999997</v>
      </c>
      <c r="EB16" s="194">
        <v>61.378999999999998</v>
      </c>
      <c r="EC16" s="198">
        <v>5.16</v>
      </c>
    </row>
    <row r="17" spans="1:133" ht="15" thickBot="1" x14ac:dyDescent="0.35">
      <c r="A17" s="184" t="str">
        <f>'Su K. oro stendu'!B62</f>
        <v>08.12.2022</v>
      </c>
      <c r="B17" s="289">
        <f>Sheet3!DD17</f>
        <v>10.11</v>
      </c>
      <c r="C17" s="289">
        <f>_xlfn.FORECAST.LINEAR(Sheet3!DD17,$DW$3:$DW$24,$DU$3:$DU$24)</f>
        <v>1001.1491904560211</v>
      </c>
      <c r="D17" s="35">
        <f>_xlfn.FORECAST.LINEAR(Sheet3!CI17,'Cooling water'!$DW$3:$DW$24,'Cooling water'!$DU$3:$DU$24)</f>
        <v>993.92790056384808</v>
      </c>
      <c r="E17" s="35">
        <f>_xlfn.FORECAST.LINEAR(Sheet3!CJ17,'Cooling water'!$DW$3:$DW$24,'Cooling water'!$DU$3:$DU$24)</f>
        <v>994.72941559254127</v>
      </c>
      <c r="F17" s="35">
        <f>_xlfn.FORECAST.LINEAR(Sheet3!CK17,'Cooling water'!$DW$3:$DW$24,'Cooling water'!$DU$3:$DU$24)</f>
        <v>995.59013003867381</v>
      </c>
      <c r="G17" s="35">
        <f>_xlfn.FORECAST.LINEAR(Sheet3!CL17,'Cooling water'!$DW$3:$DW$24,'Cooling water'!$DU$3:$DU$24)</f>
        <v>996.49285069543612</v>
      </c>
      <c r="H17" s="35">
        <f>_xlfn.FORECAST.LINEAR(Sheet3!CM17,'Cooling water'!$DW$3:$DW$24,'Cooling water'!$DU$3:$DU$24)</f>
        <v>997.42038435601853</v>
      </c>
      <c r="I17" s="35">
        <f>_xlfn.FORECAST.LINEAR(Sheet3!CN17,'Cooling water'!$DW$3:$DW$24,'Cooling water'!$DU$3:$DU$24)</f>
        <v>998.35553781361159</v>
      </c>
      <c r="J17" s="35">
        <f>_xlfn.FORECAST.LINEAR(Sheet3!CO17,'Cooling water'!$DW$3:$DW$24,'Cooling water'!$DU$3:$DU$24)</f>
        <v>999.28111786140551</v>
      </c>
      <c r="K17" s="35">
        <f>_xlfn.FORECAST.LINEAR(Sheet3!CP17,'Cooling water'!$DW$3:$DW$24,'Cooling water'!$DU$3:$DU$24)</f>
        <v>1000.1799312925907</v>
      </c>
      <c r="L17" s="289">
        <f t="shared" si="17"/>
        <v>1.3052696477862114E-3</v>
      </c>
      <c r="M17" s="35">
        <f xml:space="preserve"> 0.0000000000330128*((Sheet3!CI17+273)^(4)) - 0.0000000448315*((Sheet3!CI17+273)^(3)) + 0.0000228887*((Sheet3!CI17+273)^(2)) - 0.00521331*((Sheet3!CI17+273)) + 0.447905</f>
        <v>8.383438973735835E-4</v>
      </c>
      <c r="N17" s="35">
        <f xml:space="preserve"> 0.0000000000330128*((Sheet3!CJ17+273)^(4)) - 0.0000000448315*((Sheet3!CJ17+273)^(3)) + 0.0000228887*((Sheet3!CJ17+273)^(2)) - 0.00521331*((Sheet3!CJ17+273)) + 0.447905</f>
        <v>8.76116708657948E-4</v>
      </c>
      <c r="O17" s="35">
        <f xml:space="preserve"> 0.0000000000330128*((Sheet3!CK17+273)^(4)) - 0.0000000448315*((Sheet3!CK17+273)^(3)) + 0.0000228887*((Sheet3!CK17+273)^(2)) - 0.00521331*((Sheet3!CK17+273)) + 0.447905</f>
        <v>9.1992742473334665E-4</v>
      </c>
      <c r="P17" s="35">
        <f xml:space="preserve"> 0.0000000000330128*((Sheet3!CL17+273)^(4)) - 0.0000000448315*((Sheet3!CL17+273)^(3)) + 0.0000228887*((Sheet3!CL17+273)^(2)) - 0.00521331*((Sheet3!CL17+273)) + 0.447905</f>
        <v>9.6980752066766485E-4</v>
      </c>
      <c r="Q17" s="35">
        <f xml:space="preserve"> 0.0000000000330128*((Sheet3!CM17+273)^(4)) - 0.0000000448315*((Sheet3!CM17+273)^(3)) + 0.0000228887*((Sheet3!CM17+273)^(2)) - 0.00521331*((Sheet3!CM17+273)) + 0.447905</f>
        <v>1.0256238017809505E-3</v>
      </c>
      <c r="R17" s="35">
        <f xml:space="preserve"> 0.0000000000330128*((Sheet3!CN17+273)^(4)) - 0.0000000448315*((Sheet3!CN17+273)^(3)) + 0.0000228887*((Sheet3!CN17+273)^(2)) - 0.00521331*((Sheet3!CN17+273)) + 0.447905</f>
        <v>1.0869953670387122E-3</v>
      </c>
      <c r="S17" s="35">
        <f xml:space="preserve"> 0.0000000000330128*((Sheet3!CO17+273)^(4)) - 0.0000000448315*((Sheet3!CO17+273)^(3)) + 0.0000228887*((Sheet3!CO17+273)^(2)) - 0.00521331*((Sheet3!CO17+273)) + 0.447905</f>
        <v>1.1532089589332273E-3</v>
      </c>
      <c r="T17" s="35">
        <f xml:space="preserve"> 0.0000000000330128*((Sheet3!CP17+273)^(4)) - 0.0000000448315*((Sheet3!CP17+273)^(3)) + 0.0000228887*((Sheet3!CP17+273)^(2)) - 0.00521331*((Sheet3!CP17+273)) + 0.447905</f>
        <v>1.2231408546823364E-3</v>
      </c>
      <c r="U17" s="289">
        <f>(Sheet3!DC17*0.014*0.001*C17) / (L17*0.00015*3600*3)</f>
        <v>2823.7170849066565</v>
      </c>
      <c r="V17" s="35">
        <f>(Sheet3!$DC17*0.014*0.001*D17) / (M17*0.00015*3600*3)</f>
        <v>4364.7090070281647</v>
      </c>
      <c r="W17" s="35">
        <f>(Sheet3!$DC17*0.014*0.001*E17) / (N17*0.00015*3600*3)</f>
        <v>4179.8973657270817</v>
      </c>
      <c r="X17" s="35">
        <f>(Sheet3!$DC17*0.014*0.001*F17) / (O17*0.00015*3600*3)</f>
        <v>3984.2780292646885</v>
      </c>
      <c r="Y17" s="35">
        <f>(Sheet3!$DC17*0.014*0.001*G17) / (P17*0.00015*3600*3)</f>
        <v>3782.7815294093712</v>
      </c>
      <c r="Z17" s="35">
        <f>(Sheet3!$DC17*0.014*0.001*H17) / (Q17*0.00015*3600*3)</f>
        <v>3580.245181403342</v>
      </c>
      <c r="AA17" s="35">
        <f>(Sheet3!$DC17*0.014*0.001*I17) / (R17*0.00015*3600*3)</f>
        <v>3381.2723916277737</v>
      </c>
      <c r="AB17" s="35">
        <f>(Sheet3!$DC17*0.014*0.001*J17) / (S17*0.00015*3600*3)</f>
        <v>3190.0852848073382</v>
      </c>
      <c r="AC17" s="35">
        <f>(Sheet3!$DC17*0.014*0.001*K17) / (T17*0.00015*3600*3)</f>
        <v>3010.4005447184481</v>
      </c>
      <c r="AD17" s="289">
        <f t="shared" si="0"/>
        <v>0.59039044196741619</v>
      </c>
      <c r="AE17" s="35">
        <f>_xlfn.FORECAST.LINEAR(Sheet3!CI17,$DA$3:$DA$12,$CZ$3:$CZ$12)/1000</f>
        <v>0.60917356594229666</v>
      </c>
      <c r="AF17" s="35">
        <f>_xlfn.FORECAST.LINEAR(Sheet3!CJ17,$DA$3:$DA$12,$CZ$3:$CZ$12)/1000</f>
        <v>0.60708876442117354</v>
      </c>
      <c r="AG17" s="35">
        <f>_xlfn.FORECAST.LINEAR(Sheet3!CK17,$DA$3:$DA$12,$CZ$3:$CZ$12)/1000</f>
        <v>0.60484998071492724</v>
      </c>
      <c r="AH17" s="35">
        <f>_xlfn.FORECAST.LINEAR(Sheet3!CL17,$DA$3:$DA$12,$CZ$3:$CZ$12)/1000</f>
        <v>0.60250193566150401</v>
      </c>
      <c r="AI17" s="35">
        <f>_xlfn.FORECAST.LINEAR(Sheet3!CM17,$DA$3:$DA$12,$CZ$3:$CZ$12)/1000</f>
        <v>0.60008935009885012</v>
      </c>
      <c r="AJ17" s="35">
        <f>_xlfn.FORECAST.LINEAR(Sheet3!CN17,$DA$3:$DA$12,$CZ$3:$CZ$12)/1000</f>
        <v>0.59765694486491183</v>
      </c>
      <c r="AK17" s="35">
        <f>_xlfn.FORECAST.LINEAR(Sheet3!CO17,$DA$3:$DA$12,$CZ$3:$CZ$12)/1000</f>
        <v>0.59524944079763542</v>
      </c>
      <c r="AL17" s="35">
        <f>_xlfn.FORECAST.LINEAR(Sheet3!CP17,$DA$3:$DA$12,$CZ$3:$CZ$12)/1000</f>
        <v>0.59291155873496715</v>
      </c>
      <c r="AM17" s="289">
        <f t="shared" si="1"/>
        <v>4189.3932006722971</v>
      </c>
      <c r="AN17" s="35">
        <f>_xlfn.FORECAST.LINEAR(Sheet3!CI17,$DP$3:$DP$14,$DJ$3:$DJ$14)*1000</f>
        <v>4191.0461414980018</v>
      </c>
      <c r="AO17" s="35">
        <f>_xlfn.FORECAST.LINEAR(Sheet3!CJ17,$DP$3:$DP$14,$DJ$3:$DJ$14)*1000</f>
        <v>4190.8626760876487</v>
      </c>
      <c r="AP17" s="35">
        <f>_xlfn.FORECAST.LINEAR(Sheet3!CK17,$DP$3:$DP$14,$DJ$3:$DJ$14)*1000</f>
        <v>4190.6656600325496</v>
      </c>
      <c r="AQ17" s="35">
        <f>_xlfn.FORECAST.LINEAR(Sheet3!CL17,$DP$3:$DP$14,$DJ$3:$DJ$14)*1000</f>
        <v>4190.4590288281461</v>
      </c>
      <c r="AR17" s="35">
        <f>_xlfn.FORECAST.LINEAR(Sheet3!CM17,$DP$3:$DP$14,$DJ$3:$DJ$14)*1000</f>
        <v>4190.2467179698797</v>
      </c>
      <c r="AS17" s="35">
        <f>_xlfn.FORECAST.LINEAR(Sheet3!CN17,$DP$3:$DP$14,$DJ$3:$DJ$14)*1000</f>
        <v>4190.0326629531946</v>
      </c>
      <c r="AT17" s="35">
        <f>_xlfn.FORECAST.LINEAR(Sheet3!CO17,$DP$3:$DP$14,$DJ$3:$DJ$14)*1000</f>
        <v>4189.8207992735333</v>
      </c>
      <c r="AU17" s="35">
        <f>_xlfn.FORECAST.LINEAR(Sheet3!CP17,$DP$3:$DP$14,$DJ$3:$DJ$14)*1000</f>
        <v>4189.6150624263382</v>
      </c>
      <c r="AV17" s="289">
        <f t="shared" si="18"/>
        <v>1.4076328514808016E-7</v>
      </c>
      <c r="AW17" s="35">
        <f t="shared" si="19"/>
        <v>1.4623917403896506E-7</v>
      </c>
      <c r="AX17" s="35">
        <f t="shared" si="20"/>
        <v>1.4562763752445291E-7</v>
      </c>
      <c r="AY17" s="35">
        <f t="shared" si="21"/>
        <v>1.4497198162577121E-7</v>
      </c>
      <c r="AZ17" s="35">
        <f t="shared" si="22"/>
        <v>1.4428549060158779E-7</v>
      </c>
      <c r="BA17" s="35">
        <f t="shared" si="23"/>
        <v>1.4358136740884136E-7</v>
      </c>
      <c r="BB17" s="35">
        <f t="shared" si="24"/>
        <v>1.4287272585811743E-7</v>
      </c>
      <c r="BC17" s="35">
        <f t="shared" si="25"/>
        <v>1.4217258717439349E-7</v>
      </c>
      <c r="BD17" s="35">
        <f t="shared" si="26"/>
        <v>1.4149388088191532E-7</v>
      </c>
      <c r="BE17" s="289">
        <f t="shared" si="3"/>
        <v>9.2621550058584354</v>
      </c>
      <c r="BF17" s="35">
        <f t="shared" si="27"/>
        <v>5.7677124431705398</v>
      </c>
      <c r="BG17" s="35">
        <f t="shared" si="28"/>
        <v>6.0480197120961456</v>
      </c>
      <c r="BH17" s="35">
        <f t="shared" si="29"/>
        <v>6.373660232237274</v>
      </c>
      <c r="BI17" s="35">
        <f t="shared" si="30"/>
        <v>6.7451047717304702</v>
      </c>
      <c r="BJ17" s="35">
        <f t="shared" si="31"/>
        <v>7.1616281285053471</v>
      </c>
      <c r="BK17" s="35">
        <f t="shared" si="32"/>
        <v>7.6206695688953516</v>
      </c>
      <c r="BL17" s="35">
        <f t="shared" si="33"/>
        <v>8.1171666042600119</v>
      </c>
      <c r="BM17" s="35">
        <f t="shared" si="34"/>
        <v>8.6429236751257186</v>
      </c>
      <c r="BN17" s="289">
        <f t="shared" si="35"/>
        <v>1.6386642852823355E-3</v>
      </c>
      <c r="BO17" s="35">
        <f t="shared" si="36"/>
        <v>1.7024106204593511E-3</v>
      </c>
      <c r="BP17" s="35">
        <f t="shared" si="37"/>
        <v>1.6952915549699168E-3</v>
      </c>
      <c r="BQ17" s="35">
        <f t="shared" si="38"/>
        <v>1.6876588835423201E-3</v>
      </c>
      <c r="BR17" s="35">
        <f t="shared" si="39"/>
        <v>1.6796672519012081E-3</v>
      </c>
      <c r="BS17" s="35">
        <f t="shared" si="40"/>
        <v>1.6714703593153416E-3</v>
      </c>
      <c r="BT17" s="35">
        <f t="shared" si="41"/>
        <v>1.6632208672761584E-3</v>
      </c>
      <c r="BU17" s="35">
        <f t="shared" si="42"/>
        <v>1.6550703594604588E-3</v>
      </c>
      <c r="BV17" s="35">
        <f t="shared" si="43"/>
        <v>1.6471693520314949E-3</v>
      </c>
      <c r="BW17" s="289">
        <f t="shared" si="44"/>
        <v>4.9522425408235107E-2</v>
      </c>
      <c r="BX17" s="35">
        <f t="shared" si="45"/>
        <v>4.4413845574215176E-2</v>
      </c>
      <c r="BY17" s="35">
        <f t="shared" si="46"/>
        <v>4.489684232519079E-2</v>
      </c>
      <c r="BZ17" s="35">
        <f t="shared" si="47"/>
        <v>4.5438061263653837E-2</v>
      </c>
      <c r="CA17" s="35">
        <f t="shared" si="48"/>
        <v>4.6031421539607528E-2</v>
      </c>
      <c r="CB17" s="35">
        <f t="shared" si="49"/>
        <v>4.6669055292196976E-2</v>
      </c>
      <c r="CC17" s="35">
        <f t="shared" si="50"/>
        <v>4.7340971096829054E-2</v>
      </c>
      <c r="CD17" s="35">
        <f t="shared" si="51"/>
        <v>4.8034870971124716E-2</v>
      </c>
      <c r="CE17" s="35">
        <f t="shared" si="52"/>
        <v>4.8736140192421923E-2</v>
      </c>
      <c r="CF17" s="289">
        <f t="shared" si="7"/>
        <v>11.732400107685642</v>
      </c>
      <c r="CG17" s="35">
        <f t="shared" si="8"/>
        <v>34.787741086238476</v>
      </c>
      <c r="CH17" s="35">
        <f t="shared" si="9"/>
        <v>33.657266660763355</v>
      </c>
      <c r="CI17" s="35">
        <f t="shared" si="10"/>
        <v>32.41211514634071</v>
      </c>
      <c r="CJ17" s="35">
        <f t="shared" si="11"/>
        <v>31.073053825644475</v>
      </c>
      <c r="CK17" s="35">
        <f t="shared" si="12"/>
        <v>29.66408225880506</v>
      </c>
      <c r="CL17" s="35">
        <f t="shared" si="13"/>
        <v>28.212398016640307</v>
      </c>
      <c r="CM17" s="35">
        <f t="shared" si="14"/>
        <v>26.747985105856468</v>
      </c>
      <c r="CN17" s="35">
        <f t="shared" si="15"/>
        <v>25.302918530767666</v>
      </c>
      <c r="CO17" s="289">
        <f t="shared" si="53"/>
        <v>494.76406320822053</v>
      </c>
      <c r="CP17" s="35">
        <f t="shared" si="54"/>
        <v>1513.6980206129456</v>
      </c>
      <c r="CQ17" s="35">
        <f t="shared" si="55"/>
        <v>1459.4963164911985</v>
      </c>
      <c r="CR17" s="35">
        <f t="shared" si="56"/>
        <v>1400.3190872281557</v>
      </c>
      <c r="CS17" s="35">
        <f t="shared" si="57"/>
        <v>1337.2553626332069</v>
      </c>
      <c r="CT17" s="35">
        <f t="shared" si="58"/>
        <v>1271.507131711797</v>
      </c>
      <c r="CU17" s="35">
        <f t="shared" si="59"/>
        <v>1204.3811147098675</v>
      </c>
      <c r="CV17" s="35">
        <f t="shared" si="60"/>
        <v>1137.2659411946104</v>
      </c>
      <c r="CW17" s="35">
        <f t="shared" si="61"/>
        <v>1071.599490472953</v>
      </c>
      <c r="CY17" s="35">
        <v>5.81</v>
      </c>
      <c r="CZ17" s="35">
        <v>4.17</v>
      </c>
      <c r="DA17" s="35">
        <v>0.04</v>
      </c>
      <c r="DE17" s="229">
        <v>18</v>
      </c>
      <c r="DF17" s="230">
        <v>1.0526</v>
      </c>
      <c r="DG17" s="230">
        <v>1.0541</v>
      </c>
      <c r="DH17" s="230">
        <v>0.99860000000000004</v>
      </c>
      <c r="DJ17" s="197">
        <v>140</v>
      </c>
      <c r="DK17" s="194">
        <v>64.305999999999997</v>
      </c>
      <c r="DL17" s="194">
        <v>3.5693999999999999</v>
      </c>
      <c r="DM17" s="194">
        <v>9.9200000000000004E-4</v>
      </c>
      <c r="DN17" s="194">
        <v>0.85250000000000004</v>
      </c>
      <c r="DO17" s="194">
        <v>77.155000000000001</v>
      </c>
      <c r="DP17" s="194">
        <v>4.2826000000000004</v>
      </c>
      <c r="DQ17" s="194">
        <v>1.1900000000000001E-3</v>
      </c>
      <c r="DR17" s="198">
        <v>1.0228999999999999</v>
      </c>
      <c r="DU17" s="197">
        <v>65</v>
      </c>
      <c r="DV17" s="194">
        <v>0.98055000000000003</v>
      </c>
      <c r="DW17" s="194">
        <v>980.55</v>
      </c>
      <c r="DX17" s="194">
        <v>1.9026000000000001</v>
      </c>
      <c r="DY17" s="194">
        <v>61.213700000000003</v>
      </c>
      <c r="DZ17" s="194">
        <v>8.1830999999999996</v>
      </c>
      <c r="EA17" s="194">
        <v>9.6158999999999999</v>
      </c>
      <c r="EB17" s="194">
        <v>61.213999999999999</v>
      </c>
      <c r="EC17" s="198">
        <v>5.44</v>
      </c>
    </row>
    <row r="18" spans="1:133" ht="15" thickBot="1" x14ac:dyDescent="0.35">
      <c r="A18" s="184" t="str">
        <f>'Su K. oro stendu'!B63</f>
        <v>08.12.2022</v>
      </c>
      <c r="B18" s="289">
        <f>Sheet3!DD18</f>
        <v>10.26</v>
      </c>
      <c r="C18" s="289">
        <f>_xlfn.FORECAST.LINEAR(Sheet3!DD18,$DW$3:$DW$24,$DU$3:$DU$24)</f>
        <v>1001.08696311151</v>
      </c>
      <c r="D18" s="35">
        <f>_xlfn.FORECAST.LINEAR(Sheet3!CI18,'Cooling water'!$DW$3:$DW$24,'Cooling water'!$DU$3:$DU$24)</f>
        <v>993.75483683210041</v>
      </c>
      <c r="E18" s="35">
        <f>_xlfn.FORECAST.LINEAR(Sheet3!CJ18,'Cooling water'!$DW$3:$DW$24,'Cooling water'!$DU$3:$DU$24)</f>
        <v>994.58951623849543</v>
      </c>
      <c r="F18" s="35">
        <f>_xlfn.FORECAST.LINEAR(Sheet3!CK18,'Cooling water'!$DW$3:$DW$24,'Cooling water'!$DU$3:$DU$24)</f>
        <v>995.46810544188656</v>
      </c>
      <c r="G18" s="35">
        <f>_xlfn.FORECAST.LINEAR(Sheet3!CL18,'Cooling water'!$DW$3:$DW$24,'Cooling water'!$DU$3:$DU$24)</f>
        <v>996.3782396243422</v>
      </c>
      <c r="H18" s="35">
        <f>_xlfn.FORECAST.LINEAR(Sheet3!CM18,'Cooling water'!$DW$3:$DW$24,'Cooling water'!$DU$3:$DU$24)</f>
        <v>997.30755396793029</v>
      </c>
      <c r="I18" s="35">
        <f>_xlfn.FORECAST.LINEAR(Sheet3!CN18,'Cooling water'!$DW$3:$DW$24,'Cooling water'!$DU$3:$DU$24)</f>
        <v>998.24368365471912</v>
      </c>
      <c r="J18" s="35">
        <f>_xlfn.FORECAST.LINEAR(Sheet3!CO18,'Cooling water'!$DW$3:$DW$24,'Cooling water'!$DU$3:$DU$24)</f>
        <v>999.17426386677676</v>
      </c>
      <c r="K18" s="35">
        <f>_xlfn.FORECAST.LINEAR(Sheet3!CP18,'Cooling water'!$DW$3:$DW$24,'Cooling water'!$DU$3:$DU$24)</f>
        <v>1000.0869297861713</v>
      </c>
      <c r="L18" s="289">
        <f t="shared" si="17"/>
        <v>1.2997772507672423E-3</v>
      </c>
      <c r="M18" s="35">
        <f xml:space="preserve"> 0.0000000000330128*((Sheet3!CI18+273)^(4)) - 0.0000000448315*((Sheet3!CI18+273)^(3)) + 0.0000228887*((Sheet3!CI18+273)^(2)) - 0.00521331*((Sheet3!CI18+273)) + 0.447905</f>
        <v>8.3054775989555019E-4</v>
      </c>
      <c r="N18" s="35">
        <f xml:space="preserve"> 0.0000000000330128*((Sheet3!CJ18+273)^(4)) - 0.0000000448315*((Sheet3!CJ18+273)^(3)) + 0.0000228887*((Sheet3!CJ18+273)^(2)) - 0.00521331*((Sheet3!CJ18+273)) + 0.447905</f>
        <v>8.6932057364319526E-4</v>
      </c>
      <c r="O18" s="35">
        <f xml:space="preserve"> 0.0000000000330128*((Sheet3!CK18+273)^(4)) - 0.0000000448315*((Sheet3!CK18+273)^(3)) + 0.0000228887*((Sheet3!CK18+273)^(2)) - 0.00521331*((Sheet3!CK18+273)) + 0.447905</f>
        <v>9.1350105854526298E-4</v>
      </c>
      <c r="P18" s="35">
        <f xml:space="preserve"> 0.0000000000330128*((Sheet3!CL18+273)^(4)) - 0.0000000448315*((Sheet3!CL18+273)^(3)) + 0.0000228887*((Sheet3!CL18+273)^(2)) - 0.00521331*((Sheet3!CL18+273)) + 0.447905</f>
        <v>9.6323960753141868E-4</v>
      </c>
      <c r="Q18" s="35">
        <f xml:space="preserve"> 0.0000000000330128*((Sheet3!CM18+273)^(4)) - 0.0000000448315*((Sheet3!CM18+273)^(3)) + 0.0000228887*((Sheet3!CM18+273)^(2)) - 0.00521331*((Sheet3!CM18+273)) + 0.447905</f>
        <v>1.0185734665437707E-3</v>
      </c>
      <c r="R18" s="35">
        <f xml:space="preserve"> 0.0000000000330128*((Sheet3!CN18+273)^(4)) - 0.0000000448315*((Sheet3!CN18+273)^(3)) + 0.0000228887*((Sheet3!CN18+273)^(2)) - 0.00521331*((Sheet3!CN18+273)) + 0.447905</f>
        <v>1.079370947722591E-3</v>
      </c>
      <c r="S18" s="35">
        <f xml:space="preserve"> 0.0000000000330128*((Sheet3!CO18+273)^(4)) - 0.0000000448315*((Sheet3!CO18+273)^(3)) + 0.0000228887*((Sheet3!CO18+273)^(2)) - 0.00521331*((Sheet3!CO18+273)) + 0.447905</f>
        <v>1.1452728005449941E-3</v>
      </c>
      <c r="T18" s="35">
        <f xml:space="preserve"> 0.0000000000330128*((Sheet3!CP18+273)^(4)) - 0.0000000448315*((Sheet3!CP18+273)^(3)) + 0.0000228887*((Sheet3!CP18+273)^(2)) - 0.00521331*((Sheet3!CP18+273)) + 0.447905</f>
        <v>1.2156348915957071E-3</v>
      </c>
      <c r="U18" s="289">
        <f>(Sheet3!DC18*0.014*0.001*C18) / (L18*0.00015*3600*3)</f>
        <v>2875.4090954765543</v>
      </c>
      <c r="V18" s="35">
        <f>(Sheet3!$DC18*0.014*0.001*D18) / (M18*0.00015*3600*3)</f>
        <v>4466.9533007627178</v>
      </c>
      <c r="W18" s="35">
        <f>(Sheet3!$DC18*0.014*0.001*E18) / (N18*0.00015*3600*3)</f>
        <v>4271.3060136099712</v>
      </c>
      <c r="X18" s="35">
        <f>(Sheet3!$DC18*0.014*0.001*F18) / (O18*0.00015*3600*3)</f>
        <v>4068.3195991416937</v>
      </c>
      <c r="Y18" s="35">
        <f>(Sheet3!$DC18*0.014*0.001*G18) / (P18*0.00015*3600*3)</f>
        <v>3861.7723622584872</v>
      </c>
      <c r="Z18" s="35">
        <f>(Sheet3!$DC18*0.014*0.001*H18) / (Q18*0.00015*3600*3)</f>
        <v>3655.3883024731313</v>
      </c>
      <c r="AA18" s="35">
        <f>(Sheet3!$DC18*0.014*0.001*I18) / (R18*0.00015*3600*3)</f>
        <v>3452.7299690999625</v>
      </c>
      <c r="AB18" s="35">
        <f>(Sheet3!$DC18*0.014*0.001*J18) / (S18*0.00015*3600*3)</f>
        <v>3257.0847603536395</v>
      </c>
      <c r="AC18" s="35">
        <f>(Sheet3!$DC18*0.014*0.001*K18) / (T18*0.00015*3600*3)</f>
        <v>3071.3645166113224</v>
      </c>
      <c r="AD18" s="289">
        <f t="shared" si="0"/>
        <v>0.59055230002103698</v>
      </c>
      <c r="AE18" s="35">
        <f>_xlfn.FORECAST.LINEAR(Sheet3!CI18,$DA$3:$DA$12,$CZ$3:$CZ$12)/1000</f>
        <v>0.6096237178649464</v>
      </c>
      <c r="AF18" s="35">
        <f>_xlfn.FORECAST.LINEAR(Sheet3!CJ18,$DA$3:$DA$12,$CZ$3:$CZ$12)/1000</f>
        <v>0.60745265327625153</v>
      </c>
      <c r="AG18" s="35">
        <f>_xlfn.FORECAST.LINEAR(Sheet3!CK18,$DA$3:$DA$12,$CZ$3:$CZ$12)/1000</f>
        <v>0.60516737596752934</v>
      </c>
      <c r="AH18" s="35">
        <f>_xlfn.FORECAST.LINEAR(Sheet3!CL18,$DA$3:$DA$12,$CZ$3:$CZ$12)/1000</f>
        <v>0.60280004777019858</v>
      </c>
      <c r="AI18" s="35">
        <f>_xlfn.FORECAST.LINEAR(Sheet3!CM18,$DA$3:$DA$12,$CZ$3:$CZ$12)/1000</f>
        <v>0.60038283051567876</v>
      </c>
      <c r="AJ18" s="35">
        <f>_xlfn.FORECAST.LINEAR(Sheet3!CN18,$DA$3:$DA$12,$CZ$3:$CZ$12)/1000</f>
        <v>0.59794788603538884</v>
      </c>
      <c r="AK18" s="35">
        <f>_xlfn.FORECAST.LINEAR(Sheet3!CO18,$DA$3:$DA$12,$CZ$3:$CZ$12)/1000</f>
        <v>0.59552737616074802</v>
      </c>
      <c r="AL18" s="35">
        <f>_xlfn.FORECAST.LINEAR(Sheet3!CP18,$DA$3:$DA$12,$CZ$3:$CZ$12)/1000</f>
        <v>0.59315346272317548</v>
      </c>
      <c r="AM18" s="289">
        <f t="shared" si="1"/>
        <v>4189.4074444043381</v>
      </c>
      <c r="AN18" s="35">
        <f>_xlfn.FORECAST.LINEAR(Sheet3!CI18,$DP$3:$DP$14,$DJ$3:$DJ$14)*1000</f>
        <v>4191.0857554882896</v>
      </c>
      <c r="AO18" s="35">
        <f>_xlfn.FORECAST.LINEAR(Sheet3!CJ18,$DP$3:$DP$14,$DJ$3:$DJ$14)*1000</f>
        <v>4190.8946988089701</v>
      </c>
      <c r="AP18" s="35">
        <f>_xlfn.FORECAST.LINEAR(Sheet3!CK18,$DP$3:$DP$14,$DJ$3:$DJ$14)*1000</f>
        <v>4190.6935912527033</v>
      </c>
      <c r="AQ18" s="35">
        <f>_xlfn.FORECAST.LINEAR(Sheet3!CL18,$DP$3:$DP$14,$DJ$3:$DJ$14)*1000</f>
        <v>4190.4852631050289</v>
      </c>
      <c r="AR18" s="35">
        <f>_xlfn.FORECAST.LINEAR(Sheet3!CM18,$DP$3:$DP$14,$DJ$3:$DJ$14)*1000</f>
        <v>4190.2725446514887</v>
      </c>
      <c r="AS18" s="35">
        <f>_xlfn.FORECAST.LINEAR(Sheet3!CN18,$DP$3:$DP$14,$DJ$3:$DJ$14)*1000</f>
        <v>4190.0582661776216</v>
      </c>
      <c r="AT18" s="35">
        <f>_xlfn.FORECAST.LINEAR(Sheet3!CO18,$DP$3:$DP$14,$DJ$3:$DJ$14)*1000</f>
        <v>4189.8452579689683</v>
      </c>
      <c r="AU18" s="35">
        <f>_xlfn.FORECAST.LINEAR(Sheet3!CP18,$DP$3:$DP$14,$DJ$3:$DJ$14)*1000</f>
        <v>4189.636350311067</v>
      </c>
      <c r="AV18" s="289">
        <f t="shared" si="18"/>
        <v>1.4081014946798026E-7</v>
      </c>
      <c r="AW18" s="35">
        <f t="shared" si="19"/>
        <v>1.4637134128194696E-7</v>
      </c>
      <c r="AX18" s="35">
        <f t="shared" si="20"/>
        <v>1.4573430944578029E-7</v>
      </c>
      <c r="AY18" s="35">
        <f t="shared" si="21"/>
        <v>1.450648688623877E-7</v>
      </c>
      <c r="AZ18" s="35">
        <f t="shared" si="22"/>
        <v>1.4437258285651779E-7</v>
      </c>
      <c r="BA18" s="35">
        <f t="shared" si="23"/>
        <v>1.4366695401197991E-7</v>
      </c>
      <c r="BB18" s="35">
        <f t="shared" si="24"/>
        <v>1.4295742000052504E-7</v>
      </c>
      <c r="BC18" s="35">
        <f t="shared" si="25"/>
        <v>1.4225335169359978E-7</v>
      </c>
      <c r="BD18" s="35">
        <f t="shared" si="26"/>
        <v>1.4156405351443055E-7</v>
      </c>
      <c r="BE18" s="289">
        <f t="shared" si="3"/>
        <v>9.2206845866787983</v>
      </c>
      <c r="BF18" s="35">
        <f t="shared" si="27"/>
        <v>5.7099105296327934</v>
      </c>
      <c r="BG18" s="35">
        <f t="shared" si="28"/>
        <v>5.9975554703684963</v>
      </c>
      <c r="BH18" s="35">
        <f t="shared" si="29"/>
        <v>6.325858239677479</v>
      </c>
      <c r="BI18" s="35">
        <f t="shared" si="30"/>
        <v>6.6961530529577313</v>
      </c>
      <c r="BJ18" s="35">
        <f t="shared" si="31"/>
        <v>7.1089648381565338</v>
      </c>
      <c r="BK18" s="35">
        <f t="shared" si="32"/>
        <v>7.5635808193313849</v>
      </c>
      <c r="BL18" s="35">
        <f t="shared" si="33"/>
        <v>8.0575906407181552</v>
      </c>
      <c r="BM18" s="35">
        <f t="shared" si="34"/>
        <v>8.5864256901636953</v>
      </c>
      <c r="BN18" s="289">
        <f t="shared" si="35"/>
        <v>1.6164430423620177E-3</v>
      </c>
      <c r="BO18" s="35">
        <f t="shared" si="36"/>
        <v>1.6802832545121454E-3</v>
      </c>
      <c r="BP18" s="35">
        <f t="shared" si="37"/>
        <v>1.6729703890459471E-3</v>
      </c>
      <c r="BQ18" s="35">
        <f t="shared" si="38"/>
        <v>1.6652854843896541E-3</v>
      </c>
      <c r="BR18" s="35">
        <f t="shared" si="39"/>
        <v>1.6573383236079848E-3</v>
      </c>
      <c r="BS18" s="35">
        <f t="shared" si="40"/>
        <v>1.6492379924844629E-3</v>
      </c>
      <c r="BT18" s="35">
        <f t="shared" si="41"/>
        <v>1.6410928316386798E-3</v>
      </c>
      <c r="BU18" s="35">
        <f t="shared" si="42"/>
        <v>1.6330104148499973E-3</v>
      </c>
      <c r="BV18" s="35">
        <f t="shared" si="43"/>
        <v>1.6250975530993301E-3</v>
      </c>
      <c r="BW18" s="289">
        <f t="shared" si="44"/>
        <v>4.9298339504742598E-2</v>
      </c>
      <c r="BX18" s="35">
        <f t="shared" si="45"/>
        <v>4.4157486908596548E-2</v>
      </c>
      <c r="BY18" s="35">
        <f t="shared" si="46"/>
        <v>4.4654684997397429E-2</v>
      </c>
      <c r="BZ18" s="35">
        <f t="shared" si="47"/>
        <v>4.5201561322000365E-2</v>
      </c>
      <c r="CA18" s="35">
        <f t="shared" si="48"/>
        <v>4.5794206100505309E-2</v>
      </c>
      <c r="CB18" s="35">
        <f t="shared" si="49"/>
        <v>4.642734219021917E-2</v>
      </c>
      <c r="CC18" s="35">
        <f t="shared" si="50"/>
        <v>4.7094105058978701E-2</v>
      </c>
      <c r="CD18" s="35">
        <f t="shared" si="51"/>
        <v>4.7785918358448039E-2</v>
      </c>
      <c r="CE18" s="35">
        <f t="shared" si="52"/>
        <v>4.8492476193874881E-2</v>
      </c>
      <c r="CF18" s="289">
        <f t="shared" si="7"/>
        <v>11.733573622845565</v>
      </c>
      <c r="CG18" s="35">
        <f t="shared" si="8"/>
        <v>35.583764166124801</v>
      </c>
      <c r="CH18" s="35">
        <f t="shared" si="9"/>
        <v>34.40282571200747</v>
      </c>
      <c r="CI18" s="35">
        <f t="shared" si="10"/>
        <v>33.126504168643713</v>
      </c>
      <c r="CJ18" s="35">
        <f t="shared" si="11"/>
        <v>31.769956021538682</v>
      </c>
      <c r="CK18" s="35">
        <f t="shared" si="12"/>
        <v>30.35093903846473</v>
      </c>
      <c r="CL18" s="35">
        <f t="shared" si="13"/>
        <v>28.889733886300213</v>
      </c>
      <c r="CM18" s="35">
        <f t="shared" si="14"/>
        <v>27.408812178733708</v>
      </c>
      <c r="CN18" s="35">
        <f t="shared" si="15"/>
        <v>25.932310930084594</v>
      </c>
      <c r="CO18" s="289">
        <f t="shared" si="53"/>
        <v>494.94920645983001</v>
      </c>
      <c r="CP18" s="35">
        <f t="shared" si="54"/>
        <v>1549.4790433273181</v>
      </c>
      <c r="CQ18" s="35">
        <f t="shared" si="55"/>
        <v>1492.7205542113845</v>
      </c>
      <c r="CR18" s="35">
        <f t="shared" si="56"/>
        <v>1431.9342573368242</v>
      </c>
      <c r="CS18" s="35">
        <f t="shared" si="57"/>
        <v>1367.923643388616</v>
      </c>
      <c r="CT18" s="35">
        <f t="shared" si="58"/>
        <v>1301.5844777658763</v>
      </c>
      <c r="CU18" s="35">
        <f t="shared" si="59"/>
        <v>1233.8968075312966</v>
      </c>
      <c r="CV18" s="35">
        <f t="shared" si="60"/>
        <v>1165.9070000345744</v>
      </c>
      <c r="CW18" s="35">
        <f t="shared" si="61"/>
        <v>1098.702858899552</v>
      </c>
      <c r="CY18" s="35">
        <v>4.8600000000000003</v>
      </c>
      <c r="CZ18" s="35">
        <v>3.77</v>
      </c>
      <c r="DA18" s="35">
        <v>0.08</v>
      </c>
      <c r="DE18" s="229">
        <v>19</v>
      </c>
      <c r="DF18" s="230">
        <v>1.0266</v>
      </c>
      <c r="DG18" s="230">
        <v>1.0282</v>
      </c>
      <c r="DH18" s="230">
        <v>0.99839999999999995</v>
      </c>
      <c r="DJ18" s="197">
        <v>160</v>
      </c>
      <c r="DK18" s="194">
        <v>62.673999999999999</v>
      </c>
      <c r="DL18" s="194">
        <v>3.4788000000000001</v>
      </c>
      <c r="DM18" s="194">
        <v>9.6599999999999995E-4</v>
      </c>
      <c r="DN18" s="194">
        <v>0.83089999999999997</v>
      </c>
      <c r="DO18" s="194">
        <v>78.106999999999999</v>
      </c>
      <c r="DP18" s="194">
        <v>4.3353999999999999</v>
      </c>
      <c r="DQ18" s="194">
        <v>1.204E-3</v>
      </c>
      <c r="DR18" s="198">
        <v>1.0355000000000001</v>
      </c>
      <c r="DU18" s="197">
        <v>70</v>
      </c>
      <c r="DV18" s="194">
        <v>0.97775999999999996</v>
      </c>
      <c r="DW18" s="194">
        <v>977.76</v>
      </c>
      <c r="DX18" s="194">
        <v>1.8972</v>
      </c>
      <c r="DY18" s="194">
        <v>61.0396</v>
      </c>
      <c r="DZ18" s="194">
        <v>8.1598000000000006</v>
      </c>
      <c r="EA18" s="194">
        <v>9.5885999999999996</v>
      </c>
      <c r="EB18" s="194">
        <v>61.04</v>
      </c>
      <c r="EC18" s="198">
        <v>5.71</v>
      </c>
    </row>
    <row r="19" spans="1:133" ht="15" thickBot="1" x14ac:dyDescent="0.35">
      <c r="A19" s="184" t="str">
        <f>'Su K. oro stendu'!B64</f>
        <v>09.12.2022</v>
      </c>
      <c r="B19" s="289">
        <f>Sheet3!DD19</f>
        <v>10.130000000000001</v>
      </c>
      <c r="C19" s="289">
        <f>_xlfn.FORECAST.LINEAR(Sheet3!DD19,$DW$3:$DW$24,$DU$3:$DU$24)</f>
        <v>1001.1408934767529</v>
      </c>
      <c r="D19" s="35">
        <f>_xlfn.FORECAST.LINEAR(Sheet3!CI19,'Cooling water'!$DW$3:$DW$24,'Cooling water'!$DU$3:$DU$24)</f>
        <v>995.11065934583382</v>
      </c>
      <c r="E19" s="35">
        <f>_xlfn.FORECAST.LINEAR(Sheet3!CJ19,'Cooling water'!$DW$3:$DW$24,'Cooling water'!$DU$3:$DU$24)</f>
        <v>995.81555811077487</v>
      </c>
      <c r="F19" s="35">
        <f>_xlfn.FORECAST.LINEAR(Sheet3!CK19,'Cooling water'!$DW$3:$DW$24,'Cooling water'!$DU$3:$DU$24)</f>
        <v>996.54419033627835</v>
      </c>
      <c r="G19" s="35">
        <f>_xlfn.FORECAST.LINEAR(Sheet3!CL19,'Cooling water'!$DW$3:$DW$24,'Cooling water'!$DU$3:$DU$24)</f>
        <v>997.29019817820881</v>
      </c>
      <c r="H19" s="35">
        <f>_xlfn.FORECAST.LINEAR(Sheet3!CM19,'Cooling water'!$DW$3:$DW$24,'Cooling water'!$DU$3:$DU$24)</f>
        <v>998.0472237924314</v>
      </c>
      <c r="I19" s="35">
        <f>_xlfn.FORECAST.LINEAR(Sheet3!CN19,'Cooling water'!$DW$3:$DW$24,'Cooling water'!$DU$3:$DU$24)</f>
        <v>998.80890933481066</v>
      </c>
      <c r="J19" s="35">
        <f>_xlfn.FORECAST.LINEAR(Sheet3!CO19,'Cooling water'!$DW$3:$DW$24,'Cooling water'!$DU$3:$DU$24)</f>
        <v>999.56889696121152</v>
      </c>
      <c r="K19" s="35">
        <f>_xlfn.FORECAST.LINEAR(Sheet3!CP19,'Cooling water'!$DW$3:$DW$24,'Cooling water'!$DU$3:$DU$24)</f>
        <v>1000.3208288274989</v>
      </c>
      <c r="L19" s="289">
        <f t="shared" si="17"/>
        <v>1.3045355424918803E-3</v>
      </c>
      <c r="M19" s="35">
        <f xml:space="preserve"> 0.0000000000330128*((Sheet3!CI19+273)^(4)) - 0.0000000448315*((Sheet3!CI19+273)^(3)) + 0.0000228887*((Sheet3!CI19+273)^(2)) - 0.00521331*((Sheet3!CI19+273)) + 0.447905</f>
        <v>8.9509071637050575E-4</v>
      </c>
      <c r="N19" s="35">
        <f xml:space="preserve"> 0.0000000000330128*((Sheet3!CJ19+273)^(4)) - 0.0000000448315*((Sheet3!CJ19+273)^(3)) + 0.0000228887*((Sheet3!CJ19+273)^(2)) - 0.00521331*((Sheet3!CJ19+273)) + 0.447905</f>
        <v>9.3199323128612122E-4</v>
      </c>
      <c r="O19" s="35">
        <f xml:space="preserve"> 0.0000000000330128*((Sheet3!CK19+273)^(4)) - 0.0000000448315*((Sheet3!CK19+273)^(3)) + 0.0000228887*((Sheet3!CK19+273)^(2)) - 0.00521331*((Sheet3!CK19+273)) + 0.447905</f>
        <v>9.7277243556259663E-4</v>
      </c>
      <c r="P19" s="35">
        <f xml:space="preserve"> 0.0000000000330128*((Sheet3!CL19+273)^(4)) - 0.0000000448315*((Sheet3!CL19+273)^(3)) + 0.0000228887*((Sheet3!CL19+273)^(2)) - 0.00521331*((Sheet3!CL19+273)) + 0.447905</f>
        <v>1.0174955297306276E-3</v>
      </c>
      <c r="Q19" s="35">
        <f xml:space="preserve"> 0.0000000000330128*((Sheet3!CM19+273)^(4)) - 0.0000000448315*((Sheet3!CM19+273)^(3)) + 0.0000228887*((Sheet3!CM19+273)^(2)) - 0.00521331*((Sheet3!CM19+273)) + 0.447905</f>
        <v>1.0661695269837956E-3</v>
      </c>
      <c r="R19" s="35">
        <f xml:space="preserve"> 0.0000000000330128*((Sheet3!CN19+273)^(4)) - 0.0000000448315*((Sheet3!CN19+273)^(3)) + 0.0000228887*((Sheet3!CN19+273)^(2)) - 0.00521331*((Sheet3!CN19+273)) + 0.447905</f>
        <v>1.1187209507659279E-3</v>
      </c>
      <c r="S19" s="35">
        <f xml:space="preserve"> 0.0000000000330128*((Sheet3!CO19+273)^(4)) - 0.0000000448315*((Sheet3!CO19+273)^(3)) + 0.0000228887*((Sheet3!CO19+273)^(2)) - 0.00521331*((Sheet3!CO19+273)) + 0.447905</f>
        <v>1.1749749149323474E-3</v>
      </c>
      <c r="T19" s="35">
        <f xml:space="preserve"> 0.0000000000330128*((Sheet3!CP19+273)^(4)) - 0.0000000448315*((Sheet3!CP19+273)^(3)) + 0.0000228887*((Sheet3!CP19+273)^(2)) - 0.00521331*((Sheet3!CP19+273)) + 0.447905</f>
        <v>1.2346345399614211E-3</v>
      </c>
      <c r="U19" s="289">
        <f>(Sheet3!DC19*0.014*0.001*C19) / (L19*0.00015*3600*3)</f>
        <v>5511.2908408180656</v>
      </c>
      <c r="V19" s="35">
        <f>(Sheet3!$DC19*0.014*0.001*D19) / (M19*0.00015*3600*3)</f>
        <v>7983.9603309647446</v>
      </c>
      <c r="W19" s="35">
        <f>(Sheet3!$DC19*0.014*0.001*E19) / (N19*0.00015*3600*3)</f>
        <v>7673.2649438611561</v>
      </c>
      <c r="X19" s="35">
        <f>(Sheet3!$DC19*0.014*0.001*F19) / (O19*0.00015*3600*3)</f>
        <v>7356.9761917019478</v>
      </c>
      <c r="Y19" s="35">
        <f>(Sheet3!$DC19*0.014*0.001*G19) / (P19*0.00015*3600*3)</f>
        <v>7038.8722904521082</v>
      </c>
      <c r="Z19" s="35">
        <f>(Sheet3!$DC19*0.014*0.001*H19) / (Q19*0.00015*3600*3)</f>
        <v>6722.6247551701836</v>
      </c>
      <c r="AA19" s="35">
        <f>(Sheet3!$DC19*0.014*0.001*I19) / (R19*0.00015*3600*3)</f>
        <v>6411.7219589172282</v>
      </c>
      <c r="AB19" s="35">
        <f>(Sheet3!$DC19*0.014*0.001*J19) / (S19*0.00015*3600*3)</f>
        <v>6109.3947043159897</v>
      </c>
      <c r="AC19" s="35">
        <f>(Sheet3!$DC19*0.014*0.001*K19) / (T19*0.00015*3600*3)</f>
        <v>5818.5521911523419</v>
      </c>
      <c r="AD19" s="289">
        <f t="shared" si="0"/>
        <v>0.59041202304123241</v>
      </c>
      <c r="AE19" s="35">
        <f>_xlfn.FORECAST.LINEAR(Sheet3!CI19,$DA$3:$DA$12,$CZ$3:$CZ$12)/1000</f>
        <v>0.6060971204365575</v>
      </c>
      <c r="AF19" s="35">
        <f>_xlfn.FORECAST.LINEAR(Sheet3!CJ19,$DA$3:$DA$12,$CZ$3:$CZ$12)/1000</f>
        <v>0.60426362516226029</v>
      </c>
      <c r="AG19" s="35">
        <f>_xlfn.FORECAST.LINEAR(Sheet3!CK19,$DA$3:$DA$12,$CZ$3:$CZ$12)/1000</f>
        <v>0.60236839735281344</v>
      </c>
      <c r="AH19" s="35">
        <f>_xlfn.FORECAST.LINEAR(Sheet3!CL19,$DA$3:$DA$12,$CZ$3:$CZ$12)/1000</f>
        <v>0.6004279742441383</v>
      </c>
      <c r="AI19" s="35">
        <f>_xlfn.FORECAST.LINEAR(Sheet3!CM19,$DA$3:$DA$12,$CZ$3:$CZ$12)/1000</f>
        <v>0.59845889307215649</v>
      </c>
      <c r="AJ19" s="35">
        <f>_xlfn.FORECAST.LINEAR(Sheet3!CN19,$DA$3:$DA$12,$CZ$3:$CZ$12)/1000</f>
        <v>0.59647769107278914</v>
      </c>
      <c r="AK19" s="35">
        <f>_xlfn.FORECAST.LINEAR(Sheet3!CO19,$DA$3:$DA$12,$CZ$3:$CZ$12)/1000</f>
        <v>0.594500905481958</v>
      </c>
      <c r="AL19" s="35">
        <f>_xlfn.FORECAST.LINEAR(Sheet3!CP19,$DA$3:$DA$12,$CZ$3:$CZ$12)/1000</f>
        <v>0.59254507353558417</v>
      </c>
      <c r="AM19" s="289">
        <f t="shared" si="1"/>
        <v>4189.395099836569</v>
      </c>
      <c r="AN19" s="35">
        <f>_xlfn.FORECAST.LINEAR(Sheet3!CI19,$DP$3:$DP$14,$DJ$3:$DJ$14)*1000</f>
        <v>4190.7754100487873</v>
      </c>
      <c r="AO19" s="35">
        <f>_xlfn.FORECAST.LINEAR(Sheet3!CJ19,$DP$3:$DP$14,$DJ$3:$DJ$14)*1000</f>
        <v>4190.6140599348937</v>
      </c>
      <c r="AP19" s="35">
        <f>_xlfn.FORECAST.LINEAR(Sheet3!CK19,$DP$3:$DP$14,$DJ$3:$DJ$14)*1000</f>
        <v>4190.4472772727313</v>
      </c>
      <c r="AQ19" s="35">
        <f>_xlfn.FORECAST.LINEAR(Sheet3!CL19,$DP$3:$DP$14,$DJ$3:$DJ$14)*1000</f>
        <v>4190.27651736188</v>
      </c>
      <c r="AR19" s="35">
        <f>_xlfn.FORECAST.LINEAR(Sheet3!CM19,$DP$3:$DP$14,$DJ$3:$DJ$14)*1000</f>
        <v>4190.1032355019161</v>
      </c>
      <c r="AS19" s="35">
        <f>_xlfn.FORECAST.LINEAR(Sheet3!CN19,$DP$3:$DP$14,$DJ$3:$DJ$14)*1000</f>
        <v>4189.9288869924194</v>
      </c>
      <c r="AT19" s="35">
        <f>_xlfn.FORECAST.LINEAR(Sheet3!CO19,$DP$3:$DP$14,$DJ$3:$DJ$14)*1000</f>
        <v>4189.7549271329663</v>
      </c>
      <c r="AU19" s="35">
        <f>_xlfn.FORECAST.LINEAR(Sheet3!CP19,$DP$3:$DP$14,$DJ$3:$DJ$14)*1000</f>
        <v>4189.5828112231375</v>
      </c>
      <c r="AV19" s="289">
        <f t="shared" si="18"/>
        <v>1.4076953340243667E-7</v>
      </c>
      <c r="AW19" s="35">
        <f t="shared" si="19"/>
        <v>1.4533708835952594E-7</v>
      </c>
      <c r="AX19" s="35">
        <f t="shared" si="20"/>
        <v>1.4480043911333841E-7</v>
      </c>
      <c r="AY19" s="35">
        <f t="shared" si="21"/>
        <v>1.442464841316049E-7</v>
      </c>
      <c r="AZ19" s="35">
        <f t="shared" si="22"/>
        <v>1.4368012075243301E-7</v>
      </c>
      <c r="BA19" s="35">
        <f t="shared" si="23"/>
        <v>1.4310622012092715E-7</v>
      </c>
      <c r="BB19" s="35">
        <f t="shared" si="24"/>
        <v>1.4252962601986106E-7</v>
      </c>
      <c r="BC19" s="35">
        <f t="shared" si="25"/>
        <v>1.4195515430097207E-7</v>
      </c>
      <c r="BD19" s="35">
        <f t="shared" si="26"/>
        <v>1.4138759290766745E-7</v>
      </c>
      <c r="BE19" s="289">
        <f t="shared" si="3"/>
        <v>9.2566116474502262</v>
      </c>
      <c r="BF19" s="35">
        <f t="shared" si="27"/>
        <v>6.188981992236859</v>
      </c>
      <c r="BG19" s="35">
        <f t="shared" si="28"/>
        <v>6.4634437291223881</v>
      </c>
      <c r="BH19" s="35">
        <f t="shared" si="29"/>
        <v>6.767206948311542</v>
      </c>
      <c r="BI19" s="35">
        <f t="shared" si="30"/>
        <v>7.1009143604913563</v>
      </c>
      <c r="BJ19" s="35">
        <f t="shared" si="31"/>
        <v>7.4647739992222286</v>
      </c>
      <c r="BK19" s="35">
        <f t="shared" si="32"/>
        <v>7.8584015768760391</v>
      </c>
      <c r="BL19" s="35">
        <f t="shared" si="33"/>
        <v>8.280655073358572</v>
      </c>
      <c r="BM19" s="35">
        <f t="shared" si="34"/>
        <v>8.7294686561158716</v>
      </c>
      <c r="BN19" s="289">
        <f t="shared" si="35"/>
        <v>8.400745749353399E-4</v>
      </c>
      <c r="BO19" s="35">
        <f t="shared" si="36"/>
        <v>8.6733250991833787E-4</v>
      </c>
      <c r="BP19" s="35">
        <f t="shared" si="37"/>
        <v>8.6412993208431527E-4</v>
      </c>
      <c r="BQ19" s="35">
        <f t="shared" si="38"/>
        <v>8.6082407829219732E-4</v>
      </c>
      <c r="BR19" s="35">
        <f t="shared" si="39"/>
        <v>8.574441745337856E-4</v>
      </c>
      <c r="BS19" s="35">
        <f t="shared" si="40"/>
        <v>8.5401929048810863E-4</v>
      </c>
      <c r="BT19" s="35">
        <f t="shared" si="41"/>
        <v>8.5057833254319204E-4</v>
      </c>
      <c r="BU19" s="35">
        <f t="shared" si="42"/>
        <v>8.4715004040217604E-4</v>
      </c>
      <c r="BV19" s="35">
        <f t="shared" si="43"/>
        <v>8.4376298721882119E-4</v>
      </c>
      <c r="BW19" s="289">
        <f t="shared" si="44"/>
        <v>4.1898055660204582E-2</v>
      </c>
      <c r="BX19" s="35">
        <f t="shared" si="45"/>
        <v>3.819025949209201E-2</v>
      </c>
      <c r="BY19" s="35">
        <f t="shared" si="46"/>
        <v>3.85711114443004E-2</v>
      </c>
      <c r="BZ19" s="35">
        <f t="shared" si="47"/>
        <v>3.8979149984384863E-2</v>
      </c>
      <c r="CA19" s="35">
        <f t="shared" si="48"/>
        <v>3.9412268290072966E-2</v>
      </c>
      <c r="CB19" s="35">
        <f t="shared" si="49"/>
        <v>3.9867819588601902E-2</v>
      </c>
      <c r="CC19" s="35">
        <f t="shared" si="50"/>
        <v>4.0342567249219051E-2</v>
      </c>
      <c r="CD19" s="35">
        <f t="shared" si="51"/>
        <v>4.0832658437444679E-2</v>
      </c>
      <c r="CE19" s="35">
        <f t="shared" si="52"/>
        <v>4.1333622463203379E-2</v>
      </c>
      <c r="CF19" s="289">
        <f t="shared" si="7"/>
        <v>52.919099442406839</v>
      </c>
      <c r="CG19" s="35">
        <f t="shared" si="8"/>
        <v>66.98464546662585</v>
      </c>
      <c r="CH19" s="35">
        <f t="shared" si="9"/>
        <v>65.436525251455052</v>
      </c>
      <c r="CI19" s="35">
        <f t="shared" si="10"/>
        <v>63.804319847859603</v>
      </c>
      <c r="CJ19" s="35">
        <f t="shared" si="11"/>
        <v>62.101780240950433</v>
      </c>
      <c r="CK19" s="35">
        <f t="shared" si="12"/>
        <v>60.344330542217008</v>
      </c>
      <c r="CL19" s="35">
        <f t="shared" si="13"/>
        <v>58.54891187417563</v>
      </c>
      <c r="CM19" s="35">
        <f t="shared" si="14"/>
        <v>56.733721567875669</v>
      </c>
      <c r="CN19" s="35">
        <f t="shared" si="15"/>
        <v>54.91787616923164</v>
      </c>
      <c r="CO19" s="289">
        <f t="shared" si="53"/>
        <v>2231.7194685222553</v>
      </c>
      <c r="CP19" s="35">
        <f t="shared" si="54"/>
        <v>2899.9429093418307</v>
      </c>
      <c r="CQ19" s="35">
        <f t="shared" si="55"/>
        <v>2824.3508547475722</v>
      </c>
      <c r="CR19" s="35">
        <f t="shared" si="56"/>
        <v>2745.264706495821</v>
      </c>
      <c r="CS19" s="35">
        <f t="shared" si="57"/>
        <v>2663.4032933591802</v>
      </c>
      <c r="CT19" s="35">
        <f t="shared" si="58"/>
        <v>2579.542947105394</v>
      </c>
      <c r="CU19" s="35">
        <f t="shared" si="59"/>
        <v>2494.508554966606</v>
      </c>
      <c r="CV19" s="35">
        <f t="shared" si="60"/>
        <v>2409.1606316759553</v>
      </c>
      <c r="CW19" s="35">
        <f t="shared" si="61"/>
        <v>2324.3797837939615</v>
      </c>
      <c r="CY19" s="35">
        <v>4.6399999999999997</v>
      </c>
      <c r="CZ19" s="35">
        <v>3.71</v>
      </c>
      <c r="DA19" s="35">
        <v>0.1</v>
      </c>
      <c r="DE19" s="229">
        <v>20</v>
      </c>
      <c r="DF19" s="230">
        <v>1.0016</v>
      </c>
      <c r="DG19" s="230">
        <v>1.0034000000000001</v>
      </c>
      <c r="DH19" s="230">
        <v>0.99819999999999998</v>
      </c>
      <c r="DJ19" s="197">
        <v>180</v>
      </c>
      <c r="DK19" s="194">
        <v>61.162999999999997</v>
      </c>
      <c r="DL19" s="194">
        <v>3.3948999999999998</v>
      </c>
      <c r="DM19" s="194">
        <v>9.4300000000000004E-4</v>
      </c>
      <c r="DN19" s="194">
        <v>0.81089999999999995</v>
      </c>
      <c r="DO19" s="194">
        <v>79.36</v>
      </c>
      <c r="DP19" s="194">
        <v>4.4050000000000002</v>
      </c>
      <c r="DQ19" s="194">
        <v>1.224E-3</v>
      </c>
      <c r="DR19" s="198">
        <v>1.0521</v>
      </c>
      <c r="DU19" s="197">
        <v>75</v>
      </c>
      <c r="DV19" s="194">
        <v>0.97484000000000004</v>
      </c>
      <c r="DW19" s="194">
        <v>974.84</v>
      </c>
      <c r="DX19" s="194">
        <v>1.8915</v>
      </c>
      <c r="DY19" s="194">
        <v>60.857300000000002</v>
      </c>
      <c r="DZ19" s="194">
        <v>8.1354000000000006</v>
      </c>
      <c r="EA19" s="194">
        <v>9.5599000000000007</v>
      </c>
      <c r="EB19" s="194">
        <v>60.856999999999999</v>
      </c>
      <c r="EC19" s="198">
        <v>5.97</v>
      </c>
    </row>
    <row r="20" spans="1:133" ht="15" thickBot="1" x14ac:dyDescent="0.35">
      <c r="A20" s="184" t="str">
        <f>'Su K. oro stendu'!B65</f>
        <v>12.12.2022</v>
      </c>
      <c r="B20" s="289">
        <f>Sheet3!DD20</f>
        <v>9.7200000000000006</v>
      </c>
      <c r="C20" s="289">
        <f>_xlfn.FORECAST.LINEAR(Sheet3!DD20,$DW$3:$DW$24,$DU$3:$DU$24)</f>
        <v>1001.3109815517497</v>
      </c>
      <c r="D20" s="35">
        <f>_xlfn.FORECAST.LINEAR(Sheet3!CI20,'Cooling water'!$DW$3:$DW$24,'Cooling water'!$DU$3:$DU$24)</f>
        <v>994.72124166192873</v>
      </c>
      <c r="E20" s="35">
        <f>_xlfn.FORECAST.LINEAR(Sheet3!CJ20,'Cooling water'!$DW$3:$DW$24,'Cooling water'!$DU$3:$DU$24)</f>
        <v>995.44831987733687</v>
      </c>
      <c r="F20" s="35">
        <f>_xlfn.FORECAST.LINEAR(Sheet3!CK20,'Cooling water'!$DW$3:$DW$24,'Cooling water'!$DU$3:$DU$24)</f>
        <v>996.21422899761637</v>
      </c>
      <c r="G20" s="35">
        <f>_xlfn.FORECAST.LINEAR(Sheet3!CL20,'Cooling water'!$DW$3:$DW$24,'Cooling water'!$DU$3:$DU$24)</f>
        <v>997.01154251126161</v>
      </c>
      <c r="H20" s="35">
        <f>_xlfn.FORECAST.LINEAR(Sheet3!CM20,'Cooling water'!$DW$3:$DW$24,'Cooling water'!$DU$3:$DU$24)</f>
        <v>997.83283390676718</v>
      </c>
      <c r="I20" s="35">
        <f>_xlfn.FORECAST.LINEAR(Sheet3!CN20,'Cooling water'!$DW$3:$DW$24,'Cooling water'!$DU$3:$DU$24)</f>
        <v>998.67067667262768</v>
      </c>
      <c r="J20" s="35">
        <f>_xlfn.FORECAST.LINEAR(Sheet3!CO20,'Cooling water'!$DW$3:$DW$24,'Cooling water'!$DU$3:$DU$24)</f>
        <v>999.51764429733748</v>
      </c>
      <c r="K20" s="35">
        <f>_xlfn.FORECAST.LINEAR(Sheet3!CP20,'Cooling water'!$DW$3:$DW$24,'Cooling water'!$DU$3:$DU$24)</f>
        <v>1000.3663102693913</v>
      </c>
      <c r="L20" s="289">
        <f t="shared" si="17"/>
        <v>1.3196951646750055E-3</v>
      </c>
      <c r="M20" s="35">
        <f xml:space="preserve"> 0.0000000000330128*((Sheet3!CI20+273)^(4)) - 0.0000000448315*((Sheet3!CI20+273)^(3)) + 0.0000228887*((Sheet3!CI20+273)^(2)) - 0.00521331*((Sheet3!CI20+273)) + 0.447905</f>
        <v>8.7571720267720643E-4</v>
      </c>
      <c r="N20" s="35">
        <f xml:space="preserve"> 0.0000000000330128*((Sheet3!CJ20+273)^(4)) - 0.0000000448315*((Sheet3!CJ20+273)^(3)) + 0.0000228887*((Sheet3!CJ20+273)^(2)) - 0.00521331*((Sheet3!CJ20+273)) + 0.447905</f>
        <v>9.1246591992466541E-4</v>
      </c>
      <c r="O20" s="35">
        <f xml:space="preserve"> 0.0000000000330128*((Sheet3!CK20+273)^(4)) - 0.0000000448315*((Sheet3!CK20+273)^(3)) + 0.0000228887*((Sheet3!CK20+273)^(2)) - 0.00521331*((Sheet3!CK20+273)) + 0.447905</f>
        <v>9.5396205152864511E-4</v>
      </c>
      <c r="P20" s="35">
        <f xml:space="preserve"> 0.0000000000330128*((Sheet3!CL20+273)^(4)) - 0.0000000448315*((Sheet3!CL20+273)^(3)) + 0.0000228887*((Sheet3!CL20+273)^(2)) - 0.00521331*((Sheet3!CL20+273)) + 0.447905</f>
        <v>1.0004252578030837E-3</v>
      </c>
      <c r="Q20" s="35">
        <f xml:space="preserve"> 0.0000000000330128*((Sheet3!CM20+273)^(4)) - 0.0000000448315*((Sheet3!CM20+273)^(3)) + 0.0000228887*((Sheet3!CM20+273)^(2)) - 0.00521331*((Sheet3!CM20+273)) + 0.447905</f>
        <v>1.0520354676901711E-3</v>
      </c>
      <c r="R20" s="35">
        <f xml:space="preserve"> 0.0000000000330128*((Sheet3!CN20+273)^(4)) - 0.0000000448315*((Sheet3!CN20+273)^(3)) + 0.0000228887*((Sheet3!CN20+273)^(2)) - 0.00521331*((Sheet3!CN20+273)) + 0.447905</f>
        <v>1.1089063846390079E-3</v>
      </c>
      <c r="S20" s="35">
        <f xml:space="preserve"> 0.0000000000330128*((Sheet3!CO20+273)^(4)) - 0.0000000448315*((Sheet3!CO20+273)^(3)) + 0.0000228887*((Sheet3!CO20+273)^(2)) - 0.00521331*((Sheet3!CO20+273)) + 0.447905</f>
        <v>1.1710561811084652E-3</v>
      </c>
      <c r="T20" s="35">
        <f xml:space="preserve"> 0.0000000000330128*((Sheet3!CP20+273)^(4)) - 0.0000000448315*((Sheet3!CP20+273)^(3)) + 0.0000228887*((Sheet3!CP20+273)^(2)) - 0.00521331*((Sheet3!CP20+273)) + 0.447905</f>
        <v>1.2383763300201078E-3</v>
      </c>
      <c r="U20" s="289">
        <f>(Sheet3!DC20*0.014*0.001*C20) / (L20*0.00015*3600*3)</f>
        <v>5468.5781828500685</v>
      </c>
      <c r="V20" s="35">
        <f>(Sheet3!$DC20*0.014*0.001*D20) / (M20*0.00015*3600*3)</f>
        <v>8186.8452778383298</v>
      </c>
      <c r="W20" s="35">
        <f>(Sheet3!$DC20*0.014*0.001*E20) / (N20*0.00015*3600*3)</f>
        <v>7862.8707524413867</v>
      </c>
      <c r="X20" s="35">
        <f>(Sheet3!$DC20*0.014*0.001*F20) / (O20*0.00015*3600*3)</f>
        <v>7526.6325342150985</v>
      </c>
      <c r="Y20" s="35">
        <f>(Sheet3!$DC20*0.014*0.001*G20) / (P20*0.00015*3600*3)</f>
        <v>7182.8138291374162</v>
      </c>
      <c r="Z20" s="35">
        <f>(Sheet3!$DC20*0.014*0.001*H20) / (Q20*0.00015*3600*3)</f>
        <v>6836.0696757155074</v>
      </c>
      <c r="AA20" s="35">
        <f>(Sheet3!$DC20*0.014*0.001*I20) / (R20*0.00015*3600*3)</f>
        <v>6490.9234289908409</v>
      </c>
      <c r="AB20" s="35">
        <f>(Sheet3!$DC20*0.014*0.001*J20) / (S20*0.00015*3600*3)</f>
        <v>6151.6526615521898</v>
      </c>
      <c r="AC20" s="35">
        <f>(Sheet3!$DC20*0.014*0.001*K20) / (T20*0.00015*3600*3)</f>
        <v>5822.1781052932101</v>
      </c>
      <c r="AD20" s="289">
        <f t="shared" si="0"/>
        <v>0.58996961102800249</v>
      </c>
      <c r="AE20" s="35">
        <f>_xlfn.FORECAST.LINEAR(Sheet3!CI20,$DA$3:$DA$12,$CZ$3:$CZ$12)/1000</f>
        <v>0.60711002543608228</v>
      </c>
      <c r="AF20" s="35">
        <f>_xlfn.FORECAST.LINEAR(Sheet3!CJ20,$DA$3:$DA$12,$CZ$3:$CZ$12)/1000</f>
        <v>0.60521883972502954</v>
      </c>
      <c r="AG20" s="35">
        <f>_xlfn.FORECAST.LINEAR(Sheet3!CK20,$DA$3:$DA$12,$CZ$3:$CZ$12)/1000</f>
        <v>0.60322665187846591</v>
      </c>
      <c r="AH20" s="35">
        <f>_xlfn.FORECAST.LINEAR(Sheet3!CL20,$DA$3:$DA$12,$CZ$3:$CZ$12)/1000</f>
        <v>0.60115277881738316</v>
      </c>
      <c r="AI20" s="35">
        <f>_xlfn.FORECAST.LINEAR(Sheet3!CM20,$DA$3:$DA$12,$CZ$3:$CZ$12)/1000</f>
        <v>0.59901653746277361</v>
      </c>
      <c r="AJ20" s="35">
        <f>_xlfn.FORECAST.LINEAR(Sheet3!CN20,$DA$3:$DA$12,$CZ$3:$CZ$12)/1000</f>
        <v>0.59683724473562927</v>
      </c>
      <c r="AK20" s="35">
        <f>_xlfn.FORECAST.LINEAR(Sheet3!CO20,$DA$3:$DA$12,$CZ$3:$CZ$12)/1000</f>
        <v>0.59463421755694224</v>
      </c>
      <c r="AL20" s="35">
        <f>_xlfn.FORECAST.LINEAR(Sheet3!CP20,$DA$3:$DA$12,$CZ$3:$CZ$12)/1000</f>
        <v>0.59242677284770451</v>
      </c>
      <c r="AM20" s="289">
        <f t="shared" si="1"/>
        <v>4189.3561669689898</v>
      </c>
      <c r="AN20" s="35">
        <f>_xlfn.FORECAST.LINEAR(Sheet3!CI20,$DP$3:$DP$14,$DJ$3:$DJ$14)*1000</f>
        <v>4190.8645470862957</v>
      </c>
      <c r="AO20" s="35">
        <f>_xlfn.FORECAST.LINEAR(Sheet3!CJ20,$DP$3:$DP$14,$DJ$3:$DJ$14)*1000</f>
        <v>4190.6981201343697</v>
      </c>
      <c r="AP20" s="35">
        <f>_xlfn.FORECAST.LINEAR(Sheet3!CK20,$DP$3:$DP$14,$DJ$3:$DJ$14)*1000</f>
        <v>4190.5228048551617</v>
      </c>
      <c r="AQ20" s="35">
        <f>_xlfn.FORECAST.LINEAR(Sheet3!CL20,$DP$3:$DP$14,$DJ$3:$DJ$14)*1000</f>
        <v>4190.3403011643704</v>
      </c>
      <c r="AR20" s="35">
        <f>_xlfn.FORECAST.LINEAR(Sheet3!CM20,$DP$3:$DP$14,$DJ$3:$DJ$14)*1000</f>
        <v>4190.1523089776983</v>
      </c>
      <c r="AS20" s="35">
        <f>_xlfn.FORECAST.LINEAR(Sheet3!CN20,$DP$3:$DP$14,$DJ$3:$DJ$14)*1000</f>
        <v>4189.9605282108414</v>
      </c>
      <c r="AT20" s="35">
        <f>_xlfn.FORECAST.LINEAR(Sheet3!CO20,$DP$3:$DP$14,$DJ$3:$DJ$14)*1000</f>
        <v>4189.766658779502</v>
      </c>
      <c r="AU20" s="35">
        <f>_xlfn.FORECAST.LINEAR(Sheet3!CP20,$DP$3:$DP$14,$DJ$3:$DJ$14)*1000</f>
        <v>4189.5724005993798</v>
      </c>
      <c r="AV20" s="289">
        <f t="shared" si="18"/>
        <v>1.4064146396395116E-7</v>
      </c>
      <c r="AW20" s="35">
        <f t="shared" si="19"/>
        <v>1.456338692793625E-7</v>
      </c>
      <c r="AX20" s="35">
        <f t="shared" si="20"/>
        <v>1.4507993202806349E-7</v>
      </c>
      <c r="AY20" s="35">
        <f t="shared" si="21"/>
        <v>1.4449724685413293E-7</v>
      </c>
      <c r="AZ20" s="35">
        <f t="shared" si="22"/>
        <v>1.4389157918472305E-7</v>
      </c>
      <c r="BA20" s="35">
        <f t="shared" si="23"/>
        <v>1.4326866447370972E-7</v>
      </c>
      <c r="BB20" s="35">
        <f t="shared" si="24"/>
        <v>1.4263420537237388E-7</v>
      </c>
      <c r="BC20" s="35">
        <f t="shared" si="25"/>
        <v>1.4199386973846963E-7</v>
      </c>
      <c r="BD20" s="35">
        <f t="shared" si="26"/>
        <v>1.4135328947098354E-7</v>
      </c>
      <c r="BE20" s="289">
        <f t="shared" si="3"/>
        <v>9.3711150088169131</v>
      </c>
      <c r="BF20" s="35">
        <f t="shared" si="27"/>
        <v>6.0450528309713683</v>
      </c>
      <c r="BG20" s="35">
        <f t="shared" si="28"/>
        <v>6.3181595884428861</v>
      </c>
      <c r="BH20" s="35">
        <f t="shared" si="29"/>
        <v>6.6270277008626133</v>
      </c>
      <c r="BI20" s="35">
        <f t="shared" si="30"/>
        <v>6.9734723414602895</v>
      </c>
      <c r="BJ20" s="35">
        <f t="shared" si="31"/>
        <v>7.3590436463406546</v>
      </c>
      <c r="BK20" s="35">
        <f t="shared" si="32"/>
        <v>7.7848257998317649</v>
      </c>
      <c r="BL20" s="35">
        <f t="shared" si="33"/>
        <v>8.251210573323684</v>
      </c>
      <c r="BM20" s="35">
        <f t="shared" si="34"/>
        <v>8.757651631557076</v>
      </c>
      <c r="BN20" s="289">
        <f t="shared" si="35"/>
        <v>8.3629118933196619E-4</v>
      </c>
      <c r="BO20" s="35">
        <f t="shared" si="36"/>
        <v>8.6597734632420801E-4</v>
      </c>
      <c r="BP20" s="35">
        <f t="shared" si="37"/>
        <v>8.6268348952232734E-4</v>
      </c>
      <c r="BQ20" s="35">
        <f t="shared" si="38"/>
        <v>8.5921869000034963E-4</v>
      </c>
      <c r="BR20" s="35">
        <f t="shared" si="39"/>
        <v>8.5561723050672171E-4</v>
      </c>
      <c r="BS20" s="35">
        <f t="shared" si="40"/>
        <v>8.5191321556089307E-4</v>
      </c>
      <c r="BT20" s="35">
        <f t="shared" si="41"/>
        <v>8.4814055462944366E-4</v>
      </c>
      <c r="BU20" s="35">
        <f t="shared" si="42"/>
        <v>8.4433295028747896E-4</v>
      </c>
      <c r="BV20" s="35">
        <f t="shared" si="43"/>
        <v>8.4052389128980035E-4</v>
      </c>
      <c r="BW20" s="289">
        <f t="shared" si="44"/>
        <v>4.1979628941913712E-2</v>
      </c>
      <c r="BX20" s="35">
        <f t="shared" si="45"/>
        <v>3.7951422272012307E-2</v>
      </c>
      <c r="BY20" s="35">
        <f t="shared" si="46"/>
        <v>3.8336452069777628E-2</v>
      </c>
      <c r="BZ20" s="35">
        <f t="shared" si="47"/>
        <v>3.8757613146313735E-2</v>
      </c>
      <c r="CA20" s="35">
        <f t="shared" si="48"/>
        <v>3.921331421470093E-2</v>
      </c>
      <c r="CB20" s="35">
        <f t="shared" si="49"/>
        <v>3.970137806954209E-2</v>
      </c>
      <c r="CC20" s="35">
        <f t="shared" si="50"/>
        <v>4.021893631048179E-2</v>
      </c>
      <c r="CD20" s="35">
        <f t="shared" si="51"/>
        <v>4.0762353445968652E-2</v>
      </c>
      <c r="CE20" s="35">
        <f t="shared" si="52"/>
        <v>4.132718556031665E-2</v>
      </c>
      <c r="CF20" s="289">
        <f t="shared" si="7"/>
        <v>52.705245033717731</v>
      </c>
      <c r="CG20" s="35">
        <f t="shared" si="8"/>
        <v>68.064505549691901</v>
      </c>
      <c r="CH20" s="35">
        <f t="shared" si="9"/>
        <v>66.481587077187214</v>
      </c>
      <c r="CI20" s="35">
        <f t="shared" si="10"/>
        <v>64.778026613965551</v>
      </c>
      <c r="CJ20" s="35">
        <f t="shared" si="11"/>
        <v>62.967753195657238</v>
      </c>
      <c r="CK20" s="35">
        <f t="shared" si="12"/>
        <v>61.06696684826337</v>
      </c>
      <c r="CL20" s="35">
        <f t="shared" si="13"/>
        <v>59.094100912464363</v>
      </c>
      <c r="CM20" s="35">
        <f t="shared" si="14"/>
        <v>57.069597166905503</v>
      </c>
      <c r="CN20" s="35">
        <f t="shared" si="15"/>
        <v>55.015518359630988</v>
      </c>
      <c r="CO20" s="289">
        <f t="shared" si="53"/>
        <v>2221.0352079770005</v>
      </c>
      <c r="CP20" s="35">
        <f t="shared" si="54"/>
        <v>2951.6174068262721</v>
      </c>
      <c r="CQ20" s="35">
        <f t="shared" si="55"/>
        <v>2873.9934995666972</v>
      </c>
      <c r="CR20" s="35">
        <f t="shared" si="56"/>
        <v>2791.1308649740427</v>
      </c>
      <c r="CS20" s="35">
        <f t="shared" si="57"/>
        <v>2703.8028435326073</v>
      </c>
      <c r="CT20" s="35">
        <f t="shared" si="58"/>
        <v>2612.8659310571934</v>
      </c>
      <c r="CU20" s="35">
        <f t="shared" si="59"/>
        <v>2519.2543120517471</v>
      </c>
      <c r="CV20" s="35">
        <f t="shared" si="60"/>
        <v>2423.9668041166246</v>
      </c>
      <c r="CW20" s="35">
        <f t="shared" si="61"/>
        <v>2328.0475713099877</v>
      </c>
      <c r="CY20" s="35">
        <v>4.1500000000000004</v>
      </c>
      <c r="CZ20" s="35">
        <v>3.66</v>
      </c>
      <c r="DA20" s="35">
        <v>0.2</v>
      </c>
      <c r="DE20" s="229">
        <v>21</v>
      </c>
      <c r="DF20" s="230">
        <v>0.97750000000000004</v>
      </c>
      <c r="DG20" s="230">
        <v>0.97950000000000004</v>
      </c>
      <c r="DH20" s="230">
        <v>0.998</v>
      </c>
      <c r="DJ20" s="199">
        <v>200</v>
      </c>
      <c r="DK20" s="195">
        <v>59.774999999999999</v>
      </c>
      <c r="DL20" s="195">
        <v>3.3178999999999998</v>
      </c>
      <c r="DM20" s="195">
        <v>9.2199999999999997E-4</v>
      </c>
      <c r="DN20" s="195">
        <v>0.79249999999999998</v>
      </c>
      <c r="DO20" s="195">
        <v>80.995999999999995</v>
      </c>
      <c r="DP20" s="195">
        <v>4.4958</v>
      </c>
      <c r="DQ20" s="195">
        <v>1.2489999999999999E-3</v>
      </c>
      <c r="DR20" s="200">
        <v>1.0738000000000001</v>
      </c>
      <c r="DU20" s="197">
        <v>80</v>
      </c>
      <c r="DV20" s="194">
        <v>0.97179000000000004</v>
      </c>
      <c r="DW20" s="194">
        <v>971.79</v>
      </c>
      <c r="DX20" s="194">
        <v>1.8855999999999999</v>
      </c>
      <c r="DY20" s="194">
        <v>60.666899999999998</v>
      </c>
      <c r="DZ20" s="194">
        <v>8.11</v>
      </c>
      <c r="EA20" s="194">
        <v>9.5299999999999994</v>
      </c>
      <c r="EB20" s="194">
        <v>60.667000000000002</v>
      </c>
      <c r="EC20" s="198">
        <v>6.21</v>
      </c>
    </row>
    <row r="21" spans="1:133" ht="15" thickBot="1" x14ac:dyDescent="0.35">
      <c r="A21" s="184" t="str">
        <f>'Su K. oro stendu'!B66</f>
        <v>12.12.2022</v>
      </c>
      <c r="B21" s="289">
        <f>Sheet3!DD21</f>
        <v>9.66</v>
      </c>
      <c r="C21" s="289">
        <f>_xlfn.FORECAST.LINEAR(Sheet3!DD21,$DW$3:$DW$24,$DU$3:$DU$24)</f>
        <v>1001.3358724895542</v>
      </c>
      <c r="D21" s="35">
        <f>_xlfn.FORECAST.LINEAR(Sheet3!CI21,'Cooling water'!$DW$3:$DW$24,'Cooling water'!$DU$3:$DU$24)</f>
        <v>994.63464083143162</v>
      </c>
      <c r="E21" s="35">
        <f>_xlfn.FORECAST.LINEAR(Sheet3!CJ21,'Cooling water'!$DW$3:$DW$24,'Cooling water'!$DU$3:$DU$24)</f>
        <v>995.36481637139161</v>
      </c>
      <c r="F21" s="35">
        <f>_xlfn.FORECAST.LINEAR(Sheet3!CK21,'Cooling water'!$DW$3:$DW$24,'Cooling water'!$DU$3:$DU$24)</f>
        <v>996.14256286673412</v>
      </c>
      <c r="G21" s="35">
        <f>_xlfn.FORECAST.LINEAR(Sheet3!CL21,'Cooling water'!$DW$3:$DW$24,'Cooling water'!$DU$3:$DU$24)</f>
        <v>996.95755613450319</v>
      </c>
      <c r="H21" s="35">
        <f>_xlfn.FORECAST.LINEAR(Sheet3!CM21,'Cooling water'!$DW$3:$DW$24,'Cooling water'!$DU$3:$DU$24)</f>
        <v>997.7994719917433</v>
      </c>
      <c r="I21" s="35">
        <f>_xlfn.FORECAST.LINEAR(Sheet3!CN21,'Cooling water'!$DW$3:$DW$24,'Cooling water'!$DU$3:$DU$24)</f>
        <v>998.6579862554986</v>
      </c>
      <c r="J21" s="35">
        <f>_xlfn.FORECAST.LINEAR(Sheet3!CO21,'Cooling water'!$DW$3:$DW$24,'Cooling water'!$DU$3:$DU$24)</f>
        <v>999.52277474281357</v>
      </c>
      <c r="K21" s="35">
        <f>_xlfn.FORECAST.LINEAR(Sheet3!CP21,'Cooling water'!$DW$3:$DW$24,'Cooling water'!$DU$3:$DU$24)</f>
        <v>1000.3835132707325</v>
      </c>
      <c r="L21" s="289">
        <f t="shared" si="17"/>
        <v>1.3219332222031976E-3</v>
      </c>
      <c r="M21" s="35">
        <f xml:space="preserve"> 0.0000000000330128*((Sheet3!CI21+273)^(4)) - 0.0000000448315*((Sheet3!CI21+273)^(3)) + 0.0000228887*((Sheet3!CI21+273)^(2)) - 0.00521331*((Sheet3!CI21+273)) + 0.447905</f>
        <v>8.7150305891814384E-4</v>
      </c>
      <c r="N21" s="35">
        <f xml:space="preserve"> 0.0000000000330128*((Sheet3!CJ21+273)^(4)) - 0.0000000448315*((Sheet3!CJ21+273)^(3)) + 0.0000228887*((Sheet3!CJ21+273)^(2)) - 0.00521331*((Sheet3!CJ21+273)) + 0.447905</f>
        <v>9.0811812389435254E-4</v>
      </c>
      <c r="O21" s="35">
        <f xml:space="preserve"> 0.0000000000330128*((Sheet3!CK21+273)^(4)) - 0.0000000448315*((Sheet3!CK21+273)^(3)) + 0.0000228887*((Sheet3!CK21+273)^(2)) - 0.00521331*((Sheet3!CK21+273)) + 0.447905</f>
        <v>9.4995245490281377E-4</v>
      </c>
      <c r="P21" s="35">
        <f xml:space="preserve"> 0.0000000000330128*((Sheet3!CL21+273)^(4)) - 0.0000000448315*((Sheet3!CL21+273)^(3)) + 0.0000228887*((Sheet3!CL21+273)^(2)) - 0.00521331*((Sheet3!CL21+273)) + 0.447905</f>
        <v>9.9716903841762239E-4</v>
      </c>
      <c r="Q21" s="35">
        <f xml:space="preserve"> 0.0000000000330128*((Sheet3!CM21+273)^(4)) - 0.0000000448315*((Sheet3!CM21+273)^(3)) + 0.0000228887*((Sheet3!CM21+273)^(2)) - 0.00521331*((Sheet3!CM21+273)) + 0.447905</f>
        <v>1.0498612316711675E-3</v>
      </c>
      <c r="R21" s="35">
        <f xml:space="preserve"> 0.0000000000330128*((Sheet3!CN21+273)^(4)) - 0.0000000448315*((Sheet3!CN21+273)^(3)) + 0.0000228887*((Sheet3!CN21+273)^(2)) - 0.00521331*((Sheet3!CN21+273)) + 0.447905</f>
        <v>1.108011633947692E-3</v>
      </c>
      <c r="S21" s="35">
        <f xml:space="preserve"> 0.0000000000330128*((Sheet3!CO21+273)^(4)) - 0.0000000448315*((Sheet3!CO21+273)^(3)) + 0.0000228887*((Sheet3!CO21+273)^(2)) - 0.00521331*((Sheet3!CO21+273)) + 0.447905</f>
        <v>1.1714476197144386E-3</v>
      </c>
      <c r="T21" s="35">
        <f xml:space="preserve"> 0.0000000000330128*((Sheet3!CP21+273)^(4)) - 0.0000000448315*((Sheet3!CP21+273)^(3)) + 0.0000228887*((Sheet3!CP21+273)^(2)) - 0.00521331*((Sheet3!CP21+273)) + 0.447905</f>
        <v>1.2397956815528577E-3</v>
      </c>
      <c r="U21" s="289">
        <f>(Sheet3!DC21*0.014*0.001*C21) / (L21*0.00015*3600*3)</f>
        <v>5606.7429561681902</v>
      </c>
      <c r="V21" s="35">
        <f>(Sheet3!$DC21*0.014*0.001*D21) / (M21*0.00015*3600*3)</f>
        <v>8447.6332960818963</v>
      </c>
      <c r="W21" s="35">
        <f>(Sheet3!$DC21*0.014*0.001*E21) / (N21*0.00015*3600*3)</f>
        <v>8112.9786042943006</v>
      </c>
      <c r="X21" s="35">
        <f>(Sheet3!$DC21*0.014*0.001*F21) / (O21*0.00015*3600*3)</f>
        <v>7761.7565338234981</v>
      </c>
      <c r="Y21" s="35">
        <f>(Sheet3!$DC21*0.014*0.001*G21) / (P21*0.00015*3600*3)</f>
        <v>7400.2820472664398</v>
      </c>
      <c r="Z21" s="35">
        <f>(Sheet3!$DC21*0.014*0.001*H21) / (Q21*0.00015*3600*3)</f>
        <v>7034.8000733226008</v>
      </c>
      <c r="AA21" s="35">
        <f>(Sheet3!$DC21*0.014*0.001*I21) / (R21*0.00015*3600*3)</f>
        <v>6671.3365080793628</v>
      </c>
      <c r="AB21" s="35">
        <f>(Sheet3!$DC21*0.014*0.001*J21) / (S21*0.00015*3600*3)</f>
        <v>6315.53590334809</v>
      </c>
      <c r="AC21" s="35">
        <f>(Sheet3!$DC21*0.014*0.001*K21) / (T21*0.00015*3600*3)</f>
        <v>5972.5087532088974</v>
      </c>
      <c r="AD21" s="289">
        <f t="shared" si="0"/>
        <v>0.58990486780655416</v>
      </c>
      <c r="AE21" s="35">
        <f>_xlfn.FORECAST.LINEAR(Sheet3!CI21,$DA$3:$DA$12,$CZ$3:$CZ$12)/1000</f>
        <v>0.60733528077963495</v>
      </c>
      <c r="AF21" s="35">
        <f>_xlfn.FORECAST.LINEAR(Sheet3!CJ21,$DA$3:$DA$12,$CZ$3:$CZ$12)/1000</f>
        <v>0.60543603869196294</v>
      </c>
      <c r="AG21" s="35">
        <f>_xlfn.FORECAST.LINEAR(Sheet3!CK21,$DA$3:$DA$12,$CZ$3:$CZ$12)/1000</f>
        <v>0.60341306093297853</v>
      </c>
      <c r="AH21" s="35">
        <f>_xlfn.FORECAST.LINEAR(Sheet3!CL21,$DA$3:$DA$12,$CZ$3:$CZ$12)/1000</f>
        <v>0.60129320148739773</v>
      </c>
      <c r="AI21" s="35">
        <f>_xlfn.FORECAST.LINEAR(Sheet3!CM21,$DA$3:$DA$12,$CZ$3:$CZ$12)/1000</f>
        <v>0.59910331433993702</v>
      </c>
      <c r="AJ21" s="35">
        <f>_xlfn.FORECAST.LINEAR(Sheet3!CN21,$DA$3:$DA$12,$CZ$3:$CZ$12)/1000</f>
        <v>0.59687025347531242</v>
      </c>
      <c r="AK21" s="35">
        <f>_xlfn.FORECAST.LINEAR(Sheet3!CO21,$DA$3:$DA$12,$CZ$3:$CZ$12)/1000</f>
        <v>0.5946208728782405</v>
      </c>
      <c r="AL21" s="35">
        <f>_xlfn.FORECAST.LINEAR(Sheet3!CP21,$DA$3:$DA$12,$CZ$3:$CZ$12)/1000</f>
        <v>0.59238202653343719</v>
      </c>
      <c r="AM21" s="289">
        <f t="shared" si="1"/>
        <v>4189.3504694761723</v>
      </c>
      <c r="AN21" s="35">
        <f>_xlfn.FORECAST.LINEAR(Sheet3!CI21,$DP$3:$DP$14,$DJ$3:$DJ$14)*1000</f>
        <v>4190.8843698673227</v>
      </c>
      <c r="AO21" s="35">
        <f>_xlfn.FORECAST.LINEAR(Sheet3!CJ21,$DP$3:$DP$14,$DJ$3:$DJ$14)*1000</f>
        <v>4190.717233943139</v>
      </c>
      <c r="AP21" s="35">
        <f>_xlfn.FORECAST.LINEAR(Sheet3!CK21,$DP$3:$DP$14,$DJ$3:$DJ$14)*1000</f>
        <v>4190.5392091091562</v>
      </c>
      <c r="AQ21" s="35">
        <f>_xlfn.FORECAST.LINEAR(Sheet3!CL21,$DP$3:$DP$14,$DJ$3:$DJ$14)*1000</f>
        <v>4190.3526585530799</v>
      </c>
      <c r="AR21" s="35">
        <f>_xlfn.FORECAST.LINEAR(Sheet3!CM21,$DP$3:$DP$14,$DJ$3:$DJ$14)*1000</f>
        <v>4190.1599454626175</v>
      </c>
      <c r="AS21" s="35">
        <f>_xlfn.FORECAST.LINEAR(Sheet3!CN21,$DP$3:$DP$14,$DJ$3:$DJ$14)*1000</f>
        <v>4189.9634330254776</v>
      </c>
      <c r="AT21" s="35">
        <f>_xlfn.FORECAST.LINEAR(Sheet3!CO21,$DP$3:$DP$14,$DJ$3:$DJ$14)*1000</f>
        <v>4189.7654844293638</v>
      </c>
      <c r="AU21" s="35">
        <f>_xlfn.FORECAST.LINEAR(Sheet3!CP21,$DP$3:$DP$14,$DJ$3:$DJ$14)*1000</f>
        <v>4189.5684628619847</v>
      </c>
      <c r="AV21" s="289">
        <f t="shared" si="18"/>
        <v>1.4062272558192104E-7</v>
      </c>
      <c r="AW21" s="35">
        <f t="shared" si="19"/>
        <v>1.4569989924002187E-7</v>
      </c>
      <c r="AX21" s="35">
        <f t="shared" si="20"/>
        <v>1.4514351130717861E-7</v>
      </c>
      <c r="AY21" s="35">
        <f t="shared" si="21"/>
        <v>1.4455173239077679E-7</v>
      </c>
      <c r="AZ21" s="35">
        <f t="shared" si="22"/>
        <v>1.439325599250701E-7</v>
      </c>
      <c r="BA21" s="35">
        <f t="shared" si="23"/>
        <v>1.4329394897279591E-7</v>
      </c>
      <c r="BB21" s="35">
        <f t="shared" si="24"/>
        <v>1.4264380764201741E-7</v>
      </c>
      <c r="BC21" s="35">
        <f t="shared" si="25"/>
        <v>1.4198999411161893E-7</v>
      </c>
      <c r="BD21" s="35">
        <f t="shared" si="26"/>
        <v>1.4134031524000668E-7</v>
      </c>
      <c r="BE21" s="289">
        <f t="shared" si="3"/>
        <v>9.388024861780238</v>
      </c>
      <c r="BF21" s="35">
        <f t="shared" si="27"/>
        <v>6.0137598843641555</v>
      </c>
      <c r="BG21" s="35">
        <f t="shared" si="28"/>
        <v>6.2858271213624297</v>
      </c>
      <c r="BH21" s="35">
        <f t="shared" si="29"/>
        <v>6.5971608286117132</v>
      </c>
      <c r="BI21" s="35">
        <f t="shared" si="30"/>
        <v>6.9491720858042614</v>
      </c>
      <c r="BJ21" s="35">
        <f t="shared" si="31"/>
        <v>7.3427844178917221</v>
      </c>
      <c r="BK21" s="35">
        <f t="shared" si="32"/>
        <v>7.7781196207655592</v>
      </c>
      <c r="BL21" s="35">
        <f t="shared" si="33"/>
        <v>8.2541515573428423</v>
      </c>
      <c r="BM21" s="35">
        <f t="shared" si="34"/>
        <v>8.7683431555517402</v>
      </c>
      <c r="BN21" s="289">
        <f t="shared" si="35"/>
        <v>8.1421357247475612E-4</v>
      </c>
      <c r="BO21" s="35">
        <f t="shared" si="36"/>
        <v>8.4361069648248817E-4</v>
      </c>
      <c r="BP21" s="35">
        <f t="shared" si="37"/>
        <v>8.4038917873272586E-4</v>
      </c>
      <c r="BQ21" s="35">
        <f t="shared" si="38"/>
        <v>8.3696274517694816E-4</v>
      </c>
      <c r="BR21" s="35">
        <f t="shared" si="39"/>
        <v>8.3337770141396603E-4</v>
      </c>
      <c r="BS21" s="35">
        <f t="shared" si="40"/>
        <v>8.2968010770910093E-4</v>
      </c>
      <c r="BT21" s="35">
        <f t="shared" si="41"/>
        <v>8.2591575245744367E-4</v>
      </c>
      <c r="BU21" s="35">
        <f t="shared" si="42"/>
        <v>8.2213013496130192E-4</v>
      </c>
      <c r="BV21" s="35">
        <f t="shared" si="43"/>
        <v>8.1836845737449796E-4</v>
      </c>
      <c r="BW21" s="289">
        <f t="shared" si="44"/>
        <v>4.1718582181453155E-2</v>
      </c>
      <c r="BX21" s="35">
        <f t="shared" si="45"/>
        <v>3.7655068205519851E-2</v>
      </c>
      <c r="BY21" s="35">
        <f t="shared" si="46"/>
        <v>3.8037513477260754E-2</v>
      </c>
      <c r="BZ21" s="35">
        <f t="shared" si="47"/>
        <v>3.8460701205989448E-2</v>
      </c>
      <c r="CA21" s="35">
        <f t="shared" si="48"/>
        <v>3.8921998701311473E-2</v>
      </c>
      <c r="CB21" s="35">
        <f t="shared" si="49"/>
        <v>3.9417970672676592E-2</v>
      </c>
      <c r="CC21" s="35">
        <f t="shared" si="50"/>
        <v>3.9944224143162628E-2</v>
      </c>
      <c r="CD21" s="35">
        <f t="shared" si="51"/>
        <v>4.0495302715151282E-2</v>
      </c>
      <c r="CE21" s="35">
        <f t="shared" si="52"/>
        <v>4.1064638421993857E-2</v>
      </c>
      <c r="CF21" s="289">
        <f t="shared" si="7"/>
        <v>54.158925528426202</v>
      </c>
      <c r="CG21" s="35">
        <f t="shared" si="8"/>
        <v>70.035779736184935</v>
      </c>
      <c r="CH21" s="35">
        <f t="shared" si="9"/>
        <v>68.422748039501442</v>
      </c>
      <c r="CI21" s="35">
        <f t="shared" si="10"/>
        <v>66.666685453665551</v>
      </c>
      <c r="CJ21" s="35">
        <f t="shared" si="11"/>
        <v>64.787171324544488</v>
      </c>
      <c r="CK21" s="35">
        <f t="shared" si="12"/>
        <v>62.806795769270003</v>
      </c>
      <c r="CL21" s="35">
        <f t="shared" si="13"/>
        <v>60.751118217319743</v>
      </c>
      <c r="CM21" s="35">
        <f t="shared" si="14"/>
        <v>58.648331979209118</v>
      </c>
      <c r="CN21" s="35">
        <f t="shared" si="15"/>
        <v>56.528682308770129</v>
      </c>
      <c r="CO21" s="289">
        <f t="shared" si="53"/>
        <v>2282.0438431708053</v>
      </c>
      <c r="CP21" s="35">
        <f t="shared" si="54"/>
        <v>3038.2285679068959</v>
      </c>
      <c r="CQ21" s="35">
        <f t="shared" si="55"/>
        <v>2958.9712521038587</v>
      </c>
      <c r="CR21" s="35">
        <f t="shared" si="56"/>
        <v>2873.3963379894572</v>
      </c>
      <c r="CS21" s="35">
        <f t="shared" si="57"/>
        <v>2782.5775472177061</v>
      </c>
      <c r="CT21" s="35">
        <f t="shared" si="58"/>
        <v>2687.6971077457997</v>
      </c>
      <c r="CU21" s="35">
        <f t="shared" si="59"/>
        <v>2590.0382378057357</v>
      </c>
      <c r="CV21" s="35">
        <f t="shared" si="60"/>
        <v>2490.9658824521534</v>
      </c>
      <c r="CW21" s="35">
        <f t="shared" si="61"/>
        <v>2391.8982416667218</v>
      </c>
      <c r="DE21" s="229">
        <v>22</v>
      </c>
      <c r="DF21" s="230">
        <v>0.95440000000000003</v>
      </c>
      <c r="DG21" s="230">
        <v>0.95650000000000002</v>
      </c>
      <c r="DH21" s="230">
        <v>0.99780000000000002</v>
      </c>
      <c r="DJ21" s="197">
        <v>220</v>
      </c>
      <c r="DK21" s="194">
        <v>58.514000000000003</v>
      </c>
      <c r="DL21" s="194">
        <v>3.2479</v>
      </c>
      <c r="DM21" s="194">
        <v>9.0200000000000002E-4</v>
      </c>
      <c r="DN21" s="194">
        <v>0.77569999999999995</v>
      </c>
      <c r="DO21" s="194">
        <v>83.137</v>
      </c>
      <c r="DP21" s="194">
        <v>4.6146000000000003</v>
      </c>
      <c r="DQ21" s="194">
        <v>1.2819999999999999E-3</v>
      </c>
      <c r="DR21" s="198">
        <v>1.1022000000000001</v>
      </c>
      <c r="DU21" s="197">
        <v>85</v>
      </c>
      <c r="DV21" s="194">
        <v>0.96860999999999997</v>
      </c>
      <c r="DW21" s="194">
        <v>968.61</v>
      </c>
      <c r="DX21" s="194">
        <v>1.8794</v>
      </c>
      <c r="DY21" s="194">
        <v>60.468299999999999</v>
      </c>
      <c r="DZ21" s="194">
        <v>8.0833999999999993</v>
      </c>
      <c r="EA21" s="194">
        <v>9.4987999999999992</v>
      </c>
      <c r="EB21" s="194">
        <v>60.468000000000004</v>
      </c>
      <c r="EC21" s="198">
        <v>6.44</v>
      </c>
    </row>
    <row r="22" spans="1:133" ht="15" thickBot="1" x14ac:dyDescent="0.35">
      <c r="A22" s="184" t="str">
        <f>'Su K. oro stendu'!B67</f>
        <v>13.12.2022</v>
      </c>
      <c r="B22" s="289">
        <f>Sheet3!DD22</f>
        <v>9.56</v>
      </c>
      <c r="C22" s="289">
        <f>_xlfn.FORECAST.LINEAR(Sheet3!DD22,$DW$3:$DW$24,$DU$3:$DU$24)</f>
        <v>1001.3773573858948</v>
      </c>
      <c r="D22" s="35">
        <f>_xlfn.FORECAST.LINEAR(Sheet3!CI22,'Cooling water'!$DW$3:$DW$24,'Cooling water'!$DU$3:$DU$24)</f>
        <v>994.4112952184928</v>
      </c>
      <c r="E22" s="35">
        <f>_xlfn.FORECAST.LINEAR(Sheet3!CJ22,'Cooling water'!$DW$3:$DW$24,'Cooling water'!$DU$3:$DU$24)</f>
        <v>995.1798521853857</v>
      </c>
      <c r="F22" s="35">
        <f>_xlfn.FORECAST.LINEAR(Sheet3!CK22,'Cooling water'!$DW$3:$DW$24,'Cooling water'!$DU$3:$DU$24)</f>
        <v>995.98438864823368</v>
      </c>
      <c r="G22" s="35">
        <f>_xlfn.FORECAST.LINEAR(Sheet3!CL22,'Cooling water'!$DW$3:$DW$24,'Cooling water'!$DU$3:$DU$24)</f>
        <v>996.81923305950636</v>
      </c>
      <c r="H22" s="35">
        <f>_xlfn.FORECAST.LINEAR(Sheet3!CM22,'Cooling water'!$DW$3:$DW$24,'Cooling water'!$DU$3:$DU$24)</f>
        <v>997.67871387167361</v>
      </c>
      <c r="I22" s="35">
        <f>_xlfn.FORECAST.LINEAR(Sheet3!CN22,'Cooling water'!$DW$3:$DW$24,'Cooling water'!$DU$3:$DU$24)</f>
        <v>998.55715953720505</v>
      </c>
      <c r="J22" s="35">
        <f>_xlfn.FORECAST.LINEAR(Sheet3!CO22,'Cooling water'!$DW$3:$DW$24,'Cooling water'!$DU$3:$DU$24)</f>
        <v>999.44889850857066</v>
      </c>
      <c r="K22" s="35">
        <f>_xlfn.FORECAST.LINEAR(Sheet3!CP22,'Cooling water'!$DW$3:$DW$24,'Cooling water'!$DU$3:$DU$24)</f>
        <v>1000.3482592382402</v>
      </c>
      <c r="L22" s="289">
        <f t="shared" si="17"/>
        <v>1.3256744934915243E-3</v>
      </c>
      <c r="M22" s="35">
        <f xml:space="preserve"> 0.0000000000330128*((Sheet3!CI22+273)^(4)) - 0.0000000448315*((Sheet3!CI22+273)^(3)) + 0.0000228887*((Sheet3!CI22+273)^(2)) - 0.00521331*((Sheet3!CI22+273)) + 0.447905</f>
        <v>8.6078927996280363E-4</v>
      </c>
      <c r="N22" s="35">
        <f xml:space="preserve"> 0.0000000000330128*((Sheet3!CJ22+273)^(4)) - 0.0000000448315*((Sheet3!CJ22+273)^(3)) + 0.0000228887*((Sheet3!CJ22+273)^(2)) - 0.00521331*((Sheet3!CJ22+273)) + 0.447905</f>
        <v>8.9860692652443674E-4</v>
      </c>
      <c r="O22" s="35">
        <f xml:space="preserve"> 0.0000000000330128*((Sheet3!CK22+273)^(4)) - 0.0000000448315*((Sheet3!CK22+273)^(3)) + 0.0000228887*((Sheet3!CK22+273)^(2)) - 0.00521331*((Sheet3!CK22+273)) + 0.447905</f>
        <v>9.4119711465845413E-4</v>
      </c>
      <c r="P22" s="35">
        <f xml:space="preserve"> 0.0000000000330128*((Sheet3!CL22+273)^(4)) - 0.0000000448315*((Sheet3!CL22+273)^(3)) + 0.0000228887*((Sheet3!CL22+273)^(2)) - 0.00521331*((Sheet3!CL22+273)) + 0.447905</f>
        <v>9.8890040059207429E-4</v>
      </c>
      <c r="Q22" s="35">
        <f xml:space="preserve"> 0.0000000000330128*((Sheet3!CM22+273)^(4)) - 0.0000000448315*((Sheet3!CM22+273)^(3)) + 0.0000228887*((Sheet3!CM22+273)^(2)) - 0.00521331*((Sheet3!CM22+273)) + 0.447905</f>
        <v>1.0420474341918951E-3</v>
      </c>
      <c r="R22" s="35">
        <f xml:space="preserve"> 0.0000000000330128*((Sheet3!CN22+273)^(4)) - 0.0000000448315*((Sheet3!CN22+273)^(3)) + 0.0000228887*((Sheet3!CN22+273)^(2)) - 0.00521331*((Sheet3!CN22+273)) + 0.447905</f>
        <v>1.1009399640018458E-3</v>
      </c>
      <c r="S22" s="35">
        <f xml:space="preserve"> 0.0000000000330128*((Sheet3!CO22+273)^(4)) - 0.0000000448315*((Sheet3!CO22+273)^(3)) + 0.0000228887*((Sheet3!CO22+273)^(2)) - 0.00521331*((Sheet3!CO22+273)) + 0.447905</f>
        <v>1.1658288415639095E-3</v>
      </c>
      <c r="T22" s="35">
        <f xml:space="preserve"> 0.0000000000330128*((Sheet3!CP22+273)^(4)) - 0.0000000448315*((Sheet3!CP22+273)^(3)) + 0.0000228887*((Sheet3!CP22+273)^(2)) - 0.00521331*((Sheet3!CP22+273)) + 0.447905</f>
        <v>1.2368894018428556E-3</v>
      </c>
      <c r="U22" s="289">
        <f>(Sheet3!DC22*0.014*0.001*C22) / (L22*0.00015*3600*3)</f>
        <v>6080.7443807155005</v>
      </c>
      <c r="V22" s="35">
        <f>(Sheet3!$DC22*0.014*0.001*D22) / (M22*0.00015*3600*3)</f>
        <v>9299.6173544990943</v>
      </c>
      <c r="W22" s="35">
        <f>(Sheet3!$DC22*0.014*0.001*E22) / (N22*0.00015*3600*3)</f>
        <v>8915.1302684450184</v>
      </c>
      <c r="X22" s="35">
        <f>(Sheet3!$DC22*0.014*0.001*F22) / (O22*0.00015*3600*3)</f>
        <v>8518.5921245920654</v>
      </c>
      <c r="Y22" s="35">
        <f>(Sheet3!$DC22*0.014*0.001*G22) / (P22*0.00015*3600*3)</f>
        <v>8114.4621049042571</v>
      </c>
      <c r="Z22" s="35">
        <f>(Sheet3!$DC22*0.014*0.001*H22) / (Q22*0.00015*3600*3)</f>
        <v>7707.2438193710786</v>
      </c>
      <c r="AA22" s="35">
        <f>(Sheet3!$DC22*0.014*0.001*I22) / (R22*0.00015*3600*3)</f>
        <v>7301.3837240093353</v>
      </c>
      <c r="AB22" s="35">
        <f>(Sheet3!$DC22*0.014*0.001*J22) / (S22*0.00015*3600*3)</f>
        <v>6901.1533650181582</v>
      </c>
      <c r="AC22" s="35">
        <f>(Sheet3!$DC22*0.014*0.001*K22) / (T22*0.00015*3600*3)</f>
        <v>6510.528326032927</v>
      </c>
      <c r="AD22" s="289">
        <f t="shared" si="0"/>
        <v>0.58979696243747382</v>
      </c>
      <c r="AE22" s="35">
        <f>_xlfn.FORECAST.LINEAR(Sheet3!CI22,$DA$3:$DA$12,$CZ$3:$CZ$12)/1000</f>
        <v>0.60791621969771159</v>
      </c>
      <c r="AF22" s="35">
        <f>_xlfn.FORECAST.LINEAR(Sheet3!CJ22,$DA$3:$DA$12,$CZ$3:$CZ$12)/1000</f>
        <v>0.60591714460081558</v>
      </c>
      <c r="AG22" s="35">
        <f>_xlfn.FORECAST.LINEAR(Sheet3!CK22,$DA$3:$DA$12,$CZ$3:$CZ$12)/1000</f>
        <v>0.6038244840997653</v>
      </c>
      <c r="AH22" s="35">
        <f>_xlfn.FORECAST.LINEAR(Sheet3!CL22,$DA$3:$DA$12,$CZ$3:$CZ$12)/1000</f>
        <v>0.60165299032083985</v>
      </c>
      <c r="AI22" s="35">
        <f>_xlfn.FORECAST.LINEAR(Sheet3!CM22,$DA$3:$DA$12,$CZ$3:$CZ$12)/1000</f>
        <v>0.59941741539031868</v>
      </c>
      <c r="AJ22" s="35">
        <f>_xlfn.FORECAST.LINEAR(Sheet3!CN22,$DA$3:$DA$12,$CZ$3:$CZ$12)/1000</f>
        <v>0.59713251143448121</v>
      </c>
      <c r="AK22" s="35">
        <f>_xlfn.FORECAST.LINEAR(Sheet3!CO22,$DA$3:$DA$12,$CZ$3:$CZ$12)/1000</f>
        <v>0.59481303057960688</v>
      </c>
      <c r="AL22" s="35">
        <f>_xlfn.FORECAST.LINEAR(Sheet3!CP22,$DA$3:$DA$12,$CZ$3:$CZ$12)/1000</f>
        <v>0.59247372495197526</v>
      </c>
      <c r="AM22" s="289">
        <f t="shared" si="1"/>
        <v>4189.3409736548119</v>
      </c>
      <c r="AN22" s="35">
        <f>_xlfn.FORECAST.LINEAR(Sheet3!CI22,$DP$3:$DP$14,$DJ$3:$DJ$14)*1000</f>
        <v>4190.9354932936612</v>
      </c>
      <c r="AO22" s="35">
        <f>_xlfn.FORECAST.LINEAR(Sheet3!CJ22,$DP$3:$DP$14,$DJ$3:$DJ$14)*1000</f>
        <v>4190.759571926922</v>
      </c>
      <c r="AP22" s="35">
        <f>_xlfn.FORECAST.LINEAR(Sheet3!CK22,$DP$3:$DP$14,$DJ$3:$DJ$14)*1000</f>
        <v>4190.5754149154918</v>
      </c>
      <c r="AQ22" s="35">
        <f>_xlfn.FORECAST.LINEAR(Sheet3!CL22,$DP$3:$DP$14,$DJ$3:$DJ$14)*1000</f>
        <v>4190.3843204668392</v>
      </c>
      <c r="AR22" s="35">
        <f>_xlfn.FORECAST.LINEAR(Sheet3!CM22,$DP$3:$DP$14,$DJ$3:$DJ$14)*1000</f>
        <v>4190.187586788431</v>
      </c>
      <c r="AS22" s="35">
        <f>_xlfn.FORECAST.LINEAR(Sheet3!CN22,$DP$3:$DP$14,$DJ$3:$DJ$14)*1000</f>
        <v>4189.986512087733</v>
      </c>
      <c r="AT22" s="35">
        <f>_xlfn.FORECAST.LINEAR(Sheet3!CO22,$DP$3:$DP$14,$DJ$3:$DJ$14)*1000</f>
        <v>4189.782394572213</v>
      </c>
      <c r="AU22" s="35">
        <f>_xlfn.FORECAST.LINEAR(Sheet3!CP22,$DP$3:$DP$14,$DJ$3:$DJ$14)*1000</f>
        <v>4189.5765324493368</v>
      </c>
      <c r="AV22" s="289">
        <f t="shared" si="18"/>
        <v>1.4059149692318491E-7</v>
      </c>
      <c r="AW22" s="35">
        <f t="shared" si="19"/>
        <v>1.4587024283626562E-7</v>
      </c>
      <c r="AX22" s="35">
        <f t="shared" si="20"/>
        <v>1.4528437871699101E-7</v>
      </c>
      <c r="AY22" s="35">
        <f t="shared" si="21"/>
        <v>1.4467201387246763E-7</v>
      </c>
      <c r="AZ22" s="35">
        <f t="shared" si="22"/>
        <v>1.4403757951944096E-7</v>
      </c>
      <c r="BA22" s="35">
        <f t="shared" si="23"/>
        <v>1.4338548326891304E-7</v>
      </c>
      <c r="BB22" s="35">
        <f t="shared" si="24"/>
        <v>1.427201069880092E-7</v>
      </c>
      <c r="BC22" s="35">
        <f t="shared" si="25"/>
        <v>1.4204580515944001E-7</v>
      </c>
      <c r="BD22" s="35">
        <f t="shared" si="26"/>
        <v>1.4136690373106809E-7</v>
      </c>
      <c r="BE22" s="289">
        <f t="shared" si="3"/>
        <v>9.416295483044129</v>
      </c>
      <c r="BF22" s="35">
        <f t="shared" si="27"/>
        <v>5.934226179121616</v>
      </c>
      <c r="BG22" s="35">
        <f t="shared" si="28"/>
        <v>6.2151163938645331</v>
      </c>
      <c r="BH22" s="35">
        <f t="shared" si="29"/>
        <v>6.5319601856778169</v>
      </c>
      <c r="BI22" s="35">
        <f t="shared" si="30"/>
        <v>6.8874796598860533</v>
      </c>
      <c r="BJ22" s="35">
        <f t="shared" si="31"/>
        <v>7.2843633025783703</v>
      </c>
      <c r="BK22" s="35">
        <f t="shared" si="32"/>
        <v>7.7251255147781865</v>
      </c>
      <c r="BL22" s="35">
        <f t="shared" si="33"/>
        <v>8.21194039866492</v>
      </c>
      <c r="BM22" s="35">
        <f t="shared" si="34"/>
        <v>8.7464516871464149</v>
      </c>
      <c r="BN22" s="289">
        <f t="shared" si="35"/>
        <v>7.4849066684925386E-4</v>
      </c>
      <c r="BO22" s="35">
        <f t="shared" si="36"/>
        <v>7.7659401687452838E-4</v>
      </c>
      <c r="BP22" s="35">
        <f t="shared" si="37"/>
        <v>7.7347495324041359E-4</v>
      </c>
      <c r="BQ22" s="35">
        <f t="shared" si="38"/>
        <v>7.7021480322520474E-4</v>
      </c>
      <c r="BR22" s="35">
        <f t="shared" si="39"/>
        <v>7.6683715804493839E-4</v>
      </c>
      <c r="BS22" s="35">
        <f t="shared" si="40"/>
        <v>7.6336548324177299E-4</v>
      </c>
      <c r="BT22" s="35">
        <f t="shared" si="41"/>
        <v>7.5982310730084764E-4</v>
      </c>
      <c r="BU22" s="35">
        <f t="shared" si="42"/>
        <v>7.5623321291627308E-4</v>
      </c>
      <c r="BV22" s="35">
        <f t="shared" si="43"/>
        <v>7.5261883086637823E-4</v>
      </c>
      <c r="BW22" s="289">
        <f t="shared" si="44"/>
        <v>4.0880670961228528E-2</v>
      </c>
      <c r="BX22" s="35">
        <f t="shared" si="45"/>
        <v>3.6761306011932622E-2</v>
      </c>
      <c r="BY22" s="35">
        <f t="shared" si="46"/>
        <v>3.7151408069354248E-2</v>
      </c>
      <c r="BZ22" s="35">
        <f t="shared" si="47"/>
        <v>3.7576406535591286E-2</v>
      </c>
      <c r="CA22" s="35">
        <f t="shared" si="48"/>
        <v>3.8035774836338694E-2</v>
      </c>
      <c r="CB22" s="35">
        <f t="shared" si="49"/>
        <v>3.8528528927719595E-2</v>
      </c>
      <c r="CC22" s="35">
        <f t="shared" si="50"/>
        <v>3.905313552633588E-2</v>
      </c>
      <c r="CD22" s="35">
        <f t="shared" si="51"/>
        <v>3.9607440839274033E-2</v>
      </c>
      <c r="CE22" s="35">
        <f t="shared" si="52"/>
        <v>4.0188624636378525E-2</v>
      </c>
      <c r="CF22" s="289">
        <f t="shared" si="7"/>
        <v>59.045966794187464</v>
      </c>
      <c r="CG22" s="35">
        <f t="shared" si="8"/>
        <v>76.43565011412494</v>
      </c>
      <c r="CH22" s="35">
        <f t="shared" si="9"/>
        <v>74.654062723155107</v>
      </c>
      <c r="CI22" s="35">
        <f t="shared" si="10"/>
        <v>72.745046486979049</v>
      </c>
      <c r="CJ22" s="35">
        <f t="shared" si="11"/>
        <v>70.71947255275829</v>
      </c>
      <c r="CK22" s="35">
        <f t="shared" si="12"/>
        <v>68.590557099523281</v>
      </c>
      <c r="CL22" s="35">
        <f t="shared" si="13"/>
        <v>66.373864742141137</v>
      </c>
      <c r="CM22" s="35">
        <f t="shared" si="14"/>
        <v>64.087130605216004</v>
      </c>
      <c r="CN22" s="35">
        <f t="shared" si="15"/>
        <v>61.749914484036957</v>
      </c>
      <c r="CO22" s="289">
        <f t="shared" si="53"/>
        <v>2487.5094185282651</v>
      </c>
      <c r="CP22" s="35">
        <f t="shared" si="54"/>
        <v>3319.0336762511279</v>
      </c>
      <c r="CQ22" s="35">
        <f t="shared" si="55"/>
        <v>3231.0126084331664</v>
      </c>
      <c r="CR22" s="35">
        <f t="shared" si="56"/>
        <v>3137.5171547009691</v>
      </c>
      <c r="CS22" s="35">
        <f t="shared" si="57"/>
        <v>3039.1844382342556</v>
      </c>
      <c r="CT22" s="35">
        <f t="shared" si="58"/>
        <v>2936.7410326270228</v>
      </c>
      <c r="CU22" s="35">
        <f t="shared" si="59"/>
        <v>2830.9994676490928</v>
      </c>
      <c r="CV22" s="35">
        <f t="shared" si="60"/>
        <v>2722.8471697456857</v>
      </c>
      <c r="CW22" s="35">
        <f t="shared" si="61"/>
        <v>2613.2287035588074</v>
      </c>
      <c r="DE22" s="229">
        <v>23</v>
      </c>
      <c r="DF22" s="230">
        <v>0.93210000000000004</v>
      </c>
      <c r="DG22" s="230">
        <v>0.93440000000000001</v>
      </c>
      <c r="DH22" s="230">
        <v>0.99750000000000005</v>
      </c>
      <c r="DJ22" s="197">
        <v>240</v>
      </c>
      <c r="DK22" s="194">
        <v>57.381</v>
      </c>
      <c r="DL22" s="194">
        <v>3.1850000000000001</v>
      </c>
      <c r="DM22" s="194">
        <v>8.8500000000000004E-4</v>
      </c>
      <c r="DN22" s="194">
        <v>0.76070000000000004</v>
      </c>
      <c r="DO22" s="194">
        <v>85.971000000000004</v>
      </c>
      <c r="DP22" s="194">
        <v>4.7718999999999996</v>
      </c>
      <c r="DQ22" s="194">
        <v>1.3259999999999999E-3</v>
      </c>
      <c r="DR22" s="198">
        <v>1.1396999999999999</v>
      </c>
      <c r="DU22" s="197">
        <v>90</v>
      </c>
      <c r="DV22" s="194">
        <v>0.96531</v>
      </c>
      <c r="DW22" s="194">
        <v>965.31</v>
      </c>
      <c r="DX22" s="194">
        <v>1.873</v>
      </c>
      <c r="DY22" s="194">
        <v>60.262300000000003</v>
      </c>
      <c r="DZ22" s="194">
        <v>8.0558999999999994</v>
      </c>
      <c r="EA22" s="194">
        <v>9.4664999999999999</v>
      </c>
      <c r="EB22" s="194">
        <v>60.262</v>
      </c>
      <c r="EC22" s="198">
        <v>6.66</v>
      </c>
    </row>
    <row r="23" spans="1:133" ht="15" thickBot="1" x14ac:dyDescent="0.35">
      <c r="A23" s="184" t="str">
        <f>'Su K. oro stendu'!B68</f>
        <v>13.12.2022</v>
      </c>
      <c r="B23" s="289">
        <f>Sheet3!DD23</f>
        <v>9.5</v>
      </c>
      <c r="C23" s="289">
        <f>_xlfn.FORECAST.LINEAR(Sheet3!DD23,$DW$3:$DW$24,$DU$3:$DU$24)</f>
        <v>1001.4022483236992</v>
      </c>
      <c r="D23" s="35">
        <f>_xlfn.FORECAST.LINEAR(Sheet3!CI23,'Cooling water'!$DW$3:$DW$24,'Cooling water'!$DU$3:$DU$24)</f>
        <v>993.84222005478784</v>
      </c>
      <c r="E23" s="35">
        <f>_xlfn.FORECAST.LINEAR(Sheet3!CJ23,'Cooling water'!$DW$3:$DW$24,'Cooling water'!$DU$3:$DU$24)</f>
        <v>994.67057742335987</v>
      </c>
      <c r="F23" s="35">
        <f>_xlfn.FORECAST.LINEAR(Sheet3!CK23,'Cooling water'!$DW$3:$DW$24,'Cooling water'!$DU$3:$DU$24)</f>
        <v>995.53560830140395</v>
      </c>
      <c r="G23" s="35">
        <f>_xlfn.FORECAST.LINEAR(Sheet3!CL23,'Cooling water'!$DW$3:$DW$24,'Cooling water'!$DU$3:$DU$24)</f>
        <v>996.43331410038286</v>
      </c>
      <c r="H23" s="35">
        <f>_xlfn.FORECAST.LINEAR(Sheet3!CM23,'Cooling water'!$DW$3:$DW$24,'Cooling water'!$DU$3:$DU$24)</f>
        <v>997.35969623175913</v>
      </c>
      <c r="I23" s="35">
        <f>_xlfn.FORECAST.LINEAR(Sheet3!CN23,'Cooling water'!$DW$3:$DW$24,'Cooling water'!$DU$3:$DU$24)</f>
        <v>998.31075610699565</v>
      </c>
      <c r="J23" s="35">
        <f>_xlfn.FORECAST.LINEAR(Sheet3!CO23,'Cooling water'!$DW$3:$DW$24,'Cooling water'!$DU$3:$DU$24)</f>
        <v>999.2824951375552</v>
      </c>
      <c r="K23" s="35">
        <f>_xlfn.FORECAST.LINEAR(Sheet3!CP23,'Cooling water'!$DW$3:$DW$24,'Cooling water'!$DU$3:$DU$24)</f>
        <v>1000.2709147349003</v>
      </c>
      <c r="L23" s="289">
        <f t="shared" si="17"/>
        <v>1.3279259773748553E-3</v>
      </c>
      <c r="M23" s="35">
        <f xml:space="preserve"> 0.0000000000330128*((Sheet3!CI23+273)^(4)) - 0.0000000448315*((Sheet3!CI23+273)^(3)) + 0.0000228887*((Sheet3!CI23+273)^(2)) - 0.00521331*((Sheet3!CI23+273)) + 0.447905</f>
        <v>8.3446869189685025E-4</v>
      </c>
      <c r="N23" s="35">
        <f xml:space="preserve"> 0.0000000000330128*((Sheet3!CJ23+273)^(4)) - 0.0000000448315*((Sheet3!CJ23+273)^(3)) + 0.0000228887*((Sheet3!CJ23+273)^(2)) - 0.00521331*((Sheet3!CJ23+273)) + 0.447905</f>
        <v>8.7324769303598337E-4</v>
      </c>
      <c r="O23" s="35">
        <f xml:space="preserve"> 0.0000000000330128*((Sheet3!CK23+273)^(4)) - 0.0000000448315*((Sheet3!CK23+273)^(3)) + 0.0000228887*((Sheet3!CK23+273)^(2)) - 0.00521331*((Sheet3!CK23+273)) + 0.447905</f>
        <v>9.1704704208650512E-4</v>
      </c>
      <c r="P23" s="35">
        <f xml:space="preserve"> 0.0000000000330128*((Sheet3!CL23+273)^(4)) - 0.0000000448315*((Sheet3!CL23+273)^(3)) + 0.0000228887*((Sheet3!CL23+273)^(2)) - 0.00521331*((Sheet3!CL23+273)) + 0.447905</f>
        <v>9.6638695073392178E-4</v>
      </c>
      <c r="Q23" s="35">
        <f xml:space="preserve"> 0.0000000000330128*((Sheet3!CM23+273)^(4)) - 0.0000000448315*((Sheet3!CM23+273)^(3)) + 0.0000228887*((Sheet3!CM23+273)^(2)) - 0.00521331*((Sheet3!CM23+273)) + 0.447905</f>
        <v>1.0218224294904488E-3</v>
      </c>
      <c r="R23" s="35">
        <f xml:space="preserve"> 0.0000000000330128*((Sheet3!CN23+273)^(4)) - 0.0000000448315*((Sheet3!CN23+273)^(3)) + 0.0000228887*((Sheet3!CN23+273)^(2)) - 0.00521331*((Sheet3!CN23+273)) + 0.447905</f>
        <v>1.0839333730088274E-3</v>
      </c>
      <c r="S23" s="35">
        <f xml:space="preserve"> 0.0000000000330128*((Sheet3!CO23+273)^(4)) - 0.0000000448315*((Sheet3!CO23+273)^(3)) + 0.0000228887*((Sheet3!CO23+273)^(2)) - 0.00521331*((Sheet3!CO23+273)) + 0.447905</f>
        <v>1.1533117614932475E-3</v>
      </c>
      <c r="T23" s="35">
        <f xml:space="preserve"> 0.0000000000330128*((Sheet3!CP23+273)^(4)) - 0.0000000448315*((Sheet3!CP23+273)^(3)) + 0.0000228887*((Sheet3!CP23+273)^(2)) - 0.00521331*((Sheet3!CP23+273)) + 0.447905</f>
        <v>1.2305458954215975E-3</v>
      </c>
      <c r="U23" s="289">
        <f>(Sheet3!DC23*0.014*0.001*C23) / (L23*0.00015*3600*3)</f>
        <v>6060.8099366052274</v>
      </c>
      <c r="V23" s="35">
        <f>(Sheet3!$DC23*0.014*0.001*D23) / (M23*0.00015*3600*3)</f>
        <v>9572.0148749916134</v>
      </c>
      <c r="W23" s="35">
        <f>(Sheet3!$DC23*0.014*0.001*E23) / (N23*0.00015*3600*3)</f>
        <v>9154.5667216244765</v>
      </c>
      <c r="X23" s="35">
        <f>(Sheet3!$DC23*0.014*0.001*F23) / (O23*0.00015*3600*3)</f>
        <v>8724.9139775894182</v>
      </c>
      <c r="Y23" s="35">
        <f>(Sheet3!$DC23*0.014*0.001*G23) / (P23*0.00015*3600*3)</f>
        <v>8286.9201040850003</v>
      </c>
      <c r="Z23" s="35">
        <f>(Sheet3!$DC23*0.014*0.001*H23) / (Q23*0.00015*3600*3)</f>
        <v>7844.6279769567182</v>
      </c>
      <c r="AA23" s="35">
        <f>(Sheet3!$DC23*0.014*0.001*I23) / (R23*0.00015*3600*3)</f>
        <v>7402.17131522809</v>
      </c>
      <c r="AB23" s="35">
        <f>(Sheet3!$DC23*0.014*0.001*J23) / (S23*0.00015*3600*3)</f>
        <v>6963.6595169070733</v>
      </c>
      <c r="AC23" s="35">
        <f>(Sheet3!$DC23*0.014*0.001*K23) / (T23*0.00015*3600*3)</f>
        <v>6533.0471774407033</v>
      </c>
      <c r="AD23" s="289">
        <f t="shared" si="0"/>
        <v>0.58973221921602559</v>
      </c>
      <c r="AE23" s="35">
        <f>_xlfn.FORECAST.LINEAR(Sheet3!CI23,$DA$3:$DA$12,$CZ$3:$CZ$12)/1000</f>
        <v>0.60939642745982892</v>
      </c>
      <c r="AF23" s="35">
        <f>_xlfn.FORECAST.LINEAR(Sheet3!CJ23,$DA$3:$DA$12,$CZ$3:$CZ$12)/1000</f>
        <v>0.60724180697211538</v>
      </c>
      <c r="AG23" s="35">
        <f>_xlfn.FORECAST.LINEAR(Sheet3!CK23,$DA$3:$DA$12,$CZ$3:$CZ$12)/1000</f>
        <v>0.60499179589833019</v>
      </c>
      <c r="AH23" s="35">
        <f>_xlfn.FORECAST.LINEAR(Sheet3!CL23,$DA$3:$DA$12,$CZ$3:$CZ$12)/1000</f>
        <v>0.60265679487123336</v>
      </c>
      <c r="AI23" s="35">
        <f>_xlfn.FORECAST.LINEAR(Sheet3!CM23,$DA$3:$DA$12,$CZ$3:$CZ$12)/1000</f>
        <v>0.60024720452358438</v>
      </c>
      <c r="AJ23" s="35">
        <f>_xlfn.FORECAST.LINEAR(Sheet3!CN23,$DA$3:$DA$12,$CZ$3:$CZ$12)/1000</f>
        <v>0.59777342548814305</v>
      </c>
      <c r="AK23" s="35">
        <f>_xlfn.FORECAST.LINEAR(Sheet3!CO23,$DA$3:$DA$12,$CZ$3:$CZ$12)/1000</f>
        <v>0.59524585839766908</v>
      </c>
      <c r="AL23" s="35">
        <f>_xlfn.FORECAST.LINEAR(Sheet3!CP23,$DA$3:$DA$12,$CZ$3:$CZ$12)/1000</f>
        <v>0.59267490388492206</v>
      </c>
      <c r="AM23" s="289">
        <f t="shared" si="1"/>
        <v>4189.3352761619954</v>
      </c>
      <c r="AN23" s="35">
        <f>_xlfn.FORECAST.LINEAR(Sheet3!CI23,$DP$3:$DP$14,$DJ$3:$DJ$14)*1000</f>
        <v>4191.0657536190365</v>
      </c>
      <c r="AO23" s="35">
        <f>_xlfn.FORECAST.LINEAR(Sheet3!CJ23,$DP$3:$DP$14,$DJ$3:$DJ$14)*1000</f>
        <v>4190.8761440432918</v>
      </c>
      <c r="AP23" s="35">
        <f>_xlfn.FORECAST.LINEAR(Sheet3!CK23,$DP$3:$DP$14,$DJ$3:$DJ$14)*1000</f>
        <v>4190.6781399643578</v>
      </c>
      <c r="AQ23" s="35">
        <f>_xlfn.FORECAST.LINEAR(Sheet3!CL23,$DP$3:$DP$14,$DJ$3:$DJ$14)*1000</f>
        <v>4190.4726566522686</v>
      </c>
      <c r="AR23" s="35">
        <f>_xlfn.FORECAST.LINEAR(Sheet3!CM23,$DP$3:$DP$14,$DJ$3:$DJ$14)*1000</f>
        <v>4190.2606093770555</v>
      </c>
      <c r="AS23" s="35">
        <f>_xlfn.FORECAST.LINEAR(Sheet3!CN23,$DP$3:$DP$14,$DJ$3:$DJ$14)*1000</f>
        <v>4190.0429134087535</v>
      </c>
      <c r="AT23" s="35">
        <f>_xlfn.FORECAST.LINEAR(Sheet3!CO23,$DP$3:$DP$14,$DJ$3:$DJ$14)*1000</f>
        <v>4189.8204840173939</v>
      </c>
      <c r="AU23" s="35">
        <f>_xlfn.FORECAST.LINEAR(Sheet3!CP23,$DP$3:$DP$14,$DJ$3:$DJ$14)*1000</f>
        <v>4189.5942364730117</v>
      </c>
      <c r="AV23" s="289">
        <f t="shared" si="18"/>
        <v>1.4057276091462319E-7</v>
      </c>
      <c r="AW23" s="35">
        <f t="shared" si="19"/>
        <v>1.4630460198565092E-7</v>
      </c>
      <c r="AX23" s="35">
        <f t="shared" si="20"/>
        <v>1.4567249757080665E-7</v>
      </c>
      <c r="AY23" s="35">
        <f t="shared" si="21"/>
        <v>1.4501348182614392E-7</v>
      </c>
      <c r="AZ23" s="35">
        <f t="shared" si="22"/>
        <v>1.4433072970717388E-7</v>
      </c>
      <c r="BA23" s="35">
        <f t="shared" si="23"/>
        <v>1.4362739960753847E-7</v>
      </c>
      <c r="BB23" s="35">
        <f t="shared" si="24"/>
        <v>1.4290663165764245E-7</v>
      </c>
      <c r="BC23" s="35">
        <f t="shared" si="25"/>
        <v>1.4217154628179498E-7</v>
      </c>
      <c r="BD23" s="35">
        <f t="shared" si="26"/>
        <v>1.4142524301034221E-7</v>
      </c>
      <c r="BE23" s="289">
        <f t="shared" si="3"/>
        <v>9.433310509206791</v>
      </c>
      <c r="BF23" s="35">
        <f t="shared" si="27"/>
        <v>5.7389787656848466</v>
      </c>
      <c r="BG23" s="35">
        <f t="shared" si="28"/>
        <v>6.0267143707274338</v>
      </c>
      <c r="BH23" s="35">
        <f t="shared" si="29"/>
        <v>6.3522332346416173</v>
      </c>
      <c r="BI23" s="35">
        <f t="shared" si="30"/>
        <v>6.7196091162654588</v>
      </c>
      <c r="BJ23" s="35">
        <f t="shared" si="31"/>
        <v>7.1332315149558658</v>
      </c>
      <c r="BK23" s="35">
        <f t="shared" si="32"/>
        <v>7.5977404724442206</v>
      </c>
      <c r="BL23" s="35">
        <f t="shared" si="33"/>
        <v>8.1179384528104332</v>
      </c>
      <c r="BM23" s="35">
        <f t="shared" si="34"/>
        <v>8.6986777361082126</v>
      </c>
      <c r="BN23" s="289">
        <f t="shared" si="35"/>
        <v>7.4959800092722019E-4</v>
      </c>
      <c r="BO23" s="35">
        <f t="shared" si="36"/>
        <v>7.8016278873191056E-4</v>
      </c>
      <c r="BP23" s="35">
        <f t="shared" si="37"/>
        <v>7.7679212002865943E-4</v>
      </c>
      <c r="BQ23" s="35">
        <f t="shared" si="38"/>
        <v>7.7327794785501372E-4</v>
      </c>
      <c r="BR23" s="35">
        <f t="shared" si="39"/>
        <v>7.6963720252015038E-4</v>
      </c>
      <c r="BS23" s="35">
        <f t="shared" si="40"/>
        <v>7.6588672601781522E-4</v>
      </c>
      <c r="BT23" s="35">
        <f t="shared" si="41"/>
        <v>7.620432629538538E-4</v>
      </c>
      <c r="BU23" s="35">
        <f t="shared" si="42"/>
        <v>7.5812345285223117E-4</v>
      </c>
      <c r="BV23" s="35">
        <f t="shared" si="43"/>
        <v>7.5414382382078457E-4</v>
      </c>
      <c r="BW23" s="289">
        <f t="shared" si="44"/>
        <v>4.0914244453978572E-2</v>
      </c>
      <c r="BX23" s="35">
        <f t="shared" si="45"/>
        <v>3.6496932193882205E-2</v>
      </c>
      <c r="BY23" s="35">
        <f t="shared" si="46"/>
        <v>3.6906065937166596E-2</v>
      </c>
      <c r="BZ23" s="35">
        <f t="shared" si="47"/>
        <v>3.7352262538204631E-2</v>
      </c>
      <c r="CA23" s="35">
        <f t="shared" si="48"/>
        <v>3.7836322101505948E-2</v>
      </c>
      <c r="CB23" s="35">
        <f t="shared" si="49"/>
        <v>3.8358720628097309E-2</v>
      </c>
      <c r="CC23" s="35">
        <f t="shared" si="50"/>
        <v>3.8919514932659383E-2</v>
      </c>
      <c r="CD23" s="35">
        <f t="shared" si="51"/>
        <v>3.9518260506261331E-2</v>
      </c>
      <c r="CE23" s="35">
        <f t="shared" si="52"/>
        <v>4.01539480988405E-2</v>
      </c>
      <c r="CF23" s="289">
        <f t="shared" si="7"/>
        <v>58.881267794233075</v>
      </c>
      <c r="CG23" s="35">
        <f t="shared" si="8"/>
        <v>77.608471110432163</v>
      </c>
      <c r="CH23" s="35">
        <f t="shared" si="9"/>
        <v>75.722609519930344</v>
      </c>
      <c r="CI23" s="35">
        <f t="shared" si="10"/>
        <v>73.700721314420306</v>
      </c>
      <c r="CJ23" s="35">
        <f t="shared" si="11"/>
        <v>71.548914731601698</v>
      </c>
      <c r="CK23" s="35">
        <f t="shared" si="12"/>
        <v>69.275690299136215</v>
      </c>
      <c r="CL23" s="35">
        <f t="shared" si="13"/>
        <v>66.892070002608875</v>
      </c>
      <c r="CM23" s="35">
        <f t="shared" si="14"/>
        <v>64.411548514361954</v>
      </c>
      <c r="CN23" s="35">
        <f t="shared" si="15"/>
        <v>61.849860152014529</v>
      </c>
      <c r="CO23" s="289">
        <f t="shared" si="53"/>
        <v>2480.2986233247261</v>
      </c>
      <c r="CP23" s="35">
        <f t="shared" si="54"/>
        <v>3378.1660739511931</v>
      </c>
      <c r="CQ23" s="35">
        <f t="shared" si="55"/>
        <v>3284.4238738233148</v>
      </c>
      <c r="CR23" s="35">
        <f t="shared" si="56"/>
        <v>3184.8808390723916</v>
      </c>
      <c r="CS23" s="35">
        <f t="shared" si="57"/>
        <v>3079.9599734758749</v>
      </c>
      <c r="CT23" s="35">
        <f t="shared" si="58"/>
        <v>2970.1813888212932</v>
      </c>
      <c r="CU23" s="35">
        <f t="shared" si="59"/>
        <v>2856.1644159608691</v>
      </c>
      <c r="CV23" s="35">
        <f t="shared" si="60"/>
        <v>2738.6219632967491</v>
      </c>
      <c r="CW23" s="35">
        <f t="shared" si="61"/>
        <v>2618.3471372065055</v>
      </c>
      <c r="DE23" s="229">
        <v>24</v>
      </c>
      <c r="DF23" s="230">
        <v>0.91069999999999995</v>
      </c>
      <c r="DG23" s="230">
        <v>0.91310000000000002</v>
      </c>
      <c r="DH23" s="230">
        <v>0.99729999999999996</v>
      </c>
      <c r="DJ23" s="197">
        <v>260</v>
      </c>
      <c r="DK23" s="194">
        <v>56.392000000000003</v>
      </c>
      <c r="DL23" s="194">
        <v>3.1301000000000001</v>
      </c>
      <c r="DM23" s="194">
        <v>8.6899999999999998E-4</v>
      </c>
      <c r="DN23" s="194">
        <v>0.74760000000000004</v>
      </c>
      <c r="DO23" s="194">
        <v>89.820999999999998</v>
      </c>
      <c r="DP23" s="194">
        <v>4.9855999999999998</v>
      </c>
      <c r="DQ23" s="194">
        <v>1.3849999999999999E-3</v>
      </c>
      <c r="DR23" s="198">
        <v>1.1908000000000001</v>
      </c>
      <c r="DU23" s="197">
        <v>95</v>
      </c>
      <c r="DV23" s="194">
        <v>0.96189000000000002</v>
      </c>
      <c r="DW23" s="194">
        <v>961.89</v>
      </c>
      <c r="DX23" s="194">
        <v>1.8664000000000001</v>
      </c>
      <c r="DY23" s="194">
        <v>60.0488</v>
      </c>
      <c r="DZ23" s="194">
        <v>8.0274000000000001</v>
      </c>
      <c r="EA23" s="194">
        <v>9.4329000000000001</v>
      </c>
      <c r="EB23" s="194">
        <v>60.048999999999999</v>
      </c>
      <c r="EC23" s="198">
        <v>6.87</v>
      </c>
    </row>
    <row r="24" spans="1:133" ht="15" thickBot="1" x14ac:dyDescent="0.35">
      <c r="A24" s="184" t="str">
        <f>'Su K. oro stendu'!B69</f>
        <v>14.12.2022</v>
      </c>
      <c r="B24" s="289">
        <f>Sheet3!DD24</f>
        <v>10.1</v>
      </c>
      <c r="C24" s="289">
        <f>_xlfn.FORECAST.LINEAR(Sheet3!DD24,$DW$3:$DW$24,$DU$3:$DU$24)</f>
        <v>1001.1533389456552</v>
      </c>
      <c r="D24" s="35">
        <f>_xlfn.FORECAST.LINEAR(Sheet3!CI24,'Cooling water'!$DW$3:$DW$24,'Cooling water'!$DU$3:$DU$24)</f>
        <v>990.88310415057867</v>
      </c>
      <c r="E24" s="35">
        <f>_xlfn.FORECAST.LINEAR(Sheet3!CJ24,'Cooling water'!$DW$3:$DW$24,'Cooling water'!$DU$3:$DU$24)</f>
        <v>992.10017571811863</v>
      </c>
      <c r="F24" s="35">
        <f>_xlfn.FORECAST.LINEAR(Sheet3!CK24,'Cooling water'!$DW$3:$DW$24,'Cooling water'!$DU$3:$DU$24)</f>
        <v>993.29996058074266</v>
      </c>
      <c r="G24" s="35">
        <f>_xlfn.FORECAST.LINEAR(Sheet3!CL24,'Cooling water'!$DW$3:$DW$24,'Cooling water'!$DU$3:$DU$24)</f>
        <v>994.49553328725256</v>
      </c>
      <c r="H24" s="35">
        <f>_xlfn.FORECAST.LINEAR(Sheet3!CM24,'Cooling water'!$DW$3:$DW$24,'Cooling water'!$DU$3:$DU$24)</f>
        <v>995.69996838645045</v>
      </c>
      <c r="I24" s="35">
        <f>_xlfn.FORECAST.LINEAR(Sheet3!CN24,'Cooling water'!$DW$3:$DW$24,'Cooling water'!$DU$3:$DU$24)</f>
        <v>996.92634042713826</v>
      </c>
      <c r="J24" s="35">
        <f>_xlfn.FORECAST.LINEAR(Sheet3!CO24,'Cooling water'!$DW$3:$DW$24,'Cooling water'!$DU$3:$DU$24)</f>
        <v>998.18772395811777</v>
      </c>
      <c r="K24" s="35">
        <f>_xlfn.FORECAST.LINEAR(Sheet3!CP24,'Cooling water'!$DW$3:$DW$24,'Cooling water'!$DU$3:$DU$24)</f>
        <v>999.49719352819125</v>
      </c>
      <c r="L24" s="289">
        <f t="shared" si="17"/>
        <v>1.3056369068318308E-3</v>
      </c>
      <c r="M24" s="35">
        <f xml:space="preserve"> 0.0000000000330128*((Sheet3!CI24+273)^(4)) - 0.0000000448315*((Sheet3!CI24+273)^(3)) + 0.0000228887*((Sheet3!CI24+273)^(2)) - 0.00521331*((Sheet3!CI24+273)) + 0.447905</f>
        <v>7.1750065661468909E-4</v>
      </c>
      <c r="N24" s="35">
        <f xml:space="preserve"> 0.0000000000330128*((Sheet3!CJ24+273)^(4)) - 0.0000000448315*((Sheet3!CJ24+273)^(3)) + 0.0000228887*((Sheet3!CJ24+273)^(2)) - 0.00521331*((Sheet3!CJ24+273)) + 0.447905</f>
        <v>7.6189763830614154E-4</v>
      </c>
      <c r="O24" s="35">
        <f xml:space="preserve"> 0.0000000000330128*((Sheet3!CK24+273)^(4)) - 0.0000000448315*((Sheet3!CK24+273)^(3)) + 0.0000228887*((Sheet3!CK24+273)^(2)) - 0.00521331*((Sheet3!CK24+273)) + 0.447905</f>
        <v>8.1063647269874473E-4</v>
      </c>
      <c r="P24" s="35">
        <f xml:space="preserve"> 0.0000000000330128*((Sheet3!CL24+273)^(4)) - 0.0000000448315*((Sheet3!CL24+273)^(3)) + 0.0000228887*((Sheet3!CL24+273)^(2)) - 0.00521331*((Sheet3!CL24+273)) + 0.447905</f>
        <v>8.6480416701673057E-4</v>
      </c>
      <c r="Q24" s="35">
        <f xml:space="preserve"> 0.0000000000330128*((Sheet3!CM24+273)^(4)) - 0.0000000448315*((Sheet3!CM24+273)^(3)) + 0.0000228887*((Sheet3!CM24+273)^(2)) - 0.00521331*((Sheet3!CM24+273)) + 0.447905</f>
        <v>9.2577476963295879E-4</v>
      </c>
      <c r="R24" s="35">
        <f xml:space="preserve"> 0.0000000000330128*((Sheet3!CN24+273)^(4)) - 0.0000000448315*((Sheet3!CN24+273)^(3)) + 0.0000228887*((Sheet3!CN24+273)^(2)) - 0.00521331*((Sheet3!CN24+273)) + 0.447905</f>
        <v>9.9529370798734362E-4</v>
      </c>
      <c r="S24" s="35">
        <f xml:space="preserve"> 0.0000000000330128*((Sheet3!CO24+273)^(4)) - 0.0000000448315*((Sheet3!CO24+273)^(3)) + 0.0000228887*((Sheet3!CO24+273)^(2)) - 0.00521331*((Sheet3!CO24+273)) + 0.447905</f>
        <v>1.0755861008280299E-3</v>
      </c>
      <c r="T24" s="35">
        <f xml:space="preserve"> 0.0000000000330128*((Sheet3!CP24+273)^(4)) - 0.0000000448315*((Sheet3!CP24+273)^(3)) + 0.0000228887*((Sheet3!CP24+273)^(2)) - 0.00521331*((Sheet3!CP24+273)) + 0.447905</f>
        <v>1.1694976778435784E-3</v>
      </c>
      <c r="U24" s="289">
        <f>(Sheet3!DC24*0.014*0.001*C24) / (L24*0.00015*3600*3)</f>
        <v>1600.3255477841685</v>
      </c>
      <c r="V24" s="35">
        <f>(Sheet3!$DC24*0.014*0.001*D24) / (M24*0.00015*3600*3)</f>
        <v>2882.2408992540404</v>
      </c>
      <c r="W24" s="35">
        <f>(Sheet3!$DC24*0.014*0.001*E24) / (N24*0.00015*3600*3)</f>
        <v>2717.6220361805208</v>
      </c>
      <c r="X24" s="35">
        <f>(Sheet3!$DC24*0.014*0.001*F24) / (O24*0.00015*3600*3)</f>
        <v>2557.3162279731823</v>
      </c>
      <c r="Y24" s="35">
        <f>(Sheet3!$DC24*0.014*0.001*G24) / (P24*0.00015*3600*3)</f>
        <v>2400.0219822000954</v>
      </c>
      <c r="Z24" s="35">
        <f>(Sheet3!$DC24*0.014*0.001*H24) / (Q24*0.00015*3600*3)</f>
        <v>2244.6741690994854</v>
      </c>
      <c r="AA24" s="35">
        <f>(Sheet3!$DC24*0.014*0.001*I24) / (R24*0.00015*3600*3)</f>
        <v>2090.4605132856814</v>
      </c>
      <c r="AB24" s="35">
        <f>(Sheet3!$DC24*0.014*0.001*J24) / (S24*0.00015*3600*3)</f>
        <v>1936.8554021035789</v>
      </c>
      <c r="AC24" s="35">
        <f>(Sheet3!$DC24*0.014*0.001*K24) / (T24*0.00015*3600*3)</f>
        <v>1783.6612255222572</v>
      </c>
      <c r="AD24" s="289">
        <f t="shared" si="0"/>
        <v>0.5903796514305083</v>
      </c>
      <c r="AE24" s="35">
        <f>_xlfn.FORECAST.LINEAR(Sheet3!CI24,$DA$3:$DA$12,$CZ$3:$CZ$12)/1000</f>
        <v>0.61709331287984859</v>
      </c>
      <c r="AF24" s="35">
        <f>_xlfn.FORECAST.LINEAR(Sheet3!CJ24,$DA$3:$DA$12,$CZ$3:$CZ$12)/1000</f>
        <v>0.61392761721041089</v>
      </c>
      <c r="AG24" s="35">
        <f>_xlfn.FORECAST.LINEAR(Sheet3!CK24,$DA$3:$DA$12,$CZ$3:$CZ$12)/1000</f>
        <v>0.61080688557460205</v>
      </c>
      <c r="AH24" s="35">
        <f>_xlfn.FORECAST.LINEAR(Sheet3!CL24,$DA$3:$DA$12,$CZ$3:$CZ$12)/1000</f>
        <v>0.60769711007705551</v>
      </c>
      <c r="AI24" s="35">
        <f>_xlfn.FORECAST.LINEAR(Sheet3!CM24,$DA$3:$DA$12,$CZ$3:$CZ$12)/1000</f>
        <v>0.60456428282240515</v>
      </c>
      <c r="AJ24" s="35">
        <f>_xlfn.FORECAST.LINEAR(Sheet3!CN24,$DA$3:$DA$12,$CZ$3:$CZ$12)/1000</f>
        <v>0.60137439591528452</v>
      </c>
      <c r="AK24" s="35">
        <f>_xlfn.FORECAST.LINEAR(Sheet3!CO24,$DA$3:$DA$12,$CZ$3:$CZ$12)/1000</f>
        <v>0.59809344146032728</v>
      </c>
      <c r="AL24" s="35">
        <f>_xlfn.FORECAST.LINEAR(Sheet3!CP24,$DA$3:$DA$12,$CZ$3:$CZ$12)/1000</f>
        <v>0.5946874115621672</v>
      </c>
      <c r="AM24" s="289">
        <f t="shared" si="1"/>
        <v>4189.3922510901612</v>
      </c>
      <c r="AN24" s="35">
        <f>_xlfn.FORECAST.LINEAR(Sheet3!CI24,$DP$3:$DP$14,$DJ$3:$DJ$14)*1000</f>
        <v>4191.7430901557354</v>
      </c>
      <c r="AO24" s="35">
        <f>_xlfn.FORECAST.LINEAR(Sheet3!CJ24,$DP$3:$DP$14,$DJ$3:$DJ$14)*1000</f>
        <v>4191.4645045689731</v>
      </c>
      <c r="AP24" s="35">
        <f>_xlfn.FORECAST.LINEAR(Sheet3!CK24,$DP$3:$DP$14,$DJ$3:$DJ$14)*1000</f>
        <v>4191.1898758792086</v>
      </c>
      <c r="AQ24" s="35">
        <f>_xlfn.FORECAST.LINEAR(Sheet3!CL24,$DP$3:$DP$14,$DJ$3:$DJ$14)*1000</f>
        <v>4190.9162113447283</v>
      </c>
      <c r="AR24" s="35">
        <f>_xlfn.FORECAST.LINEAR(Sheet3!CM24,$DP$3:$DP$14,$DJ$3:$DJ$14)*1000</f>
        <v>4190.6405182238177</v>
      </c>
      <c r="AS24" s="35">
        <f>_xlfn.FORECAST.LINEAR(Sheet3!CN24,$DP$3:$DP$14,$DJ$3:$DJ$14)*1000</f>
        <v>4190.3598037747615</v>
      </c>
      <c r="AT24" s="35">
        <f>_xlfn.FORECAST.LINEAR(Sheet3!CO24,$DP$3:$DP$14,$DJ$3:$DJ$14)*1000</f>
        <v>4190.0710752558452</v>
      </c>
      <c r="AU24" s="35">
        <f>_xlfn.FORECAST.LINEAR(Sheet3!CP24,$DP$3:$DP$14,$DJ$3:$DJ$14)*1000</f>
        <v>4189.7713399253562</v>
      </c>
      <c r="AV24" s="289">
        <f t="shared" si="18"/>
        <v>1.4076016105801067E-7</v>
      </c>
      <c r="AW24" s="35">
        <f t="shared" si="19"/>
        <v>1.4857090196170863E-7</v>
      </c>
      <c r="AX24" s="35">
        <f t="shared" si="20"/>
        <v>1.4763721735729613E-7</v>
      </c>
      <c r="AY24" s="35">
        <f t="shared" si="21"/>
        <v>1.4671893624260401E-7</v>
      </c>
      <c r="AZ24" s="35">
        <f t="shared" si="22"/>
        <v>1.4580598666184066E-7</v>
      </c>
      <c r="BA24" s="35">
        <f t="shared" si="23"/>
        <v>1.4488838938683513E-7</v>
      </c>
      <c r="BB24" s="35">
        <f t="shared" si="24"/>
        <v>1.4395625752034068E-7</v>
      </c>
      <c r="BC24" s="35">
        <f t="shared" si="25"/>
        <v>1.4299979857735029E-7</v>
      </c>
      <c r="BD24" s="35">
        <f t="shared" si="26"/>
        <v>1.4200931897948087E-7</v>
      </c>
      <c r="BE24" s="289">
        <f t="shared" si="3"/>
        <v>9.2649282998915048</v>
      </c>
      <c r="BF24" s="35">
        <f t="shared" si="27"/>
        <v>4.873782225108017</v>
      </c>
      <c r="BG24" s="35">
        <f t="shared" si="28"/>
        <v>5.2016993820635173</v>
      </c>
      <c r="BH24" s="35">
        <f t="shared" si="29"/>
        <v>5.5623658764050514</v>
      </c>
      <c r="BI24" s="35">
        <f t="shared" si="30"/>
        <v>5.9640267216826635</v>
      </c>
      <c r="BJ24" s="35">
        <f t="shared" si="31"/>
        <v>6.4171658343118718</v>
      </c>
      <c r="BK24" s="35">
        <f t="shared" si="32"/>
        <v>6.9351784432931147</v>
      </c>
      <c r="BL24" s="35">
        <f t="shared" si="33"/>
        <v>7.5352476680279539</v>
      </c>
      <c r="BM24" s="35">
        <f t="shared" si="34"/>
        <v>8.2395015557279123</v>
      </c>
      <c r="BN24" s="289">
        <f t="shared" si="35"/>
        <v>2.8904989341358503E-3</v>
      </c>
      <c r="BO24" s="35">
        <f t="shared" si="36"/>
        <v>3.0508918896941049E-3</v>
      </c>
      <c r="BP24" s="35">
        <f t="shared" si="37"/>
        <v>3.031718749129417E-3</v>
      </c>
      <c r="BQ24" s="35">
        <f t="shared" si="38"/>
        <v>3.0128619180253319E-3</v>
      </c>
      <c r="BR24" s="35">
        <f t="shared" si="39"/>
        <v>2.994114569554846E-3</v>
      </c>
      <c r="BS24" s="35">
        <f t="shared" si="40"/>
        <v>2.9752717810454157E-3</v>
      </c>
      <c r="BT24" s="35">
        <f t="shared" si="41"/>
        <v>2.9561305258328286E-3</v>
      </c>
      <c r="BU24" s="35">
        <f t="shared" si="42"/>
        <v>2.9364897160008546E-3</v>
      </c>
      <c r="BV24" s="35">
        <f t="shared" si="43"/>
        <v>2.9161502946730752E-3</v>
      </c>
      <c r="BW24" s="289">
        <f t="shared" si="44"/>
        <v>5.7076208701085825E-2</v>
      </c>
      <c r="BX24" s="35">
        <f t="shared" si="45"/>
        <v>4.9269100418253435E-2</v>
      </c>
      <c r="BY24" s="35">
        <f t="shared" si="46"/>
        <v>4.9998841089852891E-2</v>
      </c>
      <c r="BZ24" s="35">
        <f t="shared" si="47"/>
        <v>5.0764614583363329E-2</v>
      </c>
      <c r="CA24" s="35">
        <f t="shared" si="48"/>
        <v>5.1576681655538095E-2</v>
      </c>
      <c r="CB24" s="35">
        <f t="shared" si="49"/>
        <v>5.2446785445587348E-2</v>
      </c>
      <c r="CC24" s="35">
        <f t="shared" si="50"/>
        <v>5.3388375918398685E-2</v>
      </c>
      <c r="CD24" s="35">
        <f t="shared" si="51"/>
        <v>5.4416787814548465E-2</v>
      </c>
      <c r="CE24" s="35">
        <f t="shared" si="52"/>
        <v>5.55493663154513E-2</v>
      </c>
      <c r="CF24" s="289">
        <f t="shared" si="7"/>
        <v>11.66629008209377</v>
      </c>
      <c r="CG24" s="35">
        <f t="shared" si="8"/>
        <v>11.657819648393581</v>
      </c>
      <c r="CH24" s="35">
        <f t="shared" si="9"/>
        <v>11.658832191715153</v>
      </c>
      <c r="CI24" s="35">
        <f t="shared" si="10"/>
        <v>11.659828030572955</v>
      </c>
      <c r="CJ24" s="35">
        <f t="shared" si="11"/>
        <v>11.660818087597098</v>
      </c>
      <c r="CK24" s="35">
        <f t="shared" si="12"/>
        <v>11.661813184858325</v>
      </c>
      <c r="CL24" s="35">
        <f t="shared" si="13"/>
        <v>11.662824044298207</v>
      </c>
      <c r="CM24" s="35">
        <f t="shared" si="14"/>
        <v>11.66386128547205</v>
      </c>
      <c r="CN24" s="35">
        <f t="shared" si="15"/>
        <v>11.664935420674919</v>
      </c>
      <c r="CO24" s="289">
        <f t="shared" si="53"/>
        <v>491.96716229669397</v>
      </c>
      <c r="CP24" s="35">
        <f t="shared" si="54"/>
        <v>513.85446769878467</v>
      </c>
      <c r="CQ24" s="35">
        <f t="shared" si="55"/>
        <v>511.26279049397971</v>
      </c>
      <c r="CR24" s="35">
        <f t="shared" si="56"/>
        <v>508.7073746921223</v>
      </c>
      <c r="CS24" s="35">
        <f t="shared" si="57"/>
        <v>506.16038949764385</v>
      </c>
      <c r="CT24" s="35">
        <f t="shared" si="58"/>
        <v>503.59398032233867</v>
      </c>
      <c r="CU24" s="35">
        <f t="shared" si="59"/>
        <v>500.98026887900636</v>
      </c>
      <c r="CV24" s="35">
        <f t="shared" si="60"/>
        <v>498.29135263884677</v>
      </c>
      <c r="CW24" s="35">
        <f t="shared" si="61"/>
        <v>495.49930366864339</v>
      </c>
      <c r="DE24" s="229">
        <v>25</v>
      </c>
      <c r="DF24" s="230">
        <v>0.89</v>
      </c>
      <c r="DG24" s="230">
        <v>0.89259999999999995</v>
      </c>
      <c r="DH24" s="230">
        <v>0.997</v>
      </c>
      <c r="DJ24" s="197">
        <v>280</v>
      </c>
      <c r="DK24" s="194">
        <v>55.578000000000003</v>
      </c>
      <c r="DL24" s="194">
        <v>3.0849000000000002</v>
      </c>
      <c r="DM24" s="194">
        <v>8.5700000000000001E-4</v>
      </c>
      <c r="DN24" s="194">
        <v>0.73680000000000001</v>
      </c>
      <c r="DO24" s="194">
        <v>95.284999999999997</v>
      </c>
      <c r="DP24" s="194">
        <v>5.2888999999999999</v>
      </c>
      <c r="DQ24" s="194">
        <v>1.469E-3</v>
      </c>
      <c r="DR24" s="198">
        <v>1.2632000000000001</v>
      </c>
      <c r="DU24" s="197">
        <v>100</v>
      </c>
      <c r="DV24" s="194">
        <v>0.95835000000000004</v>
      </c>
      <c r="DW24" s="194">
        <v>958.35</v>
      </c>
      <c r="DX24" s="194">
        <v>1.8594999999999999</v>
      </c>
      <c r="DY24" s="194">
        <v>59.827800000000003</v>
      </c>
      <c r="DZ24" s="194">
        <v>7.9977999999999998</v>
      </c>
      <c r="EA24" s="194">
        <v>9.3981999999999992</v>
      </c>
      <c r="EB24" s="194">
        <v>59.828000000000003</v>
      </c>
      <c r="EC24" s="198">
        <v>7.03</v>
      </c>
    </row>
    <row r="25" spans="1:133" ht="15" thickBot="1" x14ac:dyDescent="0.35">
      <c r="A25" s="184" t="str">
        <f>'Su K. oro stendu'!B70</f>
        <v>15.12.2022</v>
      </c>
      <c r="B25" s="289">
        <f>Sheet3!DD25</f>
        <v>9.75</v>
      </c>
      <c r="C25" s="289">
        <f>_xlfn.FORECAST.LINEAR(Sheet3!DD25,$DW$3:$DW$24,$DU$3:$DU$24)</f>
        <v>1001.2985360828475</v>
      </c>
      <c r="D25" s="35">
        <f>_xlfn.FORECAST.LINEAR(Sheet3!CI25,'Cooling water'!$DW$3:$DW$24,'Cooling water'!$DU$3:$DU$24)</f>
        <v>990.37188966962094</v>
      </c>
      <c r="E25" s="35">
        <f>_xlfn.FORECAST.LINEAR(Sheet3!CJ25,'Cooling water'!$DW$3:$DW$24,'Cooling water'!$DU$3:$DU$24)</f>
        <v>991.48797406238702</v>
      </c>
      <c r="F25" s="35">
        <f>_xlfn.FORECAST.LINEAR(Sheet3!CK25,'Cooling water'!$DW$3:$DW$24,'Cooling water'!$DU$3:$DU$24)</f>
        <v>992.70450886643846</v>
      </c>
      <c r="G25" s="35">
        <f>_xlfn.FORECAST.LINEAR(Sheet3!CL25,'Cooling water'!$DW$3:$DW$24,'Cooling water'!$DU$3:$DU$24)</f>
        <v>994.00126898612575</v>
      </c>
      <c r="H25" s="35">
        <f>_xlfn.FORECAST.LINEAR(Sheet3!CM25,'Cooling water'!$DW$3:$DW$24,'Cooling water'!$DU$3:$DU$24)</f>
        <v>995.35802932579952</v>
      </c>
      <c r="I25" s="35">
        <f>_xlfn.FORECAST.LINEAR(Sheet3!CN25,'Cooling water'!$DW$3:$DW$24,'Cooling water'!$DU$3:$DU$24)</f>
        <v>996.75456478981005</v>
      </c>
      <c r="J25" s="35">
        <f>_xlfn.FORECAST.LINEAR(Sheet3!CO25,'Cooling water'!$DW$3:$DW$24,'Cooling water'!$DU$3:$DU$24)</f>
        <v>998.17065028250818</v>
      </c>
      <c r="K25" s="35">
        <f>_xlfn.FORECAST.LINEAR(Sheet3!CP25,'Cooling water'!$DW$3:$DW$24,'Cooling water'!$DU$3:$DU$24)</f>
        <v>999.58606070824408</v>
      </c>
      <c r="L25" s="289">
        <f t="shared" si="17"/>
        <v>1.3185780179110207E-3</v>
      </c>
      <c r="M25" s="35">
        <f xml:space="preserve"> 0.0000000000330128*((Sheet3!CI25+273)^(4)) - 0.0000000448315*((Sheet3!CI25+273)^(3)) + 0.0000228887*((Sheet3!CI25+273)^(2)) - 0.00521331*((Sheet3!CI25+273)) + 0.447905</f>
        <v>7.0020696133132887E-4</v>
      </c>
      <c r="N25" s="35">
        <f xml:space="preserve"> 0.0000000000330128*((Sheet3!CJ25+273)^(4)) - 0.0000000448315*((Sheet3!CJ25+273)^(3)) + 0.0000228887*((Sheet3!CJ25+273)^(2)) - 0.00521331*((Sheet3!CJ25+273)) + 0.447905</f>
        <v>7.3897286566815268E-4</v>
      </c>
      <c r="O25" s="35">
        <f xml:space="preserve"> 0.0000000000330128*((Sheet3!CK25+273)^(4)) - 0.0000000448315*((Sheet3!CK25+273)^(3)) + 0.0000228887*((Sheet3!CK25+273)^(2)) - 0.00521331*((Sheet3!CK25+273)) + 0.447905</f>
        <v>7.857880273081097E-4</v>
      </c>
      <c r="P25" s="35">
        <f xml:space="preserve"> 0.0000000000330128*((Sheet3!CL25+273)^(4)) - 0.0000000448315*((Sheet3!CL25+273)^(3)) + 0.0000228887*((Sheet3!CL25+273)^(2)) - 0.00521331*((Sheet3!CL25+273)) + 0.447905</f>
        <v>8.4168659179573169E-4</v>
      </c>
      <c r="Q25" s="35">
        <f xml:space="preserve"> 0.0000000000330128*((Sheet3!CM25+273)^(4)) - 0.0000000448315*((Sheet3!CM25+273)^(3)) + 0.0000228887*((Sheet3!CM25+273)^(2)) - 0.00521331*((Sheet3!CM25+273)) + 0.447905</f>
        <v>9.0776622298993637E-4</v>
      </c>
      <c r="R25" s="35">
        <f xml:space="preserve"> 0.0000000000330128*((Sheet3!CN25+273)^(4)) - 0.0000000448315*((Sheet3!CN25+273)^(3)) + 0.0000228887*((Sheet3!CN25+273)^(2)) - 0.00521331*((Sheet3!CN25+273)) + 0.447905</f>
        <v>9.8507110554368893E-4</v>
      </c>
      <c r="S25" s="35">
        <f xml:space="preserve"> 0.0000000000330128*((Sheet3!CO25+273)^(4)) - 0.0000000448315*((Sheet3!CO25+273)^(3)) + 0.0000228887*((Sheet3!CO25+273)^(2)) - 0.00521331*((Sheet3!CO25+273)) + 0.447905</f>
        <v>1.0744352263667434E-3</v>
      </c>
      <c r="T25" s="35">
        <f xml:space="preserve"> 0.0000000000330128*((Sheet3!CP25+273)^(4)) - 0.0000000448315*((Sheet3!CP25+273)^(3)) + 0.0000228887*((Sheet3!CP25+273)^(2)) - 0.00521331*((Sheet3!CP25+273)) + 0.447905</f>
        <v>1.1762913699653321E-3</v>
      </c>
      <c r="U25" s="289">
        <f>(Sheet3!DC25*0.014*0.001*C25) / (L25*0.00015*3600*3)</f>
        <v>1712.8182368832099</v>
      </c>
      <c r="V25" s="35">
        <f>(Sheet3!$DC25*0.014*0.001*D25) / (M25*0.00015*3600*3)</f>
        <v>3190.2550833871869</v>
      </c>
      <c r="W25" s="35">
        <f>(Sheet3!$DC25*0.014*0.001*E25) / (N25*0.00015*3600*3)</f>
        <v>3026.303551945588</v>
      </c>
      <c r="X25" s="35">
        <f>(Sheet3!$DC25*0.014*0.001*F25) / (O25*0.00015*3600*3)</f>
        <v>2849.496419116077</v>
      </c>
      <c r="Y25" s="35">
        <f>(Sheet3!$DC25*0.014*0.001*G25) / (P25*0.00015*3600*3)</f>
        <v>2663.7291200131699</v>
      </c>
      <c r="Z25" s="35">
        <f>(Sheet3!$DC25*0.014*0.001*H25) / (Q25*0.00015*3600*3)</f>
        <v>2473.1976977706145</v>
      </c>
      <c r="AA25" s="35">
        <f>(Sheet3!$DC25*0.014*0.001*I25) / (R25*0.00015*3600*3)</f>
        <v>2282.3076257994094</v>
      </c>
      <c r="AB25" s="35">
        <f>(Sheet3!$DC25*0.014*0.001*J25) / (S25*0.00015*3600*3)</f>
        <v>2095.4537792385445</v>
      </c>
      <c r="AC25" s="35">
        <f>(Sheet3!$DC25*0.014*0.001*K25) / (T25*0.00015*3600*3)</f>
        <v>1916.7205932598329</v>
      </c>
      <c r="AD25" s="289">
        <f t="shared" si="0"/>
        <v>0.59000198263872661</v>
      </c>
      <c r="AE25" s="35">
        <f>_xlfn.FORECAST.LINEAR(Sheet3!CI25,$DA$3:$DA$12,$CZ$3:$CZ$12)/1000</f>
        <v>0.61842302060754828</v>
      </c>
      <c r="AF25" s="35">
        <f>_xlfn.FORECAST.LINEAR(Sheet3!CJ25,$DA$3:$DA$12,$CZ$3:$CZ$12)/1000</f>
        <v>0.61552000025678311</v>
      </c>
      <c r="AG25" s="35">
        <f>_xlfn.FORECAST.LINEAR(Sheet3!CK25,$DA$3:$DA$12,$CZ$3:$CZ$12)/1000</f>
        <v>0.61235570074998413</v>
      </c>
      <c r="AH25" s="35">
        <f>_xlfn.FORECAST.LINEAR(Sheet3!CL25,$DA$3:$DA$12,$CZ$3:$CZ$12)/1000</f>
        <v>0.60898272909845585</v>
      </c>
      <c r="AI25" s="35">
        <f>_xlfn.FORECAST.LINEAR(Sheet3!CM25,$DA$3:$DA$12,$CZ$3:$CZ$12)/1000</f>
        <v>0.60545369231350221</v>
      </c>
      <c r="AJ25" s="35">
        <f>_xlfn.FORECAST.LINEAR(Sheet3!CN25,$DA$3:$DA$12,$CZ$3:$CZ$12)/1000</f>
        <v>0.60182119740642748</v>
      </c>
      <c r="AK25" s="35">
        <f>_xlfn.FORECAST.LINEAR(Sheet3!CO25,$DA$3:$DA$12,$CZ$3:$CZ$12)/1000</f>
        <v>0.5981378513885357</v>
      </c>
      <c r="AL25" s="35">
        <f>_xlfn.FORECAST.LINEAR(Sheet3!CP25,$DA$3:$DA$12,$CZ$3:$CZ$12)/1000</f>
        <v>0.59445626127113127</v>
      </c>
      <c r="AM25" s="289">
        <f t="shared" si="1"/>
        <v>4189.3590157153976</v>
      </c>
      <c r="AN25" s="35">
        <f>_xlfn.FORECAST.LINEAR(Sheet3!CI25,$DP$3:$DP$14,$DJ$3:$DJ$14)*1000</f>
        <v>4191.8601062704302</v>
      </c>
      <c r="AO25" s="35">
        <f>_xlfn.FORECAST.LINEAR(Sheet3!CJ25,$DP$3:$DP$14,$DJ$3:$DJ$14)*1000</f>
        <v>4191.6046364741351</v>
      </c>
      <c r="AP25" s="35">
        <f>_xlfn.FORECAST.LINEAR(Sheet3!CK25,$DP$3:$DP$14,$DJ$3:$DJ$14)*1000</f>
        <v>4191.3261737516113</v>
      </c>
      <c r="AQ25" s="35">
        <f>_xlfn.FORECAST.LINEAR(Sheet3!CL25,$DP$3:$DP$14,$DJ$3:$DJ$14)*1000</f>
        <v>4191.0293475924382</v>
      </c>
      <c r="AR25" s="35">
        <f>_xlfn.FORECAST.LINEAR(Sheet3!CM25,$DP$3:$DP$14,$DJ$3:$DJ$14)*1000</f>
        <v>4190.718787486192</v>
      </c>
      <c r="AS25" s="35">
        <f>_xlfn.FORECAST.LINEAR(Sheet3!CN25,$DP$3:$DP$14,$DJ$3:$DJ$14)*1000</f>
        <v>4190.3991229224539</v>
      </c>
      <c r="AT25" s="35">
        <f>_xlfn.FORECAST.LINEAR(Sheet3!CO25,$DP$3:$DP$14,$DJ$3:$DJ$14)*1000</f>
        <v>4190.074983390803</v>
      </c>
      <c r="AU25" s="35">
        <f>_xlfn.FORECAST.LINEAR(Sheet3!CP25,$DP$3:$DP$14,$DJ$3:$DJ$14)*1000</f>
        <v>4189.7509983808159</v>
      </c>
      <c r="AV25" s="289">
        <f t="shared" si="18"/>
        <v>1.4065083348877682E-7</v>
      </c>
      <c r="AW25" s="35">
        <f t="shared" si="19"/>
        <v>1.4896373812732783E-7</v>
      </c>
      <c r="AX25" s="35">
        <f t="shared" si="20"/>
        <v>1.481065979316101E-7</v>
      </c>
      <c r="AY25" s="35">
        <f t="shared" si="21"/>
        <v>1.4717441268548095E-7</v>
      </c>
      <c r="AZ25" s="35">
        <f t="shared" si="22"/>
        <v>1.4618315650551505E-7</v>
      </c>
      <c r="BA25" s="35">
        <f t="shared" si="23"/>
        <v>1.4514867938825417E-7</v>
      </c>
      <c r="BB25" s="35">
        <f t="shared" si="24"/>
        <v>1.440866874326069E-7</v>
      </c>
      <c r="BC25" s="35">
        <f t="shared" si="25"/>
        <v>1.430127294672102E-7</v>
      </c>
      <c r="BD25" s="35">
        <f t="shared" si="26"/>
        <v>1.4194218993072831E-7</v>
      </c>
      <c r="BE25" s="289">
        <f t="shared" si="3"/>
        <v>9.3626748211152346</v>
      </c>
      <c r="BF25" s="35">
        <f t="shared" si="27"/>
        <v>4.7462166341318985</v>
      </c>
      <c r="BG25" s="35">
        <f t="shared" si="28"/>
        <v>5.0323012878070523</v>
      </c>
      <c r="BH25" s="35">
        <f t="shared" si="29"/>
        <v>5.3784000407661949</v>
      </c>
      <c r="BI25" s="35">
        <f t="shared" si="30"/>
        <v>5.792501230557332</v>
      </c>
      <c r="BJ25" s="35">
        <f t="shared" si="31"/>
        <v>6.2832104480081457</v>
      </c>
      <c r="BK25" s="35">
        <f t="shared" si="32"/>
        <v>6.8589160941416196</v>
      </c>
      <c r="BL25" s="35">
        <f t="shared" si="33"/>
        <v>7.5266331211477873</v>
      </c>
      <c r="BM25" s="35">
        <f t="shared" si="34"/>
        <v>8.2905476193666683</v>
      </c>
      <c r="BN25" s="289">
        <f t="shared" si="35"/>
        <v>2.6724648164651466E-3</v>
      </c>
      <c r="BO25" s="35">
        <f t="shared" si="36"/>
        <v>2.8304158546360661E-3</v>
      </c>
      <c r="BP25" s="35">
        <f t="shared" si="37"/>
        <v>2.8141295877223589E-3</v>
      </c>
      <c r="BQ25" s="35">
        <f t="shared" si="38"/>
        <v>2.7964174120393981E-3</v>
      </c>
      <c r="BR25" s="35">
        <f t="shared" si="39"/>
        <v>2.7775828470435649E-3</v>
      </c>
      <c r="BS25" s="35">
        <f t="shared" si="40"/>
        <v>2.7579270538232665E-3</v>
      </c>
      <c r="BT25" s="35">
        <f t="shared" si="41"/>
        <v>2.7377484593106159E-3</v>
      </c>
      <c r="BU25" s="35">
        <f t="shared" si="42"/>
        <v>2.717342502191889E-3</v>
      </c>
      <c r="BV25" s="35">
        <f t="shared" si="43"/>
        <v>2.6970014976281944E-3</v>
      </c>
      <c r="BW25" s="289">
        <f t="shared" si="44"/>
        <v>5.6115053629555205E-2</v>
      </c>
      <c r="BX25" s="35">
        <f t="shared" si="45"/>
        <v>4.8034231804705653E-2</v>
      </c>
      <c r="BY25" s="35">
        <f t="shared" si="46"/>
        <v>4.867198740755873E-2</v>
      </c>
      <c r="BZ25" s="35">
        <f t="shared" si="47"/>
        <v>4.9410036307686839E-2</v>
      </c>
      <c r="CA25" s="35">
        <f t="shared" si="48"/>
        <v>5.0249840466065482E-2</v>
      </c>
      <c r="CB25" s="35">
        <f t="shared" si="49"/>
        <v>5.1190867993192668E-2</v>
      </c>
      <c r="CC25" s="35">
        <f t="shared" si="50"/>
        <v>5.2229234011616339E-2</v>
      </c>
      <c r="CD25" s="35">
        <f t="shared" si="51"/>
        <v>5.3356542609885135E-2</v>
      </c>
      <c r="CE25" s="35">
        <f t="shared" si="52"/>
        <v>5.4559137943115989E-2</v>
      </c>
      <c r="CF25" s="289">
        <f t="shared" si="7"/>
        <v>11.677804574932191</v>
      </c>
      <c r="CG25" s="35">
        <f t="shared" si="8"/>
        <v>22.33013393246776</v>
      </c>
      <c r="CH25" s="35">
        <f t="shared" si="9"/>
        <v>21.257707405821115</v>
      </c>
      <c r="CI25" s="35">
        <f t="shared" si="10"/>
        <v>11.671258575208427</v>
      </c>
      <c r="CJ25" s="35">
        <f t="shared" si="11"/>
        <v>11.67225323818171</v>
      </c>
      <c r="CK25" s="35">
        <f t="shared" si="12"/>
        <v>11.673291270635925</v>
      </c>
      <c r="CL25" s="35">
        <f t="shared" si="13"/>
        <v>11.674356912492749</v>
      </c>
      <c r="CM25" s="35">
        <f t="shared" si="14"/>
        <v>11.675434561484636</v>
      </c>
      <c r="CN25" s="35">
        <f t="shared" si="15"/>
        <v>11.676508780298999</v>
      </c>
      <c r="CO25" s="289">
        <f t="shared" si="53"/>
        <v>492.13770371982747</v>
      </c>
      <c r="CP25" s="35">
        <f t="shared" si="54"/>
        <v>986.39063407770152</v>
      </c>
      <c r="CQ25" s="35">
        <f t="shared" si="55"/>
        <v>934.61029056354516</v>
      </c>
      <c r="CR25" s="35">
        <f t="shared" si="56"/>
        <v>510.49726596114414</v>
      </c>
      <c r="CS25" s="35">
        <f t="shared" si="57"/>
        <v>507.72861655115622</v>
      </c>
      <c r="CT25" s="35">
        <f t="shared" si="58"/>
        <v>504.83123580410677</v>
      </c>
      <c r="CU25" s="35">
        <f t="shared" si="59"/>
        <v>501.84824685902782</v>
      </c>
      <c r="CV25" s="35">
        <f t="shared" si="60"/>
        <v>498.82281018813364</v>
      </c>
      <c r="CW25" s="35">
        <f t="shared" si="61"/>
        <v>495.79812530257715</v>
      </c>
      <c r="DE25" s="229">
        <v>26</v>
      </c>
      <c r="DF25" s="230">
        <v>0.87009999999999998</v>
      </c>
      <c r="DG25" s="230">
        <v>0.87290000000000001</v>
      </c>
      <c r="DH25" s="230">
        <v>0.99680000000000002</v>
      </c>
      <c r="DJ25" s="197">
        <v>300</v>
      </c>
      <c r="DK25" s="194">
        <v>55.003</v>
      </c>
      <c r="DL25" s="194">
        <v>3.0529999999999999</v>
      </c>
      <c r="DM25" s="194">
        <v>8.4800000000000001E-4</v>
      </c>
      <c r="DN25" s="194">
        <v>0.72919999999999996</v>
      </c>
      <c r="DO25" s="194">
        <v>103.6</v>
      </c>
      <c r="DP25" s="194">
        <v>5.7504</v>
      </c>
      <c r="DQ25" s="194">
        <v>1.5969999999999999E-3</v>
      </c>
      <c r="DR25" s="198">
        <v>1.3734999999999999</v>
      </c>
      <c r="DU25" s="197">
        <v>110</v>
      </c>
      <c r="DV25" s="194">
        <v>0.95094999999999996</v>
      </c>
      <c r="DW25" s="194">
        <v>950.95</v>
      </c>
      <c r="DX25" s="194">
        <v>1.8451</v>
      </c>
      <c r="DY25" s="194">
        <v>59.365900000000003</v>
      </c>
      <c r="DZ25" s="194">
        <v>7.9360999999999997</v>
      </c>
      <c r="EA25" s="194">
        <v>9.3255999999999997</v>
      </c>
      <c r="EB25" s="194">
        <v>59.366</v>
      </c>
      <c r="EC25" s="198">
        <v>8.01</v>
      </c>
    </row>
    <row r="26" spans="1:133" ht="15" thickBot="1" x14ac:dyDescent="0.35">
      <c r="A26" s="184" t="str">
        <f>'Su K. oro stendu'!B71</f>
        <v>15.12.2022</v>
      </c>
      <c r="B26" s="289">
        <f>Sheet3!DD26</f>
        <v>9.7200000000000006</v>
      </c>
      <c r="C26" s="289">
        <f>_xlfn.FORECAST.LINEAR(Sheet3!DD26,$DW$3:$DW$24,$DU$3:$DU$24)</f>
        <v>1001.3109815517497</v>
      </c>
      <c r="D26" s="35">
        <f>_xlfn.FORECAST.LINEAR(Sheet3!CI26,'Cooling water'!$DW$3:$DW$24,'Cooling water'!$DU$3:$DU$24)</f>
        <v>990.02530054121758</v>
      </c>
      <c r="E26" s="35">
        <f>_xlfn.FORECAST.LINEAR(Sheet3!CJ26,'Cooling water'!$DW$3:$DW$24,'Cooling water'!$DU$3:$DU$24)</f>
        <v>991.26471386423475</v>
      </c>
      <c r="F26" s="35">
        <f>_xlfn.FORECAST.LINEAR(Sheet3!CK26,'Cooling water'!$DW$3:$DW$24,'Cooling water'!$DU$3:$DU$24)</f>
        <v>992.55373205537433</v>
      </c>
      <c r="G26" s="35">
        <f>_xlfn.FORECAST.LINEAR(Sheet3!CL26,'Cooling water'!$DW$3:$DW$24,'Cooling water'!$DU$3:$DU$24)</f>
        <v>993.88676083443806</v>
      </c>
      <c r="H26" s="35">
        <f>_xlfn.FORECAST.LINEAR(Sheet3!CM26,'Cooling water'!$DW$3:$DW$24,'Cooling water'!$DU$3:$DU$24)</f>
        <v>995.25820592122773</v>
      </c>
      <c r="I26" s="35">
        <f>_xlfn.FORECAST.LINEAR(Sheet3!CN26,'Cooling water'!$DW$3:$DW$24,'Cooling water'!$DU$3:$DU$24)</f>
        <v>996.66247303554485</v>
      </c>
      <c r="J26" s="35">
        <f>_xlfn.FORECAST.LINEAR(Sheet3!CO26,'Cooling water'!$DW$3:$DW$24,'Cooling water'!$DU$3:$DU$24)</f>
        <v>998.09396789719142</v>
      </c>
      <c r="K26" s="35">
        <f>_xlfn.FORECAST.LINEAR(Sheet3!CP26,'Cooling water'!$DW$3:$DW$24,'Cooling water'!$DU$3:$DU$24)</f>
        <v>999.54709622596897</v>
      </c>
      <c r="L26" s="289">
        <f t="shared" si="17"/>
        <v>1.3196951646750055E-3</v>
      </c>
      <c r="M26" s="35">
        <f xml:space="preserve"> 0.0000000000330128*((Sheet3!CI26+273)^(4)) - 0.0000000448315*((Sheet3!CI26+273)^(3)) + 0.0000228887*((Sheet3!CI26+273)^(2)) - 0.00521331*((Sheet3!CI26+273)) + 0.447905</f>
        <v>6.8890216032979623E-4</v>
      </c>
      <c r="N26" s="35">
        <f xml:space="preserve"> 0.0000000000330128*((Sheet3!CJ26+273)^(4)) - 0.0000000448315*((Sheet3!CJ26+273)^(3)) + 0.0000228887*((Sheet3!CJ26+273)^(2)) - 0.00521331*((Sheet3!CJ26+273)) + 0.447905</f>
        <v>7.3091538398584177E-4</v>
      </c>
      <c r="O26" s="35">
        <f xml:space="preserve"> 0.0000000000330128*((Sheet3!CK26+273)^(4)) - 0.0000000448315*((Sheet3!CK26+273)^(3)) + 0.0000228887*((Sheet3!CK26+273)^(2)) - 0.00521331*((Sheet3!CK26+273)) + 0.447905</f>
        <v>7.7970562155549317E-4</v>
      </c>
      <c r="P26" s="35">
        <f xml:space="preserve"> 0.0000000000330128*((Sheet3!CL26+273)^(4)) - 0.0000000448315*((Sheet3!CL26+273)^(3)) + 0.0000228887*((Sheet3!CL26+273)^(2)) - 0.00521331*((Sheet3!CL26+273)) + 0.447905</f>
        <v>8.3647939889086587E-4</v>
      </c>
      <c r="Q26" s="35">
        <f xml:space="preserve"> 0.0000000000330128*((Sheet3!CM26+273)^(4)) - 0.0000000448315*((Sheet3!CM26+273)^(3)) + 0.0000228887*((Sheet3!CM26+273)^(2)) - 0.00521331*((Sheet3!CM26+273)) + 0.447905</f>
        <v>9.0261606215125134E-4</v>
      </c>
      <c r="R26" s="35">
        <f xml:space="preserve"> 0.0000000000330128*((Sheet3!CN26+273)^(4)) - 0.0000000448315*((Sheet3!CN26+273)^(3)) + 0.0000228887*((Sheet3!CN26+273)^(2)) - 0.00521331*((Sheet3!CN26+273)) + 0.447905</f>
        <v>9.7965764217988749E-4</v>
      </c>
      <c r="S26" s="35">
        <f xml:space="preserve"> 0.0000000000330128*((Sheet3!CO26+273)^(4)) - 0.0000000448315*((Sheet3!CO26+273)^(3)) + 0.0000228887*((Sheet3!CO26+273)^(2)) - 0.00521331*((Sheet3!CO26+273)) + 0.447905</f>
        <v>1.069288776472721E-3</v>
      </c>
      <c r="T26" s="35">
        <f xml:space="preserve"> 0.0000000000330128*((Sheet3!CP26+273)^(4)) - 0.0000000448315*((Sheet3!CP26+273)^(3)) + 0.0000228887*((Sheet3!CP26+273)^(2)) - 0.00521331*((Sheet3!CP26+273)) + 0.447905</f>
        <v>1.1733057940499503E-3</v>
      </c>
      <c r="U26" s="289">
        <f>(Sheet3!DC26*0.014*0.001*C26) / (L26*0.00015*3600*3)</f>
        <v>1809.745297921605</v>
      </c>
      <c r="V26" s="35">
        <f>(Sheet3!$DC26*0.014*0.001*D26) / (M26*0.00015*3600*3)</f>
        <v>3427.7634993610118</v>
      </c>
      <c r="W26" s="35">
        <f>(Sheet3!$DC26*0.014*0.001*E26) / (N26*0.00015*3600*3)</f>
        <v>3234.7792397151179</v>
      </c>
      <c r="X26" s="35">
        <f>(Sheet3!$DC26*0.014*0.001*F26) / (O26*0.00015*3600*3)</f>
        <v>3036.3054872886419</v>
      </c>
      <c r="Y26" s="35">
        <f>(Sheet3!$DC26*0.014*0.001*G26) / (P26*0.00015*3600*3)</f>
        <v>2834.0255370751602</v>
      </c>
      <c r="Z26" s="35">
        <f>(Sheet3!$DC26*0.014*0.001*H26) / (Q26*0.00015*3600*3)</f>
        <v>2629.9943328501377</v>
      </c>
      <c r="AA26" s="35">
        <f>(Sheet3!$DC26*0.014*0.001*I26) / (R26*0.00015*3600*3)</f>
        <v>2426.5870677277871</v>
      </c>
      <c r="AB26" s="35">
        <f>(Sheet3!$DC26*0.014*0.001*J26) / (S26*0.00015*3600*3)</f>
        <v>2226.3760716764732</v>
      </c>
      <c r="AC26" s="35">
        <f>(Sheet3!$DC26*0.014*0.001*K26) / (T26*0.00015*3600*3)</f>
        <v>2031.9552992095389</v>
      </c>
      <c r="AD26" s="289">
        <f t="shared" si="0"/>
        <v>0.58996961102800249</v>
      </c>
      <c r="AE26" s="35">
        <f>_xlfn.FORECAST.LINEAR(Sheet3!CI26,$DA$3:$DA$12,$CZ$3:$CZ$12)/1000</f>
        <v>0.61932452527836945</v>
      </c>
      <c r="AF26" s="35">
        <f>_xlfn.FORECAST.LINEAR(Sheet3!CJ26,$DA$3:$DA$12,$CZ$3:$CZ$12)/1000</f>
        <v>0.61610071700450642</v>
      </c>
      <c r="AG26" s="35">
        <f>_xlfn.FORECAST.LINEAR(Sheet3!CK26,$DA$3:$DA$12,$CZ$3:$CZ$12)/1000</f>
        <v>0.61274788269767522</v>
      </c>
      <c r="AH26" s="35">
        <f>_xlfn.FORECAST.LINEAR(Sheet3!CL26,$DA$3:$DA$12,$CZ$3:$CZ$12)/1000</f>
        <v>0.60928057350595088</v>
      </c>
      <c r="AI26" s="35">
        <f>_xlfn.FORECAST.LINEAR(Sheet3!CM26,$DA$3:$DA$12,$CZ$3:$CZ$12)/1000</f>
        <v>0.60571334057740844</v>
      </c>
      <c r="AJ26" s="35">
        <f>_xlfn.FORECAST.LINEAR(Sheet3!CN26,$DA$3:$DA$12,$CZ$3:$CZ$12)/1000</f>
        <v>0.60206073506012303</v>
      </c>
      <c r="AK26" s="35">
        <f>_xlfn.FORECAST.LINEAR(Sheet3!CO26,$DA$3:$DA$12,$CZ$3:$CZ$12)/1000</f>
        <v>0.59833730810217001</v>
      </c>
      <c r="AL26" s="35">
        <f>_xlfn.FORECAST.LINEAR(Sheet3!CP26,$DA$3:$DA$12,$CZ$3:$CZ$12)/1000</f>
        <v>0.5945576108516244</v>
      </c>
      <c r="AM26" s="289">
        <f t="shared" si="1"/>
        <v>4189.3561669689898</v>
      </c>
      <c r="AN26" s="35">
        <f>_xlfn.FORECAST.LINEAR(Sheet3!CI26,$DP$3:$DP$14,$DJ$3:$DJ$14)*1000</f>
        <v>4191.9394399253079</v>
      </c>
      <c r="AO26" s="35">
        <f>_xlfn.FORECAST.LINEAR(Sheet3!CJ26,$DP$3:$DP$14,$DJ$3:$DJ$14)*1000</f>
        <v>4191.6557403491761</v>
      </c>
      <c r="AP26" s="35">
        <f>_xlfn.FORECAST.LINEAR(Sheet3!CK26,$DP$3:$DP$14,$DJ$3:$DJ$14)*1000</f>
        <v>4191.3606863041196</v>
      </c>
      <c r="AQ26" s="35">
        <f>_xlfn.FORECAST.LINEAR(Sheet3!CL26,$DP$3:$DP$14,$DJ$3:$DJ$14)*1000</f>
        <v>4191.0555583112464</v>
      </c>
      <c r="AR26" s="35">
        <f>_xlfn.FORECAST.LINEAR(Sheet3!CM26,$DP$3:$DP$14,$DJ$3:$DJ$14)*1000</f>
        <v>4190.7416368916638</v>
      </c>
      <c r="AS26" s="35">
        <f>_xlfn.FORECAST.LINEAR(Sheet3!CN26,$DP$3:$DP$14,$DJ$3:$DJ$14)*1000</f>
        <v>4190.4202025664799</v>
      </c>
      <c r="AT26" s="35">
        <f>_xlfn.FORECAST.LINEAR(Sheet3!CO26,$DP$3:$DP$14,$DJ$3:$DJ$14)*1000</f>
        <v>4190.0925358568011</v>
      </c>
      <c r="AU26" s="35">
        <f>_xlfn.FORECAST.LINEAR(Sheet3!CP26,$DP$3:$DP$14,$DJ$3:$DJ$14)*1000</f>
        <v>4189.7599172837363</v>
      </c>
      <c r="AV26" s="289">
        <f t="shared" si="18"/>
        <v>1.4064146396395116E-7</v>
      </c>
      <c r="AW26" s="35">
        <f t="shared" si="19"/>
        <v>1.4923029078609132E-7</v>
      </c>
      <c r="AX26" s="35">
        <f t="shared" si="20"/>
        <v>1.4827791153165753E-7</v>
      </c>
      <c r="AY26" s="35">
        <f t="shared" si="21"/>
        <v>1.4728982869242209E-7</v>
      </c>
      <c r="AZ26" s="35">
        <f t="shared" si="22"/>
        <v>1.462705880992998E-7</v>
      </c>
      <c r="BA26" s="35">
        <f t="shared" si="23"/>
        <v>1.4522469895728339E-7</v>
      </c>
      <c r="BB26" s="35">
        <f t="shared" si="24"/>
        <v>1.4415663075790469E-7</v>
      </c>
      <c r="BC26" s="35">
        <f t="shared" si="25"/>
        <v>1.4307081072203415E-7</v>
      </c>
      <c r="BD26" s="35">
        <f t="shared" si="26"/>
        <v>1.4197162176182506E-7</v>
      </c>
      <c r="BE26" s="289">
        <f t="shared" si="3"/>
        <v>9.3711150088169131</v>
      </c>
      <c r="BF26" s="35">
        <f t="shared" si="27"/>
        <v>4.6628803127701381</v>
      </c>
      <c r="BG26" s="35">
        <f t="shared" si="28"/>
        <v>4.9728000316080889</v>
      </c>
      <c r="BH26" s="35">
        <f t="shared" si="29"/>
        <v>5.3333966242204545</v>
      </c>
      <c r="BI26" s="35">
        <f t="shared" si="30"/>
        <v>5.7538871032134971</v>
      </c>
      <c r="BJ26" s="35">
        <f t="shared" si="31"/>
        <v>6.244918941654106</v>
      </c>
      <c r="BK26" s="35">
        <f t="shared" si="32"/>
        <v>6.8185432736770188</v>
      </c>
      <c r="BL26" s="35">
        <f t="shared" si="33"/>
        <v>7.4881155834740944</v>
      </c>
      <c r="BM26" s="35">
        <f t="shared" si="34"/>
        <v>8.2681131263056589</v>
      </c>
      <c r="BN26" s="289">
        <f t="shared" si="35"/>
        <v>2.5270538112422457E-3</v>
      </c>
      <c r="BO26" s="35">
        <f t="shared" si="36"/>
        <v>2.681378339324178E-3</v>
      </c>
      <c r="BP26" s="35">
        <f t="shared" si="37"/>
        <v>2.6642659347968626E-3</v>
      </c>
      <c r="BQ26" s="35">
        <f t="shared" si="38"/>
        <v>2.6465120062302986E-3</v>
      </c>
      <c r="BR26" s="35">
        <f t="shared" si="39"/>
        <v>2.6281982333725114E-3</v>
      </c>
      <c r="BS26" s="35">
        <f t="shared" si="40"/>
        <v>2.6094056378748792E-3</v>
      </c>
      <c r="BT26" s="35">
        <f t="shared" si="41"/>
        <v>2.5902145278150577E-3</v>
      </c>
      <c r="BU26" s="35">
        <f t="shared" si="42"/>
        <v>2.5707044517490605E-3</v>
      </c>
      <c r="BV26" s="35">
        <f t="shared" si="43"/>
        <v>2.5509541620913549E-3</v>
      </c>
      <c r="BW26" s="289">
        <f t="shared" si="44"/>
        <v>5.534811538859747E-2</v>
      </c>
      <c r="BX26" s="35">
        <f t="shared" si="45"/>
        <v>4.7179625521172837E-2</v>
      </c>
      <c r="BY26" s="35">
        <f t="shared" si="46"/>
        <v>4.7868083518733645E-2</v>
      </c>
      <c r="BZ26" s="35">
        <f t="shared" si="47"/>
        <v>4.863185503376518E-2</v>
      </c>
      <c r="CA26" s="35">
        <f t="shared" si="48"/>
        <v>4.9477330775171566E-2</v>
      </c>
      <c r="CB26" s="35">
        <f t="shared" si="49"/>
        <v>5.041020908339084E-2</v>
      </c>
      <c r="CC26" s="35">
        <f t="shared" si="50"/>
        <v>5.1434939368141988E-2</v>
      </c>
      <c r="CD26" s="35">
        <f t="shared" si="51"/>
        <v>5.2554217062681249E-2</v>
      </c>
      <c r="CE26" s="35">
        <f t="shared" si="52"/>
        <v>5.3768592051108323E-2</v>
      </c>
      <c r="CF26" s="289">
        <f t="shared" si="7"/>
        <v>11.685483804202152</v>
      </c>
      <c r="CG26" s="35">
        <f t="shared" si="8"/>
        <v>24.305016141159442</v>
      </c>
      <c r="CH26" s="35">
        <f t="shared" si="9"/>
        <v>23.091096416217542</v>
      </c>
      <c r="CI26" s="35">
        <f t="shared" si="10"/>
        <v>21.771193814314977</v>
      </c>
      <c r="CJ26" s="35">
        <f t="shared" si="11"/>
        <v>11.680142315738294</v>
      </c>
      <c r="CK26" s="35">
        <f t="shared" si="12"/>
        <v>11.681134762280994</v>
      </c>
      <c r="CL26" s="35">
        <f t="shared" si="13"/>
        <v>11.682148254580758</v>
      </c>
      <c r="CM26" s="35">
        <f t="shared" si="14"/>
        <v>11.683178591637816</v>
      </c>
      <c r="CN26" s="35">
        <f t="shared" si="15"/>
        <v>11.684221614497035</v>
      </c>
      <c r="CO26" s="289">
        <f t="shared" si="53"/>
        <v>492.43430961708327</v>
      </c>
      <c r="CP26" s="35">
        <f t="shared" si="54"/>
        <v>1075.1923273933342</v>
      </c>
      <c r="CQ26" s="35">
        <f t="shared" si="55"/>
        <v>1016.1743613179869</v>
      </c>
      <c r="CR26" s="35">
        <f t="shared" si="56"/>
        <v>952.87520810873048</v>
      </c>
      <c r="CS26" s="35">
        <f t="shared" si="57"/>
        <v>508.32027205458235</v>
      </c>
      <c r="CT26" s="35">
        <f t="shared" si="58"/>
        <v>505.38708275686514</v>
      </c>
      <c r="CU26" s="35">
        <f t="shared" si="59"/>
        <v>502.38305465958746</v>
      </c>
      <c r="CV26" s="35">
        <f t="shared" si="60"/>
        <v>499.3201163283909</v>
      </c>
      <c r="CW26" s="35">
        <f t="shared" si="61"/>
        <v>496.21020626973331</v>
      </c>
      <c r="DE26" s="229">
        <v>27</v>
      </c>
      <c r="DF26" s="230">
        <v>0.85089999999999999</v>
      </c>
      <c r="DG26" s="230">
        <v>0.85389999999999999</v>
      </c>
      <c r="DH26" s="230">
        <v>0.99650000000000005</v>
      </c>
      <c r="DJ26" s="197">
        <v>320</v>
      </c>
      <c r="DK26" s="194">
        <v>54.819000000000003</v>
      </c>
      <c r="DL26" s="194">
        <v>3.0428000000000002</v>
      </c>
      <c r="DM26" s="194">
        <v>8.4500000000000005E-4</v>
      </c>
      <c r="DN26" s="194">
        <v>0.7268</v>
      </c>
      <c r="DO26" s="194">
        <v>117.78</v>
      </c>
      <c r="DP26" s="194">
        <v>6.5373000000000001</v>
      </c>
      <c r="DQ26" s="194">
        <v>1.8159999999999999E-3</v>
      </c>
      <c r="DR26" s="198">
        <v>1.5613999999999999</v>
      </c>
      <c r="DU26" s="197">
        <v>120</v>
      </c>
      <c r="DV26" s="194">
        <v>0.94311</v>
      </c>
      <c r="DW26" s="194">
        <v>943.11</v>
      </c>
      <c r="DX26" s="194">
        <v>1.8299000000000001</v>
      </c>
      <c r="DY26" s="194">
        <v>58.876399999999997</v>
      </c>
      <c r="DZ26" s="194">
        <v>7.8705999999999996</v>
      </c>
      <c r="EA26" s="194">
        <v>9.2486999999999995</v>
      </c>
      <c r="EB26" s="194">
        <v>58.875999999999998</v>
      </c>
      <c r="EC26" s="198">
        <v>8.6</v>
      </c>
    </row>
    <row r="27" spans="1:133" ht="15" thickBot="1" x14ac:dyDescent="0.35">
      <c r="A27" s="184" t="str">
        <f>'Su K. oro stendu'!B72</f>
        <v>16.12.2022</v>
      </c>
      <c r="B27" s="289">
        <f>Sheet3!DD27</f>
        <v>9.5500000000000007</v>
      </c>
      <c r="C27" s="289">
        <f>_xlfn.FORECAST.LINEAR(Sheet3!DD27,$DW$3:$DW$24,$DU$3:$DU$24)</f>
        <v>1001.3815058755289</v>
      </c>
      <c r="D27" s="35">
        <f>_xlfn.FORECAST.LINEAR(Sheet3!CI27,'Cooling water'!$DW$3:$DW$24,'Cooling water'!$DU$3:$DU$24)</f>
        <v>989.58119072905288</v>
      </c>
      <c r="E27" s="35">
        <f>_xlfn.FORECAST.LINEAR(Sheet3!CJ27,'Cooling water'!$DW$3:$DW$24,'Cooling water'!$DU$3:$DU$24)</f>
        <v>990.83652652492015</v>
      </c>
      <c r="F27" s="35">
        <f>_xlfn.FORECAST.LINEAR(Sheet3!CK27,'Cooling water'!$DW$3:$DW$24,'Cooling water'!$DU$3:$DU$24)</f>
        <v>992.16057930738009</v>
      </c>
      <c r="G27" s="35">
        <f>_xlfn.FORECAST.LINEAR(Sheet3!CL27,'Cooling water'!$DW$3:$DW$24,'Cooling water'!$DU$3:$DU$24)</f>
        <v>993.54498388583579</v>
      </c>
      <c r="H27" s="35">
        <f>_xlfn.FORECAST.LINEAR(Sheet3!CM27,'Cooling water'!$DW$3:$DW$24,'Cooling water'!$DU$3:$DU$24)</f>
        <v>994.98137506969056</v>
      </c>
      <c r="I27" s="35">
        <f>_xlfn.FORECAST.LINEAR(Sheet3!CN27,'Cooling water'!$DW$3:$DW$24,'Cooling water'!$DU$3:$DU$24)</f>
        <v>996.4613876683477</v>
      </c>
      <c r="J27" s="35">
        <f>_xlfn.FORECAST.LINEAR(Sheet3!CO27,'Cooling water'!$DW$3:$DW$24,'Cooling water'!$DU$3:$DU$24)</f>
        <v>997.97665649121052</v>
      </c>
      <c r="K27" s="35">
        <f>_xlfn.FORECAST.LINEAR(Sheet3!CP27,'Cooling water'!$DW$3:$DW$24,'Cooling water'!$DU$3:$DU$24)</f>
        <v>999.5188163476821</v>
      </c>
      <c r="L27" s="289">
        <f t="shared" si="17"/>
        <v>1.3260493903342052E-3</v>
      </c>
      <c r="M27" s="35">
        <f xml:space="preserve"> 0.0000000000330128*((Sheet3!CI27+273)^(4)) - 0.0000000448315*((Sheet3!CI27+273)^(3)) + 0.0000228887*((Sheet3!CI27+273)^(2)) - 0.00521331*((Sheet3!CI27+273)) + 0.447905</f>
        <v>6.7488698920348256E-4</v>
      </c>
      <c r="N27" s="35">
        <f xml:space="preserve"> 0.0000000000330128*((Sheet3!CJ27+273)^(4)) - 0.0000000448315*((Sheet3!CJ27+273)^(3)) + 0.0000228887*((Sheet3!CJ27+273)^(2)) - 0.00521331*((Sheet3!CJ27+273)) + 0.447905</f>
        <v>7.1589343723066357E-4</v>
      </c>
      <c r="O27" s="35">
        <f xml:space="preserve"> 0.0000000000330128*((Sheet3!CK27+273)^(4)) - 0.0000000448315*((Sheet3!CK27+273)^(3)) + 0.0000228887*((Sheet3!CK27+273)^(2)) - 0.00521331*((Sheet3!CK27+273)) + 0.447905</f>
        <v>7.6422776706053241E-4</v>
      </c>
      <c r="P27" s="35">
        <f xml:space="preserve"> 0.0000000000330128*((Sheet3!CL27+273)^(4)) - 0.0000000448315*((Sheet3!CL27+273)^(3)) + 0.0000228887*((Sheet3!CL27+273)^(2)) - 0.00521331*((Sheet3!CL27+273)) + 0.447905</f>
        <v>8.2125887801498543E-4</v>
      </c>
      <c r="Q27" s="35">
        <f xml:space="preserve"> 0.0000000000330128*((Sheet3!CM27+273)^(4)) - 0.0000000448315*((Sheet3!CM27+273)^(3)) + 0.0000228887*((Sheet3!CM27+273)^(2)) - 0.00521331*((Sheet3!CM27+273)) + 0.447905</f>
        <v>8.8858105319600256E-4</v>
      </c>
      <c r="R27" s="35">
        <f xml:space="preserve"> 0.0000000000330128*((Sheet3!CN27+273)^(4)) - 0.0000000448315*((Sheet3!CN27+273)^(3)) + 0.0000228887*((Sheet3!CN27+273)^(2)) - 0.00521331*((Sheet3!CN27+273)) + 0.447905</f>
        <v>9.679975021137377E-4</v>
      </c>
      <c r="S27" s="35">
        <f xml:space="preserve"> 0.0000000000330128*((Sheet3!CO27+273)^(4)) - 0.0000000448315*((Sheet3!CO27+273)^(3)) + 0.0000228887*((Sheet3!CO27+273)^(2)) - 0.00521331*((Sheet3!CO27+273)) + 0.447905</f>
        <v>1.0614861252769003E-3</v>
      </c>
      <c r="T27" s="35">
        <f xml:space="preserve"> 0.0000000000330128*((Sheet3!CP27+273)^(4)) - 0.0000000448315*((Sheet3!CP27+273)^(3)) + 0.0000228887*((Sheet3!CP27+273)^(2)) - 0.00521331*((Sheet3!CP27+273)) + 0.447905</f>
        <v>1.1711455889977795E-3</v>
      </c>
      <c r="U27" s="289">
        <f>(Sheet3!DC27*0.014*0.001*C27) / (L27*0.00015*3600*3)</f>
        <v>1840.3566532371231</v>
      </c>
      <c r="V27" s="35">
        <f>(Sheet3!$DC27*0.014*0.001*D27) / (M27*0.00015*3600*3)</f>
        <v>3573.4071800794318</v>
      </c>
      <c r="W27" s="35">
        <f>(Sheet3!$DC27*0.014*0.001*E27) / (N27*0.00015*3600*3)</f>
        <v>3372.9954588371706</v>
      </c>
      <c r="X27" s="35">
        <f>(Sheet3!$DC27*0.014*0.001*F27) / (O27*0.00015*3600*3)</f>
        <v>3163.8893307427943</v>
      </c>
      <c r="Y27" s="35">
        <f>(Sheet3!$DC27*0.014*0.001*G27) / (P27*0.00015*3600*3)</f>
        <v>2948.285843246576</v>
      </c>
      <c r="Z27" s="35">
        <f>(Sheet3!$DC27*0.014*0.001*H27) / (Q27*0.00015*3600*3)</f>
        <v>2728.8523128930747</v>
      </c>
      <c r="AA27" s="35">
        <f>(Sheet3!$DC27*0.014*0.001*I27) / (R27*0.00015*3600*3)</f>
        <v>2508.6979071974411</v>
      </c>
      <c r="AB27" s="35">
        <f>(Sheet3!$DC27*0.014*0.001*J27) / (S27*0.00015*3600*3)</f>
        <v>2291.2273802288537</v>
      </c>
      <c r="AC27" s="35">
        <f>(Sheet3!$DC27*0.014*0.001*K27) / (T27*0.00015*3600*3)</f>
        <v>2079.898859320504</v>
      </c>
      <c r="AD27" s="289">
        <f t="shared" si="0"/>
        <v>0.5897861719005657</v>
      </c>
      <c r="AE27" s="35">
        <f>_xlfn.FORECAST.LINEAR(Sheet3!CI27,$DA$3:$DA$12,$CZ$3:$CZ$12)/1000</f>
        <v>0.62047968866121483</v>
      </c>
      <c r="AF27" s="35">
        <f>_xlfn.FORECAST.LINEAR(Sheet3!CJ27,$DA$3:$DA$12,$CZ$3:$CZ$12)/1000</f>
        <v>0.61721446482503595</v>
      </c>
      <c r="AG27" s="35">
        <f>_xlfn.FORECAST.LINEAR(Sheet3!CK27,$DA$3:$DA$12,$CZ$3:$CZ$12)/1000</f>
        <v>0.61377050288283719</v>
      </c>
      <c r="AH27" s="35">
        <f>_xlfn.FORECAST.LINEAR(Sheet3!CL27,$DA$3:$DA$12,$CZ$3:$CZ$12)/1000</f>
        <v>0.61016956133128553</v>
      </c>
      <c r="AI27" s="35">
        <f>_xlfn.FORECAST.LINEAR(Sheet3!CM27,$DA$3:$DA$12,$CZ$3:$CZ$12)/1000</f>
        <v>0.60643339866704837</v>
      </c>
      <c r="AJ27" s="35">
        <f>_xlfn.FORECAST.LINEAR(Sheet3!CN27,$DA$3:$DA$12,$CZ$3:$CZ$12)/1000</f>
        <v>0.60258377338679292</v>
      </c>
      <c r="AK27" s="35">
        <f>_xlfn.FORECAST.LINEAR(Sheet3!CO27,$DA$3:$DA$12,$CZ$3:$CZ$12)/1000</f>
        <v>0.59864244398718647</v>
      </c>
      <c r="AL27" s="35">
        <f>_xlfn.FORECAST.LINEAR(Sheet3!CP27,$DA$3:$DA$12,$CZ$3:$CZ$12)/1000</f>
        <v>0.59463116896489598</v>
      </c>
      <c r="AM27" s="289">
        <f t="shared" si="1"/>
        <v>4189.340024072676</v>
      </c>
      <c r="AN27" s="35">
        <f>_xlfn.FORECAST.LINEAR(Sheet3!CI27,$DP$3:$DP$14,$DJ$3:$DJ$14)*1000</f>
        <v>4192.0410958968287</v>
      </c>
      <c r="AO27" s="35">
        <f>_xlfn.FORECAST.LINEAR(Sheet3!CJ27,$DP$3:$DP$14,$DJ$3:$DJ$14)*1000</f>
        <v>4191.7537516940702</v>
      </c>
      <c r="AP27" s="35">
        <f>_xlfn.FORECAST.LINEAR(Sheet3!CK27,$DP$3:$DP$14,$DJ$3:$DJ$14)*1000</f>
        <v>4191.4506782913686</v>
      </c>
      <c r="AQ27" s="35">
        <f>_xlfn.FORECAST.LINEAR(Sheet3!CL27,$DP$3:$DP$14,$DJ$3:$DJ$14)*1000</f>
        <v>4191.1337904664524</v>
      </c>
      <c r="AR27" s="35">
        <f>_xlfn.FORECAST.LINEAR(Sheet3!CM27,$DP$3:$DP$14,$DJ$3:$DJ$14)*1000</f>
        <v>4190.8050029970491</v>
      </c>
      <c r="AS27" s="35">
        <f>_xlfn.FORECAST.LINEAR(Sheet3!CN27,$DP$3:$DP$14,$DJ$3:$DJ$14)*1000</f>
        <v>4190.466230660887</v>
      </c>
      <c r="AT27" s="35">
        <f>_xlfn.FORECAST.LINEAR(Sheet3!CO27,$DP$3:$DP$14,$DJ$3:$DJ$14)*1000</f>
        <v>4190.1193882356929</v>
      </c>
      <c r="AU27" s="35">
        <f>_xlfn.FORECAST.LINEAR(Sheet3!CP27,$DP$3:$DP$14,$DJ$3:$DJ$14)*1000</f>
        <v>4189.7663904991959</v>
      </c>
      <c r="AV27" s="289">
        <f t="shared" si="18"/>
        <v>1.405883741932878E-7</v>
      </c>
      <c r="AW27" s="35">
        <f t="shared" si="19"/>
        <v>1.4957210510166081E-7</v>
      </c>
      <c r="AX27" s="35">
        <f t="shared" si="20"/>
        <v>1.4860667788302824E-7</v>
      </c>
      <c r="AY27" s="35">
        <f t="shared" si="21"/>
        <v>1.4759093540235035E-7</v>
      </c>
      <c r="AZ27" s="35">
        <f t="shared" si="22"/>
        <v>1.4653166318273651E-7</v>
      </c>
      <c r="BA27" s="35">
        <f t="shared" si="23"/>
        <v>1.4543559317088377E-7</v>
      </c>
      <c r="BB27" s="35">
        <f t="shared" si="24"/>
        <v>1.443093972571374E-7</v>
      </c>
      <c r="BC27" s="35">
        <f t="shared" si="25"/>
        <v>1.4315968197397616E-7</v>
      </c>
      <c r="BD27" s="35">
        <f t="shared" si="26"/>
        <v>1.419929843481075E-7</v>
      </c>
      <c r="BE27" s="289">
        <f t="shared" si="3"/>
        <v>9.419128574891106</v>
      </c>
      <c r="BF27" s="35">
        <f t="shared" si="27"/>
        <v>4.5596238612281335</v>
      </c>
      <c r="BG27" s="35">
        <f t="shared" si="28"/>
        <v>4.8619226741153234</v>
      </c>
      <c r="BH27" s="35">
        <f t="shared" si="29"/>
        <v>5.2189262559371166</v>
      </c>
      <c r="BI27" s="35">
        <f t="shared" si="30"/>
        <v>5.6410644720777352</v>
      </c>
      <c r="BJ27" s="35">
        <f t="shared" si="31"/>
        <v>6.140608237421171</v>
      </c>
      <c r="BK27" s="35">
        <f t="shared" si="32"/>
        <v>6.7316131351714441</v>
      </c>
      <c r="BL27" s="35">
        <f t="shared" si="33"/>
        <v>7.429733121230413</v>
      </c>
      <c r="BM27" s="35">
        <f t="shared" si="34"/>
        <v>8.2518823150589942</v>
      </c>
      <c r="BN27" s="289">
        <f t="shared" si="35"/>
        <v>2.4723530850317655E-3</v>
      </c>
      <c r="BO27" s="35">
        <f t="shared" si="36"/>
        <v>2.6303388000943379E-3</v>
      </c>
      <c r="BP27" s="35">
        <f t="shared" si="37"/>
        <v>2.613361030943397E-3</v>
      </c>
      <c r="BQ27" s="35">
        <f t="shared" si="38"/>
        <v>2.5954984297851444E-3</v>
      </c>
      <c r="BR27" s="35">
        <f t="shared" si="39"/>
        <v>2.5768703251849013E-3</v>
      </c>
      <c r="BS27" s="35">
        <f t="shared" si="40"/>
        <v>2.5575951035261796E-3</v>
      </c>
      <c r="BT27" s="35">
        <f t="shared" si="41"/>
        <v>2.5377900950560419E-3</v>
      </c>
      <c r="BU27" s="35">
        <f t="shared" si="42"/>
        <v>2.5175714806539439E-3</v>
      </c>
      <c r="BV27" s="35">
        <f t="shared" si="43"/>
        <v>2.4970542188876908E-3</v>
      </c>
      <c r="BW27" s="289">
        <f t="shared" si="44"/>
        <v>5.5116509104765572E-2</v>
      </c>
      <c r="BX27" s="35">
        <f t="shared" si="45"/>
        <v>4.6691365534267566E-2</v>
      </c>
      <c r="BY27" s="35">
        <f t="shared" si="46"/>
        <v>4.736998669916536E-2</v>
      </c>
      <c r="BZ27" s="35">
        <f t="shared" si="47"/>
        <v>4.8133991940638686E-2</v>
      </c>
      <c r="CA27" s="35">
        <f t="shared" si="48"/>
        <v>4.8990830881956403E-2</v>
      </c>
      <c r="CB27" s="35">
        <f t="shared" si="49"/>
        <v>4.994732039641045E-2</v>
      </c>
      <c r="CC27" s="35">
        <f t="shared" si="50"/>
        <v>5.100880038825055E-2</v>
      </c>
      <c r="CD27" s="35">
        <f t="shared" si="51"/>
        <v>5.2178327496471257E-2</v>
      </c>
      <c r="CE27" s="35">
        <f t="shared" si="52"/>
        <v>5.3456023316008669E-2</v>
      </c>
      <c r="CF27" s="289">
        <f t="shared" si="7"/>
        <v>11.688372577422305</v>
      </c>
      <c r="CG27" s="35">
        <f t="shared" si="8"/>
        <v>25.386485029260115</v>
      </c>
      <c r="CH27" s="35">
        <f t="shared" si="9"/>
        <v>24.16177889428603</v>
      </c>
      <c r="CI27" s="35">
        <f t="shared" si="10"/>
        <v>22.810230518277727</v>
      </c>
      <c r="CJ27" s="35">
        <f t="shared" si="11"/>
        <v>11.682852968720274</v>
      </c>
      <c r="CK27" s="35">
        <f t="shared" si="12"/>
        <v>11.683870902996428</v>
      </c>
      <c r="CL27" s="35">
        <f t="shared" si="13"/>
        <v>11.684916815584012</v>
      </c>
      <c r="CM27" s="35">
        <f t="shared" si="14"/>
        <v>11.685984570911586</v>
      </c>
      <c r="CN27" s="35">
        <f t="shared" si="15"/>
        <v>11.687068097958615</v>
      </c>
      <c r="CO27" s="289">
        <f t="shared" si="53"/>
        <v>492.40289415610351</v>
      </c>
      <c r="CP27" s="35">
        <f t="shared" si="54"/>
        <v>1125.1284519398505</v>
      </c>
      <c r="CQ27" s="35">
        <f t="shared" si="55"/>
        <v>1065.2142449612572</v>
      </c>
      <c r="CR27" s="35">
        <f t="shared" si="56"/>
        <v>1000.0176182911971</v>
      </c>
      <c r="CS27" s="35">
        <f t="shared" si="57"/>
        <v>509.18009078728261</v>
      </c>
      <c r="CT27" s="35">
        <f t="shared" si="58"/>
        <v>506.10639580651139</v>
      </c>
      <c r="CU27" s="35">
        <f t="shared" si="59"/>
        <v>502.93866188895731</v>
      </c>
      <c r="CV27" s="35">
        <f t="shared" si="60"/>
        <v>499.69474028050456</v>
      </c>
      <c r="CW27" s="35">
        <f t="shared" si="61"/>
        <v>496.39249749010531</v>
      </c>
      <c r="DE27" s="229">
        <v>28</v>
      </c>
      <c r="DF27" s="230">
        <v>0.83240000000000003</v>
      </c>
      <c r="DG27" s="230">
        <v>0.83550000000000002</v>
      </c>
      <c r="DH27" s="230">
        <v>0.99619999999999997</v>
      </c>
      <c r="DJ27" s="197">
        <v>340</v>
      </c>
      <c r="DK27" s="194">
        <v>55.454999999999998</v>
      </c>
      <c r="DL27" s="194">
        <v>3.0781000000000001</v>
      </c>
      <c r="DM27" s="194">
        <v>8.5499999999999997E-4</v>
      </c>
      <c r="DN27" s="194">
        <v>0.73519999999999996</v>
      </c>
      <c r="DO27" s="194">
        <v>147.88</v>
      </c>
      <c r="DP27" s="194">
        <v>8.2080000000000002</v>
      </c>
      <c r="DQ27" s="194">
        <v>2.2799999999999999E-3</v>
      </c>
      <c r="DR27" s="198">
        <v>1.9603999999999999</v>
      </c>
      <c r="DU27" s="197">
        <v>140</v>
      </c>
      <c r="DV27" s="194">
        <v>0.92613000000000001</v>
      </c>
      <c r="DW27" s="194">
        <v>926.13</v>
      </c>
      <c r="DX27" s="194">
        <v>1.7969999999999999</v>
      </c>
      <c r="DY27" s="194">
        <v>57.816400000000002</v>
      </c>
      <c r="DZ27" s="194">
        <v>7.7289000000000003</v>
      </c>
      <c r="EA27" s="194">
        <v>9.0822000000000003</v>
      </c>
      <c r="EB27" s="194">
        <v>57.816000000000003</v>
      </c>
      <c r="EC27" s="198">
        <v>9.75</v>
      </c>
    </row>
    <row r="28" spans="1:133" ht="15" thickBot="1" x14ac:dyDescent="0.35">
      <c r="A28" s="184" t="str">
        <f>'Su K. oro stendu'!B73</f>
        <v>16.12.2022</v>
      </c>
      <c r="B28" s="289">
        <f>Sheet3!DD28</f>
        <v>9.51</v>
      </c>
      <c r="C28" s="289">
        <f>_xlfn.FORECAST.LINEAR(Sheet3!DD28,$DW$3:$DW$24,$DU$3:$DU$24)</f>
        <v>1001.3980998340651</v>
      </c>
      <c r="D28" s="35">
        <f>_xlfn.FORECAST.LINEAR(Sheet3!CI28,'Cooling water'!$DW$3:$DW$24,'Cooling water'!$DU$3:$DU$24)</f>
        <v>988.95901895269378</v>
      </c>
      <c r="E28" s="35">
        <f>_xlfn.FORECAST.LINEAR(Sheet3!CJ28,'Cooling water'!$DW$3:$DW$24,'Cooling water'!$DU$3:$DU$24)</f>
        <v>990.25048409810404</v>
      </c>
      <c r="F28" s="35">
        <f>_xlfn.FORECAST.LINEAR(Sheet3!CK28,'Cooling water'!$DW$3:$DW$24,'Cooling water'!$DU$3:$DU$24)</f>
        <v>991.62854935688017</v>
      </c>
      <c r="G28" s="35">
        <f>_xlfn.FORECAST.LINEAR(Sheet3!CL28,'Cooling water'!$DW$3:$DW$24,'Cooling water'!$DU$3:$DU$24)</f>
        <v>993.08260561292741</v>
      </c>
      <c r="H28" s="35">
        <f>_xlfn.FORECAST.LINEAR(Sheet3!CM28,'Cooling water'!$DW$3:$DW$24,'Cooling water'!$DU$3:$DU$24)</f>
        <v>994.60204375015053</v>
      </c>
      <c r="I28" s="35">
        <f>_xlfn.FORECAST.LINEAR(Sheet3!CN28,'Cooling water'!$DW$3:$DW$24,'Cooling water'!$DU$3:$DU$24)</f>
        <v>996.17625465245465</v>
      </c>
      <c r="J28" s="35">
        <f>_xlfn.FORECAST.LINEAR(Sheet3!CO28,'Cooling water'!$DW$3:$DW$24,'Cooling water'!$DU$3:$DU$24)</f>
        <v>997.79462920374465</v>
      </c>
      <c r="K28" s="35">
        <f>_xlfn.FORECAST.LINEAR(Sheet3!CP28,'Cooling water'!$DW$3:$DW$24,'Cooling water'!$DU$3:$DU$24)</f>
        <v>999.44655828792577</v>
      </c>
      <c r="L28" s="289">
        <f t="shared" si="17"/>
        <v>1.327550379439435E-3</v>
      </c>
      <c r="M28" s="35">
        <f xml:space="preserve"> 0.0000000000330128*((Sheet3!CI28+273)^(4)) - 0.0000000448315*((Sheet3!CI28+273)^(3)) + 0.0000228887*((Sheet3!CI28+273)^(2)) - 0.00521331*((Sheet3!CI28+273)) + 0.447905</f>
        <v>6.5609135558886145E-4</v>
      </c>
      <c r="N28" s="35">
        <f xml:space="preserve"> 0.0000000000330128*((Sheet3!CJ28+273)^(4)) - 0.0000000448315*((Sheet3!CJ28+273)^(3)) + 0.0000228887*((Sheet3!CJ28+273)^(2)) - 0.00521331*((Sheet3!CJ28+273)) + 0.447905</f>
        <v>6.9620940702197487E-4</v>
      </c>
      <c r="O28" s="35">
        <f xml:space="preserve"> 0.0000000000330128*((Sheet3!CK28+273)^(4)) - 0.0000000448315*((Sheet3!CK28+273)^(3)) + 0.0000228887*((Sheet3!CK28+273)^(2)) - 0.00521331*((Sheet3!CK28+273)) + 0.447905</f>
        <v>7.4412778458476936E-4</v>
      </c>
      <c r="P28" s="35">
        <f xml:space="preserve"> 0.0000000000330128*((Sheet3!CL28+273)^(4)) - 0.0000000448315*((Sheet3!CL28+273)^(3)) + 0.0000228887*((Sheet3!CL28+273)^(2)) - 0.00521331*((Sheet3!CL28+273)) + 0.447905</f>
        <v>8.0141014988144299E-4</v>
      </c>
      <c r="Q28" s="35">
        <f xml:space="preserve"> 0.0000000000330128*((Sheet3!CM28+273)^(4)) - 0.0000000448315*((Sheet3!CM28+273)^(3)) + 0.0000228887*((Sheet3!CM28+273)^(2)) - 0.00521331*((Sheet3!CM28+273)) + 0.447905</f>
        <v>8.6992556249931852E-4</v>
      </c>
      <c r="R28" s="35">
        <f xml:space="preserve"> 0.0000000000330128*((Sheet3!CN28+273)^(4)) - 0.0000000448315*((Sheet3!CN28+273)^(3)) + 0.0000228887*((Sheet3!CN28+273)^(2)) - 0.00521331*((Sheet3!CN28+273)) + 0.447905</f>
        <v>9.5183411581323263E-4</v>
      </c>
      <c r="S28" s="35">
        <f xml:space="preserve"> 0.0000000000330128*((Sheet3!CO28+273)^(4)) - 0.0000000448315*((Sheet3!CO28+273)^(3)) + 0.0000228887*((Sheet3!CO28+273)^(2)) - 0.00521331*((Sheet3!CO28+273)) + 0.447905</f>
        <v>1.0495461815192009E-3</v>
      </c>
      <c r="T28" s="35">
        <f xml:space="preserve"> 0.0000000000330128*((Sheet3!CP28+273)^(4)) - 0.0000000448315*((Sheet3!CP28+273)^(3)) + 0.0000228887*((Sheet3!CP28+273)^(2)) - 0.00521331*((Sheet3!CP28+273)) + 0.447905</f>
        <v>1.1656514751485769E-3</v>
      </c>
      <c r="U28" s="289">
        <f>(Sheet3!DC28*0.014*0.001*C28) / (L28*0.00015*3600*3)</f>
        <v>1936.0885754051292</v>
      </c>
      <c r="V28" s="35">
        <f>(Sheet3!$DC28*0.014*0.001*D28) / (M28*0.00015*3600*3)</f>
        <v>3868.8638815657359</v>
      </c>
      <c r="W28" s="35">
        <f>(Sheet3!$DC28*0.014*0.001*E28) / (N28*0.00015*3600*3)</f>
        <v>3650.6873988631846</v>
      </c>
      <c r="X28" s="35">
        <f>(Sheet3!$DC28*0.014*0.001*F28) / (O28*0.00015*3600*3)</f>
        <v>3420.3533265050187</v>
      </c>
      <c r="Y28" s="35">
        <f>(Sheet3!$DC28*0.014*0.001*G28) / (P28*0.00015*3600*3)</f>
        <v>3180.53373974644</v>
      </c>
      <c r="Z28" s="35">
        <f>(Sheet3!$DC28*0.014*0.001*H28) / (Q28*0.00015*3600*3)</f>
        <v>2934.5176441967737</v>
      </c>
      <c r="AA28" s="35">
        <f>(Sheet3!$DC28*0.014*0.001*I28) / (R28*0.00015*3600*3)</f>
        <v>2686.2373857620819</v>
      </c>
      <c r="AB28" s="35">
        <f>(Sheet3!$DC28*0.014*0.001*J28) / (S28*0.00015*3600*3)</f>
        <v>2440.1081725143949</v>
      </c>
      <c r="AC28" s="35">
        <f>(Sheet3!$DC28*0.014*0.001*K28) / (T28*0.00015*3600*3)</f>
        <v>2200.697396231039</v>
      </c>
      <c r="AD28" s="289">
        <f t="shared" si="0"/>
        <v>0.58974300975293348</v>
      </c>
      <c r="AE28" s="35">
        <f>_xlfn.FORECAST.LINEAR(Sheet3!CI28,$DA$3:$DA$12,$CZ$3:$CZ$12)/1000</f>
        <v>0.62209800474927135</v>
      </c>
      <c r="AF28" s="35">
        <f>_xlfn.FORECAST.LINEAR(Sheet3!CJ28,$DA$3:$DA$12,$CZ$3:$CZ$12)/1000</f>
        <v>0.61873880572836393</v>
      </c>
      <c r="AG28" s="35">
        <f>_xlfn.FORECAST.LINEAR(Sheet3!CK28,$DA$3:$DA$12,$CZ$3:$CZ$12)/1000</f>
        <v>0.6151543532292163</v>
      </c>
      <c r="AH28" s="35">
        <f>_xlfn.FORECAST.LINEAR(Sheet3!CL28,$DA$3:$DA$12,$CZ$3:$CZ$12)/1000</f>
        <v>0.61137224236930088</v>
      </c>
      <c r="AI28" s="35">
        <f>_xlfn.FORECAST.LINEAR(Sheet3!CM28,$DA$3:$DA$12,$CZ$3:$CZ$12)/1000</f>
        <v>0.60742006826609019</v>
      </c>
      <c r="AJ28" s="35">
        <f>_xlfn.FORECAST.LINEAR(Sheet3!CN28,$DA$3:$DA$12,$CZ$3:$CZ$12)/1000</f>
        <v>0.60332542603705641</v>
      </c>
      <c r="AK28" s="35">
        <f>_xlfn.FORECAST.LINEAR(Sheet3!CO28,$DA$3:$DA$12,$CZ$3:$CZ$12)/1000</f>
        <v>0.59911591079967186</v>
      </c>
      <c r="AL28" s="35">
        <f>_xlfn.FORECAST.LINEAR(Sheet3!CP28,$DA$3:$DA$12,$CZ$3:$CZ$12)/1000</f>
        <v>0.59481911767140894</v>
      </c>
      <c r="AM28" s="289">
        <f t="shared" si="1"/>
        <v>4189.3362257441322</v>
      </c>
      <c r="AN28" s="35">
        <f>_xlfn.FORECAST.LINEAR(Sheet3!CI28,$DP$3:$DP$14,$DJ$3:$DJ$14)*1000</f>
        <v>4192.1835099454411</v>
      </c>
      <c r="AO28" s="35">
        <f>_xlfn.FORECAST.LINEAR(Sheet3!CJ28,$DP$3:$DP$14,$DJ$3:$DJ$14)*1000</f>
        <v>4191.8878957967645</v>
      </c>
      <c r="AP28" s="35">
        <f>_xlfn.FORECAST.LINEAR(Sheet3!CK28,$DP$3:$DP$14,$DJ$3:$DJ$14)*1000</f>
        <v>4191.5724590312102</v>
      </c>
      <c r="AQ28" s="35">
        <f>_xlfn.FORECAST.LINEAR(Sheet3!CL28,$DP$3:$DP$14,$DJ$3:$DJ$14)*1000</f>
        <v>4191.2396280571902</v>
      </c>
      <c r="AR28" s="35">
        <f>_xlfn.FORECAST.LINEAR(Sheet3!CM28,$DP$3:$DP$14,$DJ$3:$DJ$14)*1000</f>
        <v>4190.8918312831165</v>
      </c>
      <c r="AS28" s="35">
        <f>_xlfn.FORECAST.LINEAR(Sheet3!CN28,$DP$3:$DP$14,$DJ$3:$DJ$14)*1000</f>
        <v>4190.5314971174002</v>
      </c>
      <c r="AT28" s="35">
        <f>_xlfn.FORECAST.LINEAR(Sheet3!CO28,$DP$3:$DP$14,$DJ$3:$DJ$14)*1000</f>
        <v>4190.1610539684543</v>
      </c>
      <c r="AU28" s="35">
        <f>_xlfn.FORECAST.LINEAR(Sheet3!CP28,$DP$3:$DP$14,$DJ$3:$DJ$14)*1000</f>
        <v>4189.7829302446899</v>
      </c>
      <c r="AV28" s="289">
        <f t="shared" si="18"/>
        <v>1.4057588352091436E-7</v>
      </c>
      <c r="AW28" s="35">
        <f t="shared" si="19"/>
        <v>1.5005146076323235E-7</v>
      </c>
      <c r="AX28" s="35">
        <f t="shared" si="20"/>
        <v>1.490570876767293E-7</v>
      </c>
      <c r="AY28" s="35">
        <f t="shared" si="21"/>
        <v>1.479987685507809E-7</v>
      </c>
      <c r="AZ28" s="35">
        <f t="shared" si="22"/>
        <v>1.4688513615692513E-7</v>
      </c>
      <c r="BA28" s="35">
        <f t="shared" si="23"/>
        <v>1.4572475616820741E-7</v>
      </c>
      <c r="BB28" s="35">
        <f t="shared" si="24"/>
        <v>1.4452611663756978E-7</v>
      </c>
      <c r="BC28" s="35">
        <f t="shared" si="25"/>
        <v>1.4329761938409896E-7</v>
      </c>
      <c r="BD28" s="35">
        <f t="shared" si="26"/>
        <v>1.4204757324746249E-7</v>
      </c>
      <c r="BE28" s="289">
        <f t="shared" si="3"/>
        <v>9.430471924399658</v>
      </c>
      <c r="BF28" s="35">
        <f t="shared" si="27"/>
        <v>4.4212573274944225</v>
      </c>
      <c r="BG28" s="35">
        <f t="shared" si="28"/>
        <v>4.7167427664404435</v>
      </c>
      <c r="BH28" s="35">
        <f t="shared" si="29"/>
        <v>5.0703786968133748</v>
      </c>
      <c r="BI28" s="35">
        <f t="shared" si="30"/>
        <v>5.4940374222639363</v>
      </c>
      <c r="BJ28" s="35">
        <f t="shared" si="31"/>
        <v>6.0020472226243244</v>
      </c>
      <c r="BK28" s="35">
        <f t="shared" si="32"/>
        <v>6.6111764401277799</v>
      </c>
      <c r="BL28" s="35">
        <f t="shared" si="33"/>
        <v>7.3404285462442935</v>
      </c>
      <c r="BM28" s="35">
        <f t="shared" si="34"/>
        <v>8.2106080791606004</v>
      </c>
      <c r="BN28" s="289">
        <f t="shared" si="35"/>
        <v>2.3472782035032073E-3</v>
      </c>
      <c r="BO28" s="35">
        <f t="shared" si="36"/>
        <v>2.5054974895530437E-3</v>
      </c>
      <c r="BP28" s="35">
        <f t="shared" si="37"/>
        <v>2.4888938573108788E-3</v>
      </c>
      <c r="BQ28" s="35">
        <f t="shared" si="38"/>
        <v>2.4712224804397552E-3</v>
      </c>
      <c r="BR28" s="35">
        <f t="shared" si="39"/>
        <v>2.4526275054032017E-3</v>
      </c>
      <c r="BS28" s="35">
        <f t="shared" si="40"/>
        <v>2.4332519582817556E-3</v>
      </c>
      <c r="BT28" s="35">
        <f t="shared" si="41"/>
        <v>2.4132375690874351E-3</v>
      </c>
      <c r="BU28" s="35">
        <f t="shared" si="42"/>
        <v>2.3927246279348614E-3</v>
      </c>
      <c r="BV28" s="35">
        <f t="shared" si="43"/>
        <v>2.3718518724066087E-3</v>
      </c>
      <c r="BW28" s="289">
        <f t="shared" si="44"/>
        <v>5.4422175229406573E-2</v>
      </c>
      <c r="BX28" s="35">
        <f t="shared" si="45"/>
        <v>4.5773206786002718E-2</v>
      </c>
      <c r="BY28" s="35">
        <f t="shared" si="46"/>
        <v>4.6442280825555571E-2</v>
      </c>
      <c r="BZ28" s="35">
        <f t="shared" si="47"/>
        <v>4.7205158373390947E-2</v>
      </c>
      <c r="CA28" s="35">
        <f t="shared" si="48"/>
        <v>4.8070894126302027E-2</v>
      </c>
      <c r="CB28" s="35">
        <f t="shared" si="49"/>
        <v>4.9048193970925878E-2</v>
      </c>
      <c r="CC28" s="35">
        <f t="shared" si="50"/>
        <v>5.0144245913616499E-2</v>
      </c>
      <c r="CD28" s="35">
        <f t="shared" si="51"/>
        <v>5.1363538126114119E-2</v>
      </c>
      <c r="CE28" s="35">
        <f t="shared" si="52"/>
        <v>5.2706857028865933E-2</v>
      </c>
      <c r="CF28" s="289">
        <f t="shared" si="7"/>
        <v>11.694977845639098</v>
      </c>
      <c r="CG28" s="35">
        <f t="shared" si="8"/>
        <v>27.6244946455734</v>
      </c>
      <c r="CH28" s="35">
        <f t="shared" si="9"/>
        <v>26.356094871964149</v>
      </c>
      <c r="CI28" s="35">
        <f t="shared" si="10"/>
        <v>24.938320841224105</v>
      </c>
      <c r="CJ28" s="35">
        <f t="shared" si="11"/>
        <v>23.366306783760251</v>
      </c>
      <c r="CK28" s="35">
        <f t="shared" si="12"/>
        <v>11.690437527847253</v>
      </c>
      <c r="CL28" s="35">
        <f t="shared" si="13"/>
        <v>11.691494497937555</v>
      </c>
      <c r="CM28" s="35">
        <f t="shared" si="14"/>
        <v>11.692577796810776</v>
      </c>
      <c r="CN28" s="35">
        <f t="shared" si="15"/>
        <v>11.693680097664494</v>
      </c>
      <c r="CO28" s="289">
        <f t="shared" si="53"/>
        <v>492.64510240579142</v>
      </c>
      <c r="CP28" s="35">
        <f t="shared" si="54"/>
        <v>1227.5102143727242</v>
      </c>
      <c r="CQ28" s="35">
        <f t="shared" si="55"/>
        <v>1164.8241903387539</v>
      </c>
      <c r="CR28" s="35">
        <f t="shared" si="56"/>
        <v>1095.77975912185</v>
      </c>
      <c r="CS28" s="35">
        <f t="shared" si="57"/>
        <v>1020.3936695911793</v>
      </c>
      <c r="CT28" s="35">
        <f t="shared" si="58"/>
        <v>507.21474008753154</v>
      </c>
      <c r="CU28" s="35">
        <f t="shared" si="59"/>
        <v>503.84113564129115</v>
      </c>
      <c r="CV28" s="35">
        <f t="shared" si="60"/>
        <v>500.37209973802197</v>
      </c>
      <c r="CW28" s="35">
        <f t="shared" si="61"/>
        <v>496.83031985889352</v>
      </c>
      <c r="DE28" s="229">
        <v>29</v>
      </c>
      <c r="DF28" s="230">
        <v>0.8145</v>
      </c>
      <c r="DG28" s="230">
        <v>0.81779999999999997</v>
      </c>
      <c r="DH28" s="230">
        <v>0.99590000000000001</v>
      </c>
      <c r="DJ28" s="235">
        <v>360</v>
      </c>
      <c r="DK28" s="201">
        <v>59.402000000000001</v>
      </c>
      <c r="DL28" s="201">
        <v>3.2972000000000001</v>
      </c>
      <c r="DM28" s="201">
        <v>9.1600000000000004E-4</v>
      </c>
      <c r="DN28" s="201">
        <v>0.78749999999999998</v>
      </c>
      <c r="DO28" s="201">
        <v>270.31</v>
      </c>
      <c r="DP28" s="201">
        <v>15.004</v>
      </c>
      <c r="DQ28" s="201">
        <v>4.1679999999999998E-3</v>
      </c>
      <c r="DR28" s="202">
        <v>3.5836000000000001</v>
      </c>
      <c r="DU28" s="197">
        <v>160</v>
      </c>
      <c r="DV28" s="194">
        <v>0.90744999999999998</v>
      </c>
      <c r="DW28" s="194">
        <v>907.45</v>
      </c>
      <c r="DX28" s="194">
        <v>1.7606999999999999</v>
      </c>
      <c r="DY28" s="194">
        <v>56.650300000000001</v>
      </c>
      <c r="DZ28" s="194">
        <v>7.5730000000000004</v>
      </c>
      <c r="EA28" s="194">
        <v>8.8989999999999991</v>
      </c>
      <c r="EB28" s="194">
        <v>56.65</v>
      </c>
      <c r="EC28" s="198">
        <v>11</v>
      </c>
    </row>
    <row r="29" spans="1:133" ht="15" thickBot="1" x14ac:dyDescent="0.35">
      <c r="A29" s="184" t="str">
        <f>'Su K. oro stendu'!B74</f>
        <v>19.12.2022</v>
      </c>
      <c r="B29" s="289">
        <f>Sheet3!DD29</f>
        <v>8.5</v>
      </c>
      <c r="C29" s="289">
        <f>_xlfn.FORECAST.LINEAR(Sheet3!DD29,$DW$3:$DW$24,$DU$3:$DU$24)</f>
        <v>1001.8170972871059</v>
      </c>
      <c r="D29" s="35">
        <f>_xlfn.FORECAST.LINEAR(Sheet3!CI29,'Cooling water'!$DW$3:$DW$24,'Cooling water'!$DU$3:$DU$24)</f>
        <v>996.54468033668309</v>
      </c>
      <c r="E29" s="35">
        <f>_xlfn.FORECAST.LINEAR(Sheet3!CJ29,'Cooling water'!$DW$3:$DW$24,'Cooling water'!$DU$3:$DU$24)</f>
        <v>997.11002886258507</v>
      </c>
      <c r="F29" s="35">
        <f>_xlfn.FORECAST.LINEAR(Sheet3!CK29,'Cooling water'!$DW$3:$DW$24,'Cooling water'!$DU$3:$DU$24)</f>
        <v>997.71627383175746</v>
      </c>
      <c r="G29" s="35">
        <f>_xlfn.FORECAST.LINEAR(Sheet3!CL29,'Cooling water'!$DW$3:$DW$24,'Cooling water'!$DU$3:$DU$24)</f>
        <v>998.35426724544539</v>
      </c>
      <c r="H29" s="35">
        <f>_xlfn.FORECAST.LINEAR(Sheet3!CM29,'Cooling water'!$DW$3:$DW$24,'Cooling water'!$DU$3:$DU$24)</f>
        <v>999.01486110489373</v>
      </c>
      <c r="I29" s="35">
        <f>_xlfn.FORECAST.LINEAR(Sheet3!CN29,'Cooling water'!$DW$3:$DW$24,'Cooling water'!$DU$3:$DU$24)</f>
        <v>999.6889074113476</v>
      </c>
      <c r="J29" s="35">
        <f>_xlfn.FORECAST.LINEAR(Sheet3!CO29,'Cooling water'!$DW$3:$DW$24,'Cooling water'!$DU$3:$DU$24)</f>
        <v>1000.3672581660521</v>
      </c>
      <c r="K29" s="35">
        <f>_xlfn.FORECAST.LINEAR(Sheet3!CP29,'Cooling water'!$DW$3:$DW$24,'Cooling water'!$DU$3:$DU$24)</f>
        <v>1001.0407653702523</v>
      </c>
      <c r="L29" s="289">
        <f t="shared" si="17"/>
        <v>1.3662021183189488E-3</v>
      </c>
      <c r="M29" s="35">
        <f xml:space="preserve"> 0.0000000000330128*((Sheet3!CI29+273)^(4)) - 0.0000000448315*((Sheet3!CI29+273)^(3)) + 0.0000228887*((Sheet3!CI29+273)^(2)) - 0.00521331*((Sheet3!CI29+273)) + 0.447905</f>
        <v>9.7280080200667918E-4</v>
      </c>
      <c r="N29" s="35">
        <f xml:space="preserve"> 0.0000000000330128*((Sheet3!CJ29+273)^(4)) - 0.0000000448315*((Sheet3!CJ29+273)^(3)) + 0.0000228887*((Sheet3!CJ29+273)^(2)) - 0.00521331*((Sheet3!CJ29+273)) + 0.447905</f>
        <v>1.0064078915117403E-3</v>
      </c>
      <c r="O29" s="35">
        <f xml:space="preserve"> 0.0000000000330128*((Sheet3!CK29+273)^(4)) - 0.0000000448315*((Sheet3!CK29+273)^(3)) + 0.0000228887*((Sheet3!CK29+273)^(2)) - 0.00521331*((Sheet3!CK29+273)) + 0.447905</f>
        <v>1.044468399926668E-3</v>
      </c>
      <c r="P29" s="35">
        <f xml:space="preserve"> 0.0000000000330128*((Sheet3!CL29+273)^(4)) - 0.0000000448315*((Sheet3!CL29+273)^(3)) + 0.0000228887*((Sheet3!CL29+273)^(2)) - 0.00521331*((Sheet3!CL29+273)) + 0.447905</f>
        <v>1.0869083153117742E-3</v>
      </c>
      <c r="Q29" s="35">
        <f xml:space="preserve"> 0.0000000000330128*((Sheet3!CM29+273)^(4)) - 0.0000000448315*((Sheet3!CM29+273)^(3)) + 0.0000228887*((Sheet3!CM29+273)^(2)) - 0.00521331*((Sheet3!CM29+273)) + 0.447905</f>
        <v>1.1335781450707572E-3</v>
      </c>
      <c r="R29" s="35">
        <f xml:space="preserve"> 0.0000000000330128*((Sheet3!CN29+273)^(4)) - 0.0000000448315*((Sheet3!CN29+273)^(3)) + 0.0000228887*((Sheet3!CN29+273)^(2)) - 0.00521331*((Sheet3!CN29+273)) + 0.447905</f>
        <v>1.1842233009988767E-3</v>
      </c>
      <c r="S29" s="35">
        <f xml:space="preserve"> 0.0000000000330128*((Sheet3!CO29+273)^(4)) - 0.0000000448315*((Sheet3!CO29+273)^(3)) + 0.0000228887*((Sheet3!CO29+273)^(2)) - 0.00521331*((Sheet3!CO29+273)) + 0.447905</f>
        <v>1.2384544793007102E-3</v>
      </c>
      <c r="T29" s="35">
        <f xml:space="preserve"> 0.0000000000330128*((Sheet3!CP29+273)^(4)) - 0.0000000448315*((Sheet3!CP29+273)^(3)) + 0.0000228887*((Sheet3!CP29+273)^(2)) - 0.00521331*((Sheet3!CP29+273)) + 0.447905</f>
        <v>1.2957196184069097E-3</v>
      </c>
      <c r="U29" s="289">
        <f>(Sheet3!DC29*0.014*0.001*C29) / (L29*0.00015*3600*3)</f>
        <v>2604.5237849538635</v>
      </c>
      <c r="V29" s="35">
        <f>(Sheet3!$DC29*0.014*0.001*D29) / (M29*0.00015*3600*3)</f>
        <v>3638.5445622634866</v>
      </c>
      <c r="W29" s="35">
        <f>(Sheet3!$DC29*0.014*0.001*E29) / (N29*0.00015*3600*3)</f>
        <v>3519.0374920408826</v>
      </c>
      <c r="X29" s="35">
        <f>(Sheet3!$DC29*0.014*0.001*F29) / (O29*0.00015*3600*3)</f>
        <v>3392.8651121286807</v>
      </c>
      <c r="Y29" s="35">
        <f>(Sheet3!$DC29*0.014*0.001*G29) / (P29*0.00015*3600*3)</f>
        <v>3262.4706269753583</v>
      </c>
      <c r="Z29" s="35">
        <f>(Sheet3!$DC29*0.014*0.001*H29) / (Q29*0.00015*3600*3)</f>
        <v>3130.2233550219444</v>
      </c>
      <c r="AA29" s="35">
        <f>(Sheet3!$DC29*0.014*0.001*I29) / (R29*0.00015*3600*3)</f>
        <v>2998.3761458415329</v>
      </c>
      <c r="AB29" s="35">
        <f>(Sheet3!$DC29*0.014*0.001*J29) / (S29*0.00015*3600*3)</f>
        <v>2869.0245445721444</v>
      </c>
      <c r="AC29" s="35">
        <f>(Sheet3!$DC29*0.014*0.001*K29) / (T29*0.00015*3600*3)</f>
        <v>2744.0724410973116</v>
      </c>
      <c r="AD29" s="289">
        <f t="shared" si="0"/>
        <v>0.58865316552522096</v>
      </c>
      <c r="AE29" s="35">
        <f>_xlfn.FORECAST.LINEAR(Sheet3!CI29,$DA$3:$DA$12,$CZ$3:$CZ$12)/1000</f>
        <v>0.60236712282451077</v>
      </c>
      <c r="AF29" s="35">
        <f>_xlfn.FORECAST.LINEAR(Sheet3!CJ29,$DA$3:$DA$12,$CZ$3:$CZ$12)/1000</f>
        <v>0.60089660833061909</v>
      </c>
      <c r="AG29" s="35">
        <f>_xlfn.FORECAST.LINEAR(Sheet3!CK29,$DA$3:$DA$12,$CZ$3:$CZ$12)/1000</f>
        <v>0.5993197190788172</v>
      </c>
      <c r="AH29" s="35">
        <f>_xlfn.FORECAST.LINEAR(Sheet3!CL29,$DA$3:$DA$12,$CZ$3:$CZ$12)/1000</f>
        <v>0.59766024970930121</v>
      </c>
      <c r="AI29" s="35">
        <f>_xlfn.FORECAST.LINEAR(Sheet3!CM29,$DA$3:$DA$12,$CZ$3:$CZ$12)/1000</f>
        <v>0.59594199486226729</v>
      </c>
      <c r="AJ29" s="35">
        <f>_xlfn.FORECAST.LINEAR(Sheet3!CN29,$DA$3:$DA$12,$CZ$3:$CZ$12)/1000</f>
        <v>0.59418874917791153</v>
      </c>
      <c r="AK29" s="35">
        <f>_xlfn.FORECAST.LINEAR(Sheet3!CO29,$DA$3:$DA$12,$CZ$3:$CZ$12)/1000</f>
        <v>0.59242430729643025</v>
      </c>
      <c r="AL29" s="35">
        <f>_xlfn.FORECAST.LINEAR(Sheet3!CP29,$DA$3:$DA$12,$CZ$3:$CZ$12)/1000</f>
        <v>0.5906724638580193</v>
      </c>
      <c r="AM29" s="289">
        <f t="shared" si="1"/>
        <v>4189.2403179483854</v>
      </c>
      <c r="AN29" s="35">
        <f>_xlfn.FORECAST.LINEAR(Sheet3!CI29,$DP$3:$DP$14,$DJ$3:$DJ$14)*1000</f>
        <v>4190.4471651124823</v>
      </c>
      <c r="AO29" s="35">
        <f>_xlfn.FORECAST.LINEAR(Sheet3!CJ29,$DP$3:$DP$14,$DJ$3:$DJ$14)*1000</f>
        <v>4190.3177578080858</v>
      </c>
      <c r="AP29" s="35">
        <f>_xlfn.FORECAST.LINEAR(Sheet3!CK29,$DP$3:$DP$14,$DJ$3:$DJ$14)*1000</f>
        <v>4190.1789893782225</v>
      </c>
      <c r="AQ29" s="35">
        <f>_xlfn.FORECAST.LINEAR(Sheet3!CL29,$DP$3:$DP$14,$DJ$3:$DJ$14)*1000</f>
        <v>4190.0329537840607</v>
      </c>
      <c r="AR29" s="35">
        <f>_xlfn.FORECAST.LINEAR(Sheet3!CM29,$DP$3:$DP$14,$DJ$3:$DJ$14)*1000</f>
        <v>4189.8817449867702</v>
      </c>
      <c r="AS29" s="35">
        <f>_xlfn.FORECAST.LINEAR(Sheet3!CN29,$DP$3:$DP$14,$DJ$3:$DJ$14)*1000</f>
        <v>4189.7274569475148</v>
      </c>
      <c r="AT29" s="35">
        <f>_xlfn.FORECAST.LINEAR(Sheet3!CO29,$DP$3:$DP$14,$DJ$3:$DJ$14)*1000</f>
        <v>4189.5721836274652</v>
      </c>
      <c r="AU29" s="35">
        <f>_xlfn.FORECAST.LINEAR(Sheet3!CP29,$DP$3:$DP$14,$DJ$3:$DJ$14)*1000</f>
        <v>4189.4180189877879</v>
      </c>
      <c r="AV29" s="289">
        <f t="shared" si="18"/>
        <v>1.4026062507140962E-7</v>
      </c>
      <c r="AW29" s="35">
        <f t="shared" si="19"/>
        <v>1.4424611186106501E-7</v>
      </c>
      <c r="AX29" s="35">
        <f t="shared" si="20"/>
        <v>1.4381682970376996E-7</v>
      </c>
      <c r="AY29" s="35">
        <f t="shared" si="21"/>
        <v>1.4335701066156954E-7</v>
      </c>
      <c r="AZ29" s="35">
        <f t="shared" si="22"/>
        <v>1.4287368780973313E-7</v>
      </c>
      <c r="BA29" s="35">
        <f t="shared" si="23"/>
        <v>1.4237386535923383E-7</v>
      </c>
      <c r="BB29" s="35">
        <f t="shared" si="24"/>
        <v>1.4186451518011869E-7</v>
      </c>
      <c r="BC29" s="35">
        <f t="shared" si="25"/>
        <v>1.4135257457124394E-7</v>
      </c>
      <c r="BD29" s="35">
        <f t="shared" si="26"/>
        <v>1.4084494526088212E-7</v>
      </c>
      <c r="BE29" s="289">
        <f t="shared" si="3"/>
        <v>9.7227864075471651</v>
      </c>
      <c r="BF29" s="35">
        <f t="shared" si="27"/>
        <v>6.7674184206358943</v>
      </c>
      <c r="BG29" s="35">
        <f t="shared" si="28"/>
        <v>7.0181272467417752</v>
      </c>
      <c r="BH29" s="35">
        <f t="shared" si="29"/>
        <v>7.3024621168299229</v>
      </c>
      <c r="BI29" s="35">
        <f t="shared" si="30"/>
        <v>7.6200176623982943</v>
      </c>
      <c r="BJ29" s="35">
        <f t="shared" si="31"/>
        <v>7.9698333352822983</v>
      </c>
      <c r="BK29" s="35">
        <f t="shared" si="32"/>
        <v>8.3501629511103808</v>
      </c>
      <c r="BL29" s="35">
        <f t="shared" si="33"/>
        <v>8.7582402903851211</v>
      </c>
      <c r="BM29" s="35">
        <f t="shared" si="34"/>
        <v>9.1900527772269722</v>
      </c>
      <c r="BN29" s="289">
        <f t="shared" si="35"/>
        <v>1.6924043841477993E-3</v>
      </c>
      <c r="BO29" s="35">
        <f t="shared" si="36"/>
        <v>1.7404938270141901E-3</v>
      </c>
      <c r="BP29" s="35">
        <f t="shared" si="37"/>
        <v>1.7353140482653604E-3</v>
      </c>
      <c r="BQ29" s="35">
        <f t="shared" si="38"/>
        <v>1.7297658071781809E-3</v>
      </c>
      <c r="BR29" s="35">
        <f t="shared" si="39"/>
        <v>1.7239339658257681E-3</v>
      </c>
      <c r="BS29" s="35">
        <f t="shared" si="40"/>
        <v>1.7179030380005866E-3</v>
      </c>
      <c r="BT29" s="35">
        <f t="shared" si="41"/>
        <v>1.7117571472649504E-3</v>
      </c>
      <c r="BU29" s="35">
        <f t="shared" si="42"/>
        <v>1.7055800000403333E-3</v>
      </c>
      <c r="BV29" s="35">
        <f t="shared" si="43"/>
        <v>1.6994548735485551E-3</v>
      </c>
      <c r="BW29" s="289">
        <f t="shared" si="44"/>
        <v>5.0533004435348201E-2</v>
      </c>
      <c r="BX29" s="35">
        <f t="shared" si="45"/>
        <v>4.648098013429925E-2</v>
      </c>
      <c r="BY29" s="35">
        <f t="shared" si="46"/>
        <v>4.6870677207885986E-2</v>
      </c>
      <c r="BZ29" s="35">
        <f t="shared" si="47"/>
        <v>4.7300480595242486E-2</v>
      </c>
      <c r="CA29" s="35">
        <f t="shared" si="48"/>
        <v>4.776618422938772E-2</v>
      </c>
      <c r="CB29" s="35">
        <f t="shared" si="49"/>
        <v>4.8262895109208899E-2</v>
      </c>
      <c r="CC29" s="35">
        <f t="shared" si="50"/>
        <v>4.8784928563061727E-2</v>
      </c>
      <c r="CD29" s="35">
        <f t="shared" si="51"/>
        <v>4.9325743020816167E-2</v>
      </c>
      <c r="CE29" s="35">
        <f t="shared" si="52"/>
        <v>4.9877917076764047E-2</v>
      </c>
      <c r="CF29" s="289">
        <f t="shared" si="7"/>
        <v>11.729562065685</v>
      </c>
      <c r="CG29" s="35">
        <f t="shared" si="8"/>
        <v>29.680602034898868</v>
      </c>
      <c r="CH29" s="35">
        <f t="shared" si="9"/>
        <v>28.841820769344721</v>
      </c>
      <c r="CI29" s="35">
        <f t="shared" si="10"/>
        <v>27.929470269753882</v>
      </c>
      <c r="CJ29" s="35">
        <f t="shared" si="11"/>
        <v>26.95580721550548</v>
      </c>
      <c r="CK29" s="35">
        <f t="shared" si="12"/>
        <v>25.9340994034647</v>
      </c>
      <c r="CL29" s="35">
        <f t="shared" si="13"/>
        <v>11.728540036404919</v>
      </c>
      <c r="CM29" s="35">
        <f t="shared" si="14"/>
        <v>11.728866254696989</v>
      </c>
      <c r="CN29" s="35">
        <f t="shared" si="15"/>
        <v>11.729189725747656</v>
      </c>
      <c r="CO29" s="289">
        <f t="shared" si="53"/>
        <v>493.1888457278589</v>
      </c>
      <c r="CP29" s="35">
        <f t="shared" si="54"/>
        <v>1277.0442036758106</v>
      </c>
      <c r="CQ29" s="35">
        <f t="shared" si="55"/>
        <v>1237.9251627413464</v>
      </c>
      <c r="CR29" s="35">
        <f t="shared" si="56"/>
        <v>1195.6201625777908</v>
      </c>
      <c r="CS29" s="35">
        <f t="shared" si="57"/>
        <v>1150.7438908239135</v>
      </c>
      <c r="CT29" s="35">
        <f t="shared" si="58"/>
        <v>1103.9442095326492</v>
      </c>
      <c r="CU29" s="35">
        <f t="shared" si="59"/>
        <v>497.78332385103539</v>
      </c>
      <c r="CV29" s="35">
        <f t="shared" si="60"/>
        <v>496.31896187938145</v>
      </c>
      <c r="CW29" s="35">
        <f t="shared" si="61"/>
        <v>494.8649567403952</v>
      </c>
      <c r="DE29" s="229">
        <v>30</v>
      </c>
      <c r="DF29" s="230">
        <v>0.79720000000000002</v>
      </c>
      <c r="DG29" s="230">
        <v>0.80069999999999997</v>
      </c>
      <c r="DH29" s="230">
        <v>0.99560000000000004</v>
      </c>
      <c r="DU29" s="197">
        <v>180</v>
      </c>
      <c r="DV29" s="194">
        <v>0.88700000000000001</v>
      </c>
      <c r="DW29" s="194">
        <v>887</v>
      </c>
      <c r="DX29" s="194">
        <v>1.7211000000000001</v>
      </c>
      <c r="DY29" s="194">
        <v>55.373600000000003</v>
      </c>
      <c r="DZ29" s="194">
        <v>7.4024000000000001</v>
      </c>
      <c r="EA29" s="194">
        <v>8.6984999999999992</v>
      </c>
      <c r="EB29" s="194">
        <v>55.374000000000002</v>
      </c>
      <c r="EC29" s="198">
        <v>12.3</v>
      </c>
    </row>
    <row r="30" spans="1:133" ht="15" thickBot="1" x14ac:dyDescent="0.35">
      <c r="A30" s="184" t="str">
        <f>'Su K. oro stendu'!B75</f>
        <v>19.12.2022</v>
      </c>
      <c r="B30" s="289">
        <f>Sheet3!DD30</f>
        <v>8.7799999999999994</v>
      </c>
      <c r="C30" s="289">
        <f>_xlfn.FORECAST.LINEAR(Sheet3!DD30,$DW$3:$DW$24,$DU$3:$DU$24)</f>
        <v>1001.7009395773521</v>
      </c>
      <c r="D30" s="35">
        <f>_xlfn.FORECAST.LINEAR(Sheet3!CI30,'Cooling water'!$DW$3:$DW$24,'Cooling water'!$DU$3:$DU$24)</f>
        <v>996.19179682166316</v>
      </c>
      <c r="E30" s="35">
        <f>_xlfn.FORECAST.LINEAR(Sheet3!CJ30,'Cooling water'!$DW$3:$DW$24,'Cooling water'!$DU$3:$DU$24)</f>
        <v>996.85852410650352</v>
      </c>
      <c r="F30" s="35">
        <f>_xlfn.FORECAST.LINEAR(Sheet3!CK30,'Cooling water'!$DW$3:$DW$24,'Cooling water'!$DU$3:$DU$24)</f>
        <v>997.52512285719877</v>
      </c>
      <c r="G30" s="35">
        <f>_xlfn.FORECAST.LINEAR(Sheet3!CL30,'Cooling water'!$DW$3:$DW$24,'Cooling water'!$DU$3:$DU$24)</f>
        <v>998.19282300409304</v>
      </c>
      <c r="H30" s="35">
        <f>_xlfn.FORECAST.LINEAR(Sheet3!CM30,'Cooling water'!$DW$3:$DW$24,'Cooling water'!$DU$3:$DU$24)</f>
        <v>998.86285447753073</v>
      </c>
      <c r="I30" s="35">
        <f>_xlfn.FORECAST.LINEAR(Sheet3!CN30,'Cooling water'!$DW$3:$DW$24,'Cooling water'!$DU$3:$DU$24)</f>
        <v>999.53644720785599</v>
      </c>
      <c r="J30" s="35">
        <f>_xlfn.FORECAST.LINEAR(Sheet3!CO30,'Cooling water'!$DW$3:$DW$24,'Cooling water'!$DU$3:$DU$24)</f>
        <v>1000.2148311254132</v>
      </c>
      <c r="K30" s="35">
        <f>_xlfn.FORECAST.LINEAR(Sheet3!CP30,'Cooling water'!$DW$3:$DW$24,'Cooling water'!$DU$3:$DU$24)</f>
        <v>1000.8992361605466</v>
      </c>
      <c r="L30" s="289">
        <f t="shared" si="17"/>
        <v>1.3553406970356896E-3</v>
      </c>
      <c r="M30" s="35">
        <f xml:space="preserve"> 0.0000000000330128*((Sheet3!CI30+273)^(4)) - 0.0000000448315*((Sheet3!CI30+273)^(3)) + 0.0000228887*((Sheet3!CI30+273)^(2)) - 0.00521331*((Sheet3!CI30+273)) + 0.447905</f>
        <v>9.5270412837256124E-4</v>
      </c>
      <c r="N30" s="35">
        <f xml:space="preserve"> 0.0000000000330128*((Sheet3!CJ30+273)^(4)) - 0.0000000448315*((Sheet3!CJ30+273)^(3)) + 0.0000228887*((Sheet3!CJ30+273)^(2)) - 0.00521331*((Sheet3!CJ30+273)) + 0.447905</f>
        <v>9.9123829791358808E-4</v>
      </c>
      <c r="O30" s="35">
        <f xml:space="preserve"> 0.0000000000330128*((Sheet3!CK30+273)^(4)) - 0.0000000448315*((Sheet3!CK30+273)^(3)) + 0.0000228887*((Sheet3!CK30+273)^(2)) - 0.00521331*((Sheet3!CK30+273)) + 0.447905</f>
        <v>1.0322351297280541E-3</v>
      </c>
      <c r="P30" s="35">
        <f xml:space="preserve"> 0.0000000000330128*((Sheet3!CL30+273)^(4)) - 0.0000000448315*((Sheet3!CL30+273)^(3)) + 0.0000228887*((Sheet3!CL30+273)^(2)) - 0.00521331*((Sheet3!CL30+273)) + 0.447905</f>
        <v>1.0759301627634166E-3</v>
      </c>
      <c r="Q30" s="35">
        <f xml:space="preserve"> 0.0000000000330128*((Sheet3!CM30+273)^(4)) - 0.0000000448315*((Sheet3!CM30+273)^(3)) + 0.0000228887*((Sheet3!CM30+273)^(2)) - 0.00521331*((Sheet3!CM30+273)) + 0.447905</f>
        <v>1.1225852290936977E-3</v>
      </c>
      <c r="R30" s="35">
        <f xml:space="preserve"> 0.0000000000330128*((Sheet3!CN30+273)^(4)) - 0.0000000448315*((Sheet3!CN30+273)^(3)) + 0.0000228887*((Sheet3!CN30+273)^(2)) - 0.00521331*((Sheet3!CN30+273)) + 0.447905</f>
        <v>1.1724916922322137E-3</v>
      </c>
      <c r="S30" s="35">
        <f xml:space="preserve"> 0.0000000000330128*((Sheet3!CO30+273)^(4)) - 0.0000000448315*((Sheet3!CO30+273)^(3)) + 0.0000228887*((Sheet3!CO30+273)^(2)) - 0.00521331*((Sheet3!CO30+273)) + 0.447905</f>
        <v>1.225974044251732E-3</v>
      </c>
      <c r="T30" s="35">
        <f xml:space="preserve"> 0.0000000000330128*((Sheet3!CP30+273)^(4)) - 0.0000000448315*((Sheet3!CP30+273)^(3)) + 0.0000228887*((Sheet3!CP30+273)^(2)) - 0.00521331*((Sheet3!CP30+273)) + 0.447905</f>
        <v>1.283393911111208E-3</v>
      </c>
      <c r="U30" s="289">
        <f>(Sheet3!DC30*0.014*0.001*C30) / (L30*0.00015*3600*3)</f>
        <v>2845.4458910645794</v>
      </c>
      <c r="V30" s="35">
        <f>(Sheet3!$DC30*0.014*0.001*D30) / (M30*0.00015*3600*3)</f>
        <v>4025.7392652586154</v>
      </c>
      <c r="W30" s="35">
        <f>(Sheet3!$DC30*0.014*0.001*E30) / (N30*0.00015*3600*3)</f>
        <v>3871.8291311869907</v>
      </c>
      <c r="X30" s="35">
        <f>(Sheet3!$DC30*0.014*0.001*F30) / (O30*0.00015*3600*3)</f>
        <v>3720.5396448888546</v>
      </c>
      <c r="Y30" s="35">
        <f>(Sheet3!$DC30*0.014*0.001*G30) / (P30*0.00015*3600*3)</f>
        <v>3571.832542267704</v>
      </c>
      <c r="Z30" s="35">
        <f>(Sheet3!$DC30*0.014*0.001*H30) / (Q30*0.00015*3600*3)</f>
        <v>3425.6837610835109</v>
      </c>
      <c r="AA30" s="35">
        <f>(Sheet3!$DC30*0.014*0.001*I30) / (R30*0.00015*3600*3)</f>
        <v>3282.083231160414</v>
      </c>
      <c r="AB30" s="35">
        <f>(Sheet3!$DC30*0.014*0.001*J30) / (S30*0.00015*3600*3)</f>
        <v>3141.0347697721263</v>
      </c>
      <c r="AC30" s="35">
        <f>(Sheet3!$DC30*0.014*0.001*K30) / (T30*0.00015*3600*3)</f>
        <v>3002.5559774408157</v>
      </c>
      <c r="AD30" s="289">
        <f t="shared" si="0"/>
        <v>0.58895530055864631</v>
      </c>
      <c r="AE30" s="35">
        <f>_xlfn.FORECAST.LINEAR(Sheet3!CI30,$DA$3:$DA$12,$CZ$3:$CZ$12)/1000</f>
        <v>0.60328499967342319</v>
      </c>
      <c r="AF30" s="35">
        <f>_xlfn.FORECAST.LINEAR(Sheet3!CJ30,$DA$3:$DA$12,$CZ$3:$CZ$12)/1000</f>
        <v>0.60155079132067912</v>
      </c>
      <c r="AG30" s="35">
        <f>_xlfn.FORECAST.LINEAR(Sheet3!CK30,$DA$3:$DA$12,$CZ$3:$CZ$12)/1000</f>
        <v>0.59981691729501774</v>
      </c>
      <c r="AH30" s="35">
        <f>_xlfn.FORECAST.LINEAR(Sheet3!CL30,$DA$3:$DA$12,$CZ$3:$CZ$12)/1000</f>
        <v>0.59808017845411432</v>
      </c>
      <c r="AI30" s="35">
        <f>_xlfn.FORECAST.LINEAR(Sheet3!CM30,$DA$3:$DA$12,$CZ$3:$CZ$12)/1000</f>
        <v>0.59633737565564293</v>
      </c>
      <c r="AJ30" s="35">
        <f>_xlfn.FORECAST.LINEAR(Sheet3!CN30,$DA$3:$DA$12,$CZ$3:$CZ$12)/1000</f>
        <v>0.59458530975727886</v>
      </c>
      <c r="AK30" s="35">
        <f>_xlfn.FORECAST.LINEAR(Sheet3!CO30,$DA$3:$DA$12,$CZ$3:$CZ$12)/1000</f>
        <v>0.59282078161669649</v>
      </c>
      <c r="AL30" s="35">
        <f>_xlfn.FORECAST.LINEAR(Sheet3!CP30,$DA$3:$DA$12,$CZ$3:$CZ$12)/1000</f>
        <v>0.59104059209157078</v>
      </c>
      <c r="AM30" s="289">
        <f t="shared" si="1"/>
        <v>4189.2669062481964</v>
      </c>
      <c r="AN30" s="35">
        <f>_xlfn.FORECAST.LINEAR(Sheet3!CI30,$DP$3:$DP$14,$DJ$3:$DJ$14)*1000</f>
        <v>4190.5279395416228</v>
      </c>
      <c r="AO30" s="35">
        <f>_xlfn.FORECAST.LINEAR(Sheet3!CJ30,$DP$3:$DP$14,$DJ$3:$DJ$14)*1000</f>
        <v>4190.3753268138162</v>
      </c>
      <c r="AP30" s="35">
        <f>_xlfn.FORECAST.LINEAR(Sheet3!CK30,$DP$3:$DP$14,$DJ$3:$DJ$14)*1000</f>
        <v>4190.2227435072555</v>
      </c>
      <c r="AQ30" s="35">
        <f>_xlfn.FORECAST.LINEAR(Sheet3!CL30,$DP$3:$DP$14,$DJ$3:$DJ$14)*1000</f>
        <v>4190.069908092999</v>
      </c>
      <c r="AR30" s="35">
        <f>_xlfn.FORECAST.LINEAR(Sheet3!CM30,$DP$3:$DP$14,$DJ$3:$DJ$14)*1000</f>
        <v>4189.9165390421103</v>
      </c>
      <c r="AS30" s="35">
        <f>_xlfn.FORECAST.LINEAR(Sheet3!CN30,$DP$3:$DP$14,$DJ$3:$DJ$14)*1000</f>
        <v>4189.7623548256515</v>
      </c>
      <c r="AT30" s="35">
        <f>_xlfn.FORECAST.LINEAR(Sheet3!CO30,$DP$3:$DP$14,$DJ$3:$DJ$14)*1000</f>
        <v>4189.6070739146817</v>
      </c>
      <c r="AU30" s="35">
        <f>_xlfn.FORECAST.LINEAR(Sheet3!CP30,$DP$3:$DP$14,$DJ$3:$DJ$14)*1000</f>
        <v>4189.4504147802645</v>
      </c>
      <c r="AV30" s="289">
        <f t="shared" si="18"/>
        <v>1.4034799820729736E-7</v>
      </c>
      <c r="AW30" s="35">
        <f t="shared" si="19"/>
        <v>1.4451430053603694E-7</v>
      </c>
      <c r="AX30" s="35">
        <f t="shared" si="20"/>
        <v>1.4400774558414982E-7</v>
      </c>
      <c r="AY30" s="35">
        <f t="shared" si="21"/>
        <v>1.4350193540640253E-7</v>
      </c>
      <c r="AZ30" s="35">
        <f t="shared" si="22"/>
        <v>1.4299593685457014E-7</v>
      </c>
      <c r="BA30" s="35">
        <f t="shared" si="23"/>
        <v>1.4248882154832658E-7</v>
      </c>
      <c r="BB30" s="35">
        <f t="shared" si="24"/>
        <v>1.4197966588178759E-7</v>
      </c>
      <c r="BC30" s="35">
        <f t="shared" si="25"/>
        <v>1.4146755105161823E-7</v>
      </c>
      <c r="BD30" s="35">
        <f t="shared" si="26"/>
        <v>1.4095156310639687E-7</v>
      </c>
      <c r="BE30" s="289">
        <f t="shared" si="3"/>
        <v>9.6406024759388202</v>
      </c>
      <c r="BF30" s="35">
        <f t="shared" si="27"/>
        <v>6.6176571110222202</v>
      </c>
      <c r="BG30" s="35">
        <f t="shared" si="28"/>
        <v>6.9049206924835689</v>
      </c>
      <c r="BH30" s="35">
        <f t="shared" si="29"/>
        <v>7.2110255521624005</v>
      </c>
      <c r="BI30" s="35">
        <f t="shared" si="30"/>
        <v>7.5378231224067767</v>
      </c>
      <c r="BJ30" s="35">
        <f t="shared" si="31"/>
        <v>7.8873782021339132</v>
      </c>
      <c r="BK30" s="35">
        <f t="shared" si="32"/>
        <v>8.2619961725352979</v>
      </c>
      <c r="BL30" s="35">
        <f t="shared" si="33"/>
        <v>8.6642534936534759</v>
      </c>
      <c r="BM30" s="35">
        <f t="shared" si="34"/>
        <v>9.0970319554605048</v>
      </c>
      <c r="BN30" s="289">
        <f t="shared" si="35"/>
        <v>1.5623153789309533E-3</v>
      </c>
      <c r="BO30" s="35">
        <f t="shared" si="36"/>
        <v>1.6086935124605222E-3</v>
      </c>
      <c r="BP30" s="35">
        <f t="shared" si="37"/>
        <v>1.6030546818272704E-3</v>
      </c>
      <c r="BQ30" s="35">
        <f t="shared" si="38"/>
        <v>1.5974241418152415E-3</v>
      </c>
      <c r="BR30" s="35">
        <f t="shared" si="39"/>
        <v>1.5917915048746208E-3</v>
      </c>
      <c r="BS30" s="35">
        <f t="shared" si="40"/>
        <v>1.5861464365305368E-3</v>
      </c>
      <c r="BT30" s="35">
        <f t="shared" si="41"/>
        <v>1.5804786554558916E-3</v>
      </c>
      <c r="BU30" s="35">
        <f t="shared" si="42"/>
        <v>1.5747779337842473E-3</v>
      </c>
      <c r="BV30" s="35">
        <f t="shared" si="43"/>
        <v>1.5690340976593341E-3</v>
      </c>
      <c r="BW30" s="289">
        <f t="shared" si="44"/>
        <v>4.9427610881052388E-2</v>
      </c>
      <c r="BX30" s="35">
        <f t="shared" si="45"/>
        <v>4.5320614626273598E-2</v>
      </c>
      <c r="BY30" s="35">
        <f t="shared" si="46"/>
        <v>4.5764440387903303E-2</v>
      </c>
      <c r="BZ30" s="35">
        <f t="shared" si="47"/>
        <v>4.6222743369793928E-2</v>
      </c>
      <c r="CA30" s="35">
        <f t="shared" si="48"/>
        <v>4.6696510640972473E-2</v>
      </c>
      <c r="CB30" s="35">
        <f t="shared" si="49"/>
        <v>4.7186784598693465E-2</v>
      </c>
      <c r="CC30" s="35">
        <f t="shared" si="50"/>
        <v>4.7694665178983346E-2</v>
      </c>
      <c r="CD30" s="35">
        <f t="shared" si="51"/>
        <v>4.8221311278653353E-2</v>
      </c>
      <c r="CE30" s="35">
        <f t="shared" si="52"/>
        <v>4.8767941425812714E-2</v>
      </c>
      <c r="CF30" s="289">
        <f t="shared" si="7"/>
        <v>11.736432132328373</v>
      </c>
      <c r="CG30" s="35">
        <f t="shared" si="8"/>
        <v>33.231479133241656</v>
      </c>
      <c r="CH30" s="35">
        <f t="shared" si="9"/>
        <v>32.203496560507652</v>
      </c>
      <c r="CI30" s="35">
        <f t="shared" si="10"/>
        <v>31.158549635429058</v>
      </c>
      <c r="CJ30" s="35">
        <f t="shared" si="11"/>
        <v>30.095807988048435</v>
      </c>
      <c r="CK30" s="35">
        <f t="shared" si="12"/>
        <v>29.014436539278901</v>
      </c>
      <c r="CL30" s="35">
        <f t="shared" si="13"/>
        <v>27.913598187212891</v>
      </c>
      <c r="CM30" s="35">
        <f t="shared" si="14"/>
        <v>26.792457902668939</v>
      </c>
      <c r="CN30" s="35">
        <f t="shared" si="15"/>
        <v>25.650187771475682</v>
      </c>
      <c r="CO30" s="289">
        <f t="shared" si="53"/>
        <v>493.73099385582935</v>
      </c>
      <c r="CP30" s="35">
        <f t="shared" si="54"/>
        <v>1432.0037770032188</v>
      </c>
      <c r="CQ30" s="35">
        <f t="shared" si="55"/>
        <v>1383.7170599475819</v>
      </c>
      <c r="CR30" s="35">
        <f t="shared" si="56"/>
        <v>1334.9589421219182</v>
      </c>
      <c r="CS30" s="35">
        <f t="shared" si="57"/>
        <v>1285.6933008723406</v>
      </c>
      <c r="CT30" s="35">
        <f t="shared" si="58"/>
        <v>1235.8852101400553</v>
      </c>
      <c r="CU30" s="35">
        <f t="shared" si="59"/>
        <v>1185.5011017560137</v>
      </c>
      <c r="CV30" s="35">
        <f t="shared" si="60"/>
        <v>1134.5089882351883</v>
      </c>
      <c r="CW30" s="35">
        <f t="shared" si="61"/>
        <v>1082.8787262652111</v>
      </c>
      <c r="DE30" s="229">
        <v>31</v>
      </c>
      <c r="DF30" s="230">
        <v>0.78049999999999997</v>
      </c>
      <c r="DG30" s="230">
        <v>0.78420000000000001</v>
      </c>
      <c r="DH30" s="230">
        <v>0.99529999999999996</v>
      </c>
      <c r="DU30" s="197">
        <v>200</v>
      </c>
      <c r="DV30" s="194">
        <v>0.86465999999999998</v>
      </c>
      <c r="DW30" s="194">
        <v>864.66</v>
      </c>
      <c r="DX30" s="194">
        <v>1.6777</v>
      </c>
      <c r="DY30" s="194">
        <v>53.978999999999999</v>
      </c>
      <c r="DZ30" s="194">
        <v>7.2159000000000004</v>
      </c>
      <c r="EA30" s="194">
        <v>8.4794</v>
      </c>
      <c r="EB30" s="194">
        <v>53.978999999999999</v>
      </c>
      <c r="EC30" s="198">
        <v>13.9</v>
      </c>
    </row>
    <row r="31" spans="1:133" ht="15" thickBot="1" x14ac:dyDescent="0.35">
      <c r="A31" s="184" t="str">
        <f>'Su K. oro stendu'!B76</f>
        <v>20.12.2022</v>
      </c>
      <c r="B31" s="289">
        <f>Sheet3!DD31</f>
        <v>8.52</v>
      </c>
      <c r="C31" s="289">
        <f>_xlfn.FORECAST.LINEAR(Sheet3!DD31,$DW$3:$DW$24,$DU$3:$DU$24)</f>
        <v>1001.8088003078377</v>
      </c>
      <c r="D31" s="35">
        <f>_xlfn.FORECAST.LINEAR(Sheet3!CI31,'Cooling water'!$DW$3:$DW$24,'Cooling water'!$DU$3:$DU$24)</f>
        <v>995.90186156591949</v>
      </c>
      <c r="E31" s="35">
        <f>_xlfn.FORECAST.LINEAR(Sheet3!CJ31,'Cooling water'!$DW$3:$DW$24,'Cooling water'!$DU$3:$DU$24)</f>
        <v>996.57289524483781</v>
      </c>
      <c r="F31" s="35">
        <f>_xlfn.FORECAST.LINEAR(Sheet3!CK31,'Cooling water'!$DW$3:$DW$24,'Cooling water'!$DU$3:$DU$24)</f>
        <v>997.27083931950858</v>
      </c>
      <c r="G31" s="35">
        <f>_xlfn.FORECAST.LINEAR(Sheet3!CL31,'Cooling water'!$DW$3:$DW$24,'Cooling water'!$DU$3:$DU$24)</f>
        <v>997.9897293468747</v>
      </c>
      <c r="H31" s="35">
        <f>_xlfn.FORECAST.LINEAR(Sheet3!CM31,'Cooling water'!$DW$3:$DW$24,'Cooling water'!$DU$3:$DU$24)</f>
        <v>998.72360088387893</v>
      </c>
      <c r="I31" s="35">
        <f>_xlfn.FORECAST.LINEAR(Sheet3!CN31,'Cooling water'!$DW$3:$DW$24,'Cooling water'!$DU$3:$DU$24)</f>
        <v>999.46648948746395</v>
      </c>
      <c r="J31" s="35">
        <f>_xlfn.FORECAST.LINEAR(Sheet3!CO31,'Cooling water'!$DW$3:$DW$24,'Cooling water'!$DU$3:$DU$24)</f>
        <v>1000.2124307145726</v>
      </c>
      <c r="K31" s="35">
        <f>_xlfn.FORECAST.LINEAR(Sheet3!CP31,'Cooling water'!$DW$3:$DW$24,'Cooling water'!$DU$3:$DU$24)</f>
        <v>1000.9554601221477</v>
      </c>
      <c r="L31" s="289">
        <f t="shared" si="17"/>
        <v>1.3654225467889525E-3</v>
      </c>
      <c r="M31" s="35">
        <f xml:space="preserve"> 0.0000000000330128*((Sheet3!CI31+273)^(4)) - 0.0000000448315*((Sheet3!CI31+273)^(3)) + 0.0000228887*((Sheet3!CI31+273)^(2)) - 0.00521331*((Sheet3!CI31+273)) + 0.447905</f>
        <v>9.3668001721614047E-4</v>
      </c>
      <c r="N31" s="35">
        <f xml:space="preserve"> 0.0000000000330128*((Sheet3!CJ31+273)^(4)) - 0.0000000448315*((Sheet3!CJ31+273)^(3)) + 0.0000228887*((Sheet3!CJ31+273)^(2)) - 0.00521331*((Sheet3!CJ31+273)) + 0.447905</f>
        <v>9.744363694357272E-4</v>
      </c>
      <c r="O31" s="35">
        <f xml:space="preserve"> 0.0000000000330128*((Sheet3!CK31+273)^(4)) - 0.0000000448315*((Sheet3!CK31+273)^(3)) + 0.0000228887*((Sheet3!CK31+273)^(2)) - 0.00521331*((Sheet3!CK31+273)) + 0.447905</f>
        <v>1.0162952400176728E-3</v>
      </c>
      <c r="P31" s="35">
        <f xml:space="preserve"> 0.0000000000330128*((Sheet3!CL31+273)^(4)) - 0.0000000448315*((Sheet3!CL31+273)^(3)) + 0.0000228887*((Sheet3!CL31+273)^(2)) - 0.00521331*((Sheet3!CL31+273)) + 0.447905</f>
        <v>1.0623514277254831E-3</v>
      </c>
      <c r="Q31" s="35">
        <f xml:space="preserve"> 0.0000000000330128*((Sheet3!CM31+273)^(4)) - 0.0000000448315*((Sheet3!CM31+273)^(3)) + 0.0000228887*((Sheet3!CM31+273)^(2)) - 0.00521331*((Sheet3!CM31+273)) + 0.447905</f>
        <v>1.1126492060582471E-3</v>
      </c>
      <c r="R31" s="35">
        <f xml:space="preserve"> 0.0000000000330128*((Sheet3!CN31+273)^(4)) - 0.0000000448315*((Sheet3!CN31+273)^(3)) + 0.0000228887*((Sheet3!CN31+273)^(2)) - 0.00521331*((Sheet3!CN31+273)) + 0.447905</f>
        <v>1.1671632926024689E-3</v>
      </c>
      <c r="S31" s="35">
        <f xml:space="preserve"> 0.0000000000330128*((Sheet3!CO31+273)^(4)) - 0.0000000448315*((Sheet3!CO31+273)^(3)) + 0.0000228887*((Sheet3!CO31+273)^(2)) - 0.00521331*((Sheet3!CO31+273)) + 0.447905</f>
        <v>1.2257788881901988E-3</v>
      </c>
      <c r="T31" s="35">
        <f xml:space="preserve"> 0.0000000000330128*((Sheet3!CP31+273)^(4)) - 0.0000000448315*((Sheet3!CP31+273)^(3)) + 0.0000228887*((Sheet3!CP31+273)^(2)) - 0.00521331*((Sheet3!CP31+273)) + 0.447905</f>
        <v>1.2882715269399991E-3</v>
      </c>
      <c r="U31" s="289">
        <f>(Sheet3!DC31*0.014*0.001*C31) / (L31*0.00015*3600*3)</f>
        <v>2976.914697017392</v>
      </c>
      <c r="V31" s="35">
        <f>(Sheet3!$DC31*0.014*0.001*D31) / (M31*0.00015*3600*3)</f>
        <v>4313.9380747950481</v>
      </c>
      <c r="W31" s="35">
        <f>(Sheet3!$DC31*0.014*0.001*E31) / (N31*0.00015*3600*3)</f>
        <v>4149.5805924499182</v>
      </c>
      <c r="X31" s="35">
        <f>(Sheet3!$DC31*0.014*0.001*F31) / (O31*0.00015*3600*3)</f>
        <v>3981.4553205779198</v>
      </c>
      <c r="Y31" s="35">
        <f>(Sheet3!$DC31*0.014*0.001*G31) / (P31*0.00015*3600*3)</f>
        <v>3811.5926751640523</v>
      </c>
      <c r="Z31" s="35">
        <f>(Sheet3!$DC31*0.014*0.001*H31) / (Q31*0.00015*3600*3)</f>
        <v>3641.964164549735</v>
      </c>
      <c r="AA31" s="35">
        <f>(Sheet3!$DC31*0.014*0.001*I31) / (R31*0.00015*3600*3)</f>
        <v>3474.4433479053164</v>
      </c>
      <c r="AB31" s="35">
        <f>(Sheet3!$DC31*0.014*0.001*J31) / (S31*0.00015*3600*3)</f>
        <v>3310.767842766576</v>
      </c>
      <c r="AC31" s="35">
        <f>(Sheet3!$DC31*0.014*0.001*K31) / (T31*0.00015*3600*3)</f>
        <v>3152.5062950286301</v>
      </c>
      <c r="AD31" s="289">
        <f t="shared" si="0"/>
        <v>0.58867474659903696</v>
      </c>
      <c r="AE31" s="35">
        <f>_xlfn.FORECAST.LINEAR(Sheet3!CI31,$DA$3:$DA$12,$CZ$3:$CZ$12)/1000</f>
        <v>0.60403914331460629</v>
      </c>
      <c r="AF31" s="35">
        <f>_xlfn.FORECAST.LINEAR(Sheet3!CJ31,$DA$3:$DA$12,$CZ$3:$CZ$12)/1000</f>
        <v>0.60229373370349171</v>
      </c>
      <c r="AG31" s="35">
        <f>_xlfn.FORECAST.LINEAR(Sheet3!CK31,$DA$3:$DA$12,$CZ$3:$CZ$12)/1000</f>
        <v>0.60047832810728596</v>
      </c>
      <c r="AH31" s="35">
        <f>_xlfn.FORECAST.LINEAR(Sheet3!CL31,$DA$3:$DA$12,$CZ$3:$CZ$12)/1000</f>
        <v>0.59860844049579998</v>
      </c>
      <c r="AI31" s="35">
        <f>_xlfn.FORECAST.LINEAR(Sheet3!CM31,$DA$3:$DA$12,$CZ$3:$CZ$12)/1000</f>
        <v>0.596699584838845</v>
      </c>
      <c r="AJ31" s="35">
        <f>_xlfn.FORECAST.LINEAR(Sheet3!CN31,$DA$3:$DA$12,$CZ$3:$CZ$12)/1000</f>
        <v>0.59476727510623228</v>
      </c>
      <c r="AK31" s="35">
        <f>_xlfn.FORECAST.LINEAR(Sheet3!CO31,$DA$3:$DA$12,$CZ$3:$CZ$12)/1000</f>
        <v>0.59282702526777298</v>
      </c>
      <c r="AL31" s="35">
        <f>_xlfn.FORECAST.LINEAR(Sheet3!CP31,$DA$3:$DA$12,$CZ$3:$CZ$12)/1000</f>
        <v>0.59089434929327844</v>
      </c>
      <c r="AM31" s="289">
        <f t="shared" si="1"/>
        <v>4189.2422171126582</v>
      </c>
      <c r="AN31" s="35">
        <f>_xlfn.FORECAST.LINEAR(Sheet3!CI31,$DP$3:$DP$14,$DJ$3:$DJ$14)*1000</f>
        <v>4190.5943052225721</v>
      </c>
      <c r="AO31" s="35">
        <f>_xlfn.FORECAST.LINEAR(Sheet3!CJ31,$DP$3:$DP$14,$DJ$3:$DJ$14)*1000</f>
        <v>4190.4407067685752</v>
      </c>
      <c r="AP31" s="35">
        <f>_xlfn.FORECAST.LINEAR(Sheet3!CK31,$DP$3:$DP$14,$DJ$3:$DJ$14)*1000</f>
        <v>4190.2809485713124</v>
      </c>
      <c r="AQ31" s="35">
        <f>_xlfn.FORECAST.LINEAR(Sheet3!CL31,$DP$3:$DP$14,$DJ$3:$DJ$14)*1000</f>
        <v>4190.1163958815341</v>
      </c>
      <c r="AR31" s="35">
        <f>_xlfn.FORECAST.LINEAR(Sheet3!CM31,$DP$3:$DP$14,$DJ$3:$DJ$14)*1000</f>
        <v>4189.9484139499891</v>
      </c>
      <c r="AS31" s="35">
        <f>_xlfn.FORECAST.LINEAR(Sheet3!CN31,$DP$3:$DP$14,$DJ$3:$DJ$14)*1000</f>
        <v>4189.7783680274251</v>
      </c>
      <c r="AT31" s="35">
        <f>_xlfn.FORECAST.LINEAR(Sheet3!CO31,$DP$3:$DP$14,$DJ$3:$DJ$14)*1000</f>
        <v>4189.6076233645917</v>
      </c>
      <c r="AU31" s="35">
        <f>_xlfn.FORECAST.LINEAR(Sheet3!CP31,$DP$3:$DP$14,$DJ$3:$DJ$14)*1000</f>
        <v>4189.4375452122358</v>
      </c>
      <c r="AV31" s="289">
        <f t="shared" si="18"/>
        <v>1.4026686536768121E-7</v>
      </c>
      <c r="AW31" s="35">
        <f t="shared" si="19"/>
        <v>1.4473478499518212E-7</v>
      </c>
      <c r="AX31" s="35">
        <f t="shared" si="20"/>
        <v>1.4422467659329663E-7</v>
      </c>
      <c r="AY31" s="35">
        <f t="shared" si="21"/>
        <v>1.4369480761150679E-7</v>
      </c>
      <c r="AZ31" s="35">
        <f t="shared" si="22"/>
        <v>1.4314977742101026E-7</v>
      </c>
      <c r="BA31" s="35">
        <f t="shared" si="23"/>
        <v>1.425941625091525E-7</v>
      </c>
      <c r="BB31" s="35">
        <f t="shared" si="24"/>
        <v>1.4203251504237007E-7</v>
      </c>
      <c r="BC31" s="35">
        <f t="shared" si="25"/>
        <v>1.4146936196137159E-7</v>
      </c>
      <c r="BD31" s="35">
        <f t="shared" si="26"/>
        <v>1.4090920460091268E-7</v>
      </c>
      <c r="BE31" s="289">
        <f t="shared" si="3"/>
        <v>9.716886634346956</v>
      </c>
      <c r="BF31" s="35">
        <f t="shared" si="27"/>
        <v>6.4983304300816203</v>
      </c>
      <c r="BG31" s="35">
        <f t="shared" si="28"/>
        <v>6.779612006804415</v>
      </c>
      <c r="BH31" s="35">
        <f t="shared" si="29"/>
        <v>7.0919505051794252</v>
      </c>
      <c r="BI31" s="35">
        <f t="shared" si="30"/>
        <v>7.4362067661689366</v>
      </c>
      <c r="BJ31" s="35">
        <f t="shared" si="31"/>
        <v>7.8128808778466832</v>
      </c>
      <c r="BK31" s="35">
        <f t="shared" si="32"/>
        <v>8.221964657399905</v>
      </c>
      <c r="BL31" s="35">
        <f t="shared" si="33"/>
        <v>8.6627841775623686</v>
      </c>
      <c r="BM31" s="35">
        <f t="shared" si="34"/>
        <v>9.133837732321199</v>
      </c>
      <c r="BN31" s="289">
        <f t="shared" si="35"/>
        <v>1.4815956307990053E-3</v>
      </c>
      <c r="BO31" s="35">
        <f t="shared" si="36"/>
        <v>1.5287888876064088E-3</v>
      </c>
      <c r="BP31" s="35">
        <f t="shared" si="37"/>
        <v>1.5234007699102851E-3</v>
      </c>
      <c r="BQ31" s="35">
        <f t="shared" si="38"/>
        <v>1.5178039273041725E-3</v>
      </c>
      <c r="BR31" s="35">
        <f t="shared" si="39"/>
        <v>1.5120469415272643E-3</v>
      </c>
      <c r="BS31" s="35">
        <f t="shared" si="40"/>
        <v>1.5061781526036844E-3</v>
      </c>
      <c r="BT31" s="35">
        <f t="shared" si="41"/>
        <v>1.5002456436632944E-3</v>
      </c>
      <c r="BU31" s="35">
        <f t="shared" si="42"/>
        <v>1.4942972313843771E-3</v>
      </c>
      <c r="BV31" s="35">
        <f t="shared" si="43"/>
        <v>1.4883804619774299E-3</v>
      </c>
      <c r="BW31" s="289">
        <f t="shared" si="44"/>
        <v>4.8872618055649408E-2</v>
      </c>
      <c r="BX31" s="35">
        <f t="shared" si="45"/>
        <v>4.4543949911553908E-2</v>
      </c>
      <c r="BY31" s="35">
        <f t="shared" si="46"/>
        <v>4.4978622521518394E-2</v>
      </c>
      <c r="BZ31" s="35">
        <f t="shared" si="47"/>
        <v>4.5446112611404459E-2</v>
      </c>
      <c r="CA31" s="35">
        <f t="shared" si="48"/>
        <v>4.594418806449295E-2</v>
      </c>
      <c r="CB31" s="35">
        <f t="shared" si="49"/>
        <v>4.6470065525097949E-2</v>
      </c>
      <c r="CC31" s="35">
        <f t="shared" si="50"/>
        <v>4.702035386643999E-2</v>
      </c>
      <c r="CD31" s="35">
        <f t="shared" si="51"/>
        <v>4.7591020752963294E-2</v>
      </c>
      <c r="CE31" s="35">
        <f t="shared" si="52"/>
        <v>4.8177383655063501E-2</v>
      </c>
      <c r="CF31" s="289">
        <f t="shared" si="7"/>
        <v>11.740694983352396</v>
      </c>
      <c r="CG31" s="35">
        <f t="shared" si="8"/>
        <v>35.767625546729462</v>
      </c>
      <c r="CH31" s="35">
        <f t="shared" si="9"/>
        <v>34.708921813267743</v>
      </c>
      <c r="CI31" s="35">
        <f t="shared" si="10"/>
        <v>33.588345320625017</v>
      </c>
      <c r="CJ31" s="35">
        <f t="shared" si="11"/>
        <v>32.414809184089798</v>
      </c>
      <c r="CK31" s="35">
        <f t="shared" si="12"/>
        <v>31.198212502749179</v>
      </c>
      <c r="CL31" s="35">
        <f t="shared" si="13"/>
        <v>29.949366637655668</v>
      </c>
      <c r="CM31" s="35">
        <f t="shared" si="14"/>
        <v>28.679863158795229</v>
      </c>
      <c r="CN31" s="35">
        <f t="shared" si="15"/>
        <v>27.401898190557297</v>
      </c>
      <c r="CO31" s="289">
        <f t="shared" si="53"/>
        <v>493.67504601582544</v>
      </c>
      <c r="CP31" s="35">
        <f t="shared" si="54"/>
        <v>1543.2175638317206</v>
      </c>
      <c r="CQ31" s="35">
        <f t="shared" si="55"/>
        <v>1493.2118651239712</v>
      </c>
      <c r="CR31" s="35">
        <f t="shared" si="56"/>
        <v>1440.6481030013636</v>
      </c>
      <c r="CS31" s="35">
        <f t="shared" si="57"/>
        <v>1385.9841696183519</v>
      </c>
      <c r="CT31" s="35">
        <f t="shared" si="58"/>
        <v>1329.7114605788927</v>
      </c>
      <c r="CU31" s="35">
        <f t="shared" si="59"/>
        <v>1272.3502275882831</v>
      </c>
      <c r="CV31" s="35">
        <f t="shared" si="60"/>
        <v>1214.4427115368121</v>
      </c>
      <c r="CW31" s="35">
        <f t="shared" si="61"/>
        <v>1156.544771479287</v>
      </c>
      <c r="DE31" s="229">
        <v>32</v>
      </c>
      <c r="DF31" s="230">
        <v>0.76439999999999997</v>
      </c>
      <c r="DG31" s="230">
        <v>0.76819999999999999</v>
      </c>
      <c r="DH31" s="230">
        <v>0.995</v>
      </c>
      <c r="DU31" s="197">
        <v>220</v>
      </c>
      <c r="DV31" s="194">
        <v>0.84021999999999997</v>
      </c>
      <c r="DW31" s="194">
        <v>840.22</v>
      </c>
      <c r="DX31" s="194">
        <v>1.6303000000000001</v>
      </c>
      <c r="DY31" s="194">
        <v>52.453200000000002</v>
      </c>
      <c r="DZ31" s="194">
        <v>7.0119999999999996</v>
      </c>
      <c r="EA31" s="194">
        <v>8.2396999999999991</v>
      </c>
      <c r="EB31" s="194">
        <v>52.453000000000003</v>
      </c>
      <c r="EC31" s="198">
        <v>16</v>
      </c>
    </row>
    <row r="32" spans="1:133" ht="15" thickBot="1" x14ac:dyDescent="0.35">
      <c r="A32" s="184" t="str">
        <f>'Su K. oro stendu'!B77</f>
        <v>20.12.2022</v>
      </c>
      <c r="B32" s="289">
        <f>Sheet3!DD32</f>
        <v>8.74</v>
      </c>
      <c r="C32" s="289">
        <f>_xlfn.FORECAST.LINEAR(Sheet3!DD32,$DW$3:$DW$24,$DU$3:$DU$24)</f>
        <v>1001.7175335358883</v>
      </c>
      <c r="D32" s="35">
        <f>_xlfn.FORECAST.LINEAR(Sheet3!CI32,'Cooling water'!$DW$3:$DW$24,'Cooling water'!$DU$3:$DU$24)</f>
        <v>995.51399122565067</v>
      </c>
      <c r="E32" s="35">
        <f>_xlfn.FORECAST.LINEAR(Sheet3!CJ32,'Cooling water'!$DW$3:$DW$24,'Cooling water'!$DU$3:$DU$24)</f>
        <v>996.2179717749392</v>
      </c>
      <c r="F32" s="35">
        <f>_xlfn.FORECAST.LINEAR(Sheet3!CK32,'Cooling water'!$DW$3:$DW$24,'Cooling water'!$DU$3:$DU$24)</f>
        <v>996.94553335540388</v>
      </c>
      <c r="G32" s="35">
        <f>_xlfn.FORECAST.LINEAR(Sheet3!CL32,'Cooling water'!$DW$3:$DW$24,'Cooling water'!$DU$3:$DU$24)</f>
        <v>997.69297868520289</v>
      </c>
      <c r="H32" s="35">
        <f>_xlfn.FORECAST.LINEAR(Sheet3!CM32,'Cooling water'!$DW$3:$DW$24,'Cooling water'!$DU$3:$DU$24)</f>
        <v>998.45661048249394</v>
      </c>
      <c r="I32" s="35">
        <f>_xlfn.FORECAST.LINEAR(Sheet3!CN32,'Cooling water'!$DW$3:$DW$24,'Cooling water'!$DU$3:$DU$24)</f>
        <v>999.23273146543499</v>
      </c>
      <c r="J32" s="35">
        <f>_xlfn.FORECAST.LINEAR(Sheet3!CO32,'Cooling water'!$DW$3:$DW$24,'Cooling water'!$DU$3:$DU$24)</f>
        <v>1000.0176443521841</v>
      </c>
      <c r="K32" s="35">
        <f>_xlfn.FORECAST.LINEAR(Sheet3!CP32,'Cooling water'!$DW$3:$DW$24,'Cooling water'!$DU$3:$DU$24)</f>
        <v>1000.8076518608991</v>
      </c>
      <c r="L32" s="289">
        <f t="shared" si="17"/>
        <v>1.3568854111414286E-3</v>
      </c>
      <c r="M32" s="35">
        <f xml:space="preserve"> 0.0000000000330128*((Sheet3!CI32+273)^(4)) - 0.0000000448315*((Sheet3!CI32+273)^(3)) + 0.0000228887*((Sheet3!CI32+273)^(2)) - 0.00521331*((Sheet3!CI32+273)) + 0.447905</f>
        <v>9.159090528874092E-4</v>
      </c>
      <c r="N32" s="35">
        <f xml:space="preserve"> 0.0000000000330128*((Sheet3!CJ32+273)^(4)) - 0.0000000448315*((Sheet3!CJ32+273)^(3)) + 0.0000228887*((Sheet3!CJ32+273)^(2)) - 0.00521331*((Sheet3!CJ32+273)) + 0.447905</f>
        <v>9.5417219046711743E-4</v>
      </c>
      <c r="O32" s="35">
        <f xml:space="preserve"> 0.0000000000330128*((Sheet3!CK32+273)^(4)) - 0.0000000448315*((Sheet3!CK32+273)^(3)) + 0.0000228887*((Sheet3!CK32+273)^(2)) - 0.00521331*((Sheet3!CK32+273)) + 0.447905</f>
        <v>9.964461057503371E-4</v>
      </c>
      <c r="P32" s="35">
        <f xml:space="preserve"> 0.0000000000330128*((Sheet3!CL32+273)^(4)) - 0.0000000448315*((Sheet3!CL32+273)^(3)) + 0.0000228887*((Sheet3!CL32+273)^(2)) - 0.00521331*((Sheet3!CL32+273)) + 0.447905</f>
        <v>1.0429658913548856E-3</v>
      </c>
      <c r="Q32" s="35">
        <f xml:space="preserve"> 0.0000000000330128*((Sheet3!CM32+273)^(4)) - 0.0000000448315*((Sheet3!CM32+273)^(3)) + 0.0000228887*((Sheet3!CM32+273)^(2)) - 0.00521331*((Sheet3!CM32+273)) + 0.447905</f>
        <v>1.0939532108349415E-3</v>
      </c>
      <c r="R32" s="35">
        <f xml:space="preserve"> 0.0000000000330128*((Sheet3!CN32+273)^(4)) - 0.0000000448315*((Sheet3!CN32+273)^(3)) + 0.0000228887*((Sheet3!CN32+273)^(2)) - 0.00521331*((Sheet3!CN32+273)) + 0.447905</f>
        <v>1.149605569439327E-3</v>
      </c>
      <c r="S32" s="35">
        <f xml:space="preserve"> 0.0000000000330128*((Sheet3!CO32+273)^(4)) - 0.0000000448315*((Sheet3!CO32+273)^(3)) + 0.0000228887*((Sheet3!CO32+273)^(2)) - 0.00521331*((Sheet3!CO32+273)) + 0.447905</f>
        <v>1.2100843338125333E-3</v>
      </c>
      <c r="T32" s="35">
        <f xml:space="preserve"> 0.0000000000330128*((Sheet3!CP32+273)^(4)) - 0.0000000448315*((Sheet3!CP32+273)^(3)) + 0.0000228887*((Sheet3!CP32+273)^(2)) - 0.00521331*((Sheet3!CP32+273)) + 0.447905</f>
        <v>1.2755016876668801E-3</v>
      </c>
      <c r="U32" s="289">
        <f>(Sheet3!DC32*0.014*0.001*C32) / (L32*0.00015*3600*3)</f>
        <v>3186.7692370518221</v>
      </c>
      <c r="V32" s="35">
        <f>(Sheet3!$DC32*0.014*0.001*D32) / (M32*0.00015*3600*3)</f>
        <v>4691.8436372877704</v>
      </c>
      <c r="W32" s="35">
        <f>(Sheet3!$DC32*0.014*0.001*E32) / (N32*0.00015*3600*3)</f>
        <v>4506.8814145483666</v>
      </c>
      <c r="X32" s="35">
        <f>(Sheet3!$DC32*0.014*0.001*F32) / (O32*0.00015*3600*3)</f>
        <v>4318.8302181952085</v>
      </c>
      <c r="Y32" s="35">
        <f>(Sheet3!$DC32*0.014*0.001*G32) / (P32*0.00015*3600*3)</f>
        <v>4129.289423897726</v>
      </c>
      <c r="Z32" s="35">
        <f>(Sheet3!$DC32*0.014*0.001*H32) / (Q32*0.00015*3600*3)</f>
        <v>3939.8434283064335</v>
      </c>
      <c r="AA32" s="35">
        <f>(Sheet3!$DC32*0.014*0.001*I32) / (R32*0.00015*3600*3)</f>
        <v>3752.030034321067</v>
      </c>
      <c r="AB32" s="35">
        <f>(Sheet3!$DC32*0.014*0.001*J32) / (S32*0.00015*3600*3)</f>
        <v>3567.3074271221385</v>
      </c>
      <c r="AC32" s="35">
        <f>(Sheet3!$DC32*0.014*0.001*K32) / (T32*0.00015*3600*3)</f>
        <v>3387.0225906444789</v>
      </c>
      <c r="AD32" s="289">
        <f t="shared" si="0"/>
        <v>0.58891213841101409</v>
      </c>
      <c r="AE32" s="35">
        <f>_xlfn.FORECAST.LINEAR(Sheet3!CI32,$DA$3:$DA$12,$CZ$3:$CZ$12)/1000</f>
        <v>0.60504802355570342</v>
      </c>
      <c r="AF32" s="35">
        <f>_xlfn.FORECAST.LINEAR(Sheet3!CJ32,$DA$3:$DA$12,$CZ$3:$CZ$12)/1000</f>
        <v>0.60321691663012178</v>
      </c>
      <c r="AG32" s="35">
        <f>_xlfn.FORECAST.LINEAR(Sheet3!CK32,$DA$3:$DA$12,$CZ$3:$CZ$12)/1000</f>
        <v>0.60132447364981134</v>
      </c>
      <c r="AH32" s="35">
        <f>_xlfn.FORECAST.LINEAR(Sheet3!CL32,$DA$3:$DA$12,$CZ$3:$CZ$12)/1000</f>
        <v>0.59938031152591209</v>
      </c>
      <c r="AI32" s="35">
        <f>_xlfn.FORECAST.LINEAR(Sheet3!CM32,$DA$3:$DA$12,$CZ$3:$CZ$12)/1000</f>
        <v>0.59739404716956424</v>
      </c>
      <c r="AJ32" s="35">
        <f>_xlfn.FORECAST.LINEAR(Sheet3!CN32,$DA$3:$DA$12,$CZ$3:$CZ$12)/1000</f>
        <v>0.59537529749190776</v>
      </c>
      <c r="AK32" s="35">
        <f>_xlfn.FORECAST.LINEAR(Sheet3!CO32,$DA$3:$DA$12,$CZ$3:$CZ$12)/1000</f>
        <v>0.59333367940408255</v>
      </c>
      <c r="AL32" s="35">
        <f>_xlfn.FORECAST.LINEAR(Sheet3!CP32,$DA$3:$DA$12,$CZ$3:$CZ$12)/1000</f>
        <v>0.59127880981722891</v>
      </c>
      <c r="AM32" s="289">
        <f t="shared" si="1"/>
        <v>4189.2631079196526</v>
      </c>
      <c r="AN32" s="35">
        <f>_xlfn.FORECAST.LINEAR(Sheet3!CI32,$DP$3:$DP$14,$DJ$3:$DJ$14)*1000</f>
        <v>4190.6830880757861</v>
      </c>
      <c r="AO32" s="35">
        <f>_xlfn.FORECAST.LINEAR(Sheet3!CJ32,$DP$3:$DP$14,$DJ$3:$DJ$14)*1000</f>
        <v>4190.5219481398753</v>
      </c>
      <c r="AP32" s="35">
        <f>_xlfn.FORECAST.LINEAR(Sheet3!CK32,$DP$3:$DP$14,$DJ$3:$DJ$14)*1000</f>
        <v>4190.35541054652</v>
      </c>
      <c r="AQ32" s="35">
        <f>_xlfn.FORECAST.LINEAR(Sheet3!CL32,$DP$3:$DP$14,$DJ$3:$DJ$14)*1000</f>
        <v>4190.1843215971694</v>
      </c>
      <c r="AR32" s="35">
        <f>_xlfn.FORECAST.LINEAR(Sheet3!CM32,$DP$3:$DP$14,$DJ$3:$DJ$14)*1000</f>
        <v>4190.0095275932727</v>
      </c>
      <c r="AS32" s="35">
        <f>_xlfn.FORECAST.LINEAR(Sheet3!CN32,$DP$3:$DP$14,$DJ$3:$DJ$14)*1000</f>
        <v>4189.8318748362799</v>
      </c>
      <c r="AT32" s="35">
        <f>_xlfn.FORECAST.LINEAR(Sheet3!CO32,$DP$3:$DP$14,$DJ$3:$DJ$14)*1000</f>
        <v>4189.6522096276403</v>
      </c>
      <c r="AU32" s="35">
        <f>_xlfn.FORECAST.LINEAR(Sheet3!CP32,$DP$3:$DP$14,$DJ$3:$DJ$14)*1000</f>
        <v>4189.4713782688013</v>
      </c>
      <c r="AV32" s="289">
        <f t="shared" si="18"/>
        <v>1.403355151453917E-7</v>
      </c>
      <c r="AW32" s="35">
        <f t="shared" si="19"/>
        <v>1.4502993725504083E-7</v>
      </c>
      <c r="AX32" s="35">
        <f t="shared" si="20"/>
        <v>1.4449440154252169E-7</v>
      </c>
      <c r="AY32" s="35">
        <f t="shared" si="21"/>
        <v>1.4394168692343199E-7</v>
      </c>
      <c r="AZ32" s="35">
        <f t="shared" si="22"/>
        <v>1.4337466947949433E-7</v>
      </c>
      <c r="BA32" s="35">
        <f t="shared" si="23"/>
        <v>1.4279621088268514E-7</v>
      </c>
      <c r="BB32" s="35">
        <f t="shared" si="24"/>
        <v>1.4220915750095131E-7</v>
      </c>
      <c r="BC32" s="35">
        <f t="shared" si="25"/>
        <v>1.4161633971358399E-7</v>
      </c>
      <c r="BD32" s="35">
        <f t="shared" si="26"/>
        <v>1.4102057143331583E-7</v>
      </c>
      <c r="BE32" s="289">
        <f t="shared" si="3"/>
        <v>9.6522887266452475</v>
      </c>
      <c r="BF32" s="35">
        <f t="shared" si="27"/>
        <v>6.3437684757553905</v>
      </c>
      <c r="BG32" s="35">
        <f t="shared" si="28"/>
        <v>6.6285931249983987</v>
      </c>
      <c r="BH32" s="35">
        <f t="shared" si="29"/>
        <v>6.9437774671059982</v>
      </c>
      <c r="BI32" s="35">
        <f t="shared" si="30"/>
        <v>7.2912293611881971</v>
      </c>
      <c r="BJ32" s="35">
        <f t="shared" si="31"/>
        <v>7.6727821407946291</v>
      </c>
      <c r="BK32" s="35">
        <f t="shared" si="32"/>
        <v>8.0901140484278695</v>
      </c>
      <c r="BL32" s="35">
        <f t="shared" si="33"/>
        <v>8.5446565380973851</v>
      </c>
      <c r="BM32" s="35">
        <f t="shared" si="34"/>
        <v>9.0374925072416161</v>
      </c>
      <c r="BN32" s="289">
        <f t="shared" si="35"/>
        <v>1.3932924835174021E-3</v>
      </c>
      <c r="BO32" s="35">
        <f t="shared" si="36"/>
        <v>1.4399000940930693E-3</v>
      </c>
      <c r="BP32" s="35">
        <f t="shared" si="37"/>
        <v>1.4345831372120181E-3</v>
      </c>
      <c r="BQ32" s="35">
        <f t="shared" si="38"/>
        <v>1.4290956230677194E-3</v>
      </c>
      <c r="BR32" s="35">
        <f t="shared" si="39"/>
        <v>1.4234661062498051E-3</v>
      </c>
      <c r="BS32" s="35">
        <f t="shared" si="40"/>
        <v>1.4177229982836911E-3</v>
      </c>
      <c r="BT32" s="35">
        <f t="shared" si="41"/>
        <v>1.4118945587518607E-3</v>
      </c>
      <c r="BU32" s="35">
        <f t="shared" si="42"/>
        <v>1.4060088884966966E-3</v>
      </c>
      <c r="BV32" s="35">
        <f t="shared" si="43"/>
        <v>1.4000939248757223E-3</v>
      </c>
      <c r="BW32" s="289">
        <f t="shared" si="44"/>
        <v>4.8047361976633125E-2</v>
      </c>
      <c r="BX32" s="35">
        <f t="shared" si="45"/>
        <v>4.3618559543139417E-2</v>
      </c>
      <c r="BY32" s="35">
        <f t="shared" si="46"/>
        <v>4.4059358456747834E-2</v>
      </c>
      <c r="BZ32" s="35">
        <f t="shared" si="47"/>
        <v>4.4531330289634935E-2</v>
      </c>
      <c r="CA32" s="35">
        <f t="shared" si="48"/>
        <v>4.5033776793520774E-2</v>
      </c>
      <c r="CB32" s="35">
        <f t="shared" si="49"/>
        <v>4.5565638587074797E-2</v>
      </c>
      <c r="CC32" s="35">
        <f t="shared" si="50"/>
        <v>4.6125450976842321E-2</v>
      </c>
      <c r="CD32" s="35">
        <f t="shared" si="51"/>
        <v>4.6711312185999901E-2</v>
      </c>
      <c r="CE32" s="35">
        <f t="shared" si="52"/>
        <v>4.7320865423115123E-2</v>
      </c>
      <c r="CF32" s="289">
        <f t="shared" si="7"/>
        <v>28.311714074261076</v>
      </c>
      <c r="CG32" s="35">
        <f t="shared" si="8"/>
        <v>38.980667559627072</v>
      </c>
      <c r="CH32" s="35">
        <f t="shared" si="9"/>
        <v>37.840174818625734</v>
      </c>
      <c r="CI32" s="35">
        <f t="shared" si="10"/>
        <v>36.638942056193386</v>
      </c>
      <c r="CJ32" s="35">
        <f t="shared" si="11"/>
        <v>35.382567279540964</v>
      </c>
      <c r="CK32" s="35">
        <f t="shared" si="12"/>
        <v>34.077498516844649</v>
      </c>
      <c r="CL32" s="35">
        <f t="shared" si="13"/>
        <v>32.730991358407913</v>
      </c>
      <c r="CM32" s="35">
        <f t="shared" si="14"/>
        <v>31.351020783171489</v>
      </c>
      <c r="CN32" s="35">
        <f t="shared" si="15"/>
        <v>29.946154573588533</v>
      </c>
      <c r="CO32" s="289">
        <f t="shared" si="53"/>
        <v>1190.9365769681638</v>
      </c>
      <c r="CP32" s="35">
        <f t="shared" si="54"/>
        <v>1684.655418845306</v>
      </c>
      <c r="CQ32" s="35">
        <f t="shared" si="55"/>
        <v>1630.4166842025852</v>
      </c>
      <c r="CR32" s="35">
        <f t="shared" si="56"/>
        <v>1573.7066105018873</v>
      </c>
      <c r="CS32" s="35">
        <f t="shared" si="57"/>
        <v>1514.829585614129</v>
      </c>
      <c r="CT32" s="35">
        <f t="shared" si="58"/>
        <v>1454.1210540280463</v>
      </c>
      <c r="CU32" s="35">
        <f t="shared" si="59"/>
        <v>1391.944551229798</v>
      </c>
      <c r="CV32" s="35">
        <f t="shared" si="60"/>
        <v>1328.6868938823573</v>
      </c>
      <c r="CW32" s="35">
        <f t="shared" si="61"/>
        <v>1264.7519024910139</v>
      </c>
      <c r="DE32" s="229">
        <v>33</v>
      </c>
      <c r="DF32" s="230">
        <v>0.74880000000000002</v>
      </c>
      <c r="DG32" s="230">
        <v>0.75280000000000002</v>
      </c>
      <c r="DH32" s="230">
        <v>0.99470000000000003</v>
      </c>
      <c r="DU32" s="197">
        <v>240</v>
      </c>
      <c r="DV32" s="194">
        <v>0.81337000000000004</v>
      </c>
      <c r="DW32" s="194">
        <v>813.37</v>
      </c>
      <c r="DX32" s="194">
        <v>1.5782</v>
      </c>
      <c r="DY32" s="194">
        <v>50.777000000000001</v>
      </c>
      <c r="DZ32" s="194">
        <v>6.7878999999999996</v>
      </c>
      <c r="EA32" s="194">
        <v>7.9763999999999999</v>
      </c>
      <c r="EB32" s="194">
        <v>50.777000000000001</v>
      </c>
      <c r="EC32" s="198">
        <v>18.600000000000001</v>
      </c>
    </row>
    <row r="33" spans="1:133" ht="15" thickBot="1" x14ac:dyDescent="0.35">
      <c r="A33" s="184" t="str">
        <f>'Su K. oro stendu'!B78</f>
        <v>22.12.2022</v>
      </c>
      <c r="B33" s="289">
        <f>Sheet3!DD33</f>
        <v>8.49</v>
      </c>
      <c r="C33" s="289">
        <f>_xlfn.FORECAST.LINEAR(Sheet3!DD33,$DW$3:$DW$24,$DU$3:$DU$24)</f>
        <v>1001.8212457767399</v>
      </c>
      <c r="D33" s="35">
        <f>_xlfn.FORECAST.LINEAR(Sheet3!CI33,'Cooling water'!$DW$3:$DW$24,'Cooling water'!$DU$3:$DU$24)</f>
        <v>994.44524405597872</v>
      </c>
      <c r="E33" s="35">
        <f>_xlfn.FORECAST.LINEAR(Sheet3!CJ33,'Cooling water'!$DW$3:$DW$24,'Cooling water'!$DU$3:$DU$24)</f>
        <v>995.33196370758913</v>
      </c>
      <c r="F33" s="35">
        <f>_xlfn.FORECAST.LINEAR(Sheet3!CK33,'Cooling water'!$DW$3:$DW$24,'Cooling water'!$DU$3:$DU$24)</f>
        <v>996.20672361954757</v>
      </c>
      <c r="G33" s="35">
        <f>_xlfn.FORECAST.LINEAR(Sheet3!CL33,'Cooling water'!$DW$3:$DW$24,'Cooling water'!$DU$3:$DU$24)</f>
        <v>997.07762888651325</v>
      </c>
      <c r="H33" s="35">
        <f>_xlfn.FORECAST.LINEAR(Sheet3!CM33,'Cooling water'!$DW$3:$DW$24,'Cooling water'!$DU$3:$DU$24)</f>
        <v>997.95278460314512</v>
      </c>
      <c r="I33" s="35">
        <f>_xlfn.FORECAST.LINEAR(Sheet3!CN33,'Cooling water'!$DW$3:$DW$24,'Cooling water'!$DU$3:$DU$24)</f>
        <v>998.84029586410213</v>
      </c>
      <c r="J33" s="35">
        <f>_xlfn.FORECAST.LINEAR(Sheet3!CO33,'Cooling water'!$DW$3:$DW$24,'Cooling water'!$DU$3:$DU$24)</f>
        <v>999.74826776404348</v>
      </c>
      <c r="K33" s="35">
        <f>_xlfn.FORECAST.LINEAR(Sheet3!CP33,'Cooling water'!$DW$3:$DW$24,'Cooling water'!$DU$3:$DU$24)</f>
        <v>1000.6848053976281</v>
      </c>
      <c r="L33" s="289">
        <f t="shared" si="17"/>
        <v>1.3665921214254251E-3</v>
      </c>
      <c r="M33" s="35">
        <f xml:space="preserve"> 0.0000000000330128*((Sheet3!CI33+273)^(4)) - 0.0000000448315*((Sheet3!CI33+273)^(3)) + 0.0000228887*((Sheet3!CI33+273)^(2)) - 0.00521331*((Sheet3!CI33+273)) + 0.447905</f>
        <v>8.6240356237743399E-4</v>
      </c>
      <c r="N33" s="35">
        <f xml:space="preserve"> 0.0000000000330128*((Sheet3!CJ33+273)^(4)) - 0.0000000448315*((Sheet3!CJ33+273)^(3)) + 0.0000228887*((Sheet3!CJ33+273)^(2)) - 0.00521331*((Sheet3!CJ33+273)) + 0.447905</f>
        <v>9.0641681187708656E-4</v>
      </c>
      <c r="O33" s="35">
        <f xml:space="preserve"> 0.0000000000330128*((Sheet3!CK33+273)^(4)) - 0.0000000448315*((Sheet3!CK33+273)^(3)) + 0.0000228887*((Sheet3!CK33+273)^(2)) - 0.00521331*((Sheet3!CK33+273)) + 0.447905</f>
        <v>9.5354088155197303E-4</v>
      </c>
      <c r="P33" s="35">
        <f xml:space="preserve"> 0.0000000000330128*((Sheet3!CL33+273)^(4)) - 0.0000000448315*((Sheet3!CL33+273)^(3)) + 0.0000228887*((Sheet3!CL33+273)^(2)) - 0.00521331*((Sheet3!CL33+273)) + 0.447905</f>
        <v>1.0044336645247398E-3</v>
      </c>
      <c r="Q33" s="35">
        <f xml:space="preserve"> 0.0000000000330128*((Sheet3!CM33+273)^(4)) - 0.0000000448315*((Sheet3!CM33+273)^(3)) + 0.0000228887*((Sheet3!CM33+273)^(2)) - 0.00521331*((Sheet3!CM33+273)) + 0.447905</f>
        <v>1.0599087356029102E-3</v>
      </c>
      <c r="R33" s="35">
        <f xml:space="preserve"> 0.0000000000330128*((Sheet3!CN33+273)^(4)) - 0.0000000448315*((Sheet3!CN33+273)^(3)) + 0.0000228887*((Sheet3!CN33+273)^(2)) - 0.00521331*((Sheet3!CN33+273)) + 0.447905</f>
        <v>1.1209669331706529E-3</v>
      </c>
      <c r="S33" s="35">
        <f xml:space="preserve"> 0.0000000000330128*((Sheet3!CO33+273)^(4)) - 0.0000000448315*((Sheet3!CO33+273)^(3)) + 0.0000228887*((Sheet3!CO33+273)^(2)) - 0.00521331*((Sheet3!CO33+273)) + 0.447905</f>
        <v>1.1888355915867788E-3</v>
      </c>
      <c r="T33" s="35">
        <f xml:space="preserve"> 0.0000000000330128*((Sheet3!CP33+273)^(4)) - 0.0000000448315*((Sheet3!CP33+273)^(3)) + 0.0000228887*((Sheet3!CP33+273)^(2)) - 0.00521331*((Sheet3!CP33+273)) + 0.447905</f>
        <v>1.2650179046214127E-3</v>
      </c>
      <c r="U33" s="289">
        <f>(Sheet3!DC33*0.014*0.001*C33) / (L33*0.00015*3600*3)</f>
        <v>3307.0049814547001</v>
      </c>
      <c r="V33" s="35">
        <f>(Sheet3!$DC33*0.014*0.001*D33) / (M33*0.00015*3600*3)</f>
        <v>5201.8024803672952</v>
      </c>
      <c r="W33" s="35">
        <f>(Sheet3!$DC33*0.014*0.001*E33) / (N33*0.00015*3600*3)</f>
        <v>4953.6295243983359</v>
      </c>
      <c r="X33" s="35">
        <f>(Sheet3!$DC33*0.014*0.001*F33) / (O33*0.00015*3600*3)</f>
        <v>4712.959147141496</v>
      </c>
      <c r="Y33" s="35">
        <f>(Sheet3!$DC33*0.014*0.001*G33) / (P33*0.00015*3600*3)</f>
        <v>4478.0736938347454</v>
      </c>
      <c r="Z33" s="35">
        <f>(Sheet3!$DC33*0.014*0.001*H33) / (Q33*0.00015*3600*3)</f>
        <v>4247.4184274240461</v>
      </c>
      <c r="AA33" s="35">
        <f>(Sheet3!$DC33*0.014*0.001*I33) / (R33*0.00015*3600*3)</f>
        <v>4019.6364616690244</v>
      </c>
      <c r="AB33" s="35">
        <f>(Sheet3!$DC33*0.014*0.001*J33) / (S33*0.00015*3600*3)</f>
        <v>3793.6074179986881</v>
      </c>
      <c r="AC33" s="35">
        <f>(Sheet3!$DC33*0.014*0.001*K33) / (T33*0.00015*3600*3)</f>
        <v>3568.4873137825548</v>
      </c>
      <c r="AD33" s="289">
        <f t="shared" si="0"/>
        <v>0.58864237498831284</v>
      </c>
      <c r="AE33" s="35">
        <f>_xlfn.FORECAST.LINEAR(Sheet3!CI33,$DA$3:$DA$12,$CZ$3:$CZ$12)/1000</f>
        <v>0.60782791619060628</v>
      </c>
      <c r="AF33" s="35">
        <f>_xlfn.FORECAST.LINEAR(Sheet3!CJ33,$DA$3:$DA$12,$CZ$3:$CZ$12)/1000</f>
        <v>0.60552149096798602</v>
      </c>
      <c r="AG33" s="35">
        <f>_xlfn.FORECAST.LINEAR(Sheet3!CK33,$DA$3:$DA$12,$CZ$3:$CZ$12)/1000</f>
        <v>0.60324617393738444</v>
      </c>
      <c r="AH33" s="35">
        <f>_xlfn.FORECAST.LINEAR(Sheet3!CL33,$DA$3:$DA$12,$CZ$3:$CZ$12)/1000</f>
        <v>0.60098088313144105</v>
      </c>
      <c r="AI33" s="35">
        <f>_xlfn.FORECAST.LINEAR(Sheet3!CM33,$DA$3:$DA$12,$CZ$3:$CZ$12)/1000</f>
        <v>0.59870453658279499</v>
      </c>
      <c r="AJ33" s="35">
        <f>_xlfn.FORECAST.LINEAR(Sheet3!CN33,$DA$3:$DA$12,$CZ$3:$CZ$12)/1000</f>
        <v>0.59639605232408555</v>
      </c>
      <c r="AK33" s="35">
        <f>_xlfn.FORECAST.LINEAR(Sheet3!CO33,$DA$3:$DA$12,$CZ$3:$CZ$12)/1000</f>
        <v>0.59403434838795199</v>
      </c>
      <c r="AL33" s="35">
        <f>_xlfn.FORECAST.LINEAR(Sheet3!CP33,$DA$3:$DA$12,$CZ$3:$CZ$12)/1000</f>
        <v>0.59159834280703383</v>
      </c>
      <c r="AM33" s="289">
        <f t="shared" si="1"/>
        <v>4189.2393683662503</v>
      </c>
      <c r="AN33" s="35">
        <f>_xlfn.FORECAST.LINEAR(Sheet3!CI33,$DP$3:$DP$14,$DJ$3:$DJ$14)*1000</f>
        <v>4190.9277224631996</v>
      </c>
      <c r="AO33" s="35">
        <f>_xlfn.FORECAST.LINEAR(Sheet3!CJ33,$DP$3:$DP$14,$DJ$3:$DJ$14)*1000</f>
        <v>4190.724753861331</v>
      </c>
      <c r="AP33" s="35">
        <f>_xlfn.FORECAST.LINEAR(Sheet3!CK33,$DP$3:$DP$14,$DJ$3:$DJ$14)*1000</f>
        <v>4190.5245228232825</v>
      </c>
      <c r="AQ33" s="35">
        <f>_xlfn.FORECAST.LINEAR(Sheet3!CL33,$DP$3:$DP$14,$DJ$3:$DJ$14)*1000</f>
        <v>4190.3251741068361</v>
      </c>
      <c r="AR33" s="35">
        <f>_xlfn.FORECAST.LINEAR(Sheet3!CM33,$DP$3:$DP$14,$DJ$3:$DJ$14)*1000</f>
        <v>4190.1248524697785</v>
      </c>
      <c r="AS33" s="35">
        <f>_xlfn.FORECAST.LINEAR(Sheet3!CN33,$DP$3:$DP$14,$DJ$3:$DJ$14)*1000</f>
        <v>4189.9217026698925</v>
      </c>
      <c r="AT33" s="35">
        <f>_xlfn.FORECAST.LINEAR(Sheet3!CO33,$DP$3:$DP$14,$DJ$3:$DJ$14)*1000</f>
        <v>4189.7138694649639</v>
      </c>
      <c r="AU33" s="35">
        <f>_xlfn.FORECAST.LINEAR(Sheet3!CP33,$DP$3:$DP$14,$DJ$3:$DJ$14)*1000</f>
        <v>4189.4994976127782</v>
      </c>
      <c r="AV33" s="289">
        <f t="shared" si="18"/>
        <v>1.4025750496030808E-7</v>
      </c>
      <c r="AW33" s="35">
        <f t="shared" si="19"/>
        <v>1.458443456625744E-7</v>
      </c>
      <c r="AX33" s="35">
        <f t="shared" si="20"/>
        <v>1.4516852800680822E-7</v>
      </c>
      <c r="AY33" s="35">
        <f t="shared" si="21"/>
        <v>1.4450295260898463E-7</v>
      </c>
      <c r="AZ33" s="35">
        <f t="shared" si="22"/>
        <v>1.4384141918160239E-7</v>
      </c>
      <c r="BA33" s="35">
        <f t="shared" si="23"/>
        <v>1.4317776897440724E-7</v>
      </c>
      <c r="BB33" s="35">
        <f t="shared" si="24"/>
        <v>1.4250588452395539E-7</v>
      </c>
      <c r="BC33" s="35">
        <f t="shared" si="25"/>
        <v>1.4181969035310204E-7</v>
      </c>
      <c r="BD33" s="35">
        <f t="shared" si="26"/>
        <v>1.4111315460252297E-7</v>
      </c>
      <c r="BE33" s="289">
        <f t="shared" ref="BE33:BE64" si="62">AM33*L33/AD33</f>
        <v>9.7257380012579073</v>
      </c>
      <c r="BF33" s="35">
        <f t="shared" si="27"/>
        <v>5.9462076374676167</v>
      </c>
      <c r="BG33" s="35">
        <f t="shared" si="28"/>
        <v>6.2731768029851898</v>
      </c>
      <c r="BH33" s="35">
        <f t="shared" si="29"/>
        <v>6.6238902462940983</v>
      </c>
      <c r="BI33" s="35">
        <f t="shared" si="30"/>
        <v>7.0033902713305851</v>
      </c>
      <c r="BJ33" s="35">
        <f t="shared" si="31"/>
        <v>7.4179326579821332</v>
      </c>
      <c r="BK33" s="35">
        <f t="shared" si="32"/>
        <v>7.8752427400622311</v>
      </c>
      <c r="BL33" s="35">
        <f t="shared" si="33"/>
        <v>8.384836634617967</v>
      </c>
      <c r="BM33" s="35">
        <f t="shared" si="34"/>
        <v>8.958429211846612</v>
      </c>
      <c r="BN33" s="289">
        <f t="shared" si="35"/>
        <v>1.3324956488136237E-3</v>
      </c>
      <c r="BO33" s="35">
        <f t="shared" si="36"/>
        <v>1.3855726012982079E-3</v>
      </c>
      <c r="BP33" s="35">
        <f t="shared" si="37"/>
        <v>1.3791520957719282E-3</v>
      </c>
      <c r="BQ33" s="35">
        <f t="shared" si="38"/>
        <v>1.3728288952999945E-3</v>
      </c>
      <c r="BR33" s="35">
        <f t="shared" si="39"/>
        <v>1.3665440949694808E-3</v>
      </c>
      <c r="BS33" s="35">
        <f t="shared" si="40"/>
        <v>1.3602391844859236E-3</v>
      </c>
      <c r="BT33" s="35">
        <f t="shared" si="41"/>
        <v>1.3538560457940869E-3</v>
      </c>
      <c r="BU33" s="35">
        <f t="shared" si="42"/>
        <v>1.3473369597233481E-3</v>
      </c>
      <c r="BV33" s="35">
        <f t="shared" si="43"/>
        <v>1.3406246214877266E-3</v>
      </c>
      <c r="BW33" s="289">
        <f t="shared" si="44"/>
        <v>4.760455278958841E-2</v>
      </c>
      <c r="BX33" s="35">
        <f t="shared" si="45"/>
        <v>4.2507810669183209E-2</v>
      </c>
      <c r="BY33" s="35">
        <f t="shared" si="46"/>
        <v>4.3030492930854793E-2</v>
      </c>
      <c r="BZ33" s="35">
        <f t="shared" si="47"/>
        <v>4.3569621095685608E-2</v>
      </c>
      <c r="CA33" s="35">
        <f t="shared" si="48"/>
        <v>4.4130047288838764E-2</v>
      </c>
      <c r="CB33" s="35">
        <f t="shared" si="49"/>
        <v>4.4717337779436123E-2</v>
      </c>
      <c r="CC33" s="35">
        <f t="shared" si="50"/>
        <v>4.5337806820214988E-2</v>
      </c>
      <c r="CD33" s="35">
        <f t="shared" si="51"/>
        <v>4.5998546154653597E-2</v>
      </c>
      <c r="CE33" s="35">
        <f t="shared" si="52"/>
        <v>4.6707450543501734E-2</v>
      </c>
      <c r="CF33" s="289">
        <f t="shared" si="7"/>
        <v>29.775480485364792</v>
      </c>
      <c r="CG33" s="35">
        <f t="shared" si="8"/>
        <v>42.649699797462752</v>
      </c>
      <c r="CH33" s="35">
        <f t="shared" si="9"/>
        <v>41.215846858055336</v>
      </c>
      <c r="CI33" s="35">
        <f t="shared" si="10"/>
        <v>39.764876383138827</v>
      </c>
      <c r="CJ33" s="35">
        <f t="shared" si="11"/>
        <v>38.286559992666476</v>
      </c>
      <c r="CK33" s="35">
        <f t="shared" si="12"/>
        <v>36.76981942753148</v>
      </c>
      <c r="CL33" s="35">
        <f t="shared" si="13"/>
        <v>35.202892874909089</v>
      </c>
      <c r="CM33" s="35">
        <f t="shared" si="14"/>
        <v>33.57354007340146</v>
      </c>
      <c r="CN33" s="35">
        <f t="shared" si="15"/>
        <v>31.869283045902659</v>
      </c>
      <c r="CO33" s="289">
        <f t="shared" si="53"/>
        <v>1251.936396380235</v>
      </c>
      <c r="CP33" s="35">
        <f t="shared" si="54"/>
        <v>1851.691296717622</v>
      </c>
      <c r="CQ33" s="35">
        <f t="shared" si="55"/>
        <v>1782.6486457855606</v>
      </c>
      <c r="CR33" s="35">
        <f t="shared" si="56"/>
        <v>1713.4292525158253</v>
      </c>
      <c r="CS33" s="35">
        <f t="shared" si="57"/>
        <v>1643.5350454612571</v>
      </c>
      <c r="CT33" s="35">
        <f t="shared" si="58"/>
        <v>1572.4469786138061</v>
      </c>
      <c r="CU33" s="35">
        <f t="shared" si="59"/>
        <v>1499.633310070247</v>
      </c>
      <c r="CV33" s="35">
        <f t="shared" si="60"/>
        <v>1424.5597143271307</v>
      </c>
      <c r="CW33" s="35">
        <f t="shared" si="61"/>
        <v>1346.7010740288795</v>
      </c>
      <c r="DE33" s="229">
        <v>34</v>
      </c>
      <c r="DF33" s="230">
        <v>0.73370000000000002</v>
      </c>
      <c r="DG33" s="230">
        <v>0.7379</v>
      </c>
      <c r="DH33" s="230">
        <v>0.99439999999999995</v>
      </c>
      <c r="DU33" s="197">
        <v>260</v>
      </c>
      <c r="DV33" s="194">
        <v>0.78363000000000005</v>
      </c>
      <c r="DW33" s="194">
        <v>783.63</v>
      </c>
      <c r="DX33" s="194">
        <v>1.5205</v>
      </c>
      <c r="DY33" s="194">
        <v>48.920400000000001</v>
      </c>
      <c r="DZ33" s="194">
        <v>6.5396999999999998</v>
      </c>
      <c r="EA33" s="194">
        <v>7.6848000000000001</v>
      </c>
      <c r="EB33" s="194">
        <v>48.92</v>
      </c>
      <c r="EC33" s="198">
        <v>22.1</v>
      </c>
    </row>
    <row r="34" spans="1:133" ht="15" thickBot="1" x14ac:dyDescent="0.35">
      <c r="A34" s="184" t="str">
        <f>'Su K. oro stendu'!B79</f>
        <v>22.12.2022</v>
      </c>
      <c r="B34" s="289">
        <f>Sheet3!DD34</f>
        <v>8.58</v>
      </c>
      <c r="C34" s="289">
        <f>_xlfn.FORECAST.LINEAR(Sheet3!DD34,$DW$3:$DW$24,$DU$3:$DU$24)</f>
        <v>1001.7839093700334</v>
      </c>
      <c r="D34" s="35">
        <f>_xlfn.FORECAST.LINEAR(Sheet3!CI34,'Cooling water'!$DW$3:$DW$24,'Cooling water'!$DU$3:$DU$24)</f>
        <v>994.44524405597872</v>
      </c>
      <c r="E34" s="35">
        <f>_xlfn.FORECAST.LINEAR(Sheet3!CJ34,'Cooling water'!$DW$3:$DW$24,'Cooling water'!$DU$3:$DU$24)</f>
        <v>995.33196370758913</v>
      </c>
      <c r="F34" s="35">
        <f>_xlfn.FORECAST.LINEAR(Sheet3!CK34,'Cooling water'!$DW$3:$DW$24,'Cooling water'!$DU$3:$DU$24)</f>
        <v>996.20672361954757</v>
      </c>
      <c r="G34" s="35">
        <f>_xlfn.FORECAST.LINEAR(Sheet3!CL34,'Cooling water'!$DW$3:$DW$24,'Cooling water'!$DU$3:$DU$24)</f>
        <v>997.07762888651325</v>
      </c>
      <c r="H34" s="35">
        <f>_xlfn.FORECAST.LINEAR(Sheet3!CM34,'Cooling water'!$DW$3:$DW$24,'Cooling water'!$DU$3:$DU$24)</f>
        <v>997.95278460314512</v>
      </c>
      <c r="I34" s="35">
        <f>_xlfn.FORECAST.LINEAR(Sheet3!CN34,'Cooling water'!$DW$3:$DW$24,'Cooling water'!$DU$3:$DU$24)</f>
        <v>998.84029586410213</v>
      </c>
      <c r="J34" s="35">
        <f>_xlfn.FORECAST.LINEAR(Sheet3!CO34,'Cooling water'!$DW$3:$DW$24,'Cooling water'!$DU$3:$DU$24)</f>
        <v>999.74826776404348</v>
      </c>
      <c r="K34" s="35">
        <f>_xlfn.FORECAST.LINEAR(Sheet3!CP34,'Cooling water'!$DW$3:$DW$24,'Cooling water'!$DU$3:$DU$24)</f>
        <v>1000.6848053976281</v>
      </c>
      <c r="L34" s="289">
        <f t="shared" si="17"/>
        <v>1.3630873063621429E-3</v>
      </c>
      <c r="M34" s="35">
        <f xml:space="preserve"> 0.0000000000330128*((Sheet3!CI34+273)^(4)) - 0.0000000448315*((Sheet3!CI34+273)^(3)) + 0.0000228887*((Sheet3!CI34+273)^(2)) - 0.00521331*((Sheet3!CI34+273)) + 0.447905</f>
        <v>8.6240356237743399E-4</v>
      </c>
      <c r="N34" s="35">
        <f xml:space="preserve"> 0.0000000000330128*((Sheet3!CJ34+273)^(4)) - 0.0000000448315*((Sheet3!CJ34+273)^(3)) + 0.0000228887*((Sheet3!CJ34+273)^(2)) - 0.00521331*((Sheet3!CJ34+273)) + 0.447905</f>
        <v>9.0641681187708656E-4</v>
      </c>
      <c r="O34" s="35">
        <f xml:space="preserve"> 0.0000000000330128*((Sheet3!CK34+273)^(4)) - 0.0000000448315*((Sheet3!CK34+273)^(3)) + 0.0000228887*((Sheet3!CK34+273)^(2)) - 0.00521331*((Sheet3!CK34+273)) + 0.447905</f>
        <v>9.5354088155197303E-4</v>
      </c>
      <c r="P34" s="35">
        <f xml:space="preserve"> 0.0000000000330128*((Sheet3!CL34+273)^(4)) - 0.0000000448315*((Sheet3!CL34+273)^(3)) + 0.0000228887*((Sheet3!CL34+273)^(2)) - 0.00521331*((Sheet3!CL34+273)) + 0.447905</f>
        <v>1.0044336645247398E-3</v>
      </c>
      <c r="Q34" s="35">
        <f xml:space="preserve"> 0.0000000000330128*((Sheet3!CM34+273)^(4)) - 0.0000000448315*((Sheet3!CM34+273)^(3)) + 0.0000228887*((Sheet3!CM34+273)^(2)) - 0.00521331*((Sheet3!CM34+273)) + 0.447905</f>
        <v>1.0599087356029102E-3</v>
      </c>
      <c r="R34" s="35">
        <f xml:space="preserve"> 0.0000000000330128*((Sheet3!CN34+273)^(4)) - 0.0000000448315*((Sheet3!CN34+273)^(3)) + 0.0000228887*((Sheet3!CN34+273)^(2)) - 0.00521331*((Sheet3!CN34+273)) + 0.447905</f>
        <v>1.1209669331706529E-3</v>
      </c>
      <c r="S34" s="35">
        <f xml:space="preserve"> 0.0000000000330128*((Sheet3!CO34+273)^(4)) - 0.0000000448315*((Sheet3!CO34+273)^(3)) + 0.0000228887*((Sheet3!CO34+273)^(2)) - 0.00521331*((Sheet3!CO34+273)) + 0.447905</f>
        <v>1.1888355915867788E-3</v>
      </c>
      <c r="T34" s="35">
        <f xml:space="preserve"> 0.0000000000330128*((Sheet3!CP34+273)^(4)) - 0.0000000448315*((Sheet3!CP34+273)^(3)) + 0.0000228887*((Sheet3!CP34+273)^(2)) - 0.00521331*((Sheet3!CP34+273)) + 0.447905</f>
        <v>1.2650179046214127E-3</v>
      </c>
      <c r="U34" s="289">
        <f>(Sheet3!DC34*0.014*0.001*C34) / (L34*0.00015*3600*3)</f>
        <v>6383.0678547203279</v>
      </c>
      <c r="V34" s="35">
        <f>(Sheet3!$DC34*0.014*0.001*D34) / (M34*0.00015*3600*3)</f>
        <v>10014.964545534734</v>
      </c>
      <c r="W34" s="35">
        <f>(Sheet3!$DC34*0.014*0.001*E34) / (N34*0.00015*3600*3)</f>
        <v>9537.1602912266808</v>
      </c>
      <c r="X34" s="35">
        <f>(Sheet3!$DC34*0.014*0.001*F34) / (O34*0.00015*3600*3)</f>
        <v>9073.8006568528799</v>
      </c>
      <c r="Y34" s="35">
        <f>(Sheet3!$DC34*0.014*0.001*G34) / (P34*0.00015*3600*3)</f>
        <v>8621.578663417471</v>
      </c>
      <c r="Z34" s="35">
        <f>(Sheet3!$DC34*0.014*0.001*H34) / (Q34*0.00015*3600*3)</f>
        <v>8177.500995327905</v>
      </c>
      <c r="AA34" s="35">
        <f>(Sheet3!$DC34*0.014*0.001*I34) / (R34*0.00015*3600*3)</f>
        <v>7738.9552566616276</v>
      </c>
      <c r="AB34" s="35">
        <f>(Sheet3!$DC34*0.014*0.001*J34) / (S34*0.00015*3600*3)</f>
        <v>7303.7843967216131</v>
      </c>
      <c r="AC34" s="35">
        <f>(Sheet3!$DC34*0.014*0.001*K34) / (T34*0.00015*3600*3)</f>
        <v>6870.3635064204364</v>
      </c>
      <c r="AD34" s="289">
        <f t="shared" ref="AD34:AD65" si="63">_xlfn.FORECAST.LINEAR(B34,$DA$3:$DA$12,$CZ$3:$CZ$12)/1000</f>
        <v>0.5887394898204853</v>
      </c>
      <c r="AE34" s="35">
        <f>_xlfn.FORECAST.LINEAR(Sheet3!CI34,$DA$3:$DA$12,$CZ$3:$CZ$12)/1000</f>
        <v>0.60782791619060628</v>
      </c>
      <c r="AF34" s="35">
        <f>_xlfn.FORECAST.LINEAR(Sheet3!CJ34,$DA$3:$DA$12,$CZ$3:$CZ$12)/1000</f>
        <v>0.60552149096798602</v>
      </c>
      <c r="AG34" s="35">
        <f>_xlfn.FORECAST.LINEAR(Sheet3!CK34,$DA$3:$DA$12,$CZ$3:$CZ$12)/1000</f>
        <v>0.60324617393738444</v>
      </c>
      <c r="AH34" s="35">
        <f>_xlfn.FORECAST.LINEAR(Sheet3!CL34,$DA$3:$DA$12,$CZ$3:$CZ$12)/1000</f>
        <v>0.60098088313144105</v>
      </c>
      <c r="AI34" s="35">
        <f>_xlfn.FORECAST.LINEAR(Sheet3!CM34,$DA$3:$DA$12,$CZ$3:$CZ$12)/1000</f>
        <v>0.59870453658279499</v>
      </c>
      <c r="AJ34" s="35">
        <f>_xlfn.FORECAST.LINEAR(Sheet3!CN34,$DA$3:$DA$12,$CZ$3:$CZ$12)/1000</f>
        <v>0.59639605232408555</v>
      </c>
      <c r="AK34" s="35">
        <f>_xlfn.FORECAST.LINEAR(Sheet3!CO34,$DA$3:$DA$12,$CZ$3:$CZ$12)/1000</f>
        <v>0.59403434838795199</v>
      </c>
      <c r="AL34" s="35">
        <f>_xlfn.FORECAST.LINEAR(Sheet3!CP34,$DA$3:$DA$12,$CZ$3:$CZ$12)/1000</f>
        <v>0.59159834280703383</v>
      </c>
      <c r="AM34" s="289">
        <f t="shared" ref="AM34:AM65" si="64">_xlfn.FORECAST.LINEAR(B34,$DP$3:$DP$14,$DJ$3:$DJ$14)*1000</f>
        <v>4189.2479146054748</v>
      </c>
      <c r="AN34" s="35">
        <f>_xlfn.FORECAST.LINEAR(Sheet3!CI34,$DP$3:$DP$14,$DJ$3:$DJ$14)*1000</f>
        <v>4190.9277224631996</v>
      </c>
      <c r="AO34" s="35">
        <f>_xlfn.FORECAST.LINEAR(Sheet3!CJ34,$DP$3:$DP$14,$DJ$3:$DJ$14)*1000</f>
        <v>4190.724753861331</v>
      </c>
      <c r="AP34" s="35">
        <f>_xlfn.FORECAST.LINEAR(Sheet3!CK34,$DP$3:$DP$14,$DJ$3:$DJ$14)*1000</f>
        <v>4190.5245228232825</v>
      </c>
      <c r="AQ34" s="35">
        <f>_xlfn.FORECAST.LINEAR(Sheet3!CL34,$DP$3:$DP$14,$DJ$3:$DJ$14)*1000</f>
        <v>4190.3251741068361</v>
      </c>
      <c r="AR34" s="35">
        <f>_xlfn.FORECAST.LINEAR(Sheet3!CM34,$DP$3:$DP$14,$DJ$3:$DJ$14)*1000</f>
        <v>4190.1248524697785</v>
      </c>
      <c r="AS34" s="35">
        <f>_xlfn.FORECAST.LINEAR(Sheet3!CN34,$DP$3:$DP$14,$DJ$3:$DJ$14)*1000</f>
        <v>4189.9217026698925</v>
      </c>
      <c r="AT34" s="35">
        <f>_xlfn.FORECAST.LINEAR(Sheet3!CO34,$DP$3:$DP$14,$DJ$3:$DJ$14)*1000</f>
        <v>4189.7138694649639</v>
      </c>
      <c r="AU34" s="35">
        <f>_xlfn.FORECAST.LINEAR(Sheet3!CP34,$DP$3:$DP$14,$DJ$3:$DJ$14)*1000</f>
        <v>4189.4994976127782</v>
      </c>
      <c r="AV34" s="289">
        <f t="shared" si="18"/>
        <v>1.4028558684906789E-7</v>
      </c>
      <c r="AW34" s="35">
        <f t="shared" si="19"/>
        <v>1.458443456625744E-7</v>
      </c>
      <c r="AX34" s="35">
        <f t="shared" si="20"/>
        <v>1.4516852800680822E-7</v>
      </c>
      <c r="AY34" s="35">
        <f t="shared" si="21"/>
        <v>1.4450295260898463E-7</v>
      </c>
      <c r="AZ34" s="35">
        <f t="shared" si="22"/>
        <v>1.4384141918160239E-7</v>
      </c>
      <c r="BA34" s="35">
        <f t="shared" si="23"/>
        <v>1.4317776897440724E-7</v>
      </c>
      <c r="BB34" s="35">
        <f t="shared" si="24"/>
        <v>1.4250588452395539E-7</v>
      </c>
      <c r="BC34" s="35">
        <f t="shared" si="25"/>
        <v>1.4181969035310204E-7</v>
      </c>
      <c r="BD34" s="35">
        <f t="shared" si="26"/>
        <v>1.4111315460252297E-7</v>
      </c>
      <c r="BE34" s="289">
        <f t="shared" si="62"/>
        <v>9.6992146005764841</v>
      </c>
      <c r="BF34" s="35">
        <f t="shared" si="27"/>
        <v>5.9462076374676167</v>
      </c>
      <c r="BG34" s="35">
        <f t="shared" si="28"/>
        <v>6.2731768029851898</v>
      </c>
      <c r="BH34" s="35">
        <f t="shared" si="29"/>
        <v>6.6238902462940983</v>
      </c>
      <c r="BI34" s="35">
        <f t="shared" si="30"/>
        <v>7.0033902713305851</v>
      </c>
      <c r="BJ34" s="35">
        <f t="shared" si="31"/>
        <v>7.4179326579821332</v>
      </c>
      <c r="BK34" s="35">
        <f t="shared" si="32"/>
        <v>7.8752427400622311</v>
      </c>
      <c r="BL34" s="35">
        <f t="shared" si="33"/>
        <v>8.384836634617967</v>
      </c>
      <c r="BM34" s="35">
        <f t="shared" si="34"/>
        <v>8.958429211846612</v>
      </c>
      <c r="BN34" s="289">
        <f t="shared" si="35"/>
        <v>6.9224078798504375E-4</v>
      </c>
      <c r="BO34" s="35">
        <f t="shared" si="36"/>
        <v>7.1967054515190512E-4</v>
      </c>
      <c r="BP34" s="35">
        <f t="shared" si="37"/>
        <v>7.1633571541586719E-4</v>
      </c>
      <c r="BQ34" s="35">
        <f t="shared" si="38"/>
        <v>7.1305142621551961E-4</v>
      </c>
      <c r="BR34" s="35">
        <f t="shared" si="39"/>
        <v>7.0978708216325257E-4</v>
      </c>
      <c r="BS34" s="35">
        <f t="shared" si="40"/>
        <v>7.0651229283746474E-4</v>
      </c>
      <c r="BT34" s="35">
        <f t="shared" si="41"/>
        <v>7.0319687154677942E-4</v>
      </c>
      <c r="BU34" s="35">
        <f t="shared" si="42"/>
        <v>6.9981083878167924E-4</v>
      </c>
      <c r="BV34" s="35">
        <f t="shared" si="43"/>
        <v>6.96324430265267E-4</v>
      </c>
      <c r="BW34" s="289">
        <f t="shared" si="44"/>
        <v>4.0387766487621157E-2</v>
      </c>
      <c r="BX34" s="35">
        <f t="shared" si="45"/>
        <v>3.608650711497683E-2</v>
      </c>
      <c r="BY34" s="35">
        <f t="shared" si="46"/>
        <v>3.653023208828763E-2</v>
      </c>
      <c r="BZ34" s="35">
        <f t="shared" si="47"/>
        <v>3.6987918618122402E-2</v>
      </c>
      <c r="CA34" s="35">
        <f t="shared" si="48"/>
        <v>3.7463685859207382E-2</v>
      </c>
      <c r="CB34" s="35">
        <f t="shared" si="49"/>
        <v>3.7962259230403479E-2</v>
      </c>
      <c r="CC34" s="35">
        <f t="shared" si="50"/>
        <v>3.8488999142485596E-2</v>
      </c>
      <c r="CD34" s="35">
        <f t="shared" si="51"/>
        <v>3.9049926047870789E-2</v>
      </c>
      <c r="CE34" s="35">
        <f t="shared" si="52"/>
        <v>3.9651742111066736E-2</v>
      </c>
      <c r="CF34" s="289">
        <f t="shared" ref="CF34:CF65" si="65">IF(U34&lt;3000,_xlfn.FORECAST.LINEAR(BN34,$CY$14:$CY$20,$DA$14:$DA$20),((BW34/8)*(U34-1000)*BE34)/(1+12.7*(BW34/8)^0.5*(BE34^(2/3)-1)))</f>
        <v>62.734666648501758</v>
      </c>
      <c r="CG34" s="35">
        <f t="shared" ref="CG34:CG65" si="66">IF(V34&lt;3000,_xlfn.FORECAST.LINEAR(BO34,$CY$14:$CY$20,$DA$14:$DA$20),((BX34/8)*(V34-1000)*BF34)/(1+12.7*(BX34/8)^0.5*(BF34^(2/3)-1)))</f>
        <v>82.061063613602244</v>
      </c>
      <c r="CH34" s="35">
        <f t="shared" ref="CH34:CH65" si="67">IF(W34&lt;3000,_xlfn.FORECAST.LINEAR(BP34,$CY$14:$CY$20,$DA$14:$DA$20),((BY34/8)*(W34-1000)*BG34)/(1+12.7*(BY34/8)^0.5*(BG34^(2/3)-1)))</f>
        <v>79.894830793069858</v>
      </c>
      <c r="CI34" s="35">
        <f t="shared" ref="CI34:CI65" si="68">IF(X34&lt;3000,_xlfn.FORECAST.LINEAR(BQ34,$CY$14:$CY$20,$DA$14:$DA$20),((BZ34/8)*(X34-1000)*BH34)/(1+12.7*(BZ34/8)^0.5*(BH34^(2/3)-1)))</f>
        <v>77.701762491164359</v>
      </c>
      <c r="CJ34" s="35">
        <f t="shared" ref="CJ34:CJ65" si="69">IF(Y34&lt;3000,_xlfn.FORECAST.LINEAR(BR34,$CY$14:$CY$20,$DA$14:$DA$20),((CA34/8)*(Y34-1000)*BI34)/(1+12.7*(CA34/8)^0.5*(BI34^(2/3)-1)))</f>
        <v>75.467055455383132</v>
      </c>
      <c r="CK34" s="35">
        <f t="shared" ref="CK34:CK65" si="70">IF(Z34&lt;3000,_xlfn.FORECAST.LINEAR(BS34,$CY$14:$CY$20,$DA$14:$DA$20),((CB34/8)*(Z34-1000)*BJ34)/(1+12.7*(CB34/8)^0.5*(BJ34^(2/3)-1)))</f>
        <v>73.174684847607665</v>
      </c>
      <c r="CL34" s="35">
        <f t="shared" ref="CL34:CL65" si="71">IF(AA34&lt;3000,_xlfn.FORECAST.LINEAR(BT34,$CY$14:$CY$20,$DA$14:$DA$20),((CC34/8)*(AA34-1000)*BK34)/(1+12.7*(CC34/8)^0.5*(BK34^(2/3)-1)))</f>
        <v>70.807716209503141</v>
      </c>
      <c r="CM34" s="35">
        <f t="shared" ref="CM34:CM65" si="72">IF(AB34&lt;3000,_xlfn.FORECAST.LINEAR(BU34,$CY$14:$CY$20,$DA$14:$DA$20),((CD34/8)*(AB34-1000)*BL34)/(1+12.7*(CD34/8)^0.5*(BL34^(2/3)-1)))</f>
        <v>68.348690204117787</v>
      </c>
      <c r="CN34" s="35">
        <f t="shared" ref="CN34:CN65" si="73">IF(AC34&lt;3000,_xlfn.FORECAST.LINEAR(BV34,$CY$14:$CY$20,$DA$14:$DA$20),((CE34/8)*(AC34-1000)*BM34)/(1+12.7*(CE34/8)^0.5*(BM34^(2/3)-1)))</f>
        <v>65.780078111507038</v>
      </c>
      <c r="CO34" s="289">
        <f t="shared" si="53"/>
        <v>2638.1696883355098</v>
      </c>
      <c r="CP34" s="35">
        <f t="shared" si="54"/>
        <v>3562.7860926171879</v>
      </c>
      <c r="CQ34" s="35">
        <f t="shared" si="55"/>
        <v>3455.5740758896159</v>
      </c>
      <c r="CR34" s="35">
        <f t="shared" si="56"/>
        <v>3348.0922093561621</v>
      </c>
      <c r="CS34" s="35">
        <f t="shared" si="57"/>
        <v>3239.5898310646853</v>
      </c>
      <c r="CT34" s="35">
        <f t="shared" si="58"/>
        <v>3129.28684151993</v>
      </c>
      <c r="CU34" s="35">
        <f t="shared" si="59"/>
        <v>3016.388744387988</v>
      </c>
      <c r="CV34" s="35">
        <f t="shared" si="60"/>
        <v>2900.104974898079</v>
      </c>
      <c r="CW34" s="35">
        <f t="shared" si="61"/>
        <v>2779.6703714632004</v>
      </c>
      <c r="DE34" s="229">
        <v>35</v>
      </c>
      <c r="DF34" s="230">
        <v>0.71909999999999996</v>
      </c>
      <c r="DG34" s="230">
        <v>0.72340000000000004</v>
      </c>
      <c r="DH34" s="230">
        <v>0.99399999999999999</v>
      </c>
      <c r="DU34" s="197">
        <v>280</v>
      </c>
      <c r="DV34" s="194">
        <v>0.75027999999999995</v>
      </c>
      <c r="DW34" s="194">
        <v>750.28</v>
      </c>
      <c r="DX34" s="194">
        <v>1.4558</v>
      </c>
      <c r="DY34" s="194">
        <v>46.838500000000003</v>
      </c>
      <c r="DZ34" s="194">
        <v>6.2614000000000001</v>
      </c>
      <c r="EA34" s="194">
        <v>7.3577000000000004</v>
      </c>
      <c r="EB34" s="194">
        <v>46.838000000000001</v>
      </c>
      <c r="EC34" s="198"/>
    </row>
    <row r="35" spans="1:133" ht="15" thickBot="1" x14ac:dyDescent="0.35">
      <c r="A35" s="184" t="str">
        <f>'Su K. oro stendu'!B80</f>
        <v>23.12.2022</v>
      </c>
      <c r="B35" s="289">
        <f>Sheet3!DD35</f>
        <v>8.48</v>
      </c>
      <c r="C35" s="289">
        <f>_xlfn.FORECAST.LINEAR(Sheet3!DD35,$DW$3:$DW$24,$DU$3:$DU$24)</f>
        <v>1001.825394266374</v>
      </c>
      <c r="D35" s="35">
        <f>_xlfn.FORECAST.LINEAR(Sheet3!CI35,'Cooling water'!$DW$3:$DW$24,'Cooling water'!$DU$3:$DU$24)</f>
        <v>998.52125799604903</v>
      </c>
      <c r="E35" s="35">
        <f>_xlfn.FORECAST.LINEAR(Sheet3!CJ35,'Cooling water'!$DW$3:$DW$24,'Cooling water'!$DU$3:$DU$24)</f>
        <v>998.92306971509026</v>
      </c>
      <c r="F35" s="35">
        <f>_xlfn.FORECAST.LINEAR(Sheet3!CK35,'Cooling water'!$DW$3:$DW$24,'Cooling water'!$DU$3:$DU$24)</f>
        <v>999.32643658150096</v>
      </c>
      <c r="G35" s="35">
        <f>_xlfn.FORECAST.LINEAR(Sheet3!CL35,'Cooling water'!$DW$3:$DW$24,'Cooling water'!$DU$3:$DU$24)</f>
        <v>999.73113766072015</v>
      </c>
      <c r="H35" s="35">
        <f>_xlfn.FORECAST.LINEAR(Sheet3!CM35,'Cooling water'!$DW$3:$DW$24,'Cooling water'!$DU$3:$DU$24)</f>
        <v>1000.1369520181865</v>
      </c>
      <c r="I35" s="35">
        <f>_xlfn.FORECAST.LINEAR(Sheet3!CN35,'Cooling water'!$DW$3:$DW$24,'Cooling water'!$DU$3:$DU$24)</f>
        <v>1000.5436587193391</v>
      </c>
      <c r="J35" s="35">
        <f>_xlfn.FORECAST.LINEAR(Sheet3!CO35,'Cooling water'!$DW$3:$DW$24,'Cooling water'!$DU$3:$DU$24)</f>
        <v>1000.9510368296166</v>
      </c>
      <c r="K35" s="35">
        <f>_xlfn.FORECAST.LINEAR(Sheet3!CP35,'Cooling water'!$DW$3:$DW$24,'Cooling water'!$DU$3:$DU$24)</f>
        <v>1001.3588654144578</v>
      </c>
      <c r="L35" s="289">
        <f t="shared" si="17"/>
        <v>1.3669822694883926E-3</v>
      </c>
      <c r="M35" s="35">
        <f xml:space="preserve"> 0.0000000000330128*((Sheet3!CI35+273)^(4)) - 0.0000000448315*((Sheet3!CI35+273)^(3)) + 0.0000228887*((Sheet3!CI35+273)^(2)) - 0.00521331*((Sheet3!CI35+273)) + 0.447905</f>
        <v>1.0984378370448855E-3</v>
      </c>
      <c r="N35" s="35">
        <f xml:space="preserve"> 0.0000000000330128*((Sheet3!CJ35+273)^(4)) - 0.0000000448315*((Sheet3!CJ35+273)^(3)) + 0.0000228887*((Sheet3!CJ35+273)^(2)) - 0.00521331*((Sheet3!CJ35+273)) + 0.447905</f>
        <v>1.1269214664388905E-3</v>
      </c>
      <c r="O35" s="35">
        <f xml:space="preserve"> 0.0000000000330128*((Sheet3!CK35+273)^(4)) - 0.0000000448315*((Sheet3!CK35+273)^(3)) + 0.0000228887*((Sheet3!CK35+273)^(2)) - 0.00521331*((Sheet3!CK35+273)) + 0.447905</f>
        <v>1.1565984890726799E-3</v>
      </c>
      <c r="P35" s="35">
        <f xml:space="preserve"> 0.0000000000330128*((Sheet3!CL35+273)^(4)) - 0.0000000448315*((Sheet3!CL35+273)^(3)) + 0.0000228887*((Sheet3!CL35+273)^(2)) - 0.00521331*((Sheet3!CL35+273)) + 0.447905</f>
        <v>1.187502005882024E-3</v>
      </c>
      <c r="Q35" s="35">
        <f xml:space="preserve"> 0.0000000000330128*((Sheet3!CM35+273)^(4)) - 0.0000000448315*((Sheet3!CM35+273)^(3)) + 0.0000228887*((Sheet3!CM35+273)^(2)) - 0.00521331*((Sheet3!CM35+273)) + 0.447905</f>
        <v>1.2196641567014943E-3</v>
      </c>
      <c r="R35" s="35">
        <f xml:space="preserve"> 0.0000000000330128*((Sheet3!CN35+273)^(4)) - 0.0000000448315*((Sheet3!CN35+273)^(3)) + 0.0000228887*((Sheet3!CN35+273)^(2)) - 0.00521331*((Sheet3!CN35+273)) + 0.447905</f>
        <v>1.2531159176321083E-3</v>
      </c>
      <c r="S35" s="35">
        <f xml:space="preserve"> 0.0000000000330128*((Sheet3!CO35+273)^(4)) - 0.0000000448315*((Sheet3!CO35+273)^(3)) + 0.0000228887*((Sheet3!CO35+273)^(2)) - 0.00521331*((Sheet3!CO35+273)) + 0.447905</f>
        <v>1.287886890776857E-3</v>
      </c>
      <c r="T35" s="35">
        <f xml:space="preserve"> 0.0000000000330128*((Sheet3!CP35+273)^(4)) - 0.0000000448315*((Sheet3!CP35+273)^(3)) + 0.0000228887*((Sheet3!CP35+273)^(2)) - 0.00521331*((Sheet3!CP35+273)) + 0.447905</f>
        <v>1.3240050869560704E-3</v>
      </c>
      <c r="U35" s="289">
        <f>(Sheet3!DC35*0.014*0.001*C35) / (L35*0.00015*3600*3)</f>
        <v>5263.1191180661772</v>
      </c>
      <c r="V35" s="35">
        <f>(Sheet3!$DC35*0.014*0.001*D35) / (M35*0.00015*3600*3)</f>
        <v>6528.2364475498271</v>
      </c>
      <c r="W35" s="35">
        <f>(Sheet3!$DC35*0.014*0.001*E35) / (N35*0.00015*3600*3)</f>
        <v>6365.7918854388654</v>
      </c>
      <c r="X35" s="35">
        <f>(Sheet3!$DC35*0.014*0.001*F35) / (O35*0.00015*3600*3)</f>
        <v>6204.9573521567627</v>
      </c>
      <c r="Y35" s="35">
        <f>(Sheet3!$DC35*0.014*0.001*G35) / (P35*0.00015*3600*3)</f>
        <v>6045.9271782351407</v>
      </c>
      <c r="Z35" s="35">
        <f>(Sheet3!$DC35*0.014*0.001*H35) / (Q35*0.00015*3600*3)</f>
        <v>5888.8874944791933</v>
      </c>
      <c r="AA35" s="35">
        <f>(Sheet3!$DC35*0.014*0.001*I35) / (R35*0.00015*3600*3)</f>
        <v>5734.0152298792827</v>
      </c>
      <c r="AB35" s="35">
        <f>(Sheet3!$DC35*0.014*0.001*J35) / (S35*0.00015*3600*3)</f>
        <v>5581.477213830146</v>
      </c>
      <c r="AC35" s="35">
        <f>(Sheet3!$DC35*0.014*0.001*K35) / (T35*0.00015*3600*3)</f>
        <v>5431.4293949006842</v>
      </c>
      <c r="AD35" s="289">
        <f t="shared" si="63"/>
        <v>0.58863158445140484</v>
      </c>
      <c r="AE35" s="35">
        <f>_xlfn.FORECAST.LINEAR(Sheet3!CI35,$DA$3:$DA$12,$CZ$3:$CZ$12)/1000</f>
        <v>0.59722589407227755</v>
      </c>
      <c r="AF35" s="35">
        <f>_xlfn.FORECAST.LINEAR(Sheet3!CJ35,$DA$3:$DA$12,$CZ$3:$CZ$12)/1000</f>
        <v>0.59618075124516434</v>
      </c>
      <c r="AG35" s="35">
        <f>_xlfn.FORECAST.LINEAR(Sheet3!CK35,$DA$3:$DA$12,$CZ$3:$CZ$12)/1000</f>
        <v>0.59513156336151984</v>
      </c>
      <c r="AH35" s="35">
        <f>_xlfn.FORECAST.LINEAR(Sheet3!CL35,$DA$3:$DA$12,$CZ$3:$CZ$12)/1000</f>
        <v>0.59407890508893335</v>
      </c>
      <c r="AI35" s="35">
        <f>_xlfn.FORECAST.LINEAR(Sheet3!CM35,$DA$3:$DA$12,$CZ$3:$CZ$12)/1000</f>
        <v>0.59302335109499371</v>
      </c>
      <c r="AJ35" s="35">
        <f>_xlfn.FORECAST.LINEAR(Sheet3!CN35,$DA$3:$DA$12,$CZ$3:$CZ$12)/1000</f>
        <v>0.59196547604729044</v>
      </c>
      <c r="AK35" s="35">
        <f>_xlfn.FORECAST.LINEAR(Sheet3!CO35,$DA$3:$DA$12,$CZ$3:$CZ$12)/1000</f>
        <v>0.59090585461341216</v>
      </c>
      <c r="AL35" s="35">
        <f>_xlfn.FORECAST.LINEAR(Sheet3!CP35,$DA$3:$DA$12,$CZ$3:$CZ$12)/1000</f>
        <v>0.58984506146094851</v>
      </c>
      <c r="AM35" s="289">
        <f t="shared" si="64"/>
        <v>4189.2384187841135</v>
      </c>
      <c r="AN35" s="35">
        <f>_xlfn.FORECAST.LINEAR(Sheet3!CI35,$DP$3:$DP$14,$DJ$3:$DJ$14)*1000</f>
        <v>4189.9947298887037</v>
      </c>
      <c r="AO35" s="35">
        <f>_xlfn.FORECAST.LINEAR(Sheet3!CJ35,$DP$3:$DP$14,$DJ$3:$DJ$14)*1000</f>
        <v>4189.9027558778871</v>
      </c>
      <c r="AP35" s="35">
        <f>_xlfn.FORECAST.LINEAR(Sheet3!CK35,$DP$3:$DP$14,$DJ$3:$DJ$14)*1000</f>
        <v>4189.810425896515</v>
      </c>
      <c r="AQ35" s="35">
        <f>_xlfn.FORECAST.LINEAR(Sheet3!CL35,$DP$3:$DP$14,$DJ$3:$DJ$14)*1000</f>
        <v>4189.7177905161279</v>
      </c>
      <c r="AR35" s="35">
        <f>_xlfn.FORECAST.LINEAR(Sheet3!CM35,$DP$3:$DP$14,$DJ$3:$DJ$14)*1000</f>
        <v>4189.6249003082667</v>
      </c>
      <c r="AS35" s="35">
        <f>_xlfn.FORECAST.LINEAR(Sheet3!CN35,$DP$3:$DP$14,$DJ$3:$DJ$14)*1000</f>
        <v>4189.5318058444709</v>
      </c>
      <c r="AT35" s="35">
        <f>_xlfn.FORECAST.LINEAR(Sheet3!CO35,$DP$3:$DP$14,$DJ$3:$DJ$14)*1000</f>
        <v>4189.4385576962832</v>
      </c>
      <c r="AU35" s="35">
        <f>_xlfn.FORECAST.LINEAR(Sheet3!CP35,$DP$3:$DP$14,$DJ$3:$DJ$14)*1000</f>
        <v>4189.3452064352414</v>
      </c>
      <c r="AV35" s="289">
        <f t="shared" si="18"/>
        <v>1.4025438487389583E-7</v>
      </c>
      <c r="AW35" s="35">
        <f t="shared" si="19"/>
        <v>1.4274727858148362E-7</v>
      </c>
      <c r="AX35" s="35">
        <f t="shared" si="20"/>
        <v>1.4244327930939383E-7</v>
      </c>
      <c r="AY35" s="35">
        <f t="shared" si="21"/>
        <v>1.4213833845959987E-7</v>
      </c>
      <c r="AZ35" s="35">
        <f t="shared" si="22"/>
        <v>1.418326252985107E-7</v>
      </c>
      <c r="BA35" s="35">
        <f t="shared" si="23"/>
        <v>1.415263085790183E-7</v>
      </c>
      <c r="BB35" s="35">
        <f t="shared" si="24"/>
        <v>1.4121955653813781E-7</v>
      </c>
      <c r="BC35" s="35">
        <f t="shared" si="25"/>
        <v>1.4091253689537227E-7</v>
      </c>
      <c r="BD35" s="35">
        <f t="shared" si="26"/>
        <v>1.4060541685179834E-7</v>
      </c>
      <c r="BE35" s="289">
        <f t="shared" si="62"/>
        <v>9.7286907335673902</v>
      </c>
      <c r="BF35" s="35">
        <f t="shared" si="27"/>
        <v>7.7063784306904459</v>
      </c>
      <c r="BG35" s="35">
        <f t="shared" si="28"/>
        <v>7.9198990373786486</v>
      </c>
      <c r="BH35" s="35">
        <f t="shared" si="29"/>
        <v>8.1426170386952794</v>
      </c>
      <c r="BI35" s="35">
        <f t="shared" si="30"/>
        <v>8.3748105473846177</v>
      </c>
      <c r="BJ35" s="35">
        <f t="shared" si="31"/>
        <v>8.6167522939775889</v>
      </c>
      <c r="BK35" s="35">
        <f t="shared" si="32"/>
        <v>8.8687080678845067</v>
      </c>
      <c r="BL35" s="35">
        <f t="shared" si="33"/>
        <v>9.1309350822087474</v>
      </c>
      <c r="BM35" s="35">
        <f t="shared" si="34"/>
        <v>9.4036802657921665</v>
      </c>
      <c r="BN35" s="289">
        <f t="shared" si="35"/>
        <v>8.3700030758016345E-4</v>
      </c>
      <c r="BO35" s="35">
        <f t="shared" si="36"/>
        <v>8.5187722427614921E-4</v>
      </c>
      <c r="BP35" s="35">
        <f t="shared" si="37"/>
        <v>8.5006303868421867E-4</v>
      </c>
      <c r="BQ35" s="35">
        <f t="shared" si="38"/>
        <v>8.4824323401072621E-4</v>
      </c>
      <c r="BR35" s="35">
        <f t="shared" si="39"/>
        <v>8.4641882039190777E-4</v>
      </c>
      <c r="BS35" s="35">
        <f t="shared" si="40"/>
        <v>8.4459080489946814E-4</v>
      </c>
      <c r="BT35" s="35">
        <f t="shared" si="41"/>
        <v>8.4276019152649834E-4</v>
      </c>
      <c r="BU35" s="35">
        <f t="shared" si="42"/>
        <v>8.4092798117771687E-4</v>
      </c>
      <c r="BV35" s="35">
        <f t="shared" si="43"/>
        <v>8.3909517166401383E-4</v>
      </c>
      <c r="BW35" s="289">
        <f t="shared" si="44"/>
        <v>4.2383459448543569E-2</v>
      </c>
      <c r="BX35" s="35">
        <f t="shared" si="45"/>
        <v>4.0161343527988135E-2</v>
      </c>
      <c r="BY35" s="35">
        <f t="shared" si="46"/>
        <v>4.0415140491420892E-2</v>
      </c>
      <c r="BZ35" s="35">
        <f t="shared" si="47"/>
        <v>4.0674526102785186E-2</v>
      </c>
      <c r="CA35" s="35">
        <f t="shared" si="48"/>
        <v>4.0939400046615643E-2</v>
      </c>
      <c r="CB35" s="35">
        <f t="shared" si="49"/>
        <v>4.1209646352927974E-2</v>
      </c>
      <c r="CC35" s="35">
        <f t="shared" si="50"/>
        <v>4.1485133440464166E-2</v>
      </c>
      <c r="CD35" s="35">
        <f t="shared" si="51"/>
        <v>4.1765714255466643E-2</v>
      </c>
      <c r="CE35" s="35">
        <f t="shared" si="52"/>
        <v>4.2051226501339682E-2</v>
      </c>
      <c r="CF35" s="289">
        <f t="shared" si="65"/>
        <v>51.239293449413395</v>
      </c>
      <c r="CG35" s="35">
        <f t="shared" si="66"/>
        <v>59.229943958404299</v>
      </c>
      <c r="CH35" s="35">
        <f t="shared" si="67"/>
        <v>58.27767631434012</v>
      </c>
      <c r="CI35" s="35">
        <f t="shared" si="68"/>
        <v>57.315191867716401</v>
      </c>
      <c r="CJ35" s="35">
        <f t="shared" si="69"/>
        <v>56.343478676564601</v>
      </c>
      <c r="CK35" s="35">
        <f t="shared" si="70"/>
        <v>55.363558563339794</v>
      </c>
      <c r="CL35" s="35">
        <f t="shared" si="71"/>
        <v>54.376481668438167</v>
      </c>
      <c r="CM35" s="35">
        <f t="shared" si="72"/>
        <v>53.383320794639019</v>
      </c>
      <c r="CN35" s="35">
        <f t="shared" si="73"/>
        <v>52.385165633146421</v>
      </c>
      <c r="CO35" s="289">
        <f t="shared" si="53"/>
        <v>2154.3618920927643</v>
      </c>
      <c r="CP35" s="35">
        <f t="shared" si="54"/>
        <v>2526.6897311720641</v>
      </c>
      <c r="CQ35" s="35">
        <f t="shared" si="55"/>
        <v>2481.7163461361292</v>
      </c>
      <c r="CR35" s="35">
        <f t="shared" si="56"/>
        <v>2436.4342671856807</v>
      </c>
      <c r="CS35" s="35">
        <f t="shared" si="57"/>
        <v>2390.8908657910829</v>
      </c>
      <c r="CT35" s="35">
        <f t="shared" si="58"/>
        <v>2345.1345019839787</v>
      </c>
      <c r="CU35" s="35">
        <f t="shared" si="59"/>
        <v>2299.2142754738402</v>
      </c>
      <c r="CV35" s="35">
        <f t="shared" si="60"/>
        <v>2253.1797711612935</v>
      </c>
      <c r="CW35" s="35">
        <f t="shared" si="61"/>
        <v>2207.0808030375156</v>
      </c>
      <c r="DE35" s="229">
        <v>36</v>
      </c>
      <c r="DF35" s="230">
        <v>0.70499999999999996</v>
      </c>
      <c r="DG35" s="230">
        <v>0.70950000000000002</v>
      </c>
      <c r="DH35" s="230">
        <v>0.99370000000000003</v>
      </c>
      <c r="DU35" s="197">
        <v>300</v>
      </c>
      <c r="DV35" s="194">
        <v>0.71214</v>
      </c>
      <c r="DW35" s="194">
        <v>712.14</v>
      </c>
      <c r="DX35" s="194">
        <v>1.3817999999999999</v>
      </c>
      <c r="DY35" s="194">
        <v>44.4574</v>
      </c>
      <c r="DZ35" s="194">
        <v>5.9431000000000003</v>
      </c>
      <c r="EA35" s="194">
        <v>6.9836999999999998</v>
      </c>
      <c r="EB35" s="194">
        <v>44.457000000000001</v>
      </c>
      <c r="EC35" s="198"/>
    </row>
    <row r="36" spans="1:133" ht="15" thickBot="1" x14ac:dyDescent="0.35">
      <c r="A36" s="184" t="str">
        <f>'Su K. oro stendu'!B81</f>
        <v>27.12.2022</v>
      </c>
      <c r="B36" s="289">
        <f>Sheet3!DD36</f>
        <v>8.08</v>
      </c>
      <c r="C36" s="289">
        <f>_xlfn.FORECAST.LINEAR(Sheet3!DD36,$DW$3:$DW$24,$DU$3:$DU$24)</f>
        <v>1001.9913338517367</v>
      </c>
      <c r="D36" s="35">
        <f>_xlfn.FORECAST.LINEAR(Sheet3!CI36,'Cooling water'!$DW$3:$DW$24,'Cooling water'!$DU$3:$DU$24)</f>
        <v>998.28001428828986</v>
      </c>
      <c r="E36" s="35">
        <f>_xlfn.FORECAST.LINEAR(Sheet3!CJ36,'Cooling water'!$DW$3:$DW$24,'Cooling water'!$DU$3:$DU$24)</f>
        <v>998.75826309080435</v>
      </c>
      <c r="F36" s="35">
        <f>_xlfn.FORECAST.LINEAR(Sheet3!CK36,'Cooling water'!$DW$3:$DW$24,'Cooling water'!$DU$3:$DU$24)</f>
        <v>999.2283011220253</v>
      </c>
      <c r="G36" s="35">
        <f>_xlfn.FORECAST.LINEAR(Sheet3!CL36,'Cooling water'!$DW$3:$DW$24,'Cooling water'!$DU$3:$DU$24)</f>
        <v>999.69099954180376</v>
      </c>
      <c r="H36" s="35">
        <f>_xlfn.FORECAST.LINEAR(Sheet3!CM36,'Cooling water'!$DW$3:$DW$24,'Cooling water'!$DU$3:$DU$24)</f>
        <v>1000.1472295099902</v>
      </c>
      <c r="I36" s="35">
        <f>_xlfn.FORECAST.LINEAR(Sheet3!CN36,'Cooling water'!$DW$3:$DW$24,'Cooling water'!$DU$3:$DU$24)</f>
        <v>1000.5978621864355</v>
      </c>
      <c r="J36" s="35">
        <f>_xlfn.FORECAST.LINEAR(Sheet3!CO36,'Cooling water'!$DW$3:$DW$24,'Cooling water'!$DU$3:$DU$24)</f>
        <v>1001.0437687309903</v>
      </c>
      <c r="K36" s="35">
        <f>_xlfn.FORECAST.LINEAR(Sheet3!CP36,'Cooling water'!$DW$3:$DW$24,'Cooling water'!$DU$3:$DU$24)</f>
        <v>1001.4858203035054</v>
      </c>
      <c r="L36" s="289">
        <f t="shared" si="17"/>
        <v>1.3827075843921843E-3</v>
      </c>
      <c r="M36" s="35">
        <f xml:space="preserve"> 0.0000000000330128*((Sheet3!CI36+273)^(4)) - 0.0000000448315*((Sheet3!CI36+273)^(3)) + 0.0000228887*((Sheet3!CI36+273)^(2)) - 0.00521331*((Sheet3!CI36+273)) + 0.447905</f>
        <v>1.081838718921535E-3</v>
      </c>
      <c r="N36" s="35">
        <f xml:space="preserve"> 0.0000000000330128*((Sheet3!CJ36+273)^(4)) - 0.0000000448315*((Sheet3!CJ36+273)^(3)) + 0.0000228887*((Sheet3!CJ36+273)^(2)) - 0.00521331*((Sheet3!CJ36+273)) + 0.447905</f>
        <v>1.1151104792836986E-3</v>
      </c>
      <c r="O36" s="35">
        <f xml:space="preserve"> 0.0000000000330128*((Sheet3!CK36+273)^(4)) - 0.0000000448315*((Sheet3!CK36+273)^(3)) + 0.0000228887*((Sheet3!CK36+273)^(2)) - 0.00521331*((Sheet3!CK36+273)) + 0.447905</f>
        <v>1.1492764387213139E-3</v>
      </c>
      <c r="P36" s="35">
        <f xml:space="preserve"> 0.0000000000330128*((Sheet3!CL36+273)^(4)) - 0.0000000448315*((Sheet3!CL36+273)^(3)) + 0.0000228887*((Sheet3!CL36+273)^(2)) - 0.00521331*((Sheet3!CL36+273)) + 0.447905</f>
        <v>1.1843854325188641E-3</v>
      </c>
      <c r="Q36" s="35">
        <f xml:space="preserve"> 0.0000000000330128*((Sheet3!CM36+273)^(4)) - 0.0000000448315*((Sheet3!CM36+273)^(3)) + 0.0000228887*((Sheet3!CM36+273)^(2)) - 0.00521331*((Sheet3!CM36+273)) + 0.447905</f>
        <v>1.2204942866289592E-3</v>
      </c>
      <c r="R36" s="35">
        <f xml:space="preserve"> 0.0000000000330128*((Sheet3!CN36+273)^(4)) - 0.0000000448315*((Sheet3!CN36+273)^(3)) + 0.0000228887*((Sheet3!CN36+273)^(2)) - 0.00521331*((Sheet3!CN36+273)) + 0.447905</f>
        <v>1.257668491799091E-3</v>
      </c>
      <c r="S36" s="35">
        <f xml:space="preserve"> 0.0000000000330128*((Sheet3!CO36+273)^(4)) - 0.0000000448315*((Sheet3!CO36+273)^(3)) + 0.0000228887*((Sheet3!CO36+273)^(2)) - 0.00521331*((Sheet3!CO36+273)) + 0.447905</f>
        <v>1.2959828941525586E-3</v>
      </c>
      <c r="T36" s="35">
        <f xml:space="preserve"> 0.0000000000330128*((Sheet3!CP36+273)^(4)) - 0.0000000448315*((Sheet3!CP36+273)^(3)) + 0.0000228887*((Sheet3!CP36+273)^(2)) - 0.00521331*((Sheet3!CP36+273)) + 0.447905</f>
        <v>1.335522412126533E-3</v>
      </c>
      <c r="U36" s="289">
        <f>(Sheet3!DC36*0.014*0.001*C36) / (L36*0.00015*3600*3)</f>
        <v>5523.5110428037979</v>
      </c>
      <c r="V36" s="35">
        <f>(Sheet3!$DC36*0.014*0.001*D36) / (M36*0.00015*3600*3)</f>
        <v>7033.4995187581244</v>
      </c>
      <c r="W36" s="35">
        <f>(Sheet3!$DC36*0.014*0.001*E36) / (N36*0.00015*3600*3)</f>
        <v>6826.9086955840676</v>
      </c>
      <c r="X36" s="35">
        <f>(Sheet3!$DC36*0.014*0.001*F36) / (O36*0.00015*3600*3)</f>
        <v>6627.0741357576344</v>
      </c>
      <c r="Y36" s="35">
        <f>(Sheet3!$DC36*0.014*0.001*G36) / (P36*0.00015*3600*3)</f>
        <v>6433.6040809432361</v>
      </c>
      <c r="Z36" s="35">
        <f>(Sheet3!$DC36*0.014*0.001*H36) / (Q36*0.00015*3600*3)</f>
        <v>6246.1123511859587</v>
      </c>
      <c r="AA36" s="35">
        <f>(Sheet3!$DC36*0.014*0.001*I36) / (R36*0.00015*3600*3)</f>
        <v>6064.2206673679266</v>
      </c>
      <c r="AB36" s="35">
        <f>(Sheet3!$DC36*0.014*0.001*J36) / (S36*0.00015*3600*3)</f>
        <v>5887.5607802121503</v>
      </c>
      <c r="AC36" s="35">
        <f>(Sheet3!$DC36*0.014*0.001*K36) / (T36*0.00015*3600*3)</f>
        <v>5715.7763924029132</v>
      </c>
      <c r="AD36" s="289">
        <f t="shared" si="63"/>
        <v>0.58819996297508303</v>
      </c>
      <c r="AE36" s="35">
        <f>_xlfn.FORECAST.LINEAR(Sheet3!CI36,$DA$3:$DA$12,$CZ$3:$CZ$12)/1000</f>
        <v>0.597853387295602</v>
      </c>
      <c r="AF36" s="35">
        <f>_xlfn.FORECAST.LINEAR(Sheet3!CJ36,$DA$3:$DA$12,$CZ$3:$CZ$12)/1000</f>
        <v>0.59660942580359733</v>
      </c>
      <c r="AG36" s="35">
        <f>_xlfn.FORECAST.LINEAR(Sheet3!CK36,$DA$3:$DA$12,$CZ$3:$CZ$12)/1000</f>
        <v>0.59538682115191277</v>
      </c>
      <c r="AH36" s="35">
        <f>_xlfn.FORECAST.LINEAR(Sheet3!CL36,$DA$3:$DA$12,$CZ$3:$CZ$12)/1000</f>
        <v>0.59418330738755076</v>
      </c>
      <c r="AI36" s="35">
        <f>_xlfn.FORECAST.LINEAR(Sheet3!CM36,$DA$3:$DA$12,$CZ$3:$CZ$12)/1000</f>
        <v>0.59299661855751351</v>
      </c>
      <c r="AJ36" s="35">
        <f>_xlfn.FORECAST.LINEAR(Sheet3!CN36,$DA$3:$DA$12,$CZ$3:$CZ$12)/1000</f>
        <v>0.59182448870880355</v>
      </c>
      <c r="AK36" s="35">
        <f>_xlfn.FORECAST.LINEAR(Sheet3!CO36,$DA$3:$DA$12,$CZ$3:$CZ$12)/1000</f>
        <v>0.59066465188842299</v>
      </c>
      <c r="AL36" s="35">
        <f>_xlfn.FORECAST.LINEAR(Sheet3!CP36,$DA$3:$DA$12,$CZ$3:$CZ$12)/1000</f>
        <v>0.58951484214337413</v>
      </c>
      <c r="AM36" s="289">
        <f t="shared" si="64"/>
        <v>4189.2004354986693</v>
      </c>
      <c r="AN36" s="35">
        <f>_xlfn.FORECAST.LINEAR(Sheet3!CI36,$DP$3:$DP$14,$DJ$3:$DJ$14)*1000</f>
        <v>4190.0499501581362</v>
      </c>
      <c r="AO36" s="35">
        <f>_xlfn.FORECAST.LINEAR(Sheet3!CJ36,$DP$3:$DP$14,$DJ$3:$DJ$14)*1000</f>
        <v>4189.9404798304913</v>
      </c>
      <c r="AP36" s="35">
        <f>_xlfn.FORECAST.LINEAR(Sheet3!CK36,$DP$3:$DP$14,$DJ$3:$DJ$14)*1000</f>
        <v>4189.8328889342602</v>
      </c>
      <c r="AQ36" s="35">
        <f>_xlfn.FORECAST.LINEAR(Sheet3!CL36,$DP$3:$DP$14,$DJ$3:$DJ$14)*1000</f>
        <v>4189.7269780624547</v>
      </c>
      <c r="AR36" s="35">
        <f>_xlfn.FORECAST.LINEAR(Sheet3!CM36,$DP$3:$DP$14,$DJ$3:$DJ$14)*1000</f>
        <v>4189.6225478080842</v>
      </c>
      <c r="AS36" s="35">
        <f>_xlfn.FORECAST.LINEAR(Sheet3!CN36,$DP$3:$DP$14,$DJ$3:$DJ$14)*1000</f>
        <v>4189.5193987641578</v>
      </c>
      <c r="AT36" s="35">
        <f>_xlfn.FORECAST.LINEAR(Sheet3!CO36,$DP$3:$DP$14,$DJ$3:$DJ$14)*1000</f>
        <v>4189.4173315236858</v>
      </c>
      <c r="AU36" s="35">
        <f>_xlfn.FORECAST.LINEAR(Sheet3!CP36,$DP$3:$DP$14,$DJ$3:$DJ$14)*1000</f>
        <v>4189.3161466796773</v>
      </c>
      <c r="AV36" s="289">
        <f t="shared" si="18"/>
        <v>1.4012960165898396E-7</v>
      </c>
      <c r="AW36" s="35">
        <f t="shared" si="19"/>
        <v>1.4292990904899176E-7</v>
      </c>
      <c r="AX36" s="35">
        <f t="shared" si="20"/>
        <v>1.4256793901622293E-7</v>
      </c>
      <c r="AY36" s="35">
        <f t="shared" si="21"/>
        <v>1.4221250611343713E-7</v>
      </c>
      <c r="AZ36" s="35">
        <f t="shared" si="22"/>
        <v>1.4186293526161283E-7</v>
      </c>
      <c r="BA36" s="35">
        <f t="shared" si="23"/>
        <v>1.4151855400872572E-7</v>
      </c>
      <c r="BB36" s="35">
        <f t="shared" si="24"/>
        <v>1.4117869243315686E-7</v>
      </c>
      <c r="BC36" s="35">
        <f t="shared" si="25"/>
        <v>1.4084268305878898E-7</v>
      </c>
      <c r="BD36" s="35">
        <f t="shared" si="26"/>
        <v>1.4050986078166646E-7</v>
      </c>
      <c r="BE36" s="289">
        <f t="shared" si="62"/>
        <v>9.8477381491240035</v>
      </c>
      <c r="BF36" s="35">
        <f t="shared" si="27"/>
        <v>7.5820566824940459</v>
      </c>
      <c r="BG36" s="35">
        <f t="shared" si="28"/>
        <v>7.8313320818569228</v>
      </c>
      <c r="BH36" s="35">
        <f t="shared" si="29"/>
        <v>8.0876432772152089</v>
      </c>
      <c r="BI36" s="35">
        <f t="shared" si="30"/>
        <v>8.3513816987993401</v>
      </c>
      <c r="BJ36" s="35">
        <f t="shared" si="31"/>
        <v>8.6230009121640396</v>
      </c>
      <c r="BK36" s="35">
        <f t="shared" si="32"/>
        <v>8.9030221698029148</v>
      </c>
      <c r="BL36" s="35">
        <f t="shared" si="33"/>
        <v>9.1920401547011412</v>
      </c>
      <c r="BM36" s="35">
        <f t="shared" si="34"/>
        <v>9.4907289951039946</v>
      </c>
      <c r="BN36" s="289">
        <f t="shared" si="35"/>
        <v>7.8790071736621527E-4</v>
      </c>
      <c r="BO36" s="35">
        <f t="shared" si="36"/>
        <v>8.0364588594810011E-4</v>
      </c>
      <c r="BP36" s="35">
        <f t="shared" si="37"/>
        <v>8.0161065252770062E-4</v>
      </c>
      <c r="BQ36" s="35">
        <f t="shared" si="38"/>
        <v>7.9961217514843807E-4</v>
      </c>
      <c r="BR36" s="35">
        <f t="shared" si="39"/>
        <v>7.9764665807237508E-4</v>
      </c>
      <c r="BS36" s="35">
        <f t="shared" si="40"/>
        <v>7.957103203322768E-4</v>
      </c>
      <c r="BT36" s="35">
        <f t="shared" si="41"/>
        <v>7.937993951885121E-4</v>
      </c>
      <c r="BU36" s="35">
        <f t="shared" si="42"/>
        <v>7.919101296516663E-4</v>
      </c>
      <c r="BV36" s="35">
        <f t="shared" si="43"/>
        <v>7.9003878407017778E-4</v>
      </c>
      <c r="BW36" s="289">
        <f t="shared" si="44"/>
        <v>4.1874862620912542E-2</v>
      </c>
      <c r="BX36" s="35">
        <f t="shared" si="45"/>
        <v>3.9419792726803404E-2</v>
      </c>
      <c r="BY36" s="35">
        <f t="shared" si="46"/>
        <v>3.9714690121739948E-2</v>
      </c>
      <c r="BZ36" s="35">
        <f t="shared" si="47"/>
        <v>4.0010754824811819E-2</v>
      </c>
      <c r="CA36" s="35">
        <f t="shared" si="48"/>
        <v>4.0308219892820872E-2</v>
      </c>
      <c r="CB36" s="35">
        <f t="shared" si="49"/>
        <v>4.0607359838407506E-2</v>
      </c>
      <c r="CC36" s="35">
        <f t="shared" si="50"/>
        <v>4.0908490338078585E-2</v>
      </c>
      <c r="CD36" s="35">
        <f t="shared" si="51"/>
        <v>4.1211967722011189E-2</v>
      </c>
      <c r="CE36" s="35">
        <f t="shared" si="52"/>
        <v>4.1518188306127281E-2</v>
      </c>
      <c r="CF36" s="289">
        <f t="shared" si="65"/>
        <v>54.193160523630247</v>
      </c>
      <c r="CG36" s="35">
        <f t="shared" si="66"/>
        <v>63.511863165831343</v>
      </c>
      <c r="CH36" s="35">
        <f t="shared" si="67"/>
        <v>62.338221844780968</v>
      </c>
      <c r="CI36" s="35">
        <f t="shared" si="68"/>
        <v>61.175127330092252</v>
      </c>
      <c r="CJ36" s="35">
        <f t="shared" si="69"/>
        <v>60.02175021186671</v>
      </c>
      <c r="CK36" s="35">
        <f t="shared" si="70"/>
        <v>58.877130105454142</v>
      </c>
      <c r="CL36" s="35">
        <f t="shared" si="71"/>
        <v>57.740188231380976</v>
      </c>
      <c r="CM36" s="35">
        <f t="shared" si="72"/>
        <v>56.609740316308034</v>
      </c>
      <c r="CN36" s="35">
        <f t="shared" si="73"/>
        <v>55.484509549292284</v>
      </c>
      <c r="CO36" s="289">
        <f t="shared" si="53"/>
        <v>2276.8867866787173</v>
      </c>
      <c r="CP36" s="35">
        <f t="shared" si="54"/>
        <v>2712.1987519390746</v>
      </c>
      <c r="CQ36" s="35">
        <f t="shared" si="55"/>
        <v>2656.5407671737171</v>
      </c>
      <c r="CR36" s="35">
        <f t="shared" si="56"/>
        <v>2601.6331853305091</v>
      </c>
      <c r="CS36" s="35">
        <f t="shared" si="57"/>
        <v>2547.4230040054563</v>
      </c>
      <c r="CT36" s="35">
        <f t="shared" si="58"/>
        <v>2493.8527902075061</v>
      </c>
      <c r="CU36" s="35">
        <f t="shared" si="59"/>
        <v>2440.8612412847942</v>
      </c>
      <c r="CV36" s="35">
        <f t="shared" si="60"/>
        <v>2388.3837541018647</v>
      </c>
      <c r="CW36" s="35">
        <f t="shared" si="61"/>
        <v>2336.3529920252554</v>
      </c>
      <c r="DE36" s="229">
        <v>37</v>
      </c>
      <c r="DF36" s="230">
        <v>0.69130000000000003</v>
      </c>
      <c r="DG36" s="230">
        <v>0.69589999999999996</v>
      </c>
      <c r="DH36" s="230">
        <v>0.99329999999999996</v>
      </c>
      <c r="DU36" s="197">
        <v>320</v>
      </c>
      <c r="DV36" s="194">
        <v>0.66708999999999996</v>
      </c>
      <c r="DW36" s="194">
        <v>667.09</v>
      </c>
      <c r="DX36" s="194">
        <v>1.2944</v>
      </c>
      <c r="DY36" s="194">
        <v>41.645099999999999</v>
      </c>
      <c r="DZ36" s="194">
        <v>5.5670999999999999</v>
      </c>
      <c r="EA36" s="194">
        <v>6.5419</v>
      </c>
      <c r="EB36" s="194">
        <v>41.645000000000003</v>
      </c>
      <c r="EC36" s="198"/>
    </row>
    <row r="37" spans="1:133" ht="15" thickBot="1" x14ac:dyDescent="0.35">
      <c r="A37" s="184" t="str">
        <f>'Su K. oro stendu'!B82</f>
        <v>27.12.2022</v>
      </c>
      <c r="B37" s="289">
        <f>Sheet3!DD37</f>
        <v>8.17</v>
      </c>
      <c r="C37" s="289">
        <f>_xlfn.FORECAST.LINEAR(Sheet3!DD37,$DW$3:$DW$24,$DU$3:$DU$24)</f>
        <v>1001.9539974450302</v>
      </c>
      <c r="D37" s="35">
        <f>_xlfn.FORECAST.LINEAR(Sheet3!CI37,'Cooling water'!$DW$3:$DW$24,'Cooling water'!$DU$3:$DU$24)</f>
        <v>997.85685276541028</v>
      </c>
      <c r="E37" s="35">
        <f>_xlfn.FORECAST.LINEAR(Sheet3!CJ37,'Cooling water'!$DW$3:$DW$24,'Cooling water'!$DU$3:$DU$24)</f>
        <v>998.3932747852582</v>
      </c>
      <c r="F37" s="35">
        <f>_xlfn.FORECAST.LINEAR(Sheet3!CK37,'Cooling water'!$DW$3:$DW$24,'Cooling water'!$DU$3:$DU$24)</f>
        <v>998.91717695403077</v>
      </c>
      <c r="G37" s="35">
        <f>_xlfn.FORECAST.LINEAR(Sheet3!CL37,'Cooling water'!$DW$3:$DW$24,'Cooling water'!$DU$3:$DU$24)</f>
        <v>999.4303082263682</v>
      </c>
      <c r="H37" s="35">
        <f>_xlfn.FORECAST.LINEAR(Sheet3!CM37,'Cooling water'!$DW$3:$DW$24,'Cooling water'!$DU$3:$DU$24)</f>
        <v>999.93441755691106</v>
      </c>
      <c r="I37" s="35">
        <f>_xlfn.FORECAST.LINEAR(Sheet3!CN37,'Cooling water'!$DW$3:$DW$24,'Cooling water'!$DU$3:$DU$24)</f>
        <v>1000.4312539002997</v>
      </c>
      <c r="J37" s="35">
        <f>_xlfn.FORECAST.LINEAR(Sheet3!CO37,'Cooling water'!$DW$3:$DW$24,'Cooling water'!$DU$3:$DU$24)</f>
        <v>1000.9225662111745</v>
      </c>
      <c r="K37" s="35">
        <f>_xlfn.FORECAST.LINEAR(Sheet3!CP37,'Cooling water'!$DW$3:$DW$24,'Cooling water'!$DU$3:$DU$24)</f>
        <v>1001.4101034441758</v>
      </c>
      <c r="L37" s="289">
        <f t="shared" si="17"/>
        <v>1.3791490086614289E-3</v>
      </c>
      <c r="M37" s="35">
        <f xml:space="preserve"> 0.0000000000330128*((Sheet3!CI37+273)^(4)) - 0.0000000448315*((Sheet3!CI37+273)^(3)) + 0.0000228887*((Sheet3!CI37+273)^(2)) - 0.00521331*((Sheet3!CI37+273)) + 0.447905</f>
        <v>1.0536049858322905E-3</v>
      </c>
      <c r="N37" s="35">
        <f xml:space="preserve"> 0.0000000000330128*((Sheet3!CJ37+273)^(4)) - 0.0000000448315*((Sheet3!CJ37+273)^(3)) + 0.0000228887*((Sheet3!CJ37+273)^(2)) - 0.00521331*((Sheet3!CJ37+273)) + 0.447905</f>
        <v>1.0895855588117787E-3</v>
      </c>
      <c r="O37" s="35">
        <f xml:space="preserve"> 0.0000000000330128*((Sheet3!CK37+273)^(4)) - 0.0000000448315*((Sheet3!CK37+273)^(3)) + 0.0000228887*((Sheet3!CK37+273)^(2)) - 0.00521331*((Sheet3!CK37+273)) + 0.447905</f>
        <v>1.1264960497345822E-3</v>
      </c>
      <c r="P37" s="35">
        <f xml:space="preserve"> 0.0000000000330128*((Sheet3!CL37+273)^(4)) - 0.0000000448315*((Sheet3!CL37+273)^(3)) + 0.0000228887*((Sheet3!CL37+273)^(2)) - 0.00521331*((Sheet3!CL37+273)) + 0.447905</f>
        <v>1.1644209276993056E-3</v>
      </c>
      <c r="Q37" s="35">
        <f xml:space="preserve"> 0.0000000000330128*((Sheet3!CM37+273)^(4)) - 0.0000000448315*((Sheet3!CM37+273)^(3)) + 0.0000228887*((Sheet3!CM37+273)^(2)) - 0.00521331*((Sheet3!CM37+273)) + 0.447905</f>
        <v>1.2034632583779459E-3</v>
      </c>
      <c r="R37" s="35">
        <f xml:space="preserve"> 0.0000000000330128*((Sheet3!CN37+273)^(4)) - 0.0000000448315*((Sheet3!CN37+273)^(3)) + 0.0000228887*((Sheet3!CN37+273)^(2)) - 0.00521331*((Sheet3!CN37+273)) + 0.447905</f>
        <v>1.2437462466736715E-3</v>
      </c>
      <c r="S37" s="35">
        <f xml:space="preserve"> 0.0000000000330128*((Sheet3!CO37+273)^(4)) - 0.0000000448315*((Sheet3!CO37+273)^(3)) + 0.0000228887*((Sheet3!CO37+273)^(2)) - 0.00521331*((Sheet3!CO37+273)) + 0.447905</f>
        <v>1.2854148558612E-3</v>
      </c>
      <c r="T37" s="35">
        <f xml:space="preserve"> 0.0000000000330128*((Sheet3!CP37+273)^(4)) - 0.0000000448315*((Sheet3!CP37+273)^(3)) + 0.0000228887*((Sheet3!CP37+273)^(2)) - 0.00521331*((Sheet3!CP37+273)) + 0.447905</f>
        <v>1.3286375525465299E-3</v>
      </c>
      <c r="U37" s="289">
        <f>(Sheet3!DC37*0.014*0.001*C37) / (L37*0.00015*3600*3)</f>
        <v>5904.8437722428425</v>
      </c>
      <c r="V37" s="35">
        <f>(Sheet3!$DC37*0.014*0.001*D37) / (M37*0.00015*3600*3)</f>
        <v>7697.7224504145961</v>
      </c>
      <c r="W37" s="35">
        <f>(Sheet3!$DC37*0.014*0.001*E37) / (N37*0.00015*3600*3)</f>
        <v>7447.5277380986181</v>
      </c>
      <c r="X37" s="35">
        <f>(Sheet3!$DC37*0.014*0.001*F37) / (O37*0.00015*3600*3)</f>
        <v>7207.2838911422959</v>
      </c>
      <c r="Y37" s="35">
        <f>(Sheet3!$DC37*0.014*0.001*G37) / (P37*0.00015*3600*3)</f>
        <v>6976.1262928259157</v>
      </c>
      <c r="Z37" s="35">
        <f>(Sheet3!$DC37*0.014*0.001*H37) / (Q37*0.00015*3600*3)</f>
        <v>6753.2138448566411</v>
      </c>
      <c r="AA37" s="35">
        <f>(Sheet3!$DC37*0.014*0.001*I37) / (R37*0.00015*3600*3)</f>
        <v>6537.7346346908525</v>
      </c>
      <c r="AB37" s="35">
        <f>(Sheet3!$DC37*0.014*0.001*J37) / (S37*0.00015*3600*3)</f>
        <v>6328.9109767422387</v>
      </c>
      <c r="AC37" s="35">
        <f>(Sheet3!$DC37*0.014*0.001*K37) / (T37*0.00015*3600*3)</f>
        <v>6126.0038673569525</v>
      </c>
      <c r="AD37" s="289">
        <f t="shared" si="63"/>
        <v>0.58829707780725549</v>
      </c>
      <c r="AE37" s="35">
        <f>_xlfn.FORECAST.LINEAR(Sheet3!CI37,$DA$3:$DA$12,$CZ$3:$CZ$12)/1000</f>
        <v>0.59895406258551964</v>
      </c>
      <c r="AF37" s="35">
        <f>_xlfn.FORECAST.LINEAR(Sheet3!CJ37,$DA$3:$DA$12,$CZ$3:$CZ$12)/1000</f>
        <v>0.59755878813287933</v>
      </c>
      <c r="AG37" s="35">
        <f>_xlfn.FORECAST.LINEAR(Sheet3!CK37,$DA$3:$DA$12,$CZ$3:$CZ$12)/1000</f>
        <v>0.59619607876464997</v>
      </c>
      <c r="AH37" s="35">
        <f>_xlfn.FORECAST.LINEAR(Sheet3!CL37,$DA$3:$DA$12,$CZ$3:$CZ$12)/1000</f>
        <v>0.59486138531685617</v>
      </c>
      <c r="AI37" s="35">
        <f>_xlfn.FORECAST.LINEAR(Sheet3!CM37,$DA$3:$DA$12,$CZ$3:$CZ$12)/1000</f>
        <v>0.59355015862552185</v>
      </c>
      <c r="AJ37" s="35">
        <f>_xlfn.FORECAST.LINEAR(Sheet3!CN37,$DA$3:$DA$12,$CZ$3:$CZ$12)/1000</f>
        <v>0.59225784952667093</v>
      </c>
      <c r="AK37" s="35">
        <f>_xlfn.FORECAST.LINEAR(Sheet3!CO37,$DA$3:$DA$12,$CZ$3:$CZ$12)/1000</f>
        <v>0.5909799088563279</v>
      </c>
      <c r="AL37" s="35">
        <f>_xlfn.FORECAST.LINEAR(Sheet3!CP37,$DA$3:$DA$12,$CZ$3:$CZ$12)/1000</f>
        <v>0.58971178745051667</v>
      </c>
      <c r="AM37" s="289">
        <f t="shared" si="64"/>
        <v>4189.2089817378956</v>
      </c>
      <c r="AN37" s="35">
        <f>_xlfn.FORECAST.LINEAR(Sheet3!CI37,$DP$3:$DP$14,$DJ$3:$DJ$14)*1000</f>
        <v>4190.1468111023005</v>
      </c>
      <c r="AO37" s="35">
        <f>_xlfn.FORECAST.LINEAR(Sheet3!CJ37,$DP$3:$DP$14,$DJ$3:$DJ$14)*1000</f>
        <v>4190.0240250253455</v>
      </c>
      <c r="AP37" s="35">
        <f>_xlfn.FORECAST.LINEAR(Sheet3!CK37,$DP$3:$DP$14,$DJ$3:$DJ$14)*1000</f>
        <v>4189.9041047207493</v>
      </c>
      <c r="AQ37" s="35">
        <f>_xlfn.FORECAST.LINEAR(Sheet3!CL37,$DP$3:$DP$14,$DJ$3:$DJ$14)*1000</f>
        <v>4189.7866498558078</v>
      </c>
      <c r="AR37" s="35">
        <f>_xlfn.FORECAST.LINEAR(Sheet3!CM37,$DP$3:$DP$14,$DJ$3:$DJ$14)*1000</f>
        <v>4189.6712600978126</v>
      </c>
      <c r="AS37" s="35">
        <f>_xlfn.FORECAST.LINEAR(Sheet3!CN37,$DP$3:$DP$14,$DJ$3:$DJ$14)*1000</f>
        <v>4189.5575351140569</v>
      </c>
      <c r="AT37" s="35">
        <f>_xlfn.FORECAST.LINEAR(Sheet3!CO37,$DP$3:$DP$14,$DJ$3:$DJ$14)*1000</f>
        <v>4189.445074571835</v>
      </c>
      <c r="AU37" s="35">
        <f>_xlfn.FORECAST.LINEAR(Sheet3!CP37,$DP$3:$DP$14,$DJ$3:$DJ$14)*1000</f>
        <v>4189.3334781384401</v>
      </c>
      <c r="AV37" s="289">
        <f t="shared" si="18"/>
        <v>1.4015767443925936E-7</v>
      </c>
      <c r="AW37" s="35">
        <f t="shared" si="19"/>
        <v>1.4325046193859098E-7</v>
      </c>
      <c r="AX37" s="35">
        <f t="shared" si="20"/>
        <v>1.4284415613140209E-7</v>
      </c>
      <c r="AY37" s="35">
        <f t="shared" si="21"/>
        <v>1.4244773591531209E-7</v>
      </c>
      <c r="AZ37" s="35">
        <f t="shared" si="22"/>
        <v>1.4205985074360623E-7</v>
      </c>
      <c r="BA37" s="35">
        <f t="shared" si="23"/>
        <v>1.4167915590451905E-7</v>
      </c>
      <c r="BB37" s="35">
        <f t="shared" si="24"/>
        <v>1.4130431224727237E-7</v>
      </c>
      <c r="BC37" s="35">
        <f t="shared" si="25"/>
        <v>1.4093398595455908E-7</v>
      </c>
      <c r="BD37" s="35">
        <f t="shared" si="26"/>
        <v>1.4056684836093413E-7</v>
      </c>
      <c r="BE37" s="289">
        <f t="shared" si="62"/>
        <v>9.8207923040751126</v>
      </c>
      <c r="BF37" s="35">
        <f t="shared" si="27"/>
        <v>7.3707815796245804</v>
      </c>
      <c r="BG37" s="35">
        <f t="shared" si="28"/>
        <v>7.6400678216229529</v>
      </c>
      <c r="BH37" s="35">
        <f t="shared" si="29"/>
        <v>7.9167082623464093</v>
      </c>
      <c r="BI37" s="35">
        <f t="shared" si="30"/>
        <v>8.2013648525674814</v>
      </c>
      <c r="BJ37" s="35">
        <f t="shared" si="31"/>
        <v>8.4948430270589501</v>
      </c>
      <c r="BK37" s="35">
        <f t="shared" si="32"/>
        <v>8.7981045142515306</v>
      </c>
      <c r="BL37" s="35">
        <f t="shared" si="33"/>
        <v>9.1122809015464341</v>
      </c>
      <c r="BM37" s="35">
        <f t="shared" si="34"/>
        <v>9.438688351913191</v>
      </c>
      <c r="BN37" s="289">
        <f t="shared" si="35"/>
        <v>7.3904056437066733E-4</v>
      </c>
      <c r="BO37" s="35">
        <f t="shared" si="36"/>
        <v>7.5534859336821706E-4</v>
      </c>
      <c r="BP37" s="35">
        <f t="shared" si="37"/>
        <v>7.5320617430873083E-4</v>
      </c>
      <c r="BQ37" s="35">
        <f t="shared" si="38"/>
        <v>7.5111588120562942E-4</v>
      </c>
      <c r="BR37" s="35">
        <f t="shared" si="39"/>
        <v>7.4907059273066447E-4</v>
      </c>
      <c r="BS37" s="35">
        <f t="shared" si="40"/>
        <v>7.4706321832282256E-4</v>
      </c>
      <c r="BT37" s="35">
        <f t="shared" si="41"/>
        <v>7.450866967437463E-4</v>
      </c>
      <c r="BU37" s="35">
        <f t="shared" si="42"/>
        <v>7.4313399487805775E-4</v>
      </c>
      <c r="BV37" s="35">
        <f t="shared" si="43"/>
        <v>7.411981067757486E-4</v>
      </c>
      <c r="BW37" s="289">
        <f t="shared" si="44"/>
        <v>4.11817785563953E-2</v>
      </c>
      <c r="BX37" s="35">
        <f t="shared" si="45"/>
        <v>3.8540437459988031E-2</v>
      </c>
      <c r="BY37" s="35">
        <f t="shared" si="46"/>
        <v>3.8860122880073587E-2</v>
      </c>
      <c r="BZ37" s="35">
        <f t="shared" si="47"/>
        <v>3.9179987639581991E-2</v>
      </c>
      <c r="CA37" s="35">
        <f t="shared" si="48"/>
        <v>3.9500593258662946E-2</v>
      </c>
      <c r="CB37" s="35">
        <f t="shared" si="49"/>
        <v>3.9822596777414135E-2</v>
      </c>
      <c r="CC37" s="35">
        <f t="shared" si="50"/>
        <v>4.0146748718879376E-2</v>
      </c>
      <c r="CD37" s="35">
        <f t="shared" si="51"/>
        <v>4.0473890760671538E-2</v>
      </c>
      <c r="CE37" s="35">
        <f t="shared" si="52"/>
        <v>4.0804953308416124E-2</v>
      </c>
      <c r="CF37" s="289">
        <f t="shared" si="65"/>
        <v>58.104756998782513</v>
      </c>
      <c r="CG37" s="35">
        <f t="shared" si="66"/>
        <v>68.795315297150324</v>
      </c>
      <c r="CH37" s="35">
        <f t="shared" si="67"/>
        <v>67.432860950813776</v>
      </c>
      <c r="CI37" s="35">
        <f t="shared" si="68"/>
        <v>66.08886309612582</v>
      </c>
      <c r="CJ37" s="35">
        <f t="shared" si="69"/>
        <v>64.760926950931875</v>
      </c>
      <c r="CK37" s="35">
        <f t="shared" si="70"/>
        <v>63.446371422817457</v>
      </c>
      <c r="CL37" s="35">
        <f t="shared" si="71"/>
        <v>62.142267160136399</v>
      </c>
      <c r="CM37" s="35">
        <f t="shared" si="72"/>
        <v>60.845474074409928</v>
      </c>
      <c r="CN37" s="35">
        <f t="shared" si="73"/>
        <v>59.552677789864866</v>
      </c>
      <c r="CO37" s="289">
        <f t="shared" si="53"/>
        <v>2441.6327677917452</v>
      </c>
      <c r="CP37" s="35">
        <f t="shared" si="54"/>
        <v>2943.230970291424</v>
      </c>
      <c r="CQ37" s="35">
        <f t="shared" si="55"/>
        <v>2878.2213335786601</v>
      </c>
      <c r="CR37" s="35">
        <f t="shared" si="56"/>
        <v>2814.4229305659996</v>
      </c>
      <c r="CS37" s="35">
        <f t="shared" si="57"/>
        <v>2751.6981943167903</v>
      </c>
      <c r="CT37" s="35">
        <f t="shared" si="58"/>
        <v>2689.9002730162197</v>
      </c>
      <c r="CU37" s="35">
        <f t="shared" si="59"/>
        <v>2628.8746794981607</v>
      </c>
      <c r="CV37" s="35">
        <f t="shared" si="60"/>
        <v>2568.4609087724884</v>
      </c>
      <c r="CW37" s="35">
        <f t="shared" si="61"/>
        <v>2508.4940047804207</v>
      </c>
      <c r="DE37" s="229">
        <v>38</v>
      </c>
      <c r="DF37" s="230">
        <v>0.67800000000000005</v>
      </c>
      <c r="DG37" s="230">
        <v>0.68279999999999996</v>
      </c>
      <c r="DH37" s="230">
        <v>0.99299999999999999</v>
      </c>
      <c r="DU37" s="197">
        <v>340</v>
      </c>
      <c r="DV37" s="194">
        <v>0.61067000000000005</v>
      </c>
      <c r="DW37" s="194">
        <v>610.66999999999996</v>
      </c>
      <c r="DX37" s="194">
        <v>1.1849000000000001</v>
      </c>
      <c r="DY37" s="194">
        <v>38.122900000000001</v>
      </c>
      <c r="DZ37" s="194">
        <v>5.0963000000000003</v>
      </c>
      <c r="EA37" s="194">
        <v>5.9885999999999999</v>
      </c>
      <c r="EB37" s="194">
        <v>38.122999999999998</v>
      </c>
      <c r="EC37" s="198"/>
    </row>
    <row r="38" spans="1:133" ht="15" thickBot="1" x14ac:dyDescent="0.35">
      <c r="A38" s="184" t="str">
        <f>'Su K. oro stendu'!B83</f>
        <v>28.12.2022</v>
      </c>
      <c r="B38" s="289">
        <f>Sheet3!DD38</f>
        <v>8.32</v>
      </c>
      <c r="C38" s="289">
        <f>_xlfn.FORECAST.LINEAR(Sheet3!DD38,$DW$3:$DW$24,$DU$3:$DU$24)</f>
        <v>1001.8917701005191</v>
      </c>
      <c r="D38" s="35">
        <f>_xlfn.FORECAST.LINEAR(Sheet3!CI38,'Cooling water'!$DW$3:$DW$24,'Cooling water'!$DU$3:$DU$24)</f>
        <v>993.16563524811215</v>
      </c>
      <c r="E38" s="35">
        <f>_xlfn.FORECAST.LINEAR(Sheet3!CJ38,'Cooling water'!$DW$3:$DW$24,'Cooling water'!$DU$3:$DU$24)</f>
        <v>993.57712010864896</v>
      </c>
      <c r="F38" s="35">
        <f>_xlfn.FORECAST.LINEAR(Sheet3!CK38,'Cooling water'!$DW$3:$DW$24,'Cooling water'!$DU$3:$DU$24)</f>
        <v>994.21026339121136</v>
      </c>
      <c r="G38" s="35">
        <f>_xlfn.FORECAST.LINEAR(Sheet3!CL38,'Cooling water'!$DW$3:$DW$24,'Cooling water'!$DU$3:$DU$24)</f>
        <v>995.04063766193667</v>
      </c>
      <c r="H38" s="35">
        <f>_xlfn.FORECAST.LINEAR(Sheet3!CM38,'Cooling water'!$DW$3:$DW$24,'Cooling water'!$DU$3:$DU$24)</f>
        <v>996.04381548696244</v>
      </c>
      <c r="I38" s="35">
        <f>_xlfn.FORECAST.LINEAR(Sheet3!CN38,'Cooling water'!$DW$3:$DW$24,'Cooling water'!$DU$3:$DU$24)</f>
        <v>997.19536943242611</v>
      </c>
      <c r="J38" s="35">
        <f>_xlfn.FORECAST.LINEAR(Sheet3!CO38,'Cooling water'!$DW$3:$DW$24,'Cooling water'!$DU$3:$DU$24)</f>
        <v>998.47087206446486</v>
      </c>
      <c r="K38" s="35">
        <f>_xlfn.FORECAST.LINEAR(Sheet3!CP38,'Cooling water'!$DW$3:$DW$24,'Cooling water'!$DU$3:$DU$24)</f>
        <v>999.84589594921636</v>
      </c>
      <c r="L38" s="289">
        <f t="shared" si="17"/>
        <v>1.3732443900233982E-3</v>
      </c>
      <c r="M38" s="35">
        <f xml:space="preserve"> 0.0000000000330128*((Sheet3!CI38+273)^(4)) - 0.0000000448315*((Sheet3!CI38+273)^(3)) + 0.0000228887*((Sheet3!CI38+273)^(2)) - 0.00521331*((Sheet3!CI38+273)) + 0.447905</f>
        <v>8.049130832874507E-4</v>
      </c>
      <c r="N38" s="35">
        <f xml:space="preserve"> 0.0000000000330128*((Sheet3!CJ38+273)^(4)) - 0.0000000448315*((Sheet3!CJ38+273)^(3)) + 0.0000228887*((Sheet3!CJ38+273)^(2)) - 0.00521331*((Sheet3!CJ38+273)) + 0.447905</f>
        <v>8.2266979722644962E-4</v>
      </c>
      <c r="O38" s="35">
        <f xml:space="preserve"> 0.0000000000330128*((Sheet3!CK38+273)^(4)) - 0.0000000448315*((Sheet3!CK38+273)^(3)) + 0.0000228887*((Sheet3!CK38+273)^(2)) - 0.00521331*((Sheet3!CK38+273)) + 0.447905</f>
        <v>8.513331568553717E-4</v>
      </c>
      <c r="P38" s="35">
        <f xml:space="preserve"> 0.0000000000330128*((Sheet3!CL38+273)^(4)) - 0.0000000448315*((Sheet3!CL38+273)^(3)) + 0.0000228887*((Sheet3!CL38+273)^(2)) - 0.00521331*((Sheet3!CL38+273)) + 0.447905</f>
        <v>8.9155531808726707E-4</v>
      </c>
      <c r="Q38" s="35">
        <f xml:space="preserve"> 0.0000000000330128*((Sheet3!CM38+273)^(4)) - 0.0000000448315*((Sheet3!CM38+273)^(3)) + 0.0000228887*((Sheet3!CM38+273)^(2)) - 0.00521331*((Sheet3!CM38+273)) + 0.447905</f>
        <v>9.4447141019071701E-4</v>
      </c>
      <c r="R38" s="35">
        <f xml:space="preserve"> 0.0000000000330128*((Sheet3!CN38+273)^(4)) - 0.0000000448315*((Sheet3!CN38+273)^(3)) + 0.0000228887*((Sheet3!CN38+273)^(2)) - 0.00521331*((Sheet3!CN38+273)) + 0.447905</f>
        <v>1.0116365625503221E-3</v>
      </c>
      <c r="S38" s="35">
        <f xml:space="preserve"> 0.0000000000330128*((Sheet3!CO38+273)^(4)) - 0.0000000448315*((Sheet3!CO38+273)^(3)) + 0.0000228887*((Sheet3!CO38+273)^(2)) - 0.00521331*((Sheet3!CO38+273)) + 0.447905</f>
        <v>1.0949402353670479E-3</v>
      </c>
      <c r="T38" s="35">
        <f xml:space="preserve"> 0.0000000000330128*((Sheet3!CP38+273)^(4)) - 0.0000000448315*((Sheet3!CP38+273)^(3)) + 0.0000228887*((Sheet3!CP38+273)^(2)) - 0.00521331*((Sheet3!CP38+273)) + 0.447905</f>
        <v>1.1964761042819738E-3</v>
      </c>
      <c r="U38" s="289">
        <f>(Sheet3!DC38*0.014*0.001*C38) / (L38*0.00015*3600*3)</f>
        <v>6298.708138216949</v>
      </c>
      <c r="V38" s="35">
        <f>(Sheet3!$DC38*0.014*0.001*D38) / (M38*0.00015*3600*3)</f>
        <v>10652.491756363508</v>
      </c>
      <c r="W38" s="35">
        <f>(Sheet3!$DC38*0.014*0.001*E38) / (N38*0.00015*3600*3)</f>
        <v>10426.88390796748</v>
      </c>
      <c r="X38" s="35">
        <f>(Sheet3!$DC38*0.014*0.001*F38) / (O38*0.00015*3600*3)</f>
        <v>10082.24399362333</v>
      </c>
      <c r="Y38" s="35">
        <f>(Sheet3!$DC38*0.014*0.001*G38) / (P38*0.00015*3600*3)</f>
        <v>9635.4284819679542</v>
      </c>
      <c r="Z38" s="35">
        <f>(Sheet3!$DC38*0.014*0.001*H38) / (Q38*0.00015*3600*3)</f>
        <v>9104.7523312195117</v>
      </c>
      <c r="AA38" s="35">
        <f>(Sheet3!$DC38*0.014*0.001*I38) / (R38*0.00015*3600*3)</f>
        <v>8510.0918071438009</v>
      </c>
      <c r="AB38" s="35">
        <f>(Sheet3!$DC38*0.014*0.001*J38) / (S38*0.00015*3600*3)</f>
        <v>7872.6962291845011</v>
      </c>
      <c r="AC38" s="35">
        <f>(Sheet3!$DC38*0.014*0.001*K38) / (T38*0.00015*3600*3)</f>
        <v>7214.5217700566773</v>
      </c>
      <c r="AD38" s="289">
        <f t="shared" si="63"/>
        <v>0.58845893586087616</v>
      </c>
      <c r="AE38" s="35">
        <f>_xlfn.FORECAST.LINEAR(Sheet3!CI38,$DA$3:$DA$12,$CZ$3:$CZ$12)/1000</f>
        <v>0.61115627597623923</v>
      </c>
      <c r="AF38" s="35">
        <f>_xlfn.FORECAST.LINEAR(Sheet3!CJ38,$DA$3:$DA$12,$CZ$3:$CZ$12)/1000</f>
        <v>0.61008597257273978</v>
      </c>
      <c r="AG38" s="35">
        <f>_xlfn.FORECAST.LINEAR(Sheet3!CK38,$DA$3:$DA$12,$CZ$3:$CZ$12)/1000</f>
        <v>0.60843911876299017</v>
      </c>
      <c r="AH38" s="35">
        <f>_xlfn.FORECAST.LINEAR(Sheet3!CL38,$DA$3:$DA$12,$CZ$3:$CZ$12)/1000</f>
        <v>0.60627925215945011</v>
      </c>
      <c r="AI38" s="35">
        <f>_xlfn.FORECAST.LINEAR(Sheet3!CM38,$DA$3:$DA$12,$CZ$3:$CZ$12)/1000</f>
        <v>0.60366991037457962</v>
      </c>
      <c r="AJ38" s="35">
        <f>_xlfn.FORECAST.LINEAR(Sheet3!CN38,$DA$3:$DA$12,$CZ$3:$CZ$12)/1000</f>
        <v>0.60067463102083851</v>
      </c>
      <c r="AK38" s="35">
        <f>_xlfn.FORECAST.LINEAR(Sheet3!CO38,$DA$3:$DA$12,$CZ$3:$CZ$12)/1000</f>
        <v>0.59735695171068659</v>
      </c>
      <c r="AL38" s="35">
        <f>_xlfn.FORECAST.LINEAR(Sheet3!CP38,$DA$3:$DA$12,$CZ$3:$CZ$12)/1000</f>
        <v>0.59378041005658388</v>
      </c>
      <c r="AM38" s="289">
        <f t="shared" si="64"/>
        <v>4189.2232254699366</v>
      </c>
      <c r="AN38" s="35">
        <f>_xlfn.FORECAST.LINEAR(Sheet3!CI38,$DP$3:$DP$14,$DJ$3:$DJ$14)*1000</f>
        <v>4191.2206227166225</v>
      </c>
      <c r="AO38" s="35">
        <f>_xlfn.FORECAST.LINEAR(Sheet3!CJ38,$DP$3:$DP$14,$DJ$3:$DJ$14)*1000</f>
        <v>4191.1264345403688</v>
      </c>
      <c r="AP38" s="35">
        <f>_xlfn.FORECAST.LINEAR(Sheet3!CK38,$DP$3:$DP$14,$DJ$3:$DJ$14)*1000</f>
        <v>4190.9815091328737</v>
      </c>
      <c r="AQ38" s="35">
        <f>_xlfn.FORECAST.LINEAR(Sheet3!CL38,$DP$3:$DP$14,$DJ$3:$DJ$14)*1000</f>
        <v>4190.7914378916967</v>
      </c>
      <c r="AR38" s="35">
        <f>_xlfn.FORECAST.LINEAR(Sheet3!CM38,$DP$3:$DP$14,$DJ$3:$DJ$14)*1000</f>
        <v>4190.5618122144033</v>
      </c>
      <c r="AS38" s="35">
        <f>_xlfn.FORECAST.LINEAR(Sheet3!CN38,$DP$3:$DP$14,$DJ$3:$DJ$14)*1000</f>
        <v>4190.2982234985529</v>
      </c>
      <c r="AT38" s="35">
        <f>_xlfn.FORECAST.LINEAR(Sheet3!CO38,$DP$3:$DP$14,$DJ$3:$DJ$14)*1000</f>
        <v>4190.0062631417095</v>
      </c>
      <c r="AU38" s="35">
        <f>_xlfn.FORECAST.LINEAR(Sheet3!CP38,$DP$3:$DP$14,$DJ$3:$DJ$14)*1000</f>
        <v>4189.6915225414341</v>
      </c>
      <c r="AV38" s="289">
        <f t="shared" si="18"/>
        <v>1.4020446684877355E-7</v>
      </c>
      <c r="AW38" s="35">
        <f t="shared" si="19"/>
        <v>1.4682163954994101E-7</v>
      </c>
      <c r="AX38" s="35">
        <f t="shared" si="20"/>
        <v>1.4650710779004094E-7</v>
      </c>
      <c r="AY38" s="35">
        <f t="shared" si="21"/>
        <v>1.4602363049322836E-7</v>
      </c>
      <c r="AZ38" s="35">
        <f t="shared" si="22"/>
        <v>1.4539043653313675E-7</v>
      </c>
      <c r="BA38" s="35">
        <f t="shared" si="23"/>
        <v>1.4462681924003918E-7</v>
      </c>
      <c r="BB38" s="35">
        <f t="shared" si="24"/>
        <v>1.4375206906305526E-7</v>
      </c>
      <c r="BC38" s="35">
        <f t="shared" si="25"/>
        <v>1.427854156386924E-7</v>
      </c>
      <c r="BD38" s="35">
        <f t="shared" si="26"/>
        <v>1.4174597937132059E-7</v>
      </c>
      <c r="BE38" s="289">
        <f t="shared" si="62"/>
        <v>9.7760896170542697</v>
      </c>
      <c r="BF38" s="35">
        <f t="shared" si="27"/>
        <v>5.5199765539181742</v>
      </c>
      <c r="BG38" s="35">
        <f t="shared" si="28"/>
        <v>5.6515200956249618</v>
      </c>
      <c r="BH38" s="35">
        <f t="shared" si="29"/>
        <v>5.8640567453099912</v>
      </c>
      <c r="BI38" s="35">
        <f t="shared" si="30"/>
        <v>6.1627086530486821</v>
      </c>
      <c r="BJ38" s="35">
        <f t="shared" si="31"/>
        <v>6.5563410669543432</v>
      </c>
      <c r="BK38" s="35">
        <f t="shared" si="32"/>
        <v>7.0571631827976047</v>
      </c>
      <c r="BL38" s="35">
        <f t="shared" si="33"/>
        <v>7.6801758660636894</v>
      </c>
      <c r="BM38" s="35">
        <f t="shared" si="34"/>
        <v>8.4422889440826943</v>
      </c>
      <c r="BN38" s="289">
        <f t="shared" si="35"/>
        <v>6.9599569864256029E-4</v>
      </c>
      <c r="BO38" s="35">
        <f t="shared" si="36"/>
        <v>7.2884432209016495E-4</v>
      </c>
      <c r="BP38" s="35">
        <f t="shared" si="37"/>
        <v>7.2728293993953007E-4</v>
      </c>
      <c r="BQ38" s="35">
        <f t="shared" si="38"/>
        <v>7.248828871699144E-4</v>
      </c>
      <c r="BR38" s="35">
        <f t="shared" si="39"/>
        <v>7.2173961875247156E-4</v>
      </c>
      <c r="BS38" s="35">
        <f t="shared" si="40"/>
        <v>7.1794890963064104E-4</v>
      </c>
      <c r="BT38" s="35">
        <f t="shared" si="41"/>
        <v>7.1360652044539271E-4</v>
      </c>
      <c r="BU38" s="35">
        <f t="shared" si="42"/>
        <v>7.0880790995489864E-4</v>
      </c>
      <c r="BV38" s="35">
        <f t="shared" si="43"/>
        <v>7.0364799467285423E-4</v>
      </c>
      <c r="BW38" s="289">
        <f t="shared" si="44"/>
        <v>4.0522322692043033E-2</v>
      </c>
      <c r="BX38" s="35">
        <f t="shared" si="45"/>
        <v>3.5534024726090345E-2</v>
      </c>
      <c r="BY38" s="35">
        <f t="shared" si="46"/>
        <v>3.5724698099398218E-2</v>
      </c>
      <c r="BZ38" s="35">
        <f t="shared" si="47"/>
        <v>3.6026153994019906E-2</v>
      </c>
      <c r="CA38" s="35">
        <f t="shared" si="48"/>
        <v>3.6436734143048259E-2</v>
      </c>
      <c r="CB38" s="35">
        <f t="shared" si="49"/>
        <v>3.6956443287194322E-2</v>
      </c>
      <c r="CC38" s="35">
        <f t="shared" si="50"/>
        <v>3.7585786334873146E-2</v>
      </c>
      <c r="CD38" s="35">
        <f t="shared" si="51"/>
        <v>3.8324485066180171E-2</v>
      </c>
      <c r="CE38" s="35">
        <f t="shared" si="52"/>
        <v>3.9170157232081983E-2</v>
      </c>
      <c r="CF38" s="289">
        <f t="shared" si="65"/>
        <v>62.04927874238934</v>
      </c>
      <c r="CG38" s="35">
        <f t="shared" si="66"/>
        <v>84.605715900843038</v>
      </c>
      <c r="CH38" s="35">
        <f t="shared" si="67"/>
        <v>83.65279357846606</v>
      </c>
      <c r="CI38" s="35">
        <f t="shared" si="68"/>
        <v>82.160387881088141</v>
      </c>
      <c r="CJ38" s="35">
        <f t="shared" si="69"/>
        <v>80.156189480070694</v>
      </c>
      <c r="CK38" s="35">
        <f t="shared" si="70"/>
        <v>77.667212725108953</v>
      </c>
      <c r="CL38" s="35">
        <f t="shared" si="71"/>
        <v>74.725879434955601</v>
      </c>
      <c r="CM38" s="35">
        <f t="shared" si="72"/>
        <v>71.375628206266285</v>
      </c>
      <c r="CN38" s="35">
        <f t="shared" si="73"/>
        <v>67.67488193342524</v>
      </c>
      <c r="CO38" s="289">
        <f t="shared" si="53"/>
        <v>2608.10375283438</v>
      </c>
      <c r="CP38" s="35">
        <f t="shared" si="54"/>
        <v>3693.3795897330656</v>
      </c>
      <c r="CQ38" s="35">
        <f t="shared" si="55"/>
        <v>3645.3854234817932</v>
      </c>
      <c r="CR38" s="35">
        <f t="shared" si="56"/>
        <v>3570.6852856853375</v>
      </c>
      <c r="CS38" s="35">
        <f t="shared" si="57"/>
        <v>3471.2167581377457</v>
      </c>
      <c r="CT38" s="35">
        <f t="shared" si="58"/>
        <v>3348.9542389149951</v>
      </c>
      <c r="CU38" s="35">
        <f t="shared" si="59"/>
        <v>3206.1385755214014</v>
      </c>
      <c r="CV38" s="35">
        <f t="shared" si="60"/>
        <v>3045.4805494093234</v>
      </c>
      <c r="CW38" s="35">
        <f t="shared" si="61"/>
        <v>2870.2870817828671</v>
      </c>
      <c r="DE38" s="229">
        <v>39</v>
      </c>
      <c r="DF38" s="230">
        <v>0.66520000000000001</v>
      </c>
      <c r="DG38" s="230">
        <v>0.67020000000000002</v>
      </c>
      <c r="DH38" s="230">
        <v>0.99260000000000004</v>
      </c>
      <c r="DU38" s="197">
        <v>360</v>
      </c>
      <c r="DV38" s="194">
        <v>0.52759</v>
      </c>
      <c r="DW38" s="194">
        <v>527.59</v>
      </c>
      <c r="DX38" s="194">
        <v>1.0237000000000001</v>
      </c>
      <c r="DY38" s="194">
        <v>32.936399999999999</v>
      </c>
      <c r="DZ38" s="194">
        <v>4.4029999999999996</v>
      </c>
      <c r="EA38" s="194">
        <v>5.1738999999999997</v>
      </c>
      <c r="EB38" s="194">
        <v>32.936</v>
      </c>
      <c r="EC38" s="198"/>
    </row>
    <row r="39" spans="1:133" ht="15" thickBot="1" x14ac:dyDescent="0.35">
      <c r="A39" s="184" t="str">
        <f>'Su K. oro stendu'!B84</f>
        <v>28.12.2022</v>
      </c>
      <c r="B39" s="289">
        <f>Sheet3!DD39</f>
        <v>8.2100000000000009</v>
      </c>
      <c r="C39" s="289">
        <f>_xlfn.FORECAST.LINEAR(Sheet3!DD39,$DW$3:$DW$24,$DU$3:$DU$24)</f>
        <v>1001.9374034864938</v>
      </c>
      <c r="D39" s="35">
        <f>_xlfn.FORECAST.LINEAR(Sheet3!CI39,'Cooling water'!$DW$3:$DW$24,'Cooling water'!$DU$3:$DU$24)</f>
        <v>997.29399199244915</v>
      </c>
      <c r="E39" s="35">
        <f>_xlfn.FORECAST.LINEAR(Sheet3!CJ39,'Cooling water'!$DW$3:$DW$24,'Cooling water'!$DU$3:$DU$24)</f>
        <v>997.87743114591296</v>
      </c>
      <c r="F39" s="35">
        <f>_xlfn.FORECAST.LINEAR(Sheet3!CK39,'Cooling water'!$DW$3:$DW$24,'Cooling water'!$DU$3:$DU$24)</f>
        <v>998.44870456301169</v>
      </c>
      <c r="G39" s="35">
        <f>_xlfn.FORECAST.LINEAR(Sheet3!CL39,'Cooling water'!$DW$3:$DW$24,'Cooling water'!$DU$3:$DU$24)</f>
        <v>999.01205123798593</v>
      </c>
      <c r="H39" s="35">
        <f>_xlfn.FORECAST.LINEAR(Sheet3!CM39,'Cooling water'!$DW$3:$DW$24,'Cooling water'!$DU$3:$DU$24)</f>
        <v>999.57171016507641</v>
      </c>
      <c r="I39" s="35">
        <f>_xlfn.FORECAST.LINEAR(Sheet3!CN39,'Cooling water'!$DW$3:$DW$24,'Cooling water'!$DU$3:$DU$24)</f>
        <v>1000.1319203385239</v>
      </c>
      <c r="J39" s="35">
        <f>_xlfn.FORECAST.LINEAR(Sheet3!CO39,'Cooling water'!$DW$3:$DW$24,'Cooling water'!$DU$3:$DU$24)</f>
        <v>1000.6969207525689</v>
      </c>
      <c r="K39" s="35">
        <f>_xlfn.FORECAST.LINEAR(Sheet3!CP39,'Cooling water'!$DW$3:$DW$24,'Cooling water'!$DU$3:$DU$24)</f>
        <v>1001.2709504014522</v>
      </c>
      <c r="L39" s="289">
        <f t="shared" si="17"/>
        <v>1.3775712286503428E-3</v>
      </c>
      <c r="M39" s="35">
        <f xml:space="preserve"> 0.0000000000330128*((Sheet3!CI39+273)^(4)) - 0.0000000448315*((Sheet3!CI39+273)^(3)) + 0.0000228887*((Sheet3!CI39+273)^(2)) - 0.00521331*((Sheet3!CI39+273)) + 0.447905</f>
        <v>1.0177310078933743E-3</v>
      </c>
      <c r="N39" s="35">
        <f xml:space="preserve"> 0.0000000000330128*((Sheet3!CJ39+273)^(4)) - 0.0000000448315*((Sheet3!CJ39+273)^(3)) + 0.0000228887*((Sheet3!CJ39+273)^(2)) - 0.00521331*((Sheet3!CJ39+273)) + 0.447905</f>
        <v>1.0549524751199968E-3</v>
      </c>
      <c r="O39" s="35">
        <f xml:space="preserve"> 0.0000000000330128*((Sheet3!CK39+273)^(4)) - 0.0000000448315*((Sheet3!CK39+273)^(3)) + 0.0000228887*((Sheet3!CK39+273)^(2)) - 0.00521331*((Sheet3!CK39+273)) + 0.447905</f>
        <v>1.0934066146190968E-3</v>
      </c>
      <c r="P39" s="35">
        <f xml:space="preserve"> 0.0000000000330128*((Sheet3!CL39+273)^(4)) - 0.0000000448315*((Sheet3!CL39+273)^(3)) + 0.0000228887*((Sheet3!CL39+273)^(2)) - 0.00521331*((Sheet3!CL39+273)) + 0.447905</f>
        <v>1.1333735365013364E-3</v>
      </c>
      <c r="Q39" s="35">
        <f xml:space="preserve"> 0.0000000000330128*((Sheet3!CM39+273)^(4)) - 0.0000000448315*((Sheet3!CM39+273)^(3)) + 0.0000228887*((Sheet3!CM39+273)^(2)) - 0.00521331*((Sheet3!CM39+273)) + 0.447905</f>
        <v>1.1751905447563438E-3</v>
      </c>
      <c r="R39" s="35">
        <f xml:space="preserve"> 0.0000000000330128*((Sheet3!CN39+273)^(4)) - 0.0000000448315*((Sheet3!CN39+273)^(3)) + 0.0000228887*((Sheet3!CN39+273)^(2)) - 0.00521331*((Sheet3!CN39+273)) + 0.447905</f>
        <v>1.2192580238004069E-3</v>
      </c>
      <c r="S39" s="35">
        <f xml:space="preserve"> 0.0000000000330128*((Sheet3!CO39+273)^(4)) - 0.0000000448315*((Sheet3!CO39+273)^(3)) + 0.0000228887*((Sheet3!CO39+273)^(2)) - 0.00521331*((Sheet3!CO39+273)) + 0.447905</f>
        <v>1.2660466463509934E-3</v>
      </c>
      <c r="T39" s="35">
        <f xml:space="preserve"> 0.0000000000330128*((Sheet3!CP39+273)^(4)) - 0.0000000448315*((Sheet3!CP39+273)^(3)) + 0.0000228887*((Sheet3!CP39+273)^(2)) - 0.00521331*((Sheet3!CP39+273)) + 0.447905</f>
        <v>1.3161063002664619E-3</v>
      </c>
      <c r="U39" s="289">
        <f>(Sheet3!DC39*0.014*0.001*C39) / (L39*0.00015*3600*3)</f>
        <v>6609.1989328164509</v>
      </c>
      <c r="V39" s="35">
        <f>(Sheet3!$DC39*0.014*0.001*D39) / (M39*0.00015*3600*3)</f>
        <v>8904.560607629006</v>
      </c>
      <c r="W39" s="35">
        <f>(Sheet3!$DC39*0.014*0.001*E39) / (N39*0.00015*3600*3)</f>
        <v>8595.4101147683141</v>
      </c>
      <c r="X39" s="35">
        <f>(Sheet3!$DC39*0.014*0.001*F39) / (O39*0.00015*3600*3)</f>
        <v>8297.8648900038188</v>
      </c>
      <c r="Y39" s="35">
        <f>(Sheet3!$DC39*0.014*0.001*G39) / (P39*0.00015*3600*3)</f>
        <v>8009.7683752784678</v>
      </c>
      <c r="Z39" s="35">
        <f>(Sheet3!$DC39*0.014*0.001*H39) / (Q39*0.00015*3600*3)</f>
        <v>7729.0829065747293</v>
      </c>
      <c r="AA39" s="35">
        <f>(Sheet3!$DC39*0.014*0.001*I39) / (R39*0.00015*3600*3)</f>
        <v>7453.9069045543474</v>
      </c>
      <c r="AB39" s="35">
        <f>(Sheet3!$DC39*0.014*0.001*J39) / (S39*0.00015*3600*3)</f>
        <v>7182.4920574107364</v>
      </c>
      <c r="AC39" s="35">
        <f>(Sheet3!$DC39*0.014*0.001*K39) / (T39*0.00015*3600*3)</f>
        <v>6913.2608882467548</v>
      </c>
      <c r="AD39" s="289">
        <f t="shared" si="63"/>
        <v>0.58834023995488771</v>
      </c>
      <c r="AE39" s="35">
        <f>_xlfn.FORECAST.LINEAR(Sheet3!CI39,$DA$3:$DA$12,$CZ$3:$CZ$12)/1000</f>
        <v>0.60041810624489211</v>
      </c>
      <c r="AF39" s="35">
        <f>_xlfn.FORECAST.LINEAR(Sheet3!CJ39,$DA$3:$DA$12,$CZ$3:$CZ$12)/1000</f>
        <v>0.59890053665345544</v>
      </c>
      <c r="AG39" s="35">
        <f>_xlfn.FORECAST.LINEAR(Sheet3!CK39,$DA$3:$DA$12,$CZ$3:$CZ$12)/1000</f>
        <v>0.59741461106714866</v>
      </c>
      <c r="AH39" s="35">
        <f>_xlfn.FORECAST.LINEAR(Sheet3!CL39,$DA$3:$DA$12,$CZ$3:$CZ$12)/1000</f>
        <v>0.59594930353970177</v>
      </c>
      <c r="AI39" s="35">
        <f>_xlfn.FORECAST.LINEAR(Sheet3!CM39,$DA$3:$DA$12,$CZ$3:$CZ$12)/1000</f>
        <v>0.59449358812484443</v>
      </c>
      <c r="AJ39" s="35">
        <f>_xlfn.FORECAST.LINEAR(Sheet3!CN39,$DA$3:$DA$12,$CZ$3:$CZ$12)/1000</f>
        <v>0.59303643887630686</v>
      </c>
      <c r="AK39" s="35">
        <f>_xlfn.FORECAST.LINEAR(Sheet3!CO39,$DA$3:$DA$12,$CZ$3:$CZ$12)/1000</f>
        <v>0.59156682984781894</v>
      </c>
      <c r="AL39" s="35">
        <f>_xlfn.FORECAST.LINEAR(Sheet3!CP39,$DA$3:$DA$12,$CZ$3:$CZ$12)/1000</f>
        <v>0.59007373509311045</v>
      </c>
      <c r="AM39" s="289">
        <f t="shared" si="64"/>
        <v>4189.2127800664393</v>
      </c>
      <c r="AN39" s="35">
        <f>_xlfn.FORECAST.LINEAR(Sheet3!CI39,$DP$3:$DP$14,$DJ$3:$DJ$14)*1000</f>
        <v>4190.2756489643307</v>
      </c>
      <c r="AO39" s="35">
        <f>_xlfn.FORECAST.LINEAR(Sheet3!CJ39,$DP$3:$DP$14,$DJ$3:$DJ$14)*1000</f>
        <v>4190.142100746426</v>
      </c>
      <c r="AP39" s="35">
        <f>_xlfn.FORECAST.LINEAR(Sheet3!CK39,$DP$3:$DP$14,$DJ$3:$DJ$14)*1000</f>
        <v>4190.0113372446331</v>
      </c>
      <c r="AQ39" s="35">
        <f>_xlfn.FORECAST.LINEAR(Sheet3!CL39,$DP$3:$DP$14,$DJ$3:$DJ$14)*1000</f>
        <v>4189.8823881604685</v>
      </c>
      <c r="AR39" s="35">
        <f>_xlfn.FORECAST.LINEAR(Sheet3!CM39,$DP$3:$DP$14,$DJ$3:$DJ$14)*1000</f>
        <v>4189.7542831954443</v>
      </c>
      <c r="AS39" s="35">
        <f>_xlfn.FORECAST.LINEAR(Sheet3!CN39,$DP$3:$DP$14,$DJ$3:$DJ$14)*1000</f>
        <v>4189.6260520510796</v>
      </c>
      <c r="AT39" s="35">
        <f>_xlfn.FORECAST.LINEAR(Sheet3!CO39,$DP$3:$DP$14,$DJ$3:$DJ$14)*1000</f>
        <v>4189.4967244288873</v>
      </c>
      <c r="AU39" s="35">
        <f>_xlfn.FORECAST.LINEAR(Sheet3!CP39,$DP$3:$DP$14,$DJ$3:$DJ$14)*1000</f>
        <v>4189.365330030384</v>
      </c>
      <c r="AV39" s="289">
        <f t="shared" si="18"/>
        <v>1.4017015187214195E-7</v>
      </c>
      <c r="AW39" s="35">
        <f t="shared" si="19"/>
        <v>1.4367724258799685E-7</v>
      </c>
      <c r="AX39" s="35">
        <f t="shared" si="20"/>
        <v>1.4323486741354273E-7</v>
      </c>
      <c r="AY39" s="35">
        <f t="shared" si="21"/>
        <v>1.4280219536189626E-7</v>
      </c>
      <c r="AZ39" s="35">
        <f t="shared" si="22"/>
        <v>1.4237599003954224E-7</v>
      </c>
      <c r="BA39" s="35">
        <f t="shared" si="23"/>
        <v>1.4195302936188988E-7</v>
      </c>
      <c r="BB39" s="35">
        <f t="shared" si="24"/>
        <v>1.4153010513610904E-7</v>
      </c>
      <c r="BC39" s="35">
        <f t="shared" si="25"/>
        <v>1.4110402290652075E-7</v>
      </c>
      <c r="BD39" s="35">
        <f t="shared" si="26"/>
        <v>1.4067160205943851E-7</v>
      </c>
      <c r="BE39" s="289">
        <f t="shared" si="62"/>
        <v>9.8088463181718506</v>
      </c>
      <c r="BF39" s="35">
        <f t="shared" si="27"/>
        <v>7.1026729794056926</v>
      </c>
      <c r="BG39" s="35">
        <f t="shared" si="28"/>
        <v>7.3808596081535018</v>
      </c>
      <c r="BH39" s="35">
        <f t="shared" si="29"/>
        <v>7.6686877531981672</v>
      </c>
      <c r="BI39" s="35">
        <f t="shared" si="30"/>
        <v>7.9682982958259965</v>
      </c>
      <c r="BJ39" s="35">
        <f t="shared" si="31"/>
        <v>8.2822753967696006</v>
      </c>
      <c r="BK39" s="35">
        <f t="shared" si="32"/>
        <v>8.613695290572112</v>
      </c>
      <c r="BL39" s="35">
        <f t="shared" si="33"/>
        <v>8.9661860845479602</v>
      </c>
      <c r="BM39" s="35">
        <f t="shared" si="34"/>
        <v>9.3440019052887511</v>
      </c>
      <c r="BN39" s="289">
        <f t="shared" si="35"/>
        <v>6.6108371723447529E-4</v>
      </c>
      <c r="BO39" s="35">
        <f t="shared" si="36"/>
        <v>6.77624189911074E-4</v>
      </c>
      <c r="BP39" s="35">
        <f t="shared" si="37"/>
        <v>6.7553781830603256E-4</v>
      </c>
      <c r="BQ39" s="35">
        <f t="shared" si="38"/>
        <v>6.7349720948578387E-4</v>
      </c>
      <c r="BR39" s="35">
        <f t="shared" si="39"/>
        <v>6.7148709966537135E-4</v>
      </c>
      <c r="BS39" s="35">
        <f t="shared" si="40"/>
        <v>6.6949229254494025E-4</v>
      </c>
      <c r="BT39" s="35">
        <f t="shared" si="41"/>
        <v>6.6749765734227075E-4</v>
      </c>
      <c r="BU39" s="35">
        <f t="shared" si="42"/>
        <v>6.6548812806359325E-4</v>
      </c>
      <c r="BV39" s="35">
        <f t="shared" si="43"/>
        <v>6.6344870399805047E-4</v>
      </c>
      <c r="BW39" s="289">
        <f t="shared" si="44"/>
        <v>4.003778064667244E-2</v>
      </c>
      <c r="BX39" s="35">
        <f t="shared" si="45"/>
        <v>3.716242779089151E-2</v>
      </c>
      <c r="BY39" s="35">
        <f t="shared" si="46"/>
        <v>3.7492167717187615E-2</v>
      </c>
      <c r="BZ39" s="35">
        <f t="shared" si="47"/>
        <v>3.7823839510015979E-2</v>
      </c>
      <c r="CA39" s="35">
        <f t="shared" si="48"/>
        <v>3.8159459317756335E-2</v>
      </c>
      <c r="CB39" s="35">
        <f t="shared" si="49"/>
        <v>3.8501283750183433E-2</v>
      </c>
      <c r="CC39" s="35">
        <f t="shared" si="50"/>
        <v>3.8851805939963145E-2</v>
      </c>
      <c r="CD39" s="35">
        <f t="shared" si="51"/>
        <v>3.9213753391095181E-2</v>
      </c>
      <c r="CE39" s="35">
        <f t="shared" si="52"/>
        <v>3.9590087838800837E-2</v>
      </c>
      <c r="CF39" s="289">
        <f t="shared" si="65"/>
        <v>65.274545610236061</v>
      </c>
      <c r="CG39" s="35">
        <f t="shared" si="66"/>
        <v>78.254599202743407</v>
      </c>
      <c r="CH39" s="35">
        <f t="shared" si="67"/>
        <v>76.677363088571013</v>
      </c>
      <c r="CI39" s="35">
        <f t="shared" si="68"/>
        <v>75.114378717769483</v>
      </c>
      <c r="CJ39" s="35">
        <f t="shared" si="69"/>
        <v>73.556698723268113</v>
      </c>
      <c r="CK39" s="35">
        <f t="shared" si="70"/>
        <v>71.99480880394573</v>
      </c>
      <c r="CL39" s="35">
        <f t="shared" si="71"/>
        <v>70.418746302197363</v>
      </c>
      <c r="CM39" s="35">
        <f t="shared" si="72"/>
        <v>68.818216346121005</v>
      </c>
      <c r="CN39" s="35">
        <f t="shared" si="73"/>
        <v>67.182707750670644</v>
      </c>
      <c r="CO39" s="289">
        <f t="shared" si="53"/>
        <v>2743.1172733766102</v>
      </c>
      <c r="CP39" s="35">
        <f t="shared" si="54"/>
        <v>3356.1055898760169</v>
      </c>
      <c r="CQ39" s="35">
        <f t="shared" si="55"/>
        <v>3280.1509930655025</v>
      </c>
      <c r="CR39" s="35">
        <f t="shared" si="56"/>
        <v>3205.3162390876259</v>
      </c>
      <c r="CS39" s="35">
        <f t="shared" si="57"/>
        <v>3131.1473839150931</v>
      </c>
      <c r="CT39" s="35">
        <f t="shared" si="58"/>
        <v>3057.1751580157024</v>
      </c>
      <c r="CU39" s="35">
        <f t="shared" si="59"/>
        <v>2982.9201812278015</v>
      </c>
      <c r="CV39" s="35">
        <f t="shared" si="60"/>
        <v>2907.898148546868</v>
      </c>
      <c r="CW39" s="35">
        <f t="shared" si="61"/>
        <v>2831.6250925790773</v>
      </c>
      <c r="DE39" s="229">
        <v>40</v>
      </c>
      <c r="DF39" s="230">
        <v>0.65269999999999995</v>
      </c>
      <c r="DG39" s="230">
        <v>0.65790000000000004</v>
      </c>
      <c r="DH39" s="230">
        <v>0.99219999999999997</v>
      </c>
      <c r="DU39" s="293">
        <v>373.94600000000003</v>
      </c>
      <c r="DV39" s="294">
        <v>0.32200000000000001</v>
      </c>
      <c r="DW39" s="294">
        <v>322</v>
      </c>
      <c r="DX39" s="294">
        <v>0.625</v>
      </c>
      <c r="DY39" s="294">
        <v>20.102</v>
      </c>
      <c r="DZ39" s="294">
        <v>2.6871999999999998</v>
      </c>
      <c r="EA39" s="294">
        <v>3.1577000000000002</v>
      </c>
      <c r="EB39" s="294">
        <v>20.102</v>
      </c>
      <c r="EC39" s="295"/>
    </row>
    <row r="40" spans="1:133" ht="15" thickBot="1" x14ac:dyDescent="0.35">
      <c r="A40" s="184" t="str">
        <f>'Su K. oro stendu'!B85</f>
        <v>29.12.2022</v>
      </c>
      <c r="B40" s="289">
        <f>Sheet3!DD40</f>
        <v>8.4</v>
      </c>
      <c r="C40" s="289">
        <f>_xlfn.FORECAST.LINEAR(Sheet3!DD40,$DW$3:$DW$24,$DU$3:$DU$24)</f>
        <v>1001.8585821834466</v>
      </c>
      <c r="D40" s="35">
        <f>_xlfn.FORECAST.LINEAR(Sheet3!CI40,'Cooling water'!$DW$3:$DW$24,'Cooling water'!$DU$3:$DU$24)</f>
        <v>995.30255493320738</v>
      </c>
      <c r="E40" s="35">
        <f>_xlfn.FORECAST.LINEAR(Sheet3!CJ40,'Cooling water'!$DW$3:$DW$24,'Cooling water'!$DU$3:$DU$24)</f>
        <v>996.07493037889378</v>
      </c>
      <c r="F40" s="35">
        <f>_xlfn.FORECAST.LINEAR(Sheet3!CK40,'Cooling water'!$DW$3:$DW$24,'Cooling water'!$DU$3:$DU$24)</f>
        <v>996.85674599606921</v>
      </c>
      <c r="G40" s="35">
        <f>_xlfn.FORECAST.LINEAR(Sheet3!CL40,'Cooling water'!$DW$3:$DW$24,'Cooling water'!$DU$3:$DU$24)</f>
        <v>997.64679664736411</v>
      </c>
      <c r="H40" s="35">
        <f>_xlfn.FORECAST.LINEAR(Sheet3!CM40,'Cooling water'!$DW$3:$DW$24,'Cooling water'!$DU$3:$DU$24)</f>
        <v>998.44387719540907</v>
      </c>
      <c r="I40" s="35">
        <f>_xlfn.FORECAST.LINEAR(Sheet3!CN40,'Cooling water'!$DW$3:$DW$24,'Cooling water'!$DU$3:$DU$24)</f>
        <v>999.246782502835</v>
      </c>
      <c r="J40" s="35">
        <f>_xlfn.FORECAST.LINEAR(Sheet3!CO40,'Cooling water'!$DW$3:$DW$24,'Cooling water'!$DU$3:$DU$24)</f>
        <v>1000.0543074322723</v>
      </c>
      <c r="K40" s="35">
        <f>_xlfn.FORECAST.LINEAR(Sheet3!CP40,'Cooling water'!$DW$3:$DW$24,'Cooling water'!$DU$3:$DU$24)</f>
        <v>1000.8652468463515</v>
      </c>
      <c r="L40" s="289">
        <f t="shared" si="17"/>
        <v>1.3701086779192018E-3</v>
      </c>
      <c r="M40" s="35">
        <f xml:space="preserve"> 0.0000000000330128*((Sheet3!CI40+273)^(4)) - 0.0000000448315*((Sheet3!CI40+273)^(3)) + 0.0000228887*((Sheet3!CI40+273)^(2)) - 0.00521331*((Sheet3!CI40+273)) + 0.447905</f>
        <v>9.048982482013912E-4</v>
      </c>
      <c r="N40" s="35">
        <f xml:space="preserve"> 0.0000000000330128*((Sheet3!CJ40+273)^(4)) - 0.0000000448315*((Sheet3!CJ40+273)^(3)) + 0.0000228887*((Sheet3!CJ40+273)^(2)) - 0.00521331*((Sheet3!CJ40+273)) + 0.447905</f>
        <v>9.4619302380394288E-4</v>
      </c>
      <c r="O40" s="35">
        <f xml:space="preserve"> 0.0000000000330128*((Sheet3!CK40+273)^(4)) - 0.0000000448315*((Sheet3!CK40+273)^(3)) + 0.0000228887*((Sheet3!CK40+273)^(2)) - 0.00521331*((Sheet3!CK40+273)) + 0.447905</f>
        <v>9.9113231161140902E-4</v>
      </c>
      <c r="P40" s="35">
        <f xml:space="preserve"> 0.0000000000330128*((Sheet3!CL40+273)^(4)) - 0.0000000448315*((Sheet3!CL40+273)^(3)) + 0.0000228887*((Sheet3!CL40+273)^(2)) - 0.00521331*((Sheet3!CL40+273)) + 0.447905</f>
        <v>1.0399968143282035E-3</v>
      </c>
      <c r="Q40" s="35">
        <f xml:space="preserve"> 0.0000000000330128*((Sheet3!CM40+273)^(4)) - 0.0000000448315*((Sheet3!CM40+273)^(3)) + 0.0000228887*((Sheet3!CM40+273)^(2)) - 0.00521331*((Sheet3!CM40+273)) + 0.447905</f>
        <v>1.0930730588911697E-3</v>
      </c>
      <c r="R40" s="35">
        <f xml:space="preserve"> 0.0000000000330128*((Sheet3!CN40+273)^(4)) - 0.0000000448315*((Sheet3!CN40+273)^(3)) + 0.0000228887*((Sheet3!CN40+273)^(2)) - 0.00521331*((Sheet3!CN40+273)) + 0.447905</f>
        <v>1.150650311745105E-3</v>
      </c>
      <c r="S40" s="35">
        <f xml:space="preserve"> 0.0000000000330128*((Sheet3!CO40+273)^(4)) - 0.0000000448315*((Sheet3!CO40+273)^(3)) + 0.0000228887*((Sheet3!CO40+273)^(2)) - 0.00521331*((Sheet3!CO40+273)) + 0.447905</f>
        <v>1.2130170857351796E-3</v>
      </c>
      <c r="T40" s="35">
        <f xml:space="preserve"> 0.0000000000330128*((Sheet3!CP40+273)^(4)) - 0.0000000448315*((Sheet3!CP40+273)^(3)) + 0.0000228887*((Sheet3!CP40+273)^(2)) - 0.00521331*((Sheet3!CP40+273)) + 0.447905</f>
        <v>1.280457252756273E-3</v>
      </c>
      <c r="U40" s="289">
        <f>(Sheet3!DC40*0.014*0.001*C40) / (L40*0.00015*3600*3)</f>
        <v>1674.5969691464952</v>
      </c>
      <c r="V40" s="35">
        <f>(Sheet3!$DC40*0.014*0.001*D40) / (M40*0.00015*3600*3)</f>
        <v>2518.9193726324806</v>
      </c>
      <c r="W40" s="35">
        <f>(Sheet3!$DC40*0.014*0.001*E40) / (N40*0.00015*3600*3)</f>
        <v>2410.8554020093466</v>
      </c>
      <c r="X40" s="35">
        <f>(Sheet3!$DC40*0.014*0.001*F40) / (O40*0.00015*3600*3)</f>
        <v>2303.3504107574017</v>
      </c>
      <c r="Y40" s="35">
        <f>(Sheet3!$DC40*0.014*0.001*G40) / (P40*0.00015*3600*3)</f>
        <v>2196.866662586368</v>
      </c>
      <c r="Z40" s="35">
        <f>(Sheet3!$DC40*0.014*0.001*H40) / (Q40*0.00015*3600*3)</f>
        <v>2091.8635994680953</v>
      </c>
      <c r="AA40" s="35">
        <f>(Sheet3!$DC40*0.014*0.001*I40) / (R40*0.00015*3600*3)</f>
        <v>1988.7870992370904</v>
      </c>
      <c r="AB40" s="35">
        <f>(Sheet3!$DC40*0.014*0.001*J40) / (S40*0.00015*3600*3)</f>
        <v>1888.0590013508224</v>
      </c>
      <c r="AC40" s="35">
        <f>(Sheet3!$DC40*0.014*0.001*K40) / (T40*0.00015*3600*3)</f>
        <v>1790.0675512243399</v>
      </c>
      <c r="AD40" s="289">
        <f t="shared" si="63"/>
        <v>0.5885452601561405</v>
      </c>
      <c r="AE40" s="35">
        <f>_xlfn.FORECAST.LINEAR(Sheet3!CI40,$DA$3:$DA$12,$CZ$3:$CZ$12)/1000</f>
        <v>0.60559798542581977</v>
      </c>
      <c r="AF40" s="35">
        <f>_xlfn.FORECAST.LINEAR(Sheet3!CJ40,$DA$3:$DA$12,$CZ$3:$CZ$12)/1000</f>
        <v>0.60358897817529977</v>
      </c>
      <c r="AG40" s="35">
        <f>_xlfn.FORECAST.LINEAR(Sheet3!CK40,$DA$3:$DA$12,$CZ$3:$CZ$12)/1000</f>
        <v>0.60155541632109144</v>
      </c>
      <c r="AH40" s="35">
        <f>_xlfn.FORECAST.LINEAR(Sheet3!CL40,$DA$3:$DA$12,$CZ$3:$CZ$12)/1000</f>
        <v>0.59950043451710777</v>
      </c>
      <c r="AI40" s="35">
        <f>_xlfn.FORECAST.LINEAR(Sheet3!CM40,$DA$3:$DA$12,$CZ$3:$CZ$12)/1000</f>
        <v>0.59742716741726132</v>
      </c>
      <c r="AJ40" s="35">
        <f>_xlfn.FORECAST.LINEAR(Sheet3!CN40,$DA$3:$DA$12,$CZ$3:$CZ$12)/1000</f>
        <v>0.59533874967546496</v>
      </c>
      <c r="AK40" s="35">
        <f>_xlfn.FORECAST.LINEAR(Sheet3!CO40,$DA$3:$DA$12,$CZ$3:$CZ$12)/1000</f>
        <v>0.59323831594563137</v>
      </c>
      <c r="AL40" s="35">
        <f>_xlfn.FORECAST.LINEAR(Sheet3!CP40,$DA$3:$DA$12,$CZ$3:$CZ$12)/1000</f>
        <v>0.59112900088167331</v>
      </c>
      <c r="AM40" s="289">
        <f t="shared" si="64"/>
        <v>4189.230822127025</v>
      </c>
      <c r="AN40" s="35">
        <f>_xlfn.FORECAST.LINEAR(Sheet3!CI40,$DP$3:$DP$14,$DJ$3:$DJ$14)*1000</f>
        <v>4190.7314854791639</v>
      </c>
      <c r="AO40" s="35">
        <f>_xlfn.FORECAST.LINEAR(Sheet3!CJ40,$DP$3:$DP$14,$DJ$3:$DJ$14)*1000</f>
        <v>4190.5546900692007</v>
      </c>
      <c r="AP40" s="35">
        <f>_xlfn.FORECAST.LINEAR(Sheet3!CK40,$DP$3:$DP$14,$DJ$3:$DJ$14)*1000</f>
        <v>4190.375733820234</v>
      </c>
      <c r="AQ40" s="35">
        <f>_xlfn.FORECAST.LINEAR(Sheet3!CL40,$DP$3:$DP$14,$DJ$3:$DJ$14)*1000</f>
        <v>4190.1948925861343</v>
      </c>
      <c r="AR40" s="35">
        <f>_xlfn.FORECAST.LINEAR(Sheet3!CM40,$DP$3:$DP$14,$DJ$3:$DJ$14)*1000</f>
        <v>4190.0124422207682</v>
      </c>
      <c r="AS40" s="35">
        <f>_xlfn.FORECAST.LINEAR(Sheet3!CN40,$DP$3:$DP$14,$DJ$3:$DJ$14)*1000</f>
        <v>4189.828658578007</v>
      </c>
      <c r="AT40" s="35">
        <f>_xlfn.FORECAST.LINEAR(Sheet3!CO40,$DP$3:$DP$14,$DJ$3:$DJ$14)*1000</f>
        <v>4189.6438175117191</v>
      </c>
      <c r="AU40" s="35">
        <f>_xlfn.FORECAST.LINEAR(Sheet3!CP40,$DP$3:$DP$14,$DJ$3:$DJ$14)*1000</f>
        <v>4189.4581948757741</v>
      </c>
      <c r="AV40" s="289">
        <f t="shared" si="18"/>
        <v>1.4022942507137016E-7</v>
      </c>
      <c r="AW40" s="35">
        <f t="shared" si="19"/>
        <v>1.4519092358724879E-7</v>
      </c>
      <c r="AX40" s="35">
        <f t="shared" si="20"/>
        <v>1.4460315814790758E-7</v>
      </c>
      <c r="AY40" s="35">
        <f t="shared" si="21"/>
        <v>1.4400909566584646E-7</v>
      </c>
      <c r="AZ40" s="35">
        <f t="shared" si="22"/>
        <v>1.4340967996894443E-7</v>
      </c>
      <c r="BA40" s="35">
        <f t="shared" si="23"/>
        <v>1.4280584953940929E-7</v>
      </c>
      <c r="BB40" s="35">
        <f t="shared" si="24"/>
        <v>1.4219853741053069E-7</v>
      </c>
      <c r="BC40" s="35">
        <f t="shared" si="25"/>
        <v>1.4158867108608299E-7</v>
      </c>
      <c r="BD40" s="35">
        <f t="shared" si="26"/>
        <v>1.4097717248203107E-7</v>
      </c>
      <c r="BE40" s="289">
        <f t="shared" si="62"/>
        <v>9.752353628130642</v>
      </c>
      <c r="BF40" s="35">
        <f t="shared" si="27"/>
        <v>6.2618860550305078</v>
      </c>
      <c r="BG40" s="35">
        <f t="shared" si="28"/>
        <v>6.569161725913423</v>
      </c>
      <c r="BH40" s="35">
        <f t="shared" si="29"/>
        <v>6.9041299851994786</v>
      </c>
      <c r="BI40" s="35">
        <f t="shared" si="30"/>
        <v>7.269034497387894</v>
      </c>
      <c r="BJ40" s="35">
        <f t="shared" si="31"/>
        <v>7.6661892307477055</v>
      </c>
      <c r="BK40" s="35">
        <f t="shared" si="32"/>
        <v>8.0979570954845954</v>
      </c>
      <c r="BL40" s="35">
        <f t="shared" si="33"/>
        <v>8.566725036439216</v>
      </c>
      <c r="BM40" s="35">
        <f t="shared" si="34"/>
        <v>9.0748755732620339</v>
      </c>
      <c r="BN40" s="289">
        <f t="shared" si="35"/>
        <v>2.6242395296375005E-3</v>
      </c>
      <c r="BO40" s="35">
        <f t="shared" si="36"/>
        <v>2.7170885199616053E-3</v>
      </c>
      <c r="BP40" s="35">
        <f t="shared" si="37"/>
        <v>2.7060891359215662E-3</v>
      </c>
      <c r="BQ40" s="35">
        <f t="shared" si="38"/>
        <v>2.6949719096496486E-3</v>
      </c>
      <c r="BR40" s="35">
        <f t="shared" si="39"/>
        <v>2.6837545038470145E-3</v>
      </c>
      <c r="BS40" s="35">
        <f t="shared" si="40"/>
        <v>2.6724544811764701E-3</v>
      </c>
      <c r="BT40" s="35">
        <f t="shared" si="41"/>
        <v>2.6610893023303007E-3</v>
      </c>
      <c r="BU40" s="35">
        <f t="shared" si="42"/>
        <v>2.6496763245219997E-3</v>
      </c>
      <c r="BV40" s="35">
        <f t="shared" si="43"/>
        <v>2.6382328003953437E-3</v>
      </c>
      <c r="BW40" s="289">
        <f t="shared" si="44"/>
        <v>5.6432543717674248E-2</v>
      </c>
      <c r="BX40" s="35">
        <f t="shared" si="45"/>
        <v>5.0956974596191161E-2</v>
      </c>
      <c r="BY40" s="35">
        <f t="shared" si="46"/>
        <v>5.1518642517985637E-2</v>
      </c>
      <c r="BZ40" s="35">
        <f t="shared" si="47"/>
        <v>5.2109535120415253E-2</v>
      </c>
      <c r="CA40" s="35">
        <f t="shared" si="48"/>
        <v>5.2729818599811143E-2</v>
      </c>
      <c r="CB40" s="35">
        <f t="shared" si="49"/>
        <v>5.3379421302362416E-2</v>
      </c>
      <c r="CC40" s="35">
        <f t="shared" si="50"/>
        <v>5.4058019222611692E-2</v>
      </c>
      <c r="CD40" s="35">
        <f t="shared" si="51"/>
        <v>5.476502767407658E-2</v>
      </c>
      <c r="CE40" s="35">
        <f t="shared" si="52"/>
        <v>5.5499599209377581E-2</v>
      </c>
      <c r="CF40" s="289">
        <f t="shared" si="65"/>
        <v>11.680351376899424</v>
      </c>
      <c r="CG40" s="35">
        <f t="shared" si="66"/>
        <v>11.675447974415615</v>
      </c>
      <c r="CH40" s="35">
        <f t="shared" si="67"/>
        <v>11.676028857490747</v>
      </c>
      <c r="CI40" s="35">
        <f t="shared" si="68"/>
        <v>11.676615963874182</v>
      </c>
      <c r="CJ40" s="35">
        <f t="shared" si="69"/>
        <v>11.677208360789674</v>
      </c>
      <c r="CK40" s="35">
        <f t="shared" si="70"/>
        <v>11.677805120744052</v>
      </c>
      <c r="CL40" s="35">
        <f t="shared" si="71"/>
        <v>11.67840532162926</v>
      </c>
      <c r="CM40" s="35">
        <f t="shared" si="72"/>
        <v>11.679008046802011</v>
      </c>
      <c r="CN40" s="35">
        <f t="shared" si="73"/>
        <v>11.679612385141398</v>
      </c>
      <c r="CO40" s="289">
        <f t="shared" si="53"/>
        <v>491.02967427374324</v>
      </c>
      <c r="CP40" s="35">
        <f t="shared" si="54"/>
        <v>505.04484087500464</v>
      </c>
      <c r="CQ40" s="35">
        <f t="shared" si="55"/>
        <v>503.39445194558232</v>
      </c>
      <c r="CR40" s="35">
        <f t="shared" si="56"/>
        <v>501.72368409784542</v>
      </c>
      <c r="CS40" s="35">
        <f t="shared" si="57"/>
        <v>500.03510616001523</v>
      </c>
      <c r="CT40" s="35">
        <f t="shared" si="58"/>
        <v>498.33128820977919</v>
      </c>
      <c r="CU40" s="35">
        <f t="shared" si="59"/>
        <v>496.61480159871854</v>
      </c>
      <c r="CV40" s="35">
        <f t="shared" si="60"/>
        <v>494.88821897145016</v>
      </c>
      <c r="CW40" s="35">
        <f t="shared" si="61"/>
        <v>493.15411427956087</v>
      </c>
      <c r="DE40" s="229">
        <v>45</v>
      </c>
      <c r="DF40" s="230">
        <v>0.5958</v>
      </c>
      <c r="DG40" s="230">
        <v>0.60170000000000001</v>
      </c>
      <c r="DH40" s="230">
        <v>0.99019999999999997</v>
      </c>
    </row>
    <row r="41" spans="1:133" ht="15" thickBot="1" x14ac:dyDescent="0.35">
      <c r="A41" s="184" t="str">
        <f>'Su K. oro stendu'!B86</f>
        <v>30.12.2022</v>
      </c>
      <c r="B41" s="289">
        <f>Sheet3!DD41</f>
        <v>8.27</v>
      </c>
      <c r="C41" s="289">
        <f>_xlfn.FORECAST.LINEAR(Sheet3!DD41,$DW$3:$DW$24,$DU$3:$DU$24)</f>
        <v>1001.9125125486894</v>
      </c>
      <c r="D41" s="35">
        <f>_xlfn.FORECAST.LINEAR(Sheet3!CI41,'Cooling water'!$DW$3:$DW$24,'Cooling water'!$DU$3:$DU$24)</f>
        <v>994.85745275642512</v>
      </c>
      <c r="E41" s="35">
        <f>_xlfn.FORECAST.LINEAR(Sheet3!CJ41,'Cooling water'!$DW$3:$DW$24,'Cooling water'!$DU$3:$DU$24)</f>
        <v>995.76777639700663</v>
      </c>
      <c r="F41" s="35">
        <f>_xlfn.FORECAST.LINEAR(Sheet3!CK41,'Cooling water'!$DW$3:$DW$24,'Cooling water'!$DU$3:$DU$24)</f>
        <v>996.64855599986015</v>
      </c>
      <c r="G41" s="35">
        <f>_xlfn.FORECAST.LINEAR(Sheet3!CL41,'Cooling water'!$DW$3:$DW$24,'Cooling water'!$DU$3:$DU$24)</f>
        <v>997.50751472673267</v>
      </c>
      <c r="H41" s="35">
        <f>_xlfn.FORECAST.LINEAR(Sheet3!CM41,'Cooling water'!$DW$3:$DW$24,'Cooling water'!$DU$3:$DU$24)</f>
        <v>998.35237573937093</v>
      </c>
      <c r="I41" s="35">
        <f>_xlfn.FORECAST.LINEAR(Sheet3!CN41,'Cooling water'!$DW$3:$DW$24,'Cooling water'!$DU$3:$DU$24)</f>
        <v>999.19086219952203</v>
      </c>
      <c r="J41" s="35">
        <f>_xlfn.FORECAST.LINEAR(Sheet3!CO41,'Cooling water'!$DW$3:$DW$24,'Cooling water'!$DU$3:$DU$24)</f>
        <v>1000.0306972689331</v>
      </c>
      <c r="K41" s="35">
        <f>_xlfn.FORECAST.LINEAR(Sheet3!CP41,'Cooling water'!$DW$3:$DW$24,'Cooling water'!$DU$3:$DU$24)</f>
        <v>1000.8796041093507</v>
      </c>
      <c r="L41" s="289">
        <f t="shared" si="17"/>
        <v>1.3752089450882465E-3</v>
      </c>
      <c r="M41" s="35">
        <f xml:space="preserve"> 0.0000000000330128*((Sheet3!CI41+273)^(4)) - 0.0000000448315*((Sheet3!CI41+273)^(3)) + 0.0000228887*((Sheet3!CI41+273)^(2)) - 0.00521331*((Sheet3!CI41+273)) + 0.447905</f>
        <v>8.8241426514601429E-4</v>
      </c>
      <c r="N41" s="35">
        <f xml:space="preserve"> 0.0000000000330128*((Sheet3!CJ41+273)^(4)) - 0.0000000448315*((Sheet3!CJ41+273)^(3)) + 0.0000228887*((Sheet3!CJ41+273)^(2)) - 0.00521331*((Sheet3!CJ41+273)) + 0.447905</f>
        <v>9.2941456439898928E-4</v>
      </c>
      <c r="O41" s="35">
        <f xml:space="preserve"> 0.0000000000330128*((Sheet3!CK41+273)^(4)) - 0.0000000448315*((Sheet3!CK41+273)^(3)) + 0.0000228887*((Sheet3!CK41+273)^(2)) - 0.00521331*((Sheet3!CK41+273)) + 0.447905</f>
        <v>9.7884358762256873E-4</v>
      </c>
      <c r="P41" s="35">
        <f xml:space="preserve"> 0.0000000000330128*((Sheet3!CL41+273)^(4)) - 0.0000000448315*((Sheet3!CL41+273)^(3)) + 0.0000228887*((Sheet3!CL41+273)^(2)) - 0.00521331*((Sheet3!CL41+273)) + 0.447905</f>
        <v>1.0311191528524777E-3</v>
      </c>
      <c r="Q41" s="35">
        <f xml:space="preserve"> 0.0000000000330128*((Sheet3!CM41+273)^(4)) - 0.0000000448315*((Sheet3!CM41+273)^(3)) + 0.0000228887*((Sheet3!CM41+273)^(2)) - 0.00521331*((Sheet3!CM41+273)) + 0.447905</f>
        <v>1.0867787396300344E-3</v>
      </c>
      <c r="R41" s="35">
        <f xml:space="preserve"> 0.0000000000330128*((Sheet3!CN41+273)^(4)) - 0.0000000448315*((Sheet3!CN41+273)^(3)) + 0.0000228887*((Sheet3!CN41+273)^(2)) - 0.00521331*((Sheet3!CN41+273)) + 0.447905</f>
        <v>1.1465004556259206E-3</v>
      </c>
      <c r="S41" s="35">
        <f xml:space="preserve"> 0.0000000000330128*((Sheet3!CO41+273)^(4)) - 0.0000000448315*((Sheet3!CO41+273)^(3)) + 0.0000228887*((Sheet3!CO41+273)^(2)) - 0.00521331*((Sheet3!CO41+273)) + 0.447905</f>
        <v>1.2111273351260721E-3</v>
      </c>
      <c r="T41" s="35">
        <f xml:space="preserve"> 0.0000000000330128*((Sheet3!CP41+273)^(4)) - 0.0000000448315*((Sheet3!CP41+273)^(3)) + 0.0000228887*((Sheet3!CP41+273)^(2)) - 0.00521331*((Sheet3!CP41+273)) + 0.447905</f>
        <v>1.281696609084948E-3</v>
      </c>
      <c r="U41" s="289">
        <f>(Sheet3!DC41*0.014*0.001*C41) / (L41*0.00015*3600*3)</f>
        <v>1699.9568472582862</v>
      </c>
      <c r="V41" s="35">
        <f>(Sheet3!$DC41*0.014*0.001*D41) / (M41*0.00015*3600*3)</f>
        <v>2630.6624316046664</v>
      </c>
      <c r="W41" s="35">
        <f>(Sheet3!$DC41*0.014*0.001*E41) / (N41*0.00015*3600*3)</f>
        <v>2499.9157899239776</v>
      </c>
      <c r="X41" s="35">
        <f>(Sheet3!$DC41*0.014*0.001*F41) / (O41*0.00015*3600*3)</f>
        <v>2375.776198300744</v>
      </c>
      <c r="Y41" s="35">
        <f>(Sheet3!$DC41*0.014*0.001*G41) / (P41*0.00015*3600*3)</f>
        <v>2257.273107500288</v>
      </c>
      <c r="Z41" s="35">
        <f>(Sheet3!$DC41*0.014*0.001*H41) / (Q41*0.00015*3600*3)</f>
        <v>2143.4803532485494</v>
      </c>
      <c r="AA41" s="35">
        <f>(Sheet3!$DC41*0.014*0.001*I41) / (R41*0.00015*3600*3)</f>
        <v>2033.531983080974</v>
      </c>
      <c r="AB41" s="35">
        <f>(Sheet3!$DC41*0.014*0.001*J41) / (S41*0.00015*3600*3)</f>
        <v>1926.6388369075019</v>
      </c>
      <c r="AC41" s="35">
        <f>(Sheet3!$DC41*0.014*0.001*K41) / (T41*0.00015*3600*3)</f>
        <v>1822.1049555472723</v>
      </c>
      <c r="AD41" s="289">
        <f t="shared" si="63"/>
        <v>0.58840498317633594</v>
      </c>
      <c r="AE41" s="35">
        <f>_xlfn.FORECAST.LINEAR(Sheet3!CI41,$DA$3:$DA$12,$CZ$3:$CZ$12)/1000</f>
        <v>0.60675573002447547</v>
      </c>
      <c r="AF41" s="35">
        <f>_xlfn.FORECAST.LINEAR(Sheet3!CJ41,$DA$3:$DA$12,$CZ$3:$CZ$12)/1000</f>
        <v>0.60438790903215645</v>
      </c>
      <c r="AG41" s="35">
        <f>_xlfn.FORECAST.LINEAR(Sheet3!CK41,$DA$3:$DA$12,$CZ$3:$CZ$12)/1000</f>
        <v>0.60209693432791767</v>
      </c>
      <c r="AH41" s="35">
        <f>_xlfn.FORECAST.LINEAR(Sheet3!CL41,$DA$3:$DA$12,$CZ$3:$CZ$12)/1000</f>
        <v>0.59986271738093744</v>
      </c>
      <c r="AI41" s="35">
        <f>_xlfn.FORECAST.LINEAR(Sheet3!CM41,$DA$3:$DA$12,$CZ$3:$CZ$12)/1000</f>
        <v>0.59766516966039385</v>
      </c>
      <c r="AJ41" s="35">
        <f>_xlfn.FORECAST.LINEAR(Sheet3!CN41,$DA$3:$DA$12,$CZ$3:$CZ$12)/1000</f>
        <v>0.59548420263546553</v>
      </c>
      <c r="AK41" s="35">
        <f>_xlfn.FORECAST.LINEAR(Sheet3!CO41,$DA$3:$DA$12,$CZ$3:$CZ$12)/1000</f>
        <v>0.59329972777533069</v>
      </c>
      <c r="AL41" s="35">
        <f>_xlfn.FORECAST.LINEAR(Sheet3!CP41,$DA$3:$DA$12,$CZ$3:$CZ$12)/1000</f>
        <v>0.59109165654916751</v>
      </c>
      <c r="AM41" s="289">
        <f t="shared" si="64"/>
        <v>4189.2184775592559</v>
      </c>
      <c r="AN41" s="35">
        <f>_xlfn.FORECAST.LINEAR(Sheet3!CI41,$DP$3:$DP$14,$DJ$3:$DJ$14)*1000</f>
        <v>4190.8333686012375</v>
      </c>
      <c r="AO41" s="35">
        <f>_xlfn.FORECAST.LINEAR(Sheet3!CJ41,$DP$3:$DP$14,$DJ$3:$DJ$14)*1000</f>
        <v>4190.6249970869249</v>
      </c>
      <c r="AP41" s="35">
        <f>_xlfn.FORECAST.LINEAR(Sheet3!CK41,$DP$3:$DP$14,$DJ$3:$DJ$14)*1000</f>
        <v>4190.4233881519913</v>
      </c>
      <c r="AQ41" s="35">
        <f>_xlfn.FORECAST.LINEAR(Sheet3!CL41,$DP$3:$DP$14,$DJ$3:$DJ$14)*1000</f>
        <v>4190.2267739780091</v>
      </c>
      <c r="AR41" s="35">
        <f>_xlfn.FORECAST.LINEAR(Sheet3!CM41,$DP$3:$DP$14,$DJ$3:$DJ$14)*1000</f>
        <v>4190.0333867465451</v>
      </c>
      <c r="AS41" s="35">
        <f>_xlfn.FORECAST.LINEAR(Sheet3!CN41,$DP$3:$DP$14,$DJ$3:$DJ$14)*1000</f>
        <v>4189.8414586391746</v>
      </c>
      <c r="AT41" s="35">
        <f>_xlfn.FORECAST.LINEAR(Sheet3!CO41,$DP$3:$DP$14,$DJ$3:$DJ$14)*1000</f>
        <v>4189.6492218374651</v>
      </c>
      <c r="AU41" s="35">
        <f>_xlfn.FORECAST.LINEAR(Sheet3!CP41,$DP$3:$DP$14,$DJ$3:$DJ$14)*1000</f>
        <v>4189.4549085229883</v>
      </c>
      <c r="AV41" s="289">
        <f t="shared" si="18"/>
        <v>1.4018886876188846E-7</v>
      </c>
      <c r="AW41" s="35">
        <f t="shared" si="19"/>
        <v>1.4553003554886745E-7</v>
      </c>
      <c r="AX41" s="35">
        <f t="shared" si="20"/>
        <v>1.4483679304738562E-7</v>
      </c>
      <c r="AY41" s="35">
        <f t="shared" si="21"/>
        <v>1.4416720176650834E-7</v>
      </c>
      <c r="AZ41" s="35">
        <f t="shared" si="22"/>
        <v>1.4351528801571758E-7</v>
      </c>
      <c r="BA41" s="35">
        <f t="shared" si="23"/>
        <v>1.4287511987995251E-7</v>
      </c>
      <c r="BB41" s="35">
        <f t="shared" si="24"/>
        <v>1.4224080492739182E-7</v>
      </c>
      <c r="BC41" s="35">
        <f t="shared" si="25"/>
        <v>1.4160648881074934E-7</v>
      </c>
      <c r="BD41" s="35">
        <f t="shared" si="26"/>
        <v>1.4096635474589113E-7</v>
      </c>
      <c r="BE41" s="289">
        <f t="shared" si="62"/>
        <v>9.7909618170958908</v>
      </c>
      <c r="BF41" s="35">
        <f t="shared" si="27"/>
        <v>6.0947939414671595</v>
      </c>
      <c r="BG41" s="35">
        <f t="shared" si="28"/>
        <v>6.4442518588171085</v>
      </c>
      <c r="BH41" s="35">
        <f t="shared" si="29"/>
        <v>6.812472924305383</v>
      </c>
      <c r="BI41" s="35">
        <f t="shared" si="30"/>
        <v>7.2026864751792905</v>
      </c>
      <c r="BJ41" s="35">
        <f t="shared" si="31"/>
        <v>7.6190473097899449</v>
      </c>
      <c r="BK41" s="35">
        <f t="shared" si="32"/>
        <v>8.0668053326526525</v>
      </c>
      <c r="BL41" s="35">
        <f t="shared" si="33"/>
        <v>8.5525046778354774</v>
      </c>
      <c r="BM41" s="35">
        <f t="shared" si="34"/>
        <v>9.0842259244807249</v>
      </c>
      <c r="BN41" s="289">
        <f t="shared" si="35"/>
        <v>2.5748975895040723E-3</v>
      </c>
      <c r="BO41" s="35">
        <f t="shared" si="36"/>
        <v>2.6730006529383813E-3</v>
      </c>
      <c r="BP41" s="35">
        <f t="shared" si="37"/>
        <v>2.6602676274009606E-3</v>
      </c>
      <c r="BQ41" s="35">
        <f t="shared" si="38"/>
        <v>2.6479690120379076E-3</v>
      </c>
      <c r="BR41" s="35">
        <f t="shared" si="39"/>
        <v>2.6359950860029751E-3</v>
      </c>
      <c r="BS41" s="35">
        <f t="shared" si="40"/>
        <v>2.6242368957542289E-3</v>
      </c>
      <c r="BT41" s="35">
        <f t="shared" si="41"/>
        <v>2.612586212952094E-3</v>
      </c>
      <c r="BU41" s="35">
        <f t="shared" si="42"/>
        <v>2.6009355087688642E-3</v>
      </c>
      <c r="BV41" s="35">
        <f t="shared" si="43"/>
        <v>2.5891779443122857E-3</v>
      </c>
      <c r="BW41" s="289">
        <f t="shared" si="44"/>
        <v>5.6220891454740927E-2</v>
      </c>
      <c r="BX41" s="35">
        <f t="shared" si="45"/>
        <v>5.0407008159027683E-2</v>
      </c>
      <c r="BY41" s="35">
        <f t="shared" si="46"/>
        <v>5.1053539529343897E-2</v>
      </c>
      <c r="BZ41" s="35">
        <f t="shared" si="47"/>
        <v>5.1707771402448713E-2</v>
      </c>
      <c r="CA41" s="35">
        <f t="shared" si="48"/>
        <v>5.2373449018690649E-2</v>
      </c>
      <c r="CB41" s="35">
        <f t="shared" si="49"/>
        <v>5.3055122925494552E-2</v>
      </c>
      <c r="CC41" s="35">
        <f t="shared" si="50"/>
        <v>5.3758166750120642E-2</v>
      </c>
      <c r="CD41" s="35">
        <f t="shared" si="51"/>
        <v>5.448878503052404E-2</v>
      </c>
      <c r="CE41" s="35">
        <f t="shared" si="52"/>
        <v>5.5254016696658755E-2</v>
      </c>
      <c r="CF41" s="289">
        <f t="shared" si="65"/>
        <v>11.68295714989665</v>
      </c>
      <c r="CG41" s="35">
        <f t="shared" si="66"/>
        <v>11.677776277135042</v>
      </c>
      <c r="CH41" s="35">
        <f t="shared" si="67"/>
        <v>11.678448714700906</v>
      </c>
      <c r="CI41" s="35">
        <f t="shared" si="68"/>
        <v>11.67909821084414</v>
      </c>
      <c r="CJ41" s="35">
        <f t="shared" si="69"/>
        <v>11.679730559978532</v>
      </c>
      <c r="CK41" s="35">
        <f t="shared" si="70"/>
        <v>11.680351515996142</v>
      </c>
      <c r="CL41" s="35">
        <f t="shared" si="71"/>
        <v>11.680966794490724</v>
      </c>
      <c r="CM41" s="35">
        <f t="shared" si="72"/>
        <v>11.681582074114452</v>
      </c>
      <c r="CN41" s="35">
        <f t="shared" si="73"/>
        <v>11.682202997083659</v>
      </c>
      <c r="CO41" s="289">
        <f t="shared" si="53"/>
        <v>491.02215751677085</v>
      </c>
      <c r="CP41" s="35">
        <f t="shared" si="54"/>
        <v>506.1112621496838</v>
      </c>
      <c r="CQ41" s="35">
        <f t="shared" si="55"/>
        <v>504.16522852981109</v>
      </c>
      <c r="CR41" s="35">
        <f t="shared" si="56"/>
        <v>502.28208774742319</v>
      </c>
      <c r="CS41" s="35">
        <f t="shared" si="57"/>
        <v>500.44535085613575</v>
      </c>
      <c r="CT41" s="35">
        <f t="shared" si="58"/>
        <v>498.63851932149089</v>
      </c>
      <c r="CU41" s="35">
        <f t="shared" si="59"/>
        <v>496.84508554490412</v>
      </c>
      <c r="CV41" s="35">
        <f t="shared" si="60"/>
        <v>495.04853318266339</v>
      </c>
      <c r="CW41" s="35">
        <f t="shared" si="61"/>
        <v>493.23233726355926</v>
      </c>
      <c r="DE41" s="229">
        <v>50</v>
      </c>
      <c r="DF41" s="230">
        <v>0.54649999999999999</v>
      </c>
      <c r="DG41" s="230">
        <v>0.55310000000000004</v>
      </c>
      <c r="DH41" s="230">
        <v>0.98799999999999999</v>
      </c>
    </row>
    <row r="42" spans="1:133" ht="15" thickBot="1" x14ac:dyDescent="0.35">
      <c r="A42" s="184" t="str">
        <f>'Su K. oro stendu'!B87</f>
        <v>03.01.2023</v>
      </c>
      <c r="B42" s="289">
        <f>Sheet3!DD42</f>
        <v>8.09</v>
      </c>
      <c r="C42" s="289">
        <f>_xlfn.FORECAST.LINEAR(Sheet3!DD42,$DW$3:$DW$24,$DU$3:$DU$24)</f>
        <v>1001.9871853621027</v>
      </c>
      <c r="D42" s="35">
        <f>_xlfn.FORECAST.LINEAR(Sheet3!CI42,'Cooling water'!$DW$3:$DW$24,'Cooling water'!$DU$3:$DU$24)</f>
        <v>994.72340093106527</v>
      </c>
      <c r="E42" s="35">
        <f>_xlfn.FORECAST.LINEAR(Sheet3!CJ42,'Cooling water'!$DW$3:$DW$24,'Cooling water'!$DU$3:$DU$24)</f>
        <v>995.64016659472475</v>
      </c>
      <c r="F42" s="35">
        <f>_xlfn.FORECAST.LINEAR(Sheet3!CK42,'Cooling water'!$DW$3:$DW$24,'Cooling water'!$DU$3:$DU$24)</f>
        <v>996.5156897885596</v>
      </c>
      <c r="G42" s="35">
        <f>_xlfn.FORECAST.LINEAR(Sheet3!CL42,'Cooling water'!$DW$3:$DW$24,'Cooling water'!$DU$3:$DU$24)</f>
        <v>997.36616611425393</v>
      </c>
      <c r="H42" s="35">
        <f>_xlfn.FORECAST.LINEAR(Sheet3!CM42,'Cooling water'!$DW$3:$DW$24,'Cooling water'!$DU$3:$DU$24)</f>
        <v>998.20779117349173</v>
      </c>
      <c r="I42" s="35">
        <f>_xlfn.FORECAST.LINEAR(Sheet3!CN42,'Cooling water'!$DW$3:$DW$24,'Cooling water'!$DU$3:$DU$24)</f>
        <v>999.0567605679571</v>
      </c>
      <c r="J42" s="35">
        <f>_xlfn.FORECAST.LINEAR(Sheet3!CO42,'Cooling water'!$DW$3:$DW$24,'Cooling water'!$DU$3:$DU$24)</f>
        <v>999.92926989933403</v>
      </c>
      <c r="K42" s="35">
        <f>_xlfn.FORECAST.LINEAR(Sheet3!CP42,'Cooling water'!$DW$3:$DW$24,'Cooling water'!$DU$3:$DU$24)</f>
        <v>1000.8415147693066</v>
      </c>
      <c r="L42" s="289">
        <f t="shared" si="17"/>
        <v>1.3823116003177649E-3</v>
      </c>
      <c r="M42" s="35">
        <f xml:space="preserve"> 0.0000000000330128*((Sheet3!CI42+273)^(4)) - 0.0000000448315*((Sheet3!CI42+273)^(3)) + 0.0000228887*((Sheet3!CI42+273)^(2)) - 0.00521331*((Sheet3!CI42+273)) + 0.447905</f>
        <v>8.7582270890762537E-4</v>
      </c>
      <c r="N42" s="35">
        <f xml:space="preserve"> 0.0000000000330128*((Sheet3!CJ42+273)^(4)) - 0.0000000448315*((Sheet3!CJ42+273)^(3)) + 0.0000228887*((Sheet3!CJ42+273)^(2)) - 0.00521331*((Sheet3!CJ42+273)) + 0.447905</f>
        <v>9.2258375147480365E-4</v>
      </c>
      <c r="O42" s="35">
        <f xml:space="preserve"> 0.0000000000330128*((Sheet3!CK42+273)^(4)) - 0.0000000448315*((Sheet3!CK42+273)^(3)) + 0.0000228887*((Sheet3!CK42+273)^(2)) - 0.00521331*((Sheet3!CK42+273)) + 0.447905</f>
        <v>9.7112474831284601E-4</v>
      </c>
      <c r="P42" s="35">
        <f xml:space="preserve"> 0.0000000000330128*((Sheet3!CL42+273)^(4)) - 0.0000000448315*((Sheet3!CL42+273)^(3)) + 0.0000228887*((Sheet3!CL42+273)^(2)) - 0.00521331*((Sheet3!CL42+273)) + 0.447905</f>
        <v>1.0222266665920188E-3</v>
      </c>
      <c r="Q42" s="35">
        <f xml:space="preserve"> 0.0000000000330128*((Sheet3!CM42+273)^(4)) - 0.0000000448315*((Sheet3!CM42+273)^(3)) + 0.0000228887*((Sheet3!CM42+273)^(2)) - 0.00521331*((Sheet3!CM42+273)) + 0.447905</f>
        <v>1.0769410920477007E-3</v>
      </c>
      <c r="R42" s="35">
        <f xml:space="preserve"> 0.0000000000330128*((Sheet3!CN42+273)^(4)) - 0.0000000448315*((Sheet3!CN42+273)^(3)) + 0.0000228887*((Sheet3!CN42+273)^(2)) - 0.00521331*((Sheet3!CN42+273)) + 0.447905</f>
        <v>1.1366354779953625E-3</v>
      </c>
      <c r="S42" s="35">
        <f xml:space="preserve"> 0.0000000000330128*((Sheet3!CO42+273)^(4)) - 0.0000000448315*((Sheet3!CO42+273)^(3)) + 0.0000228887*((Sheet3!CO42+273)^(2)) - 0.00521331*((Sheet3!CO42+273)) + 0.447905</f>
        <v>1.2030553923800813E-3</v>
      </c>
      <c r="T42" s="35">
        <f xml:space="preserve"> 0.0000000000330128*((Sheet3!CP42+273)^(4)) - 0.0000000448315*((Sheet3!CP42+273)^(3)) + 0.0000228887*((Sheet3!CP42+273)^(2)) - 0.00521331*((Sheet3!CP42+273)) + 0.447905</f>
        <v>1.2784121713989016E-3</v>
      </c>
      <c r="U42" s="289">
        <f>(Sheet3!DC42*0.014*0.001*C42) / (L42*0.00015*3600*3)</f>
        <v>1785.3118836180315</v>
      </c>
      <c r="V42" s="35">
        <f>(Sheet3!$DC42*0.014*0.001*D42) / (M42*0.00015*3600*3)</f>
        <v>2797.3320056310336</v>
      </c>
      <c r="W42" s="35">
        <f>(Sheet3!$DC42*0.014*0.001*E42) / (N42*0.00015*3600*3)</f>
        <v>2657.9970120230905</v>
      </c>
      <c r="X42" s="35">
        <f>(Sheet3!$DC42*0.014*0.001*F42) / (O42*0.00015*3600*3)</f>
        <v>2527.3593739885187</v>
      </c>
      <c r="Y42" s="35">
        <f>(Sheet3!$DC42*0.014*0.001*G42) / (P42*0.00015*3600*3)</f>
        <v>2403.0638291225282</v>
      </c>
      <c r="Z42" s="35">
        <f>(Sheet3!$DC42*0.014*0.001*H42) / (Q42*0.00015*3600*3)</f>
        <v>2282.8999999681341</v>
      </c>
      <c r="AA42" s="35">
        <f>(Sheet3!$DC42*0.014*0.001*I42) / (R42*0.00015*3600*3)</f>
        <v>2164.8451476425544</v>
      </c>
      <c r="AB42" s="35">
        <f>(Sheet3!$DC42*0.014*0.001*J42) / (S42*0.00015*3600*3)</f>
        <v>2047.111689905121</v>
      </c>
      <c r="AC42" s="35">
        <f>(Sheet3!$DC42*0.014*0.001*K42) / (T42*0.00015*3600*3)</f>
        <v>1928.2009650887383</v>
      </c>
      <c r="AD42" s="289">
        <f t="shared" si="63"/>
        <v>0.58821075351199115</v>
      </c>
      <c r="AE42" s="35">
        <f>_xlfn.FORECAST.LINEAR(Sheet3!CI42,$DA$3:$DA$12,$CZ$3:$CZ$12)/1000</f>
        <v>0.60710440901290952</v>
      </c>
      <c r="AF42" s="35">
        <f>_xlfn.FORECAST.LINEAR(Sheet3!CJ42,$DA$3:$DA$12,$CZ$3:$CZ$12)/1000</f>
        <v>0.60471983182883982</v>
      </c>
      <c r="AG42" s="35">
        <f>_xlfn.FORECAST.LINEAR(Sheet3!CK42,$DA$3:$DA$12,$CZ$3:$CZ$12)/1000</f>
        <v>0.60244252944405285</v>
      </c>
      <c r="AH42" s="35">
        <f>_xlfn.FORECAST.LINEAR(Sheet3!CL42,$DA$3:$DA$12,$CZ$3:$CZ$12)/1000</f>
        <v>0.60023037586737238</v>
      </c>
      <c r="AI42" s="35">
        <f>_xlfn.FORECAST.LINEAR(Sheet3!CM42,$DA$3:$DA$12,$CZ$3:$CZ$12)/1000</f>
        <v>0.59804124510762213</v>
      </c>
      <c r="AJ42" s="35">
        <f>_xlfn.FORECAST.LINEAR(Sheet3!CN42,$DA$3:$DA$12,$CZ$3:$CZ$12)/1000</f>
        <v>0.59583301117362553</v>
      </c>
      <c r="AK42" s="35">
        <f>_xlfn.FORECAST.LINEAR(Sheet3!CO42,$DA$3:$DA$12,$CZ$3:$CZ$12)/1000</f>
        <v>0.59356354807420664</v>
      </c>
      <c r="AL42" s="35">
        <f>_xlfn.FORECAST.LINEAR(Sheet3!CP42,$DA$3:$DA$12,$CZ$3:$CZ$12)/1000</f>
        <v>0.59119072981818899</v>
      </c>
      <c r="AM42" s="289">
        <f t="shared" si="64"/>
        <v>4189.2013850808062</v>
      </c>
      <c r="AN42" s="35">
        <f>_xlfn.FORECAST.LINEAR(Sheet3!CI42,$DP$3:$DP$14,$DJ$3:$DJ$14)*1000</f>
        <v>4190.8640528333071</v>
      </c>
      <c r="AO42" s="35">
        <f>_xlfn.FORECAST.LINEAR(Sheet3!CJ42,$DP$3:$DP$14,$DJ$3:$DJ$14)*1000</f>
        <v>4190.6542067510018</v>
      </c>
      <c r="AP42" s="35">
        <f>_xlfn.FORECAST.LINEAR(Sheet3!CK42,$DP$3:$DP$14,$DJ$3:$DJ$14)*1000</f>
        <v>4190.4538009990447</v>
      </c>
      <c r="AQ42" s="35">
        <f>_xlfn.FORECAST.LINEAR(Sheet3!CL42,$DP$3:$DP$14,$DJ$3:$DJ$14)*1000</f>
        <v>4190.2591284320888</v>
      </c>
      <c r="AR42" s="35">
        <f>_xlfn.FORECAST.LINEAR(Sheet3!CM42,$DP$3:$DP$14,$DJ$3:$DJ$14)*1000</f>
        <v>4190.0664819047897</v>
      </c>
      <c r="AS42" s="35">
        <f>_xlfn.FORECAST.LINEAR(Sheet3!CN42,$DP$3:$DP$14,$DJ$3:$DJ$14)*1000</f>
        <v>4189.8721542717994</v>
      </c>
      <c r="AT42" s="35">
        <f>_xlfn.FORECAST.LINEAR(Sheet3!CO42,$DP$3:$DP$14,$DJ$3:$DJ$14)*1000</f>
        <v>4189.6724383877709</v>
      </c>
      <c r="AU42" s="35">
        <f>_xlfn.FORECAST.LINEAR(Sheet3!CP42,$DP$3:$DP$14,$DJ$3:$DJ$14)*1000</f>
        <v>4189.4636271073578</v>
      </c>
      <c r="AV42" s="289">
        <f t="shared" si="18"/>
        <v>1.4013272075808199E-7</v>
      </c>
      <c r="AW42" s="35">
        <f t="shared" si="19"/>
        <v>1.4563222305620842E-7</v>
      </c>
      <c r="AX42" s="35">
        <f t="shared" si="20"/>
        <v>1.4493389922549258E-7</v>
      </c>
      <c r="AY42" s="35">
        <f t="shared" si="21"/>
        <v>1.4426813760218574E-7</v>
      </c>
      <c r="AZ42" s="35">
        <f t="shared" si="22"/>
        <v>1.436224919193276E-7</v>
      </c>
      <c r="BA42" s="35">
        <f t="shared" si="23"/>
        <v>1.429846010457976E-7</v>
      </c>
      <c r="BB42" s="35">
        <f t="shared" si="24"/>
        <v>1.4234218444353218E-7</v>
      </c>
      <c r="BC42" s="35">
        <f t="shared" si="25"/>
        <v>1.4168304147466895E-7</v>
      </c>
      <c r="BD42" s="35">
        <f t="shared" si="26"/>
        <v>1.4099505448945003E-7</v>
      </c>
      <c r="BE42" s="289">
        <f t="shared" si="62"/>
        <v>9.8447395531105286</v>
      </c>
      <c r="BF42" s="35">
        <f t="shared" si="27"/>
        <v>6.0458363552059264</v>
      </c>
      <c r="BG42" s="35">
        <f t="shared" si="28"/>
        <v>6.3934226656755424</v>
      </c>
      <c r="BH42" s="35">
        <f t="shared" si="29"/>
        <v>6.7549238208118991</v>
      </c>
      <c r="BI42" s="35">
        <f t="shared" si="30"/>
        <v>7.136251001666027</v>
      </c>
      <c r="BJ42" s="35">
        <f t="shared" si="31"/>
        <v>7.5453905724561876</v>
      </c>
      <c r="BK42" s="35">
        <f t="shared" si="32"/>
        <v>7.9927718832322912</v>
      </c>
      <c r="BL42" s="35">
        <f t="shared" si="33"/>
        <v>8.4917748666709993</v>
      </c>
      <c r="BM42" s="35">
        <f t="shared" si="34"/>
        <v>9.0594473532664193</v>
      </c>
      <c r="BN42" s="289">
        <f t="shared" si="35"/>
        <v>2.4383996522888587E-3</v>
      </c>
      <c r="BO42" s="35">
        <f t="shared" si="36"/>
        <v>2.5340945365312307E-3</v>
      </c>
      <c r="BP42" s="35">
        <f t="shared" si="37"/>
        <v>2.5219432518291938E-3</v>
      </c>
      <c r="BQ42" s="35">
        <f t="shared" si="38"/>
        <v>2.5103585705213839E-3</v>
      </c>
      <c r="BR42" s="35">
        <f t="shared" si="39"/>
        <v>2.4991239195414671E-3</v>
      </c>
      <c r="BS42" s="35">
        <f t="shared" si="40"/>
        <v>2.4880242072415903E-3</v>
      </c>
      <c r="BT42" s="35">
        <f t="shared" si="41"/>
        <v>2.476845744345028E-3</v>
      </c>
      <c r="BU42" s="35">
        <f t="shared" si="42"/>
        <v>2.4653762318900497E-3</v>
      </c>
      <c r="BV42" s="35">
        <f t="shared" si="43"/>
        <v>2.4534048149614288E-3</v>
      </c>
      <c r="BW42" s="289">
        <f t="shared" si="44"/>
        <v>5.5536521946256343E-2</v>
      </c>
      <c r="BX42" s="35">
        <f t="shared" si="45"/>
        <v>4.9638791345363413E-2</v>
      </c>
      <c r="BY42" s="35">
        <f t="shared" si="46"/>
        <v>5.0276910179219127E-2</v>
      </c>
      <c r="BZ42" s="35">
        <f t="shared" si="47"/>
        <v>5.0914379093739866E-2</v>
      </c>
      <c r="CA42" s="35">
        <f t="shared" si="48"/>
        <v>5.1560352199815883E-2</v>
      </c>
      <c r="CB42" s="35">
        <f t="shared" si="49"/>
        <v>5.2225845529847804E-2</v>
      </c>
      <c r="CC42" s="35">
        <f t="shared" si="50"/>
        <v>5.2923735804986154E-2</v>
      </c>
      <c r="CD42" s="35">
        <f t="shared" si="51"/>
        <v>5.3668791656031514E-2</v>
      </c>
      <c r="CE42" s="35">
        <f t="shared" si="52"/>
        <v>5.4477745680906776E-2</v>
      </c>
      <c r="CF42" s="289">
        <f t="shared" si="65"/>
        <v>11.690165675504085</v>
      </c>
      <c r="CG42" s="35">
        <f t="shared" si="66"/>
        <v>11.685111979912524</v>
      </c>
      <c r="CH42" s="35">
        <f t="shared" si="67"/>
        <v>11.685753695448486</v>
      </c>
      <c r="CI42" s="35">
        <f t="shared" si="68"/>
        <v>11.686365488370527</v>
      </c>
      <c r="CJ42" s="35">
        <f t="shared" si="69"/>
        <v>11.686958796012616</v>
      </c>
      <c r="CK42" s="35">
        <f t="shared" si="70"/>
        <v>11.687544977474266</v>
      </c>
      <c r="CL42" s="35">
        <f t="shared" si="71"/>
        <v>11.688135317795046</v>
      </c>
      <c r="CM42" s="35">
        <f t="shared" si="72"/>
        <v>11.688741028591293</v>
      </c>
      <c r="CN42" s="35">
        <f t="shared" si="73"/>
        <v>11.689373245218501</v>
      </c>
      <c r="CO42" s="289">
        <f t="shared" si="53"/>
        <v>491.1629400477338</v>
      </c>
      <c r="CP42" s="35">
        <f t="shared" si="54"/>
        <v>506.7202144867473</v>
      </c>
      <c r="CQ42" s="35">
        <f t="shared" si="55"/>
        <v>504.75764353606087</v>
      </c>
      <c r="CR42" s="35">
        <f t="shared" si="56"/>
        <v>502.88311320154457</v>
      </c>
      <c r="CS42" s="35">
        <f t="shared" si="57"/>
        <v>501.06197649122475</v>
      </c>
      <c r="CT42" s="35">
        <f t="shared" si="58"/>
        <v>499.25956789857463</v>
      </c>
      <c r="CU42" s="35">
        <f t="shared" si="59"/>
        <v>497.44120438618734</v>
      </c>
      <c r="CV42" s="35">
        <f t="shared" si="60"/>
        <v>495.57218553222856</v>
      </c>
      <c r="CW42" s="35">
        <f t="shared" si="61"/>
        <v>493.61779285413843</v>
      </c>
      <c r="DE42" s="229">
        <v>55</v>
      </c>
      <c r="DF42" s="230">
        <v>0.50360000000000005</v>
      </c>
      <c r="DG42" s="230">
        <v>0.51090000000000002</v>
      </c>
      <c r="DH42" s="230">
        <v>0.98570000000000002</v>
      </c>
    </row>
    <row r="43" spans="1:133" ht="15" thickBot="1" x14ac:dyDescent="0.35">
      <c r="A43" s="184" t="str">
        <f>'Su K. oro stendu'!B88</f>
        <v>04.01.2023</v>
      </c>
      <c r="B43" s="289">
        <f>Sheet3!DD43</f>
        <v>8.02</v>
      </c>
      <c r="C43" s="289">
        <f>_xlfn.FORECAST.LINEAR(Sheet3!DD43,$DW$3:$DW$24,$DU$3:$DU$24)</f>
        <v>1002.0162247895411</v>
      </c>
      <c r="D43" s="35">
        <f>_xlfn.FORECAST.LINEAR(Sheet3!CI43,'Cooling water'!$DW$3:$DW$24,'Cooling water'!$DU$3:$DU$24)</f>
        <v>993.9298667616797</v>
      </c>
      <c r="E43" s="35">
        <f>_xlfn.FORECAST.LINEAR(Sheet3!CJ43,'Cooling water'!$DW$3:$DW$24,'Cooling water'!$DU$3:$DU$24)</f>
        <v>995.01802073525459</v>
      </c>
      <c r="F43" s="35">
        <f>_xlfn.FORECAST.LINEAR(Sheet3!CK43,'Cooling water'!$DW$3:$DW$24,'Cooling water'!$DU$3:$DU$24)</f>
        <v>996.01296818988828</v>
      </c>
      <c r="G43" s="35">
        <f>_xlfn.FORECAST.LINEAR(Sheet3!CL43,'Cooling water'!$DW$3:$DW$24,'Cooling water'!$DU$3:$DU$24)</f>
        <v>996.9471423319136</v>
      </c>
      <c r="H43" s="35">
        <f>_xlfn.FORECAST.LINEAR(Sheet3!CM43,'Cooling water'!$DW$3:$DW$24,'Cooling water'!$DU$3:$DU$24)</f>
        <v>997.85297636766313</v>
      </c>
      <c r="I43" s="35">
        <f>_xlfn.FORECAST.LINEAR(Sheet3!CN43,'Cooling water'!$DW$3:$DW$24,'Cooling water'!$DU$3:$DU$24)</f>
        <v>998.76290350346937</v>
      </c>
      <c r="J43" s="35">
        <f>_xlfn.FORECAST.LINEAR(Sheet3!CO43,'Cooling water'!$DW$3:$DW$24,'Cooling water'!$DU$3:$DU$24)</f>
        <v>999.70935694566504</v>
      </c>
      <c r="K43" s="35">
        <f>_xlfn.FORECAST.LINEAR(Sheet3!CP43,'Cooling water'!$DW$3:$DW$24,'Cooling water'!$DU$3:$DU$24)</f>
        <v>1000.7247699005827</v>
      </c>
      <c r="L43" s="289">
        <f t="shared" si="17"/>
        <v>1.385086574246186E-3</v>
      </c>
      <c r="M43" s="35">
        <f xml:space="preserve"> 0.0000000000330128*((Sheet3!CI43+273)^(4)) - 0.0000000448315*((Sheet3!CI43+273)^(3)) + 0.0000228887*((Sheet3!CI43+273)^(2)) - 0.00521331*((Sheet3!CI43+273)) + 0.447905</f>
        <v>8.3843318432497149E-4</v>
      </c>
      <c r="N43" s="35">
        <f xml:space="preserve"> 0.0000000000330128*((Sheet3!CJ43+273)^(4)) - 0.0000000448315*((Sheet3!CJ43+273)^(3)) + 0.0000228887*((Sheet3!CJ43+273)^(2)) - 0.00521331*((Sheet3!CJ43+273)) + 0.447905</f>
        <v>8.9041829098102099E-4</v>
      </c>
      <c r="O43" s="35">
        <f xml:space="preserve"> 0.0000000000330128*((Sheet3!CK43+273)^(4)) - 0.0000000448315*((Sheet3!CK43+273)^(3)) + 0.0000228887*((Sheet3!CK43+273)^(2)) - 0.00521331*((Sheet3!CK43+273)) + 0.447905</f>
        <v>9.4276952452676532E-4</v>
      </c>
      <c r="P43" s="35">
        <f xml:space="preserve"> 0.0000000000330128*((Sheet3!CL43+273)^(4)) - 0.0000000448315*((Sheet3!CL43+273)^(3)) + 0.0000228887*((Sheet3!CL43+273)^(2)) - 0.00521331*((Sheet3!CL43+273)) + 0.447905</f>
        <v>9.9654280695249398E-4</v>
      </c>
      <c r="Q43" s="35">
        <f xml:space="preserve"> 0.0000000000330128*((Sheet3!CM43+273)^(4)) - 0.0000000448315*((Sheet3!CM43+273)^(3)) + 0.0000228887*((Sheet3!CM43+273)^(2)) - 0.00521331*((Sheet3!CM43+273)) + 0.447905</f>
        <v>1.0533514444808212E-3</v>
      </c>
      <c r="R43" s="35">
        <f xml:space="preserve"> 0.0000000000330128*((Sheet3!CN43+273)^(4)) - 0.0000000448315*((Sheet3!CN43+273)^(3)) + 0.0000228887*((Sheet3!CN43+273)^(2)) - 0.00521331*((Sheet3!CN43+273)) + 0.447905</f>
        <v>1.1154405821174329E-3</v>
      </c>
      <c r="S43" s="35">
        <f xml:space="preserve"> 0.0000000000330128*((Sheet3!CO43+273)^(4)) - 0.0000000448315*((Sheet3!CO43+273)^(3)) + 0.0000228887*((Sheet3!CO43+273)^(2)) - 0.00521331*((Sheet3!CO43+273)) + 0.447905</f>
        <v>1.1858093914791645E-3</v>
      </c>
      <c r="T43" s="35">
        <f xml:space="preserve"> 0.0000000000330128*((Sheet3!CP43+273)^(4)) - 0.0000000448315*((Sheet3!CP43+273)^(3)) + 0.0000228887*((Sheet3!CP43+273)^(2)) - 0.00521331*((Sheet3!CP43+273)) + 0.447905</f>
        <v>1.2684156750322195E-3</v>
      </c>
      <c r="U43" s="289">
        <f>(Sheet3!DC43*0.014*0.001*C43) / (L43*0.00015*3600*3)</f>
        <v>1894.3206072843448</v>
      </c>
      <c r="V43" s="35">
        <f>(Sheet3!$DC43*0.014*0.001*D43) / (M43*0.00015*3600*3)</f>
        <v>3104.1516615536784</v>
      </c>
      <c r="W43" s="35">
        <f>(Sheet3!$DC43*0.014*0.001*E43) / (N43*0.00015*3600*3)</f>
        <v>2926.1226324139411</v>
      </c>
      <c r="X43" s="35">
        <f>(Sheet3!$DC43*0.014*0.001*F43) / (O43*0.00015*3600*3)</f>
        <v>2766.4008371494356</v>
      </c>
      <c r="Y43" s="35">
        <f>(Sheet3!$DC43*0.014*0.001*G43) / (P43*0.00015*3600*3)</f>
        <v>2619.5809512322121</v>
      </c>
      <c r="Z43" s="35">
        <f>(Sheet3!$DC43*0.014*0.001*H43) / (Q43*0.00015*3600*3)</f>
        <v>2480.5552895647274</v>
      </c>
      <c r="AA43" s="35">
        <f>(Sheet3!$DC43*0.014*0.001*I43) / (R43*0.00015*3600*3)</f>
        <v>2344.6153926626848</v>
      </c>
      <c r="AB43" s="35">
        <f>(Sheet3!$DC43*0.014*0.001*J43) / (S43*0.00015*3600*3)</f>
        <v>2207.5701905456358</v>
      </c>
      <c r="AC43" s="35">
        <f>(Sheet3!$DC43*0.014*0.001*K43) / (T43*0.00015*3600*3)</f>
        <v>2065.8971609273885</v>
      </c>
      <c r="AD43" s="289">
        <f t="shared" si="63"/>
        <v>0.58813521975363481</v>
      </c>
      <c r="AE43" s="35">
        <f>_xlfn.FORECAST.LINEAR(Sheet3!CI43,$DA$3:$DA$12,$CZ$3:$CZ$12)/1000</f>
        <v>0.60916845171226564</v>
      </c>
      <c r="AF43" s="35">
        <f>_xlfn.FORECAST.LINEAR(Sheet3!CJ43,$DA$3:$DA$12,$CZ$3:$CZ$12)/1000</f>
        <v>0.60633808050509819</v>
      </c>
      <c r="AG43" s="35">
        <f>_xlfn.FORECAST.LINEAR(Sheet3!CK43,$DA$3:$DA$12,$CZ$3:$CZ$12)/1000</f>
        <v>0.60375014653929338</v>
      </c>
      <c r="AH43" s="35">
        <f>_xlfn.FORECAST.LINEAR(Sheet3!CL43,$DA$3:$DA$12,$CZ$3:$CZ$12)/1000</f>
        <v>0.60132028857959463</v>
      </c>
      <c r="AI43" s="35">
        <f>_xlfn.FORECAST.LINEAR(Sheet3!CM43,$DA$3:$DA$12,$CZ$3:$CZ$12)/1000</f>
        <v>0.59896414539074549</v>
      </c>
      <c r="AJ43" s="35">
        <f>_xlfn.FORECAST.LINEAR(Sheet3!CN43,$DA$3:$DA$12,$CZ$3:$CZ$12)/1000</f>
        <v>0.59659735573748962</v>
      </c>
      <c r="AK43" s="35">
        <f>_xlfn.FORECAST.LINEAR(Sheet3!CO43,$DA$3:$DA$12,$CZ$3:$CZ$12)/1000</f>
        <v>0.59413555838457033</v>
      </c>
      <c r="AL43" s="35">
        <f>_xlfn.FORECAST.LINEAR(Sheet3!CP43,$DA$3:$DA$12,$CZ$3:$CZ$12)/1000</f>
        <v>0.59149439209673149</v>
      </c>
      <c r="AM43" s="289">
        <f t="shared" si="64"/>
        <v>4189.1947380058537</v>
      </c>
      <c r="AN43" s="35">
        <f>_xlfn.FORECAST.LINEAR(Sheet3!CI43,$DP$3:$DP$14,$DJ$3:$DJ$14)*1000</f>
        <v>4191.0456914387023</v>
      </c>
      <c r="AO43" s="35">
        <f>_xlfn.FORECAST.LINEAR(Sheet3!CJ43,$DP$3:$DP$14,$DJ$3:$DJ$14)*1000</f>
        <v>4190.7966148672822</v>
      </c>
      <c r="AP43" s="35">
        <f>_xlfn.FORECAST.LINEAR(Sheet3!CK43,$DP$3:$DP$14,$DJ$3:$DJ$14)*1000</f>
        <v>4190.5688731076034</v>
      </c>
      <c r="AQ43" s="35">
        <f>_xlfn.FORECAST.LINEAR(Sheet3!CL43,$DP$3:$DP$14,$DJ$3:$DJ$14)*1000</f>
        <v>4190.3550422545668</v>
      </c>
      <c r="AR43" s="35">
        <f>_xlfn.FORECAST.LINEAR(Sheet3!CM43,$DP$3:$DP$14,$DJ$3:$DJ$14)*1000</f>
        <v>4190.1476984030714</v>
      </c>
      <c r="AS43" s="35">
        <f>_xlfn.FORECAST.LINEAR(Sheet3!CN43,$DP$3:$DP$14,$DJ$3:$DJ$14)*1000</f>
        <v>4189.93941764802</v>
      </c>
      <c r="AT43" s="35">
        <f>_xlfn.FORECAST.LINEAR(Sheet3!CO43,$DP$3:$DP$14,$DJ$3:$DJ$14)*1000</f>
        <v>4189.7227760843116</v>
      </c>
      <c r="AU43" s="35">
        <f>_xlfn.FORECAST.LINEAR(Sheet3!CP43,$DP$3:$DP$14,$DJ$3:$DJ$14)*1000</f>
        <v>4189.4903498068461</v>
      </c>
      <c r="AV43" s="289">
        <f t="shared" si="18"/>
        <v>1.4011088758259248E-7</v>
      </c>
      <c r="AW43" s="35">
        <f t="shared" si="19"/>
        <v>1.4623767272388999E-7</v>
      </c>
      <c r="AX43" s="35">
        <f t="shared" si="20"/>
        <v>1.4540766946819383E-7</v>
      </c>
      <c r="AY43" s="35">
        <f t="shared" si="21"/>
        <v>1.4465027823668273E-7</v>
      </c>
      <c r="AZ43" s="35">
        <f t="shared" si="22"/>
        <v>1.4394046546935067E-7</v>
      </c>
      <c r="BA43" s="35">
        <f t="shared" si="23"/>
        <v>1.4325339958462122E-7</v>
      </c>
      <c r="BB43" s="35">
        <f t="shared" si="24"/>
        <v>1.4256442847079319E-7</v>
      </c>
      <c r="BC43" s="35">
        <f t="shared" si="25"/>
        <v>1.4184907253377228E-7</v>
      </c>
      <c r="BD43" s="35">
        <f t="shared" si="26"/>
        <v>1.4108303299329037E-7</v>
      </c>
      <c r="BE43" s="289">
        <f t="shared" si="62"/>
        <v>9.8657539858695333</v>
      </c>
      <c r="BF43" s="35">
        <f t="shared" si="27"/>
        <v>5.7683745355614091</v>
      </c>
      <c r="BG43" s="35">
        <f t="shared" si="28"/>
        <v>6.1542596113222316</v>
      </c>
      <c r="BH43" s="35">
        <f t="shared" si="29"/>
        <v>6.5436681823466776</v>
      </c>
      <c r="BI43" s="35">
        <f t="shared" si="30"/>
        <v>6.9444990552371122</v>
      </c>
      <c r="BJ43" s="35">
        <f t="shared" si="31"/>
        <v>7.3688853743015033</v>
      </c>
      <c r="BK43" s="35">
        <f t="shared" si="32"/>
        <v>7.8338068684208864</v>
      </c>
      <c r="BL43" s="35">
        <f t="shared" si="33"/>
        <v>8.3620859675244734</v>
      </c>
      <c r="BM43" s="35">
        <f t="shared" si="34"/>
        <v>8.9840500621723223</v>
      </c>
      <c r="BN43" s="289">
        <f t="shared" si="35"/>
        <v>2.2931868850656679E-3</v>
      </c>
      <c r="BO43" s="35">
        <f t="shared" si="36"/>
        <v>2.3934636271236796E-3</v>
      </c>
      <c r="BP43" s="35">
        <f t="shared" si="37"/>
        <v>2.3798790112999997E-3</v>
      </c>
      <c r="BQ43" s="35">
        <f t="shared" si="38"/>
        <v>2.3674828323239643E-3</v>
      </c>
      <c r="BR43" s="35">
        <f t="shared" si="39"/>
        <v>2.3558653673504556E-3</v>
      </c>
      <c r="BS43" s="35">
        <f t="shared" si="40"/>
        <v>2.3446201993037622E-3</v>
      </c>
      <c r="BT43" s="35">
        <f t="shared" si="41"/>
        <v>2.3333438484813593E-3</v>
      </c>
      <c r="BU43" s="35">
        <f t="shared" si="42"/>
        <v>2.3216356587665295E-3</v>
      </c>
      <c r="BV43" s="35">
        <f t="shared" si="43"/>
        <v>2.3090979334121071E-3</v>
      </c>
      <c r="BW43" s="289">
        <f t="shared" si="44"/>
        <v>5.4719715530945602E-2</v>
      </c>
      <c r="BX43" s="35">
        <f t="shared" si="45"/>
        <v>4.836391720014601E-2</v>
      </c>
      <c r="BY43" s="35">
        <f t="shared" si="46"/>
        <v>4.908333585980474E-2</v>
      </c>
      <c r="BZ43" s="35">
        <f t="shared" si="47"/>
        <v>4.9776966350292294E-2</v>
      </c>
      <c r="CA43" s="35">
        <f t="shared" si="48"/>
        <v>5.0460232353629425E-2</v>
      </c>
      <c r="CB43" s="35">
        <f t="shared" si="49"/>
        <v>5.115286630332929E-2</v>
      </c>
      <c r="CC43" s="35">
        <f t="shared" si="50"/>
        <v>5.1878725580434486E-2</v>
      </c>
      <c r="CD43" s="35">
        <f t="shared" si="51"/>
        <v>5.2665786186463011E-2</v>
      </c>
      <c r="CE43" s="35">
        <f t="shared" si="52"/>
        <v>5.3546369087897235E-2</v>
      </c>
      <c r="CF43" s="289">
        <f t="shared" si="65"/>
        <v>11.697834435724282</v>
      </c>
      <c r="CG43" s="35">
        <f t="shared" si="66"/>
        <v>23.012414233391748</v>
      </c>
      <c r="CH43" s="35">
        <f t="shared" si="67"/>
        <v>11.693256180369859</v>
      </c>
      <c r="CI43" s="35">
        <f t="shared" si="68"/>
        <v>11.6939108288972</v>
      </c>
      <c r="CJ43" s="35">
        <f t="shared" si="69"/>
        <v>11.694524353141329</v>
      </c>
      <c r="CK43" s="35">
        <f t="shared" si="70"/>
        <v>11.695118216195073</v>
      </c>
      <c r="CL43" s="35">
        <f t="shared" si="71"/>
        <v>11.69571372602709</v>
      </c>
      <c r="CM43" s="35">
        <f t="shared" si="72"/>
        <v>11.696332041491031</v>
      </c>
      <c r="CN43" s="35">
        <f t="shared" si="73"/>
        <v>11.696994165154731</v>
      </c>
      <c r="CO43" s="289">
        <f t="shared" si="53"/>
        <v>491.42203046402409</v>
      </c>
      <c r="CP43" s="35">
        <f t="shared" si="54"/>
        <v>1001.3169106226111</v>
      </c>
      <c r="CQ43" s="35">
        <f t="shared" si="55"/>
        <v>506.43332194713122</v>
      </c>
      <c r="CR43" s="35">
        <f t="shared" si="56"/>
        <v>504.30002689743674</v>
      </c>
      <c r="CS43" s="35">
        <f t="shared" si="57"/>
        <v>502.2967684880029</v>
      </c>
      <c r="CT43" s="35">
        <f t="shared" si="58"/>
        <v>500.35403482907299</v>
      </c>
      <c r="CU43" s="35">
        <f t="shared" si="59"/>
        <v>498.40227731503029</v>
      </c>
      <c r="CV43" s="35">
        <f t="shared" si="60"/>
        <v>496.37191203732965</v>
      </c>
      <c r="CW43" s="35">
        <f t="shared" si="61"/>
        <v>494.19331807694374</v>
      </c>
      <c r="DE43" s="229">
        <v>60</v>
      </c>
      <c r="DF43" s="230">
        <v>0.46600000000000003</v>
      </c>
      <c r="DG43" s="230">
        <v>0.47399999999999998</v>
      </c>
      <c r="DH43" s="230">
        <v>0.98319999999999996</v>
      </c>
    </row>
    <row r="44" spans="1:133" ht="15" thickBot="1" x14ac:dyDescent="0.35">
      <c r="A44" s="184" t="str">
        <f>'Su K. oro stendu'!B89</f>
        <v>05.01.2023</v>
      </c>
      <c r="B44" s="289">
        <f>Sheet3!DD44</f>
        <v>16.5</v>
      </c>
      <c r="C44" s="289">
        <f>_xlfn.FORECAST.LINEAR(Sheet3!DD44,$DW$3:$DW$24,$DU$3:$DU$24)</f>
        <v>998.49830557985229</v>
      </c>
      <c r="D44" s="35">
        <f>_xlfn.FORECAST.LINEAR(Sheet3!CI44,'Cooling water'!$DW$3:$DW$24,'Cooling water'!$DU$3:$DU$24)</f>
        <v>990.46686006933999</v>
      </c>
      <c r="E44" s="35">
        <f>_xlfn.FORECAST.LINEAR(Sheet3!CJ44,'Cooling water'!$DW$3:$DW$24,'Cooling water'!$DU$3:$DU$24)</f>
        <v>991.46828676697328</v>
      </c>
      <c r="F44" s="35">
        <f>_xlfn.FORECAST.LINEAR(Sheet3!CK44,'Cooling water'!$DW$3:$DW$24,'Cooling water'!$DU$3:$DU$24)</f>
        <v>992.42190058574693</v>
      </c>
      <c r="G44" s="35">
        <f>_xlfn.FORECAST.LINEAR(Sheet3!CL44,'Cooling water'!$DW$3:$DW$24,'Cooling water'!$DU$3:$DU$24)</f>
        <v>993.35013070756372</v>
      </c>
      <c r="H44" s="35">
        <f>_xlfn.FORECAST.LINEAR(Sheet3!CM44,'Cooling water'!$DW$3:$DW$24,'Cooling water'!$DU$3:$DU$24)</f>
        <v>994.27540631432623</v>
      </c>
      <c r="I44" s="35">
        <f>_xlfn.FORECAST.LINEAR(Sheet3!CN44,'Cooling water'!$DW$3:$DW$24,'Cooling water'!$DU$3:$DU$24)</f>
        <v>995.22015658793748</v>
      </c>
      <c r="J44" s="35">
        <f>_xlfn.FORECAST.LINEAR(Sheet3!CO44,'Cooling water'!$DW$3:$DW$24,'Cooling water'!$DU$3:$DU$24)</f>
        <v>996.20681071029992</v>
      </c>
      <c r="K44" s="35">
        <f>_xlfn.FORECAST.LINEAR(Sheet3!CP44,'Cooling water'!$DW$3:$DW$24,'Cooling water'!$DU$3:$DU$24)</f>
        <v>997.25779786331634</v>
      </c>
      <c r="L44" s="289">
        <f t="shared" si="17"/>
        <v>1.0968425422148709E-3</v>
      </c>
      <c r="M44" s="35">
        <f xml:space="preserve"> 0.0000000000330128*((Sheet3!CI44+273)^(4)) - 0.0000000448315*((Sheet3!CI44+273)^(3)) + 0.0000228887*((Sheet3!CI44+273)^(2)) - 0.00521331*((Sheet3!CI44+273)) + 0.447905</f>
        <v>7.0336287109040718E-4</v>
      </c>
      <c r="N44" s="35">
        <f xml:space="preserve"> 0.0000000000330128*((Sheet3!CJ44+273)^(4)) - 0.0000000448315*((Sheet3!CJ44+273)^(3)) + 0.0000228887*((Sheet3!CJ44+273)^(2)) - 0.00521331*((Sheet3!CJ44+273)) + 0.447905</f>
        <v>7.382559988740045E-4</v>
      </c>
      <c r="O44" s="35">
        <f xml:space="preserve"> 0.0000000000330128*((Sheet3!CK44+273)^(4)) - 0.0000000448315*((Sheet3!CK44+273)^(3)) + 0.0000228887*((Sheet3!CK44+273)^(2)) - 0.00521331*((Sheet3!CK44+273)) + 0.447905</f>
        <v>7.7445468898296177E-4</v>
      </c>
      <c r="P44" s="35">
        <f xml:space="preserve"> 0.0000000000330128*((Sheet3!CL44+273)^(4)) - 0.0000000448315*((Sheet3!CL44+273)^(3)) + 0.0000228887*((Sheet3!CL44+273)^(2)) - 0.00521331*((Sheet3!CL44+273)) + 0.447905</f>
        <v>8.1279217595708886E-4</v>
      </c>
      <c r="Q44" s="35">
        <f xml:space="preserve"> 0.0000000000330128*((Sheet3!CM44+273)^(4)) - 0.0000000448315*((Sheet3!CM44+273)^(3)) + 0.0000228887*((Sheet3!CM44+273)^(2)) - 0.00521331*((Sheet3!CM44+273)) + 0.447905</f>
        <v>8.5437814973698956E-4</v>
      </c>
      <c r="R44" s="35">
        <f xml:space="preserve"> 0.0000000000330128*((Sheet3!CN44+273)^(4)) - 0.0000000448315*((Sheet3!CN44+273)^(3)) + 0.0000228887*((Sheet3!CN44+273)^(2)) - 0.00521331*((Sheet3!CN44+273)) + 0.447905</f>
        <v>9.0066554051682068E-4</v>
      </c>
      <c r="S44" s="35">
        <f xml:space="preserve"> 0.0000000000330128*((Sheet3!CO44+273)^(4)) - 0.0000000448315*((Sheet3!CO44+273)^(3)) + 0.0000228887*((Sheet3!CO44+273)^(2)) - 0.00521331*((Sheet3!CO44+273)) + 0.447905</f>
        <v>9.5354576702577631E-4</v>
      </c>
      <c r="T44" s="35">
        <f xml:space="preserve"> 0.0000000000330128*((Sheet3!CP44+273)^(4)) - 0.0000000448315*((Sheet3!CP44+273)^(3)) + 0.0000228887*((Sheet3!CP44+273)^(2)) - 0.00521331*((Sheet3!CP44+273)) + 0.447905</f>
        <v>1.0154878618142682E-3</v>
      </c>
      <c r="U44" s="289">
        <f>(Sheet3!DC44*0.014*0.001*C44) / (L44*0.00015*3600*3)</f>
        <v>3894.2270183403416</v>
      </c>
      <c r="V44" s="35">
        <f>(Sheet3!$DC44*0.014*0.001*D44) / (M44*0.00015*3600*3)</f>
        <v>6023.913541329578</v>
      </c>
      <c r="W44" s="35">
        <f>(Sheet3!$DC44*0.014*0.001*E44) / (N44*0.00015*3600*3)</f>
        <v>5745.0003941342957</v>
      </c>
      <c r="X44" s="35">
        <f>(Sheet3!$DC44*0.014*0.001*F44) / (O44*0.00015*3600*3)</f>
        <v>5481.7414277403832</v>
      </c>
      <c r="Y44" s="35">
        <f>(Sheet3!$DC44*0.014*0.001*G44) / (P44*0.00015*3600*3)</f>
        <v>5228.065968634286</v>
      </c>
      <c r="Z44" s="35">
        <f>(Sheet3!$DC44*0.014*0.001*H44) / (Q44*0.00015*3600*3)</f>
        <v>4978.2280123054661</v>
      </c>
      <c r="AA44" s="35">
        <f>(Sheet3!$DC44*0.014*0.001*I44) / (R44*0.00015*3600*3)</f>
        <v>4726.8719389502276</v>
      </c>
      <c r="AB44" s="35">
        <f>(Sheet3!$DC44*0.014*0.001*J44) / (S44*0.00015*3600*3)</f>
        <v>4469.1628910688623</v>
      </c>
      <c r="AC44" s="35">
        <f>(Sheet3!$DC44*0.014*0.001*K44) / (T44*0.00015*3600*3)</f>
        <v>4200.9830021932394</v>
      </c>
      <c r="AD44" s="289">
        <f t="shared" si="63"/>
        <v>0.59728559505165735</v>
      </c>
      <c r="AE44" s="35">
        <f>_xlfn.FORECAST.LINEAR(Sheet3!CI44,$DA$3:$DA$12,$CZ$3:$CZ$12)/1000</f>
        <v>0.61817599537819135</v>
      </c>
      <c r="AF44" s="35">
        <f>_xlfn.FORECAST.LINEAR(Sheet3!CJ44,$DA$3:$DA$12,$CZ$3:$CZ$12)/1000</f>
        <v>0.6155712084087902</v>
      </c>
      <c r="AG44" s="35">
        <f>_xlfn.FORECAST.LINEAR(Sheet3!CK44,$DA$3:$DA$12,$CZ$3:$CZ$12)/1000</f>
        <v>0.61309078637205694</v>
      </c>
      <c r="AH44" s="35">
        <f>_xlfn.FORECAST.LINEAR(Sheet3!CL44,$DA$3:$DA$12,$CZ$3:$CZ$12)/1000</f>
        <v>0.61067638926078749</v>
      </c>
      <c r="AI44" s="35">
        <f>_xlfn.FORECAST.LINEAR(Sheet3!CM44,$DA$3:$DA$12,$CZ$3:$CZ$12)/1000</f>
        <v>0.60826967706777713</v>
      </c>
      <c r="AJ44" s="35">
        <f>_xlfn.FORECAST.LINEAR(Sheet3!CN44,$DA$3:$DA$12,$CZ$3:$CZ$12)/1000</f>
        <v>0.6058123097858219</v>
      </c>
      <c r="AK44" s="35">
        <f>_xlfn.FORECAST.LINEAR(Sheet3!CO44,$DA$3:$DA$12,$CZ$3:$CZ$12)/1000</f>
        <v>0.6032459474077172</v>
      </c>
      <c r="AL44" s="35">
        <f>_xlfn.FORECAST.LINEAR(Sheet3!CP44,$DA$3:$DA$12,$CZ$3:$CZ$12)/1000</f>
        <v>0.60051224992625862</v>
      </c>
      <c r="AM44" s="289">
        <f t="shared" si="64"/>
        <v>4189.9999836572606</v>
      </c>
      <c r="AN44" s="35">
        <f>_xlfn.FORECAST.LINEAR(Sheet3!CI44,$DP$3:$DP$14,$DJ$3:$DJ$14)*1000</f>
        <v>4191.8383677094143</v>
      </c>
      <c r="AO44" s="35">
        <f>_xlfn.FORECAST.LINEAR(Sheet3!CJ44,$DP$3:$DP$14,$DJ$3:$DJ$14)*1000</f>
        <v>4191.6091428621667</v>
      </c>
      <c r="AP44" s="35">
        <f>_xlfn.FORECAST.LINEAR(Sheet3!CK44,$DP$3:$DP$14,$DJ$3:$DJ$14)*1000</f>
        <v>4191.3908623005846</v>
      </c>
      <c r="AQ44" s="35">
        <f>_xlfn.FORECAST.LINEAR(Sheet3!CL44,$DP$3:$DP$14,$DJ$3:$DJ$14)*1000</f>
        <v>4191.1783920235412</v>
      </c>
      <c r="AR44" s="35">
        <f>_xlfn.FORECAST.LINEAR(Sheet3!CM44,$DP$3:$DP$14,$DJ$3:$DJ$14)*1000</f>
        <v>4190.9665980299078</v>
      </c>
      <c r="AS44" s="35">
        <f>_xlfn.FORECAST.LINEAR(Sheet3!CN44,$DP$3:$DP$14,$DJ$3:$DJ$14)*1000</f>
        <v>4190.7503463185567</v>
      </c>
      <c r="AT44" s="35">
        <f>_xlfn.FORECAST.LINEAR(Sheet3!CO44,$DP$3:$DP$14,$DJ$3:$DJ$14)*1000</f>
        <v>4190.5245028883583</v>
      </c>
      <c r="AU44" s="35">
        <f>_xlfn.FORECAST.LINEAR(Sheet3!CP44,$DP$3:$DP$14,$DJ$3:$DJ$14)*1000</f>
        <v>4190.2839337381856</v>
      </c>
      <c r="AV44" s="289">
        <f t="shared" si="18"/>
        <v>1.4276465078432659E-7</v>
      </c>
      <c r="AW44" s="35">
        <f t="shared" si="19"/>
        <v>1.4889073001563952E-7</v>
      </c>
      <c r="AX44" s="35">
        <f t="shared" si="20"/>
        <v>1.4812170156032908E-7</v>
      </c>
      <c r="AY44" s="35">
        <f t="shared" si="21"/>
        <v>1.4739076997901189E-7</v>
      </c>
      <c r="AZ44" s="35">
        <f t="shared" si="22"/>
        <v>1.4668058366435077E-7</v>
      </c>
      <c r="BA44" s="35">
        <f t="shared" si="23"/>
        <v>1.459739198269137E-7</v>
      </c>
      <c r="BB44" s="35">
        <f t="shared" si="24"/>
        <v>1.4525367890473109E-7</v>
      </c>
      <c r="BC44" s="35">
        <f t="shared" si="25"/>
        <v>1.4450288640019211E-7</v>
      </c>
      <c r="BD44" s="35">
        <f t="shared" si="26"/>
        <v>1.4370470199528764E-7</v>
      </c>
      <c r="BE44" s="289">
        <f t="shared" si="62"/>
        <v>7.6944267064693292</v>
      </c>
      <c r="BF44" s="35">
        <f t="shared" si="27"/>
        <v>4.769488772619261</v>
      </c>
      <c r="BG44" s="35">
        <f t="shared" si="28"/>
        <v>5.0270067091866446</v>
      </c>
      <c r="BH44" s="35">
        <f t="shared" si="29"/>
        <v>5.2945540510849423</v>
      </c>
      <c r="BI44" s="35">
        <f t="shared" si="30"/>
        <v>5.5783342290353186</v>
      </c>
      <c r="BJ44" s="35">
        <f t="shared" si="31"/>
        <v>5.886649331091574</v>
      </c>
      <c r="BK44" s="35">
        <f t="shared" si="32"/>
        <v>6.230418835781788</v>
      </c>
      <c r="BL44" s="35">
        <f t="shared" si="33"/>
        <v>6.6239266397363803</v>
      </c>
      <c r="BM44" s="35">
        <f t="shared" si="34"/>
        <v>7.0859211827718696</v>
      </c>
      <c r="BN44" s="289">
        <f t="shared" si="35"/>
        <v>1.4302952026630121E-3</v>
      </c>
      <c r="BO44" s="35">
        <f t="shared" si="36"/>
        <v>1.4916696513626222E-3</v>
      </c>
      <c r="BP44" s="35">
        <f t="shared" si="37"/>
        <v>1.4839650991201798E-3</v>
      </c>
      <c r="BQ44" s="35">
        <f t="shared" si="38"/>
        <v>1.4766422224242377E-3</v>
      </c>
      <c r="BR44" s="35">
        <f t="shared" si="39"/>
        <v>1.4695271832792097E-3</v>
      </c>
      <c r="BS44" s="35">
        <f t="shared" si="40"/>
        <v>1.4624474342585046E-3</v>
      </c>
      <c r="BT44" s="35">
        <f t="shared" si="41"/>
        <v>1.4552316624963783E-3</v>
      </c>
      <c r="BU44" s="35">
        <f t="shared" si="42"/>
        <v>1.4477098080909782E-3</v>
      </c>
      <c r="BV44" s="35">
        <f t="shared" si="43"/>
        <v>1.4397131554258872E-3</v>
      </c>
      <c r="BW44" s="289">
        <f t="shared" si="44"/>
        <v>4.5698493729695824E-2</v>
      </c>
      <c r="BX44" s="35">
        <f t="shared" si="45"/>
        <v>4.0976750876662943E-2</v>
      </c>
      <c r="BY44" s="35">
        <f t="shared" si="46"/>
        <v>4.1465288004774635E-2</v>
      </c>
      <c r="BZ44" s="35">
        <f t="shared" si="47"/>
        <v>4.1954404912377175E-2</v>
      </c>
      <c r="CA44" s="35">
        <f t="shared" si="48"/>
        <v>4.2454324700546546E-2</v>
      </c>
      <c r="CB44" s="35">
        <f t="shared" si="49"/>
        <v>4.2977238436724914E-2</v>
      </c>
      <c r="CC44" s="35">
        <f t="shared" si="50"/>
        <v>4.3537525595020284E-2</v>
      </c>
      <c r="CD44" s="35">
        <f t="shared" si="51"/>
        <v>4.4152027941650143E-2</v>
      </c>
      <c r="CE44" s="35">
        <f t="shared" si="52"/>
        <v>4.4840399251397614E-2</v>
      </c>
      <c r="CF44" s="289">
        <f t="shared" si="65"/>
        <v>33.642818865170518</v>
      </c>
      <c r="CG44" s="35">
        <f t="shared" si="66"/>
        <v>46.028452310385681</v>
      </c>
      <c r="CH44" s="35">
        <f t="shared" si="67"/>
        <v>44.652849032264371</v>
      </c>
      <c r="CI44" s="35">
        <f t="shared" si="68"/>
        <v>43.296952760556948</v>
      </c>
      <c r="CJ44" s="35">
        <f t="shared" si="69"/>
        <v>41.933544972564668</v>
      </c>
      <c r="CK44" s="35">
        <f t="shared" si="70"/>
        <v>40.531961850310395</v>
      </c>
      <c r="CL44" s="35">
        <f t="shared" si="71"/>
        <v>39.05818933275043</v>
      </c>
      <c r="CM44" s="35">
        <f t="shared" si="72"/>
        <v>37.475068743717401</v>
      </c>
      <c r="CN44" s="35">
        <f t="shared" si="73"/>
        <v>35.742653282962443</v>
      </c>
      <c r="CO44" s="289">
        <f t="shared" si="53"/>
        <v>1435.3122203641783</v>
      </c>
      <c r="CP44" s="35">
        <f t="shared" si="54"/>
        <v>2032.4060230493055</v>
      </c>
      <c r="CQ44" s="35">
        <f t="shared" si="55"/>
        <v>1963.357731263304</v>
      </c>
      <c r="CR44" s="35">
        <f t="shared" si="56"/>
        <v>1896.0687725345472</v>
      </c>
      <c r="CS44" s="35">
        <f t="shared" si="57"/>
        <v>1829.1304166250457</v>
      </c>
      <c r="CT44" s="35">
        <f t="shared" si="58"/>
        <v>1761.0259532579832</v>
      </c>
      <c r="CU44" s="35">
        <f t="shared" si="59"/>
        <v>1690.1379925518206</v>
      </c>
      <c r="CV44" s="35">
        <f t="shared" si="60"/>
        <v>1614.7630963195095</v>
      </c>
      <c r="CW44" s="35">
        <f t="shared" si="61"/>
        <v>1533.1357958061394</v>
      </c>
      <c r="DE44" s="229">
        <v>65</v>
      </c>
      <c r="DF44" s="230">
        <v>0.43290000000000001</v>
      </c>
      <c r="DG44" s="230">
        <v>0.4415</v>
      </c>
      <c r="DH44" s="230">
        <v>0.98060000000000003</v>
      </c>
    </row>
    <row r="45" spans="1:133" ht="15" thickBot="1" x14ac:dyDescent="0.35">
      <c r="A45" s="184" t="str">
        <f>'Su K. oro stendu'!B90</f>
        <v>05.01.2023</v>
      </c>
      <c r="B45" s="289">
        <f>Sheet3!DD45</f>
        <v>43.92</v>
      </c>
      <c r="C45" s="289">
        <f>_xlfn.FORECAST.LINEAR(Sheet3!DD45,$DW$3:$DW$24,$DU$3:$DU$24)</f>
        <v>987.12314700324032</v>
      </c>
      <c r="D45" s="35">
        <f>_xlfn.FORECAST.LINEAR(Sheet3!CI45,'Cooling water'!$DW$3:$DW$24,'Cooling water'!$DU$3:$DU$24)</f>
        <v>982.57100251432325</v>
      </c>
      <c r="E45" s="35">
        <f>_xlfn.FORECAST.LINEAR(Sheet3!CJ45,'Cooling water'!$DW$3:$DW$24,'Cooling water'!$DU$3:$DU$24)</f>
        <v>983.13867115096491</v>
      </c>
      <c r="F45" s="35">
        <f>_xlfn.FORECAST.LINEAR(Sheet3!CK45,'Cooling water'!$DW$3:$DW$24,'Cooling water'!$DU$3:$DU$24)</f>
        <v>983.68868018787907</v>
      </c>
      <c r="G45" s="35">
        <f>_xlfn.FORECAST.LINEAR(Sheet3!CL45,'Cooling water'!$DW$3:$DW$24,'Cooling water'!$DU$3:$DU$24)</f>
        <v>984.2288939883814</v>
      </c>
      <c r="H45" s="35">
        <f>_xlfn.FORECAST.LINEAR(Sheet3!CM45,'Cooling water'!$DW$3:$DW$24,'Cooling water'!$DU$3:$DU$24)</f>
        <v>984.76717691578767</v>
      </c>
      <c r="I45" s="35">
        <f>_xlfn.FORECAST.LINEAR(Sheet3!CN45,'Cooling water'!$DW$3:$DW$24,'Cooling water'!$DU$3:$DU$24)</f>
        <v>985.31139333341343</v>
      </c>
      <c r="J45" s="35">
        <f>_xlfn.FORECAST.LINEAR(Sheet3!CO45,'Cooling water'!$DW$3:$DW$24,'Cooling water'!$DU$3:$DU$24)</f>
        <v>985.86940760457458</v>
      </c>
      <c r="K45" s="35">
        <f>_xlfn.FORECAST.LINEAR(Sheet3!CP45,'Cooling water'!$DW$3:$DW$24,'Cooling water'!$DU$3:$DU$24)</f>
        <v>986.44908409258653</v>
      </c>
      <c r="L45" s="289">
        <f t="shared" si="17"/>
        <v>6.0568384548953524E-4</v>
      </c>
      <c r="M45" s="35">
        <f xml:space="preserve"> 0.0000000000330128*((Sheet3!CI45+273)^(4)) - 0.0000000448315*((Sheet3!CI45+273)^(3)) + 0.0000228887*((Sheet3!CI45+273)^(2)) - 0.00521331*((Sheet3!CI45+273)) + 0.447905</f>
        <v>5.0480591315871237E-4</v>
      </c>
      <c r="N45" s="35">
        <f xml:space="preserve"> 0.0000000000330128*((Sheet3!CJ45+273)^(4)) - 0.0000000448315*((Sheet3!CJ45+273)^(3)) + 0.0000228887*((Sheet3!CJ45+273)^(2)) - 0.00521331*((Sheet3!CJ45+273)) + 0.447905</f>
        <v>5.1596189293623418E-4</v>
      </c>
      <c r="O45" s="35">
        <f xml:space="preserve"> 0.0000000000330128*((Sheet3!CK45+273)^(4)) - 0.0000000448315*((Sheet3!CK45+273)^(3)) + 0.0000228887*((Sheet3!CK45+273)^(2)) - 0.00521331*((Sheet3!CK45+273)) + 0.447905</f>
        <v>5.2709779317838823E-4</v>
      </c>
      <c r="P45" s="35">
        <f xml:space="preserve"> 0.0000000000330128*((Sheet3!CL45+273)^(4)) - 0.0000000448315*((Sheet3!CL45+273)^(3)) + 0.0000228887*((Sheet3!CL45+273)^(2)) - 0.00521331*((Sheet3!CL45+273)) + 0.447905</f>
        <v>5.3837323348138177E-4</v>
      </c>
      <c r="Q45" s="35">
        <f xml:space="preserve"> 0.0000000000330128*((Sheet3!CM45+273)^(4)) - 0.0000000448315*((Sheet3!CM45+273)^(3)) + 0.0000228887*((Sheet3!CM45+273)^(2)) - 0.00521331*((Sheet3!CM45+273)) + 0.447905</f>
        <v>5.4996754029379424E-4</v>
      </c>
      <c r="R45" s="35">
        <f xml:space="preserve"> 0.0000000000330128*((Sheet3!CN45+273)^(4)) - 0.0000000448315*((Sheet3!CN45+273)^(3)) + 0.0000228887*((Sheet3!CN45+273)^(2)) - 0.00521331*((Sheet3!CN45+273)) + 0.447905</f>
        <v>5.6208286757675197E-4</v>
      </c>
      <c r="S45" s="35">
        <f xml:space="preserve"> 0.0000000000330128*((Sheet3!CO45+273)^(4)) - 0.0000000448315*((Sheet3!CO45+273)^(3)) + 0.0000228887*((Sheet3!CO45+273)^(2)) - 0.00521331*((Sheet3!CO45+273)) + 0.447905</f>
        <v>5.749486865211928E-4</v>
      </c>
      <c r="T45" s="35">
        <f xml:space="preserve"> 0.0000000000330128*((Sheet3!CP45+273)^(4)) - 0.0000000448315*((Sheet3!CP45+273)^(3)) + 0.0000228887*((Sheet3!CP45+273)^(2)) - 0.00521331*((Sheet3!CP45+273)) + 0.447905</f>
        <v>5.8882809908977762E-4</v>
      </c>
      <c r="U45" s="289">
        <f>(Sheet3!DC45*0.014*0.001*C45) / (L45*0.00015*3600*3)</f>
        <v>6971.7782530052409</v>
      </c>
      <c r="V45" s="35">
        <f>(Sheet3!$DC45*0.014*0.001*D45) / (M45*0.00015*3600*3)</f>
        <v>8326.4088040171209</v>
      </c>
      <c r="W45" s="35">
        <f>(Sheet3!$DC45*0.014*0.001*E45) / (N45*0.00015*3600*3)</f>
        <v>8151.0840577587633</v>
      </c>
      <c r="X45" s="35">
        <f>(Sheet3!$DC45*0.014*0.001*F45) / (O45*0.00015*3600*3)</f>
        <v>7983.3412903990793</v>
      </c>
      <c r="Y45" s="35">
        <f>(Sheet3!$DC45*0.014*0.001*G45) / (P45*0.00015*3600*3)</f>
        <v>7820.4342807393696</v>
      </c>
      <c r="Z45" s="35">
        <f>(Sheet3!$DC45*0.014*0.001*H45) / (Q45*0.00015*3600*3)</f>
        <v>7659.7523254643784</v>
      </c>
      <c r="AA45" s="35">
        <f>(Sheet3!$DC45*0.014*0.001*I45) / (R45*0.00015*3600*3)</f>
        <v>7498.7931953243333</v>
      </c>
      <c r="AB45" s="35">
        <f>(Sheet3!$DC45*0.014*0.001*J45) / (S45*0.00015*3600*3)</f>
        <v>7335.1419744244258</v>
      </c>
      <c r="AC45" s="35">
        <f>(Sheet3!$DC45*0.014*0.001*K45) / (T45*0.00015*3600*3)</f>
        <v>7166.4548233407631</v>
      </c>
      <c r="AD45" s="289">
        <f t="shared" si="63"/>
        <v>0.6268732472535179</v>
      </c>
      <c r="AE45" s="35">
        <f>_xlfn.FORECAST.LINEAR(Sheet3!CI45,$DA$3:$DA$12,$CZ$3:$CZ$12)/1000</f>
        <v>0.63871372112503122</v>
      </c>
      <c r="AF45" s="35">
        <f>_xlfn.FORECAST.LINEAR(Sheet3!CJ45,$DA$3:$DA$12,$CZ$3:$CZ$12)/1000</f>
        <v>0.63723717184673023</v>
      </c>
      <c r="AG45" s="35">
        <f>_xlfn.FORECAST.LINEAR(Sheet3!CK45,$DA$3:$DA$12,$CZ$3:$CZ$12)/1000</f>
        <v>0.63580655652981011</v>
      </c>
      <c r="AH45" s="35">
        <f>_xlfn.FORECAST.LINEAR(Sheet3!CL45,$DA$3:$DA$12,$CZ$3:$CZ$12)/1000</f>
        <v>0.63440141936743477</v>
      </c>
      <c r="AI45" s="35">
        <f>_xlfn.FORECAST.LINEAR(Sheet3!CM45,$DA$3:$DA$12,$CZ$3:$CZ$12)/1000</f>
        <v>0.63300130455276826</v>
      </c>
      <c r="AJ45" s="35">
        <f>_xlfn.FORECAST.LINEAR(Sheet3!CN45,$DA$3:$DA$12,$CZ$3:$CZ$12)/1000</f>
        <v>0.63158575627897429</v>
      </c>
      <c r="AK45" s="35">
        <f>_xlfn.FORECAST.LINEAR(Sheet3!CO45,$DA$3:$DA$12,$CZ$3:$CZ$12)/1000</f>
        <v>0.63013431873921688</v>
      </c>
      <c r="AL45" s="35">
        <f>_xlfn.FORECAST.LINEAR(Sheet3!CP45,$DA$3:$DA$12,$CZ$3:$CZ$12)/1000</f>
        <v>0.62862653612665964</v>
      </c>
      <c r="AM45" s="289">
        <f t="shared" si="64"/>
        <v>4192.6037378744304</v>
      </c>
      <c r="AN45" s="35">
        <f>_xlfn.FORECAST.LINEAR(Sheet3!CI45,$DP$3:$DP$14,$DJ$3:$DJ$14)*1000</f>
        <v>4193.6457159119536</v>
      </c>
      <c r="AO45" s="35">
        <f>_xlfn.FORECAST.LINEAR(Sheet3!CJ45,$DP$3:$DP$14,$DJ$3:$DJ$14)*1000</f>
        <v>4193.5157775382022</v>
      </c>
      <c r="AP45" s="35">
        <f>_xlfn.FORECAST.LINEAR(Sheet3!CK45,$DP$3:$DP$14,$DJ$3:$DJ$14)*1000</f>
        <v>4193.3898814164295</v>
      </c>
      <c r="AQ45" s="35">
        <f>_xlfn.FORECAST.LINEAR(Sheet3!CL45,$DP$3:$DP$14,$DJ$3:$DJ$14)*1000</f>
        <v>4193.266227407411</v>
      </c>
      <c r="AR45" s="35">
        <f>_xlfn.FORECAST.LINEAR(Sheet3!CM45,$DP$3:$DP$14,$DJ$3:$DJ$14)*1000</f>
        <v>4193.1430153719193</v>
      </c>
      <c r="AS45" s="35">
        <f>_xlfn.FORECAST.LINEAR(Sheet3!CN45,$DP$3:$DP$14,$DJ$3:$DJ$14)*1000</f>
        <v>4193.01844517073</v>
      </c>
      <c r="AT45" s="35">
        <f>_xlfn.FORECAST.LINEAR(Sheet3!CO45,$DP$3:$DP$14,$DJ$3:$DJ$14)*1000</f>
        <v>4192.8907166646177</v>
      </c>
      <c r="AU45" s="35">
        <f>_xlfn.FORECAST.LINEAR(Sheet3!CP45,$DP$3:$DP$14,$DJ$3:$DJ$14)*1000</f>
        <v>4192.7580297143577</v>
      </c>
      <c r="AV45" s="289">
        <f t="shared" si="18"/>
        <v>1.5146928770040704E-7</v>
      </c>
      <c r="AW45" s="35">
        <f t="shared" si="19"/>
        <v>1.5500673367054306E-7</v>
      </c>
      <c r="AX45" s="35">
        <f t="shared" si="20"/>
        <v>1.5456389059337451E-7</v>
      </c>
      <c r="AY45" s="35">
        <f t="shared" si="21"/>
        <v>1.5413529055392232E-7</v>
      </c>
      <c r="AZ45" s="35">
        <f t="shared" si="22"/>
        <v>1.5371476986214212E-7</v>
      </c>
      <c r="BA45" s="35">
        <f t="shared" si="23"/>
        <v>1.5329619143132718E-7</v>
      </c>
      <c r="BB45" s="35">
        <f t="shared" si="24"/>
        <v>1.5287344396999515E-7</v>
      </c>
      <c r="BC45" s="35">
        <f t="shared" si="25"/>
        <v>1.5244044211238668E-7</v>
      </c>
      <c r="BD45" s="35">
        <f t="shared" si="26"/>
        <v>1.51991127476638E-7</v>
      </c>
      <c r="BE45" s="289">
        <f t="shared" si="62"/>
        <v>4.050886468189975</v>
      </c>
      <c r="BF45" s="35">
        <f t="shared" si="27"/>
        <v>3.3144381983155293</v>
      </c>
      <c r="BG45" s="35">
        <f t="shared" si="28"/>
        <v>3.3954302012328177</v>
      </c>
      <c r="BH45" s="35">
        <f t="shared" si="29"/>
        <v>3.4764135879551143</v>
      </c>
      <c r="BI45" s="35">
        <f t="shared" si="30"/>
        <v>3.558539165862225</v>
      </c>
      <c r="BJ45" s="35">
        <f t="shared" si="31"/>
        <v>3.6431086850500436</v>
      </c>
      <c r="BK45" s="35">
        <f t="shared" si="32"/>
        <v>3.7315975036377451</v>
      </c>
      <c r="BL45" s="35">
        <f t="shared" si="33"/>
        <v>3.8256875376928954</v>
      </c>
      <c r="BM45" s="35">
        <f t="shared" si="34"/>
        <v>3.9273139116778779</v>
      </c>
      <c r="BN45" s="289">
        <f t="shared" si="35"/>
        <v>1.5175030678704973E-3</v>
      </c>
      <c r="BO45" s="35">
        <f t="shared" si="36"/>
        <v>1.5529431573672215E-3</v>
      </c>
      <c r="BP45" s="35">
        <f t="shared" si="37"/>
        <v>1.5485065105829724E-3</v>
      </c>
      <c r="BQ45" s="35">
        <f t="shared" si="38"/>
        <v>1.5442125584251953E-3</v>
      </c>
      <c r="BR45" s="35">
        <f t="shared" si="39"/>
        <v>1.5399995496392714E-3</v>
      </c>
      <c r="BS45" s="35">
        <f t="shared" si="40"/>
        <v>1.5358059994975261E-3</v>
      </c>
      <c r="BT45" s="35">
        <f t="shared" si="41"/>
        <v>1.5315706817031051E-3</v>
      </c>
      <c r="BU45" s="35">
        <f t="shared" si="42"/>
        <v>1.5272326296973799E-3</v>
      </c>
      <c r="BV45" s="35">
        <f t="shared" si="43"/>
        <v>1.5227311472613082E-3</v>
      </c>
      <c r="BW45" s="289">
        <f t="shared" si="44"/>
        <v>3.950675058298455E-2</v>
      </c>
      <c r="BX45" s="35">
        <f t="shared" si="45"/>
        <v>3.7791381605421261E-2</v>
      </c>
      <c r="BY45" s="35">
        <f t="shared" si="46"/>
        <v>3.7992979994745983E-2</v>
      </c>
      <c r="BZ45" s="35">
        <f t="shared" si="47"/>
        <v>3.8190999803434281E-2</v>
      </c>
      <c r="CA45" s="35">
        <f t="shared" si="48"/>
        <v>3.8388353398591396E-2</v>
      </c>
      <c r="CB45" s="35">
        <f t="shared" si="49"/>
        <v>3.8588111088998789E-2</v>
      </c>
      <c r="CC45" s="35">
        <f t="shared" si="50"/>
        <v>3.8793535173656531E-2</v>
      </c>
      <c r="CD45" s="35">
        <f t="shared" si="51"/>
        <v>3.9008124572213414E-2</v>
      </c>
      <c r="CE45" s="35">
        <f t="shared" si="52"/>
        <v>3.9235673332687432E-2</v>
      </c>
      <c r="CF45" s="289">
        <f t="shared" si="65"/>
        <v>50.290902264728238</v>
      </c>
      <c r="CG45" s="35">
        <f t="shared" si="66"/>
        <v>55.481834679521654</v>
      </c>
      <c r="CH45" s="35">
        <f t="shared" si="67"/>
        <v>54.860321812632826</v>
      </c>
      <c r="CI45" s="35">
        <f t="shared" si="68"/>
        <v>54.252750792767138</v>
      </c>
      <c r="CJ45" s="35">
        <f t="shared" si="69"/>
        <v>53.650117142745707</v>
      </c>
      <c r="CK45" s="35">
        <f t="shared" si="70"/>
        <v>53.043109252106866</v>
      </c>
      <c r="CL45" s="35">
        <f t="shared" si="71"/>
        <v>52.422024864632718</v>
      </c>
      <c r="CM45" s="35">
        <f t="shared" si="72"/>
        <v>51.776667964225673</v>
      </c>
      <c r="CN45" s="35">
        <f t="shared" si="73"/>
        <v>51.096220937705951</v>
      </c>
      <c r="CO45" s="289">
        <f t="shared" si="53"/>
        <v>2251.8586578571062</v>
      </c>
      <c r="CP45" s="35">
        <f t="shared" si="54"/>
        <v>2531.2149345000771</v>
      </c>
      <c r="CQ45" s="35">
        <f t="shared" si="55"/>
        <v>2497.0740227488304</v>
      </c>
      <c r="CR45" s="35">
        <f t="shared" si="56"/>
        <v>2463.8753331299426</v>
      </c>
      <c r="CS45" s="35">
        <f t="shared" si="57"/>
        <v>2431.1221760419298</v>
      </c>
      <c r="CT45" s="35">
        <f t="shared" si="58"/>
        <v>2398.3112395799039</v>
      </c>
      <c r="CU45" s="35">
        <f t="shared" si="59"/>
        <v>2364.9288728431607</v>
      </c>
      <c r="CV45" s="35">
        <f t="shared" si="60"/>
        <v>2330.4468138731413</v>
      </c>
      <c r="CW45" s="35">
        <f t="shared" si="61"/>
        <v>2294.317169802328</v>
      </c>
      <c r="DE45" s="229">
        <v>70</v>
      </c>
      <c r="DF45" s="230">
        <v>0.40350000000000003</v>
      </c>
      <c r="DG45" s="230">
        <v>0.41270000000000001</v>
      </c>
      <c r="DH45" s="230">
        <v>0.9778</v>
      </c>
    </row>
    <row r="46" spans="1:133" ht="15" thickBot="1" x14ac:dyDescent="0.35">
      <c r="A46" s="184" t="str">
        <f>'Su K. oro stendu'!B91</f>
        <v>06.01.2023</v>
      </c>
      <c r="B46" s="289">
        <f>Sheet3!DD46</f>
        <v>13.46</v>
      </c>
      <c r="C46" s="289">
        <f>_xlfn.FORECAST.LINEAR(Sheet3!DD46,$DW$3:$DW$24,$DU$3:$DU$24)</f>
        <v>999.75944642860861</v>
      </c>
      <c r="D46" s="35">
        <f>_xlfn.FORECAST.LINEAR(Sheet3!CI46,'Cooling water'!$DW$3:$DW$24,'Cooling water'!$DU$3:$DU$24)</f>
        <v>992.77945884160806</v>
      </c>
      <c r="E46" s="35">
        <f>_xlfn.FORECAST.LINEAR(Sheet3!CJ46,'Cooling water'!$DW$3:$DW$24,'Cooling water'!$DU$3:$DU$24)</f>
        <v>993.72097030926966</v>
      </c>
      <c r="F46" s="35">
        <f>_xlfn.FORECAST.LINEAR(Sheet3!CK46,'Cooling water'!$DW$3:$DW$24,'Cooling water'!$DU$3:$DU$24)</f>
        <v>994.58757320228369</v>
      </c>
      <c r="G46" s="35">
        <f>_xlfn.FORECAST.LINEAR(Sheet3!CL46,'Cooling water'!$DW$3:$DW$24,'Cooling water'!$DU$3:$DU$24)</f>
        <v>995.40562088727052</v>
      </c>
      <c r="H46" s="35">
        <f>_xlfn.FORECAST.LINEAR(Sheet3!CM46,'Cooling water'!$DW$3:$DW$24,'Cooling water'!$DU$3:$DU$24)</f>
        <v>996.20146673085026</v>
      </c>
      <c r="I46" s="35">
        <f>_xlfn.FORECAST.LINEAR(Sheet3!CN46,'Cooling water'!$DW$3:$DW$24,'Cooling water'!$DU$3:$DU$24)</f>
        <v>997.00146409964304</v>
      </c>
      <c r="J46" s="35">
        <f>_xlfn.FORECAST.LINEAR(Sheet3!CO46,'Cooling water'!$DW$3:$DW$24,'Cooling water'!$DU$3:$DU$24)</f>
        <v>997.83196636026923</v>
      </c>
      <c r="K46" s="35">
        <f>_xlfn.FORECAST.LINEAR(Sheet3!CP46,'Cooling water'!$DW$3:$DW$24,'Cooling water'!$DU$3:$DU$24)</f>
        <v>998.71932687934907</v>
      </c>
      <c r="L46" s="289">
        <f t="shared" si="17"/>
        <v>1.1897069857609299E-3</v>
      </c>
      <c r="M46" s="35">
        <f xml:space="preserve"> 0.0000000000330128*((Sheet3!CI46+273)^(4)) - 0.0000000448315*((Sheet3!CI46+273)^(3)) + 0.0000228887*((Sheet3!CI46+273)^(2)) - 0.00521331*((Sheet3!CI46+273)) + 0.447905</f>
        <v>7.888424641941949E-4</v>
      </c>
      <c r="N46" s="35">
        <f xml:space="preserve"> 0.0000000000330128*((Sheet3!CJ46+273)^(4)) - 0.0000000448315*((Sheet3!CJ46+273)^(3)) + 0.0000228887*((Sheet3!CJ46+273)^(2)) - 0.00521331*((Sheet3!CJ46+273)) + 0.447905</f>
        <v>8.2903658478961084E-4</v>
      </c>
      <c r="O46" s="35">
        <f xml:space="preserve"> 0.0000000000330128*((Sheet3!CK46+273)^(4)) - 0.0000000448315*((Sheet3!CK46+273)^(3)) + 0.0000228887*((Sheet3!CK46+273)^(2)) - 0.00521331*((Sheet3!CK46+273)) + 0.447905</f>
        <v>8.6922680176315659E-4</v>
      </c>
      <c r="P46" s="35">
        <f xml:space="preserve"> 0.0000000000330128*((Sheet3!CL46+273)^(4)) - 0.0000000448315*((Sheet3!CL46+273)^(3)) + 0.0000228887*((Sheet3!CL46+273)^(2)) - 0.00521331*((Sheet3!CL46+273)) + 0.447905</f>
        <v>9.1023848253568573E-4</v>
      </c>
      <c r="Q46" s="35">
        <f xml:space="preserve"> 0.0000000000330128*((Sheet3!CM46+273)^(4)) - 0.0000000448315*((Sheet3!CM46+273)^(3)) + 0.0000228887*((Sheet3!CM46+273)^(2)) - 0.00521331*((Sheet3!CM46+273)) + 0.447905</f>
        <v>9.5324606271018908E-4</v>
      </c>
      <c r="R46" s="35">
        <f xml:space="preserve"> 0.0000000000330128*((Sheet3!CN46+273)^(4)) - 0.0000000448315*((Sheet3!CN46+273)^(3)) + 0.0000228887*((Sheet3!CN46+273)^(2)) - 0.00521331*((Sheet3!CN46+273)) + 0.447905</f>
        <v>9.9981612804511677E-4</v>
      </c>
      <c r="S46" s="35">
        <f xml:space="preserve"> 0.0000000000330128*((Sheet3!CO46+273)^(4)) - 0.0000000448315*((Sheet3!CO46+273)^(3)) + 0.0000228887*((Sheet3!CO46+273)^(2)) - 0.00521331*((Sheet3!CO46+273)) + 0.447905</f>
        <v>1.0519788432021837E-3</v>
      </c>
      <c r="T46" s="35">
        <f xml:space="preserve"> 0.0000000000330128*((Sheet3!CP46+273)^(4)) - 0.0000000448315*((Sheet3!CP46+273)^(3)) + 0.0000228887*((Sheet3!CP46+273)^(2)) - 0.00521331*((Sheet3!CP46+273)) + 0.447905</f>
        <v>1.1123462661601913E-3</v>
      </c>
      <c r="U46" s="289">
        <f>(Sheet3!DC46*0.014*0.001*C46) / (L46*0.00015*3600*3)</f>
        <v>2883.0955285190294</v>
      </c>
      <c r="V46" s="35">
        <f>(Sheet3!$DC46*0.014*0.001*D46) / (M46*0.00015*3600*3)</f>
        <v>4317.8348732317208</v>
      </c>
      <c r="W46" s="35">
        <f>(Sheet3!$DC46*0.014*0.001*E46) / (N46*0.00015*3600*3)</f>
        <v>4112.3899257532848</v>
      </c>
      <c r="X46" s="35">
        <f>(Sheet3!$DC46*0.014*0.001*F46) / (O46*0.00015*3600*3)</f>
        <v>3925.6669137298318</v>
      </c>
      <c r="Y46" s="35">
        <f>(Sheet3!$DC46*0.014*0.001*G46) / (P46*0.00015*3600*3)</f>
        <v>3751.8755493720055</v>
      </c>
      <c r="Z46" s="35">
        <f>(Sheet3!$DC46*0.014*0.001*H46) / (Q46*0.00015*3600*3)</f>
        <v>3585.4666275959389</v>
      </c>
      <c r="AA46" s="35">
        <f>(Sheet3!$DC46*0.014*0.001*I46) / (R46*0.00015*3600*3)</f>
        <v>3421.2056918439357</v>
      </c>
      <c r="AB46" s="35">
        <f>(Sheet3!$DC46*0.014*0.001*J46) / (S46*0.00015*3600*3)</f>
        <v>3254.272641184009</v>
      </c>
      <c r="AC46" s="35">
        <f>(Sheet3!$DC46*0.014*0.001*K46) / (T46*0.00015*3600*3)</f>
        <v>3080.3990503790023</v>
      </c>
      <c r="AD46" s="289">
        <f t="shared" si="63"/>
        <v>0.59400527183161145</v>
      </c>
      <c r="AE46" s="35">
        <f>_xlfn.FORECAST.LINEAR(Sheet3!CI46,$DA$3:$DA$12,$CZ$3:$CZ$12)/1000</f>
        <v>0.61216075016684102</v>
      </c>
      <c r="AF46" s="35">
        <f>_xlfn.FORECAST.LINEAR(Sheet3!CJ46,$DA$3:$DA$12,$CZ$3:$CZ$12)/1000</f>
        <v>0.60971180726537588</v>
      </c>
      <c r="AG46" s="35">
        <f>_xlfn.FORECAST.LINEAR(Sheet3!CK46,$DA$3:$DA$12,$CZ$3:$CZ$12)/1000</f>
        <v>0.60745770726114856</v>
      </c>
      <c r="AH46" s="35">
        <f>_xlfn.FORECAST.LINEAR(Sheet3!CL46,$DA$3:$DA$12,$CZ$3:$CZ$12)/1000</f>
        <v>0.60532990304418666</v>
      </c>
      <c r="AI46" s="35">
        <f>_xlfn.FORECAST.LINEAR(Sheet3!CM46,$DA$3:$DA$12,$CZ$3:$CZ$12)/1000</f>
        <v>0.60325984750451722</v>
      </c>
      <c r="AJ46" s="35">
        <f>_xlfn.FORECAST.LINEAR(Sheet3!CN46,$DA$3:$DA$12,$CZ$3:$CZ$12)/1000</f>
        <v>0.60117899353216786</v>
      </c>
      <c r="AK46" s="35">
        <f>_xlfn.FORECAST.LINEAR(Sheet3!CO46,$DA$3:$DA$12,$CZ$3:$CZ$12)/1000</f>
        <v>0.59901879401716585</v>
      </c>
      <c r="AL46" s="35">
        <f>_xlfn.FORECAST.LINEAR(Sheet3!CP46,$DA$3:$DA$12,$CZ$3:$CZ$12)/1000</f>
        <v>0.59671070184953878</v>
      </c>
      <c r="AM46" s="289">
        <f t="shared" si="64"/>
        <v>4189.7113106878887</v>
      </c>
      <c r="AN46" s="35">
        <f>_xlfn.FORECAST.LINEAR(Sheet3!CI46,$DP$3:$DP$14,$DJ$3:$DJ$14)*1000</f>
        <v>4191.3090178313132</v>
      </c>
      <c r="AO46" s="35">
        <f>_xlfn.FORECAST.LINEAR(Sheet3!CJ46,$DP$3:$DP$14,$DJ$3:$DJ$14)*1000</f>
        <v>4191.0935074770678</v>
      </c>
      <c r="AP46" s="35">
        <f>_xlfn.FORECAST.LINEAR(Sheet3!CK46,$DP$3:$DP$14,$DJ$3:$DJ$14)*1000</f>
        <v>4190.895143566614</v>
      </c>
      <c r="AQ46" s="35">
        <f>_xlfn.FORECAST.LINEAR(Sheet3!CL46,$DP$3:$DP$14,$DJ$3:$DJ$14)*1000</f>
        <v>4190.7078938596942</v>
      </c>
      <c r="AR46" s="35">
        <f>_xlfn.FORECAST.LINEAR(Sheet3!CM46,$DP$3:$DP$14,$DJ$3:$DJ$14)*1000</f>
        <v>4190.525726116055</v>
      </c>
      <c r="AS46" s="35">
        <f>_xlfn.FORECAST.LINEAR(Sheet3!CN46,$DP$3:$DP$14,$DJ$3:$DJ$14)*1000</f>
        <v>4190.3426080954414</v>
      </c>
      <c r="AT46" s="35">
        <f>_xlfn.FORECAST.LINEAR(Sheet3!CO46,$DP$3:$DP$14,$DJ$3:$DJ$14)*1000</f>
        <v>4190.1525075575983</v>
      </c>
      <c r="AU46" s="35">
        <f>_xlfn.FORECAST.LINEAR(Sheet3!CP46,$DP$3:$DP$14,$DJ$3:$DJ$14)*1000</f>
        <v>4189.9493922622687</v>
      </c>
      <c r="AV46" s="289">
        <f t="shared" si="18"/>
        <v>1.418112495690347E-7</v>
      </c>
      <c r="AW46" s="35">
        <f t="shared" si="19"/>
        <v>1.4711705276441043E-7</v>
      </c>
      <c r="AX46" s="35">
        <f t="shared" si="20"/>
        <v>1.4639720999602295E-7</v>
      </c>
      <c r="AY46" s="35">
        <f t="shared" si="21"/>
        <v>1.4573579119435042E-7</v>
      </c>
      <c r="AZ46" s="35">
        <f t="shared" si="22"/>
        <v>1.451124416165237E-7</v>
      </c>
      <c r="BA46" s="35">
        <f t="shared" si="23"/>
        <v>1.4450694906129566E-7</v>
      </c>
      <c r="BB46" s="35">
        <f t="shared" si="24"/>
        <v>1.4389922932550374E-7</v>
      </c>
      <c r="BC46" s="35">
        <f t="shared" si="25"/>
        <v>1.4326932195382886E-7</v>
      </c>
      <c r="BD46" s="35">
        <f t="shared" si="26"/>
        <v>1.4259739610313375E-7</v>
      </c>
      <c r="BE46" s="289">
        <f t="shared" si="62"/>
        <v>8.3913881761978324</v>
      </c>
      <c r="BF46" s="35">
        <f t="shared" si="27"/>
        <v>5.401003793406054</v>
      </c>
      <c r="BG46" s="35">
        <f t="shared" si="28"/>
        <v>5.6987084825477226</v>
      </c>
      <c r="BH46" s="35">
        <f t="shared" si="29"/>
        <v>5.996859268757424</v>
      </c>
      <c r="BI46" s="35">
        <f t="shared" si="30"/>
        <v>6.301594510487484</v>
      </c>
      <c r="BJ46" s="35">
        <f t="shared" si="31"/>
        <v>6.62169406041229</v>
      </c>
      <c r="BK46" s="35">
        <f t="shared" si="32"/>
        <v>6.9689263375505561</v>
      </c>
      <c r="BL46" s="35">
        <f t="shared" si="33"/>
        <v>7.3586201831504718</v>
      </c>
      <c r="BM46" s="35">
        <f t="shared" si="34"/>
        <v>7.8106099780631917</v>
      </c>
      <c r="BN46" s="289">
        <f t="shared" si="35"/>
        <v>1.7714560039724166E-3</v>
      </c>
      <c r="BO46" s="35">
        <f t="shared" si="36"/>
        <v>1.8377342220609535E-3</v>
      </c>
      <c r="BP46" s="35">
        <f t="shared" si="37"/>
        <v>1.8287422006391595E-3</v>
      </c>
      <c r="BQ46" s="35">
        <f t="shared" si="38"/>
        <v>1.8204799907586052E-3</v>
      </c>
      <c r="BR46" s="35">
        <f t="shared" si="39"/>
        <v>1.8126933281661058E-3</v>
      </c>
      <c r="BS46" s="35">
        <f t="shared" si="40"/>
        <v>1.805129729188035E-3</v>
      </c>
      <c r="BT46" s="35">
        <f t="shared" si="41"/>
        <v>1.7975383090575957E-3</v>
      </c>
      <c r="BU46" s="35">
        <f t="shared" si="42"/>
        <v>1.7896697288223109E-3</v>
      </c>
      <c r="BV46" s="35">
        <f t="shared" si="43"/>
        <v>1.781276268599265E-3</v>
      </c>
      <c r="BW46" s="289">
        <f t="shared" si="44"/>
        <v>4.9265448831263041E-2</v>
      </c>
      <c r="BX46" s="35">
        <f t="shared" si="45"/>
        <v>4.453389640237173E-2</v>
      </c>
      <c r="BY46" s="35">
        <f t="shared" si="46"/>
        <v>4.5079971235634168E-2</v>
      </c>
      <c r="BZ46" s="35">
        <f t="shared" si="47"/>
        <v>4.5606720078532628E-2</v>
      </c>
      <c r="CA46" s="35">
        <f t="shared" si="48"/>
        <v>4.6125925777900319E-2</v>
      </c>
      <c r="CB46" s="35">
        <f t="shared" si="49"/>
        <v>4.6652055193292893E-2</v>
      </c>
      <c r="CC46" s="35">
        <f t="shared" si="50"/>
        <v>4.7202217904140739E-2</v>
      </c>
      <c r="CD46" s="35">
        <f t="shared" si="51"/>
        <v>4.7796238342985277E-2</v>
      </c>
      <c r="CE46" s="35">
        <f t="shared" si="52"/>
        <v>4.8456881001449452E-2</v>
      </c>
      <c r="CF46" s="289">
        <f t="shared" si="65"/>
        <v>11.725387309366766</v>
      </c>
      <c r="CG46" s="35">
        <f t="shared" si="66"/>
        <v>33.594664544006747</v>
      </c>
      <c r="CH46" s="35">
        <f t="shared" si="67"/>
        <v>32.363214970535999</v>
      </c>
      <c r="CI46" s="35">
        <f t="shared" si="68"/>
        <v>31.19574300518606</v>
      </c>
      <c r="CJ46" s="35">
        <f t="shared" si="69"/>
        <v>30.064535693444761</v>
      </c>
      <c r="CK46" s="35">
        <f t="shared" si="70"/>
        <v>28.937899587822738</v>
      </c>
      <c r="CL46" s="35">
        <f t="shared" si="71"/>
        <v>27.780729399345866</v>
      </c>
      <c r="CM46" s="35">
        <f t="shared" si="72"/>
        <v>26.554972556324508</v>
      </c>
      <c r="CN46" s="35">
        <f t="shared" si="73"/>
        <v>25.220020748541483</v>
      </c>
      <c r="CO46" s="289">
        <f t="shared" si="53"/>
        <v>497.49584828795236</v>
      </c>
      <c r="CP46" s="35">
        <f t="shared" si="54"/>
        <v>1468.9525034901819</v>
      </c>
      <c r="CQ46" s="35">
        <f t="shared" si="55"/>
        <v>1409.4453063288122</v>
      </c>
      <c r="CR46" s="35">
        <f t="shared" si="56"/>
        <v>1353.5781801598812</v>
      </c>
      <c r="CS46" s="35">
        <f t="shared" si="57"/>
        <v>1299.9258911701004</v>
      </c>
      <c r="CT46" s="35">
        <f t="shared" si="58"/>
        <v>1246.9337780322126</v>
      </c>
      <c r="CU46" s="35">
        <f t="shared" si="59"/>
        <v>1192.942209992018</v>
      </c>
      <c r="CV46" s="35">
        <f t="shared" si="60"/>
        <v>1136.2091168463173</v>
      </c>
      <c r="CW46" s="35">
        <f t="shared" si="61"/>
        <v>1074.9325915372942</v>
      </c>
      <c r="DE46" s="229">
        <v>75</v>
      </c>
      <c r="DF46" s="230">
        <v>0.37740000000000001</v>
      </c>
      <c r="DG46" s="230">
        <v>0.38719999999999999</v>
      </c>
      <c r="DH46" s="230">
        <v>0.9748</v>
      </c>
    </row>
    <row r="47" spans="1:133" ht="15" thickBot="1" x14ac:dyDescent="0.35">
      <c r="A47" s="184" t="str">
        <f>'Su K. oro stendu'!B92</f>
        <v>09.01.2023</v>
      </c>
      <c r="B47" s="289">
        <f>Sheet3!DD47</f>
        <v>11.69</v>
      </c>
      <c r="C47" s="289">
        <f>_xlfn.FORECAST.LINEAR(Sheet3!DD47,$DW$3:$DW$24,$DU$3:$DU$24)</f>
        <v>1000.4937290938385</v>
      </c>
      <c r="D47" s="35">
        <f>_xlfn.FORECAST.LINEAR(Sheet3!CI47,'Cooling water'!$DW$3:$DW$24,'Cooling water'!$DU$3:$DU$24)</f>
        <v>992.89459965631966</v>
      </c>
      <c r="E47" s="35">
        <f>_xlfn.FORECAST.LINEAR(Sheet3!CJ47,'Cooling water'!$DW$3:$DW$24,'Cooling water'!$DU$3:$DU$24)</f>
        <v>993.79358392472636</v>
      </c>
      <c r="F47" s="35">
        <f>_xlfn.FORECAST.LINEAR(Sheet3!CK47,'Cooling water'!$DW$3:$DW$24,'Cooling water'!$DU$3:$DU$24)</f>
        <v>994.67691943760599</v>
      </c>
      <c r="G47" s="35">
        <f>_xlfn.FORECAST.LINEAR(Sheet3!CL47,'Cooling water'!$DW$3:$DW$24,'Cooling water'!$DU$3:$DU$24)</f>
        <v>995.55622120837086</v>
      </c>
      <c r="H47" s="35">
        <f>_xlfn.FORECAST.LINEAR(Sheet3!CM47,'Cooling water'!$DW$3:$DW$24,'Cooling water'!$DU$3:$DU$24)</f>
        <v>996.44310425043341</v>
      </c>
      <c r="I47" s="35">
        <f>_xlfn.FORECAST.LINEAR(Sheet3!CN47,'Cooling water'!$DW$3:$DW$24,'Cooling water'!$DU$3:$DU$24)</f>
        <v>997.3491835772063</v>
      </c>
      <c r="J47" s="35">
        <f>_xlfn.FORECAST.LINEAR(Sheet3!CO47,'Cooling water'!$DW$3:$DW$24,'Cooling water'!$DU$3:$DU$24)</f>
        <v>998.28607420210176</v>
      </c>
      <c r="K47" s="35">
        <f>_xlfn.FORECAST.LINEAR(Sheet3!CP47,'Cooling water'!$DW$3:$DW$24,'Cooling water'!$DU$3:$DU$24)</f>
        <v>999.26539113853244</v>
      </c>
      <c r="L47" s="289">
        <f t="shared" si="17"/>
        <v>1.2489421226622444E-3</v>
      </c>
      <c r="M47" s="35">
        <f xml:space="preserve"> 0.0000000000330128*((Sheet3!CI47+273)^(4)) - 0.0000000448315*((Sheet3!CI47+273)^(3)) + 0.0000228887*((Sheet3!CI47+273)^(2)) - 0.00521331*((Sheet3!CI47+273)) + 0.447905</f>
        <v>7.9357529889878542E-4</v>
      </c>
      <c r="N47" s="35">
        <f xml:space="preserve"> 0.0000000000330128*((Sheet3!CJ47+273)^(4)) - 0.0000000448315*((Sheet3!CJ47+273)^(3)) + 0.0000228887*((Sheet3!CJ47+273)^(2)) - 0.00521331*((Sheet3!CJ47+273)) + 0.447905</f>
        <v>8.3228248234079594E-4</v>
      </c>
      <c r="O47" s="35">
        <f xml:space="preserve"> 0.0000000000330128*((Sheet3!CK47+273)^(4)) - 0.0000000448315*((Sheet3!CK47+273)^(3)) + 0.0000228887*((Sheet3!CK47+273)^(2)) - 0.00521331*((Sheet3!CK47+273)) + 0.447905</f>
        <v>8.7355618553797143E-4</v>
      </c>
      <c r="P47" s="35">
        <f xml:space="preserve"> 0.0000000000330128*((Sheet3!CL47+273)^(4)) - 0.0000000448315*((Sheet3!CL47+273)^(3)) + 0.0000228887*((Sheet3!CL47+273)^(2)) - 0.00521331*((Sheet3!CL47+273)) + 0.447905</f>
        <v>9.181343034219136E-4</v>
      </c>
      <c r="Q47" s="35">
        <f xml:space="preserve"> 0.0000000000330128*((Sheet3!CM47+273)^(4)) - 0.0000000448315*((Sheet3!CM47+273)^(3)) + 0.0000228887*((Sheet3!CM47+273)^(2)) - 0.00521331*((Sheet3!CM47+273)) + 0.447905</f>
        <v>9.6694812274655817E-4</v>
      </c>
      <c r="R47" s="35">
        <f xml:space="preserve"> 0.0000000000330128*((Sheet3!CN47+273)^(4)) - 0.0000000448315*((Sheet3!CN47+273)^(3)) + 0.0000228887*((Sheet3!CN47+273)^(2)) - 0.00521331*((Sheet3!CN47+273)) + 0.447905</f>
        <v>1.0211661198922251E-3</v>
      </c>
      <c r="S47" s="35">
        <f xml:space="preserve"> 0.0000000000330128*((Sheet3!CO47+273)^(4)) - 0.0000000448315*((Sheet3!CO47+273)^(3)) + 0.0000228887*((Sheet3!CO47+273)^(2)) - 0.00521331*((Sheet3!CO47+273)) + 0.447905</f>
        <v>1.0822511505745869E-3</v>
      </c>
      <c r="T47" s="35">
        <f xml:space="preserve"> 0.0000000000330128*((Sheet3!CP47+273)^(4)) - 0.0000000448315*((Sheet3!CP47+273)^(3)) + 0.0000228887*((Sheet3!CP47+273)^(2)) - 0.00521331*((Sheet3!CP47+273)) + 0.447905</f>
        <v>1.1520360099988025E-3</v>
      </c>
      <c r="U47" s="289">
        <f>(Sheet3!DC47*0.014*0.001*C47) / (L47*0.00015*3600*3)</f>
        <v>2990.6722824393955</v>
      </c>
      <c r="V47" s="35">
        <f>(Sheet3!$DC47*0.014*0.001*D47) / (M47*0.00015*3600*3)</f>
        <v>4671.0205200784221</v>
      </c>
      <c r="W47" s="35">
        <f>(Sheet3!$DC47*0.014*0.001*E47) / (N47*0.00015*3600*3)</f>
        <v>4457.8166572533646</v>
      </c>
      <c r="X47" s="35">
        <f>(Sheet3!$DC47*0.014*0.001*F47) / (O47*0.00015*3600*3)</f>
        <v>4250.9692687332172</v>
      </c>
      <c r="Y47" s="35">
        <f>(Sheet3!$DC47*0.014*0.001*G47) / (P47*0.00015*3600*3)</f>
        <v>4048.1476533358723</v>
      </c>
      <c r="Z47" s="35">
        <f>(Sheet3!$DC47*0.014*0.001*H47) / (Q47*0.00015*3600*3)</f>
        <v>3847.2118290086701</v>
      </c>
      <c r="AA47" s="35">
        <f>(Sheet3!$DC47*0.014*0.001*I47) / (R47*0.00015*3600*3)</f>
        <v>3646.2597803524327</v>
      </c>
      <c r="AB47" s="35">
        <f>(Sheet3!$DC47*0.014*0.001*J47) / (S47*0.00015*3600*3)</f>
        <v>3443.6874241644214</v>
      </c>
      <c r="AC47" s="35">
        <f>(Sheet3!$DC47*0.014*0.001*K47) / (T47*0.00015*3600*3)</f>
        <v>3238.2588401795988</v>
      </c>
      <c r="AD47" s="289">
        <f t="shared" si="63"/>
        <v>0.59209534679888742</v>
      </c>
      <c r="AE47" s="35">
        <f>_xlfn.FORECAST.LINEAR(Sheet3!CI47,$DA$3:$DA$12,$CZ$3:$CZ$12)/1000</f>
        <v>0.61186126015472542</v>
      </c>
      <c r="AF47" s="35">
        <f>_xlfn.FORECAST.LINEAR(Sheet3!CJ47,$DA$3:$DA$12,$CZ$3:$CZ$12)/1000</f>
        <v>0.60952293373145672</v>
      </c>
      <c r="AG47" s="35">
        <f>_xlfn.FORECAST.LINEAR(Sheet3!CK47,$DA$3:$DA$12,$CZ$3:$CZ$12)/1000</f>
        <v>0.6072253109109389</v>
      </c>
      <c r="AH47" s="35">
        <f>_xlfn.FORECAST.LINEAR(Sheet3!CL47,$DA$3:$DA$12,$CZ$3:$CZ$12)/1000</f>
        <v>0.60493818016030809</v>
      </c>
      <c r="AI47" s="35">
        <f>_xlfn.FORECAST.LINEAR(Sheet3!CM47,$DA$3:$DA$12,$CZ$3:$CZ$12)/1000</f>
        <v>0.60263132994670054</v>
      </c>
      <c r="AJ47" s="35">
        <f>_xlfn.FORECAST.LINEAR(Sheet3!CN47,$DA$3:$DA$12,$CZ$3:$CZ$12)/1000</f>
        <v>0.6002745487372525</v>
      </c>
      <c r="AK47" s="35">
        <f>_xlfn.FORECAST.LINEAR(Sheet3!CO47,$DA$3:$DA$12,$CZ$3:$CZ$12)/1000</f>
        <v>0.5978376249991002</v>
      </c>
      <c r="AL47" s="35">
        <f>_xlfn.FORECAST.LINEAR(Sheet3!CP47,$DA$3:$DA$12,$CZ$3:$CZ$12)/1000</f>
        <v>0.5952903471993799</v>
      </c>
      <c r="AM47" s="289">
        <f t="shared" si="64"/>
        <v>4189.5432346497992</v>
      </c>
      <c r="AN47" s="35">
        <f>_xlfn.FORECAST.LINEAR(Sheet3!CI47,$DP$3:$DP$14,$DJ$3:$DJ$14)*1000</f>
        <v>4191.2826622970269</v>
      </c>
      <c r="AO47" s="35">
        <f>_xlfn.FORECAST.LINEAR(Sheet3!CJ47,$DP$3:$DP$14,$DJ$3:$DJ$14)*1000</f>
        <v>4191.0768863454869</v>
      </c>
      <c r="AP47" s="35">
        <f>_xlfn.FORECAST.LINEAR(Sheet3!CK47,$DP$3:$DP$14,$DJ$3:$DJ$14)*1000</f>
        <v>4190.8746923671479</v>
      </c>
      <c r="AQ47" s="35">
        <f>_xlfn.FORECAST.LINEAR(Sheet3!CL47,$DP$3:$DP$14,$DJ$3:$DJ$14)*1000</f>
        <v>4190.6734217054363</v>
      </c>
      <c r="AR47" s="35">
        <f>_xlfn.FORECAST.LINEAR(Sheet3!CM47,$DP$3:$DP$14,$DJ$3:$DJ$14)*1000</f>
        <v>4190.4704157037741</v>
      </c>
      <c r="AS47" s="35">
        <f>_xlfn.FORECAST.LINEAR(Sheet3!CN47,$DP$3:$DP$14,$DJ$3:$DJ$14)*1000</f>
        <v>4190.2630157055864</v>
      </c>
      <c r="AT47" s="35">
        <f>_xlfn.FORECAST.LINEAR(Sheet3!CO47,$DP$3:$DP$14,$DJ$3:$DJ$14)*1000</f>
        <v>4190.0485630542962</v>
      </c>
      <c r="AU47" s="35">
        <f>_xlfn.FORECAST.LINEAR(Sheet3!CP47,$DP$3:$DP$14,$DJ$3:$DJ$14)*1000</f>
        <v>4189.8243990933279</v>
      </c>
      <c r="AV47" s="289">
        <f t="shared" si="18"/>
        <v>1.4125720232893934E-7</v>
      </c>
      <c r="AW47" s="35">
        <f t="shared" si="19"/>
        <v>1.4702895054860319E-7</v>
      </c>
      <c r="AX47" s="35">
        <f t="shared" si="20"/>
        <v>1.4634174664550124E-7</v>
      </c>
      <c r="AY47" s="35">
        <f t="shared" si="21"/>
        <v>1.4566766197831344E-7</v>
      </c>
      <c r="AZ47" s="35">
        <f t="shared" si="22"/>
        <v>1.4499779143058025E-7</v>
      </c>
      <c r="BA47" s="35">
        <f t="shared" si="23"/>
        <v>1.4432329026982391E-7</v>
      </c>
      <c r="BB47" s="35">
        <f t="shared" si="24"/>
        <v>1.4363537404456805E-7</v>
      </c>
      <c r="BC47" s="35">
        <f t="shared" si="25"/>
        <v>1.4292532043567525E-7</v>
      </c>
      <c r="BD47" s="35">
        <f t="shared" si="26"/>
        <v>1.4218447302402494E-7</v>
      </c>
      <c r="BE47" s="289">
        <f t="shared" si="62"/>
        <v>8.8372540820626462</v>
      </c>
      <c r="BF47" s="35">
        <f t="shared" si="27"/>
        <v>5.4360336372016231</v>
      </c>
      <c r="BG47" s="35">
        <f t="shared" si="28"/>
        <v>5.7227705170902841</v>
      </c>
      <c r="BH47" s="35">
        <f t="shared" si="29"/>
        <v>6.0290051230568924</v>
      </c>
      <c r="BI47" s="35">
        <f t="shared" si="30"/>
        <v>6.3603210197224405</v>
      </c>
      <c r="BJ47" s="35">
        <f t="shared" si="31"/>
        <v>6.7237916459606035</v>
      </c>
      <c r="BK47" s="35">
        <f t="shared" si="32"/>
        <v>7.1283292521351234</v>
      </c>
      <c r="BL47" s="35">
        <f t="shared" si="33"/>
        <v>7.5851446759238881</v>
      </c>
      <c r="BM47" s="35">
        <f t="shared" si="34"/>
        <v>8.1083602414108409</v>
      </c>
      <c r="BN47" s="289">
        <f t="shared" si="35"/>
        <v>1.6215750267352725E-3</v>
      </c>
      <c r="BO47" s="35">
        <f t="shared" si="36"/>
        <v>1.6878323404814139E-3</v>
      </c>
      <c r="BP47" s="35">
        <f t="shared" si="37"/>
        <v>1.6799435201651925E-3</v>
      </c>
      <c r="BQ47" s="35">
        <f t="shared" si="38"/>
        <v>1.6722053033224758E-3</v>
      </c>
      <c r="BR47" s="35">
        <f t="shared" si="39"/>
        <v>1.6645154628510484E-3</v>
      </c>
      <c r="BS47" s="35">
        <f t="shared" si="40"/>
        <v>1.6567724648321618E-3</v>
      </c>
      <c r="BT47" s="35">
        <f t="shared" si="41"/>
        <v>1.6488754673483574E-3</v>
      </c>
      <c r="BU47" s="35">
        <f t="shared" si="42"/>
        <v>1.6407243417360675E-3</v>
      </c>
      <c r="BV47" s="35">
        <f t="shared" si="43"/>
        <v>1.632219715837021E-3</v>
      </c>
      <c r="BW47" s="289">
        <f t="shared" si="44"/>
        <v>4.8816315312079007E-2</v>
      </c>
      <c r="BX47" s="35">
        <f t="shared" si="45"/>
        <v>4.3667090689814954E-2</v>
      </c>
      <c r="BY47" s="35">
        <f t="shared" si="46"/>
        <v>4.4180095593972769E-2</v>
      </c>
      <c r="BZ47" s="35">
        <f t="shared" si="47"/>
        <v>4.4707996737330107E-2</v>
      </c>
      <c r="CA47" s="35">
        <f t="shared" si="48"/>
        <v>4.5257766322289027E-2</v>
      </c>
      <c r="CB47" s="35">
        <f t="shared" si="49"/>
        <v>4.5837474045406335E-2</v>
      </c>
      <c r="CC47" s="35">
        <f t="shared" si="50"/>
        <v>4.645637301495309E-2</v>
      </c>
      <c r="CD47" s="35">
        <f t="shared" si="51"/>
        <v>4.7124989966667245E-2</v>
      </c>
      <c r="CE47" s="35">
        <f t="shared" si="52"/>
        <v>4.7855219432528025E-2</v>
      </c>
      <c r="CF47" s="289">
        <f t="shared" si="65"/>
        <v>11.733302600136165</v>
      </c>
      <c r="CG47" s="35">
        <f t="shared" si="66"/>
        <v>36.767743049633388</v>
      </c>
      <c r="CH47" s="35">
        <f t="shared" si="67"/>
        <v>35.529638807277109</v>
      </c>
      <c r="CI47" s="35">
        <f t="shared" si="68"/>
        <v>34.277363828673309</v>
      </c>
      <c r="CJ47" s="35">
        <f t="shared" si="69"/>
        <v>32.996668877529451</v>
      </c>
      <c r="CK47" s="35">
        <f t="shared" si="70"/>
        <v>31.671992906809052</v>
      </c>
      <c r="CL47" s="35">
        <f t="shared" si="71"/>
        <v>30.286614287331641</v>
      </c>
      <c r="CM47" s="35">
        <f t="shared" si="72"/>
        <v>28.822862975140612</v>
      </c>
      <c r="CN47" s="35">
        <f t="shared" si="73"/>
        <v>27.262402070263864</v>
      </c>
      <c r="CO47" s="289">
        <f t="shared" si="53"/>
        <v>496.23099086599353</v>
      </c>
      <c r="CP47" s="35">
        <f t="shared" si="54"/>
        <v>1606.9112568138451</v>
      </c>
      <c r="CQ47" s="35">
        <f t="shared" si="55"/>
        <v>1546.8664057307542</v>
      </c>
      <c r="CR47" s="35">
        <f t="shared" si="56"/>
        <v>1486.720207719537</v>
      </c>
      <c r="CS47" s="35">
        <f t="shared" si="57"/>
        <v>1425.7817730089246</v>
      </c>
      <c r="CT47" s="35">
        <f t="shared" si="58"/>
        <v>1363.3239433923432</v>
      </c>
      <c r="CU47" s="35">
        <f t="shared" si="59"/>
        <v>1298.5916945790875</v>
      </c>
      <c r="CV47" s="35">
        <f t="shared" si="60"/>
        <v>1230.8137104808975</v>
      </c>
      <c r="CW47" s="35">
        <f t="shared" si="61"/>
        <v>1159.2174852783194</v>
      </c>
      <c r="DE47" s="229">
        <v>80</v>
      </c>
      <c r="DF47" s="230">
        <v>0.35399999999999998</v>
      </c>
      <c r="DG47" s="230">
        <v>0.36430000000000001</v>
      </c>
      <c r="DH47" s="230">
        <v>0.9718</v>
      </c>
    </row>
    <row r="48" spans="1:133" x14ac:dyDescent="0.3">
      <c r="A48" s="184" t="str">
        <f>'Su K. oro stendu'!B93</f>
        <v>09.01.2023</v>
      </c>
      <c r="B48" s="289">
        <f>Sheet3!DD48</f>
        <v>35.76</v>
      </c>
      <c r="C48" s="289">
        <f>_xlfn.FORECAST.LINEAR(Sheet3!DD48,$DW$3:$DW$24,$DU$3:$DU$24)</f>
        <v>990.50831454463901</v>
      </c>
      <c r="D48" s="35">
        <f>_xlfn.FORECAST.LINEAR(Sheet3!CI48,'Cooling water'!$DW$3:$DW$24,'Cooling water'!$DU$3:$DU$24)</f>
        <v>985.54283519893124</v>
      </c>
      <c r="E48" s="35">
        <f>_xlfn.FORECAST.LINEAR(Sheet3!CJ48,'Cooling water'!$DW$3:$DW$24,'Cooling water'!$DU$3:$DU$24)</f>
        <v>986.09749824664834</v>
      </c>
      <c r="F48" s="35">
        <f>_xlfn.FORECAST.LINEAR(Sheet3!CK48,'Cooling water'!$DW$3:$DW$24,'Cooling water'!$DU$3:$DU$24)</f>
        <v>986.6646935535083</v>
      </c>
      <c r="G48" s="35">
        <f>_xlfn.FORECAST.LINEAR(Sheet3!CL48,'Cooling water'!$DW$3:$DW$24,'Cooling water'!$DU$3:$DU$24)</f>
        <v>987.24674953149599</v>
      </c>
      <c r="H48" s="35">
        <f>_xlfn.FORECAST.LINEAR(Sheet3!CM48,'Cooling water'!$DW$3:$DW$24,'Cooling water'!$DU$3:$DU$24)</f>
        <v>987.84599459259607</v>
      </c>
      <c r="I48" s="35">
        <f>_xlfn.FORECAST.LINEAR(Sheet3!CN48,'Cooling water'!$DW$3:$DW$24,'Cooling water'!$DU$3:$DU$24)</f>
        <v>988.46475714879307</v>
      </c>
      <c r="J48" s="35">
        <f>_xlfn.FORECAST.LINEAR(Sheet3!CO48,'Cooling water'!$DW$3:$DW$24,'Cooling water'!$DU$3:$DU$24)</f>
        <v>989.10536561207175</v>
      </c>
      <c r="K48" s="35">
        <f>_xlfn.FORECAST.LINEAR(Sheet3!CP48,'Cooling water'!$DW$3:$DW$24,'Cooling water'!$DU$3:$DU$24)</f>
        <v>989.77014839441688</v>
      </c>
      <c r="L48" s="289">
        <f t="shared" si="17"/>
        <v>7.0474842877321642E-4</v>
      </c>
      <c r="M48" s="35">
        <f xml:space="preserve"> 0.0000000000330128*((Sheet3!CI48+273)^(4)) - 0.0000000448315*((Sheet3!CI48+273)^(3)) + 0.0000228887*((Sheet3!CI48+273)^(2)) - 0.00521331*((Sheet3!CI48+273)) + 0.447905</f>
        <v>5.6736262206369403E-4</v>
      </c>
      <c r="N48" s="35">
        <f xml:space="preserve"> 0.0000000000330128*((Sheet3!CJ48+273)^(4)) - 0.0000000448315*((Sheet3!CJ48+273)^(3)) + 0.0000228887*((Sheet3!CJ48+273)^(2)) - 0.00521331*((Sheet3!CJ48+273)) + 0.447905</f>
        <v>5.8034512986959719E-4</v>
      </c>
      <c r="O48" s="35">
        <f xml:space="preserve"> 0.0000000000330128*((Sheet3!CK48+273)^(4)) - 0.0000000448315*((Sheet3!CK48+273)^(3)) + 0.0000228887*((Sheet3!CK48+273)^(2)) - 0.00521331*((Sheet3!CK48+273)) + 0.447905</f>
        <v>5.9413280238107546E-4</v>
      </c>
      <c r="P48" s="35">
        <f xml:space="preserve"> 0.0000000000330128*((Sheet3!CL48+273)^(4)) - 0.0000000448315*((Sheet3!CL48+273)^(3)) + 0.0000228887*((Sheet3!CL48+273)^(2)) - 0.00521331*((Sheet3!CL48+273)) + 0.447905</f>
        <v>6.0886365175827351E-4</v>
      </c>
      <c r="Q48" s="35">
        <f xml:space="preserve"> 0.0000000000330128*((Sheet3!CM48+273)^(4)) - 0.0000000448315*((Sheet3!CM48+273)^(3)) + 0.0000228887*((Sheet3!CM48+273)^(2)) - 0.00521331*((Sheet3!CM48+273)) + 0.447905</f>
        <v>6.246961719791333E-4</v>
      </c>
      <c r="R48" s="35">
        <f xml:space="preserve"> 0.0000000000330128*((Sheet3!CN48+273)^(4)) - 0.0000000448315*((Sheet3!CN48+273)^(3)) + 0.0000228887*((Sheet3!CN48+273)^(2)) - 0.00521331*((Sheet3!CN48+273)) + 0.447905</f>
        <v>6.4181338111168884E-4</v>
      </c>
      <c r="S48" s="35">
        <f xml:space="preserve"> 0.0000000000330128*((Sheet3!CO48+273)^(4)) - 0.0000000448315*((Sheet3!CO48+273)^(3)) + 0.0000228887*((Sheet3!CO48+273)^(2)) - 0.00521331*((Sheet3!CO48+273)) + 0.447905</f>
        <v>6.6042773247598774E-4</v>
      </c>
      <c r="T48" s="35">
        <f xml:space="preserve"> 0.0000000000330128*((Sheet3!CP48+273)^(4)) - 0.0000000448315*((Sheet3!CP48+273)^(3)) + 0.0000228887*((Sheet3!CP48+273)^(2)) - 0.00521331*((Sheet3!CP48+273)) + 0.447905</f>
        <v>6.8078707396224125E-4</v>
      </c>
      <c r="U48" s="289">
        <f>(Sheet3!DC48*0.014*0.001*C48) / (L48*0.00015*3600*3)</f>
        <v>5247.1173494780205</v>
      </c>
      <c r="V48" s="35">
        <f>(Sheet3!$DC48*0.014*0.001*D48) / (M48*0.00015*3600*3)</f>
        <v>6485.0234664611962</v>
      </c>
      <c r="W48" s="35">
        <f>(Sheet3!$DC48*0.014*0.001*E48) / (N48*0.00015*3600*3)</f>
        <v>6343.5195207859042</v>
      </c>
      <c r="X48" s="35">
        <f>(Sheet3!$DC48*0.014*0.001*F48) / (O48*0.00015*3600*3)</f>
        <v>6199.8734533829229</v>
      </c>
      <c r="Y48" s="35">
        <f>(Sheet3!$DC48*0.014*0.001*G48) / (P48*0.00015*3600*3)</f>
        <v>6053.4426510883204</v>
      </c>
      <c r="Z48" s="35">
        <f>(Sheet3!$DC48*0.014*0.001*H48) / (Q48*0.00015*3600*3)</f>
        <v>5903.60329586836</v>
      </c>
      <c r="AA48" s="35">
        <f>(Sheet3!$DC48*0.014*0.001*I48) / (R48*0.00015*3600*3)</f>
        <v>5749.7530205694547</v>
      </c>
      <c r="AB48" s="35">
        <f>(Sheet3!$DC48*0.014*0.001*J48) / (S48*0.00015*3600*3)</f>
        <v>5591.3158246313678</v>
      </c>
      <c r="AC48" s="35">
        <f>(Sheet3!$DC48*0.014*0.001*K48) / (T48*0.00015*3600*3)</f>
        <v>5427.7497747322113</v>
      </c>
      <c r="AD48" s="289">
        <f t="shared" si="63"/>
        <v>0.61806816913655283</v>
      </c>
      <c r="AE48" s="35">
        <f>_xlfn.FORECAST.LINEAR(Sheet3!CI48,$DA$3:$DA$12,$CZ$3:$CZ$12)/1000</f>
        <v>0.63098375839245968</v>
      </c>
      <c r="AF48" s="35">
        <f>_xlfn.FORECAST.LINEAR(Sheet3!CJ48,$DA$3:$DA$12,$CZ$3:$CZ$12)/1000</f>
        <v>0.62954103763964131</v>
      </c>
      <c r="AG48" s="35">
        <f>_xlfn.FORECAST.LINEAR(Sheet3!CK48,$DA$3:$DA$12,$CZ$3:$CZ$12)/1000</f>
        <v>0.62806571952808499</v>
      </c>
      <c r="AH48" s="35">
        <f>_xlfn.FORECAST.LINEAR(Sheet3!CL48,$DA$3:$DA$12,$CZ$3:$CZ$12)/1000</f>
        <v>0.62655174768121125</v>
      </c>
      <c r="AI48" s="35">
        <f>_xlfn.FORECAST.LINEAR(Sheet3!CM48,$DA$3:$DA$12,$CZ$3:$CZ$12)/1000</f>
        <v>0.62499306572244162</v>
      </c>
      <c r="AJ48" s="35">
        <f>_xlfn.FORECAST.LINEAR(Sheet3!CN48,$DA$3:$DA$12,$CZ$3:$CZ$12)/1000</f>
        <v>0.62338361727519676</v>
      </c>
      <c r="AK48" s="35">
        <f>_xlfn.FORECAST.LINEAR(Sheet3!CO48,$DA$3:$DA$12,$CZ$3:$CZ$12)/1000</f>
        <v>0.62171734596289785</v>
      </c>
      <c r="AL48" s="35">
        <f>_xlfn.FORECAST.LINEAR(Sheet3!CP48,$DA$3:$DA$12,$CZ$3:$CZ$12)/1000</f>
        <v>0.61998819540896588</v>
      </c>
      <c r="AM48" s="289">
        <f t="shared" si="64"/>
        <v>4191.8288788513773</v>
      </c>
      <c r="AN48" s="35">
        <f>_xlfn.FORECAST.LINEAR(Sheet3!CI48,$DP$3:$DP$14,$DJ$3:$DJ$14)*1000</f>
        <v>4192.965468526113</v>
      </c>
      <c r="AO48" s="35">
        <f>_xlfn.FORECAST.LINEAR(Sheet3!CJ48,$DP$3:$DP$14,$DJ$3:$DJ$14)*1000</f>
        <v>4192.838507109278</v>
      </c>
      <c r="AP48" s="35">
        <f>_xlfn.FORECAST.LINEAR(Sheet3!CK48,$DP$3:$DP$14,$DJ$3:$DJ$14)*1000</f>
        <v>4192.7086770798996</v>
      </c>
      <c r="AQ48" s="35">
        <f>_xlfn.FORECAST.LINEAR(Sheet3!CL48,$DP$3:$DP$14,$DJ$3:$DJ$14)*1000</f>
        <v>4192.5754454684793</v>
      </c>
      <c r="AR48" s="35">
        <f>_xlfn.FORECAST.LINEAR(Sheet3!CM48,$DP$3:$DP$14,$DJ$3:$DJ$14)*1000</f>
        <v>4192.4382793055247</v>
      </c>
      <c r="AS48" s="35">
        <f>_xlfn.FORECAST.LINEAR(Sheet3!CN48,$DP$3:$DP$14,$DJ$3:$DJ$14)*1000</f>
        <v>4192.296645621539</v>
      </c>
      <c r="AT48" s="35">
        <f>_xlfn.FORECAST.LINEAR(Sheet3!CO48,$DP$3:$DP$14,$DJ$3:$DJ$14)*1000</f>
        <v>4192.1500114470282</v>
      </c>
      <c r="AU48" s="35">
        <f>_xlfn.FORECAST.LINEAR(Sheet3!CP48,$DP$3:$DP$14,$DJ$3:$DJ$14)*1000</f>
        <v>4191.9978438124963</v>
      </c>
      <c r="AV48" s="289">
        <f t="shared" si="18"/>
        <v>1.488588662532684E-7</v>
      </c>
      <c r="AW48" s="35">
        <f t="shared" si="19"/>
        <v>1.5269379527591924E-7</v>
      </c>
      <c r="AX48" s="35">
        <f t="shared" si="20"/>
        <v>1.522635858304843E-7</v>
      </c>
      <c r="AY48" s="35">
        <f t="shared" si="21"/>
        <v>1.5182413473247344E-7</v>
      </c>
      <c r="AZ48" s="35">
        <f t="shared" si="22"/>
        <v>1.5137367221695533E-7</v>
      </c>
      <c r="BA48" s="35">
        <f t="shared" si="23"/>
        <v>1.5091043742658368E-7</v>
      </c>
      <c r="BB48" s="35">
        <f t="shared" si="24"/>
        <v>1.5043267892551E-7</v>
      </c>
      <c r="BC48" s="35">
        <f t="shared" si="25"/>
        <v>1.4993865528798985E-7</v>
      </c>
      <c r="BD48" s="35">
        <f t="shared" si="26"/>
        <v>1.4942663576033077E-7</v>
      </c>
      <c r="BE48" s="289">
        <f t="shared" si="62"/>
        <v>4.7797070995966768</v>
      </c>
      <c r="BF48" s="35">
        <f t="shared" si="27"/>
        <v>3.7701951132723948</v>
      </c>
      <c r="BG48" s="35">
        <f t="shared" si="28"/>
        <v>3.8651863221717973</v>
      </c>
      <c r="BH48" s="35">
        <f t="shared" si="29"/>
        <v>3.9661864649333758</v>
      </c>
      <c r="BI48" s="35">
        <f t="shared" si="30"/>
        <v>4.0742154266543089</v>
      </c>
      <c r="BJ48" s="35">
        <f t="shared" si="31"/>
        <v>4.1904467232985896</v>
      </c>
      <c r="BK48" s="35">
        <f t="shared" si="32"/>
        <v>4.3162380437754377</v>
      </c>
      <c r="BL48" s="35">
        <f t="shared" si="33"/>
        <v>4.4531685407155566</v>
      </c>
      <c r="BM48" s="35">
        <f t="shared" si="34"/>
        <v>4.6030843285050445</v>
      </c>
      <c r="BN48" s="289">
        <f t="shared" si="35"/>
        <v>1.7088390258666016E-3</v>
      </c>
      <c r="BO48" s="35">
        <f t="shared" si="36"/>
        <v>1.7528624457694804E-3</v>
      </c>
      <c r="BP48" s="35">
        <f t="shared" si="37"/>
        <v>1.7479238169315794E-3</v>
      </c>
      <c r="BQ48" s="35">
        <f t="shared" si="38"/>
        <v>1.7428790976942098E-3</v>
      </c>
      <c r="BR48" s="35">
        <f t="shared" si="39"/>
        <v>1.7377079718783131E-3</v>
      </c>
      <c r="BS48" s="35">
        <f t="shared" si="40"/>
        <v>1.7323902255602713E-3</v>
      </c>
      <c r="BT48" s="35">
        <f t="shared" si="41"/>
        <v>1.7269057529714158E-3</v>
      </c>
      <c r="BU48" s="35">
        <f t="shared" si="42"/>
        <v>1.7212345632549851E-3</v>
      </c>
      <c r="BV48" s="35">
        <f t="shared" si="43"/>
        <v>1.7153567880650216E-3</v>
      </c>
      <c r="BW48" s="289">
        <f t="shared" si="44"/>
        <v>4.2415736031702608E-2</v>
      </c>
      <c r="BX48" s="35">
        <f t="shared" si="45"/>
        <v>4.0228080814947449E-2</v>
      </c>
      <c r="BY48" s="35">
        <f t="shared" si="46"/>
        <v>4.045056869507916E-2</v>
      </c>
      <c r="BZ48" s="35">
        <f t="shared" si="47"/>
        <v>4.0682861822008351E-2</v>
      </c>
      <c r="CA48" s="35">
        <f t="shared" si="48"/>
        <v>4.0926687350824623E-2</v>
      </c>
      <c r="CB48" s="35">
        <f t="shared" si="49"/>
        <v>4.1183941684404202E-2</v>
      </c>
      <c r="CC48" s="35">
        <f t="shared" si="50"/>
        <v>4.1456716761035406E-2</v>
      </c>
      <c r="CD48" s="35">
        <f t="shared" si="51"/>
        <v>4.1747329136207906E-2</v>
      </c>
      <c r="CE48" s="35">
        <f t="shared" si="52"/>
        <v>4.2058351609652413E-2</v>
      </c>
      <c r="CF48" s="289">
        <f t="shared" si="65"/>
        <v>39.874562999562528</v>
      </c>
      <c r="CG48" s="35">
        <f t="shared" si="66"/>
        <v>45.589178663563608</v>
      </c>
      <c r="CH48" s="35">
        <f t="shared" si="67"/>
        <v>44.992327774936534</v>
      </c>
      <c r="CI48" s="35">
        <f t="shared" si="68"/>
        <v>44.372852392885832</v>
      </c>
      <c r="CJ48" s="35">
        <f t="shared" si="69"/>
        <v>43.726709114202826</v>
      </c>
      <c r="CK48" s="35">
        <f t="shared" si="70"/>
        <v>43.049571497024118</v>
      </c>
      <c r="CL48" s="35">
        <f t="shared" si="71"/>
        <v>42.33679938711299</v>
      </c>
      <c r="CM48" s="35">
        <f t="shared" si="72"/>
        <v>41.583411084711088</v>
      </c>
      <c r="CN48" s="35">
        <f t="shared" si="73"/>
        <v>40.784061239247791</v>
      </c>
      <c r="CO48" s="289">
        <f t="shared" si="53"/>
        <v>1760.3712963042674</v>
      </c>
      <c r="CP48" s="35">
        <f t="shared" si="54"/>
        <v>2054.7165210829071</v>
      </c>
      <c r="CQ48" s="35">
        <f t="shared" si="55"/>
        <v>2023.1797652325999</v>
      </c>
      <c r="CR48" s="35">
        <f t="shared" si="56"/>
        <v>1990.6476761179533</v>
      </c>
      <c r="CS48" s="35">
        <f t="shared" si="57"/>
        <v>1956.9318582751234</v>
      </c>
      <c r="CT48" s="35">
        <f t="shared" si="58"/>
        <v>1921.8345477116104</v>
      </c>
      <c r="CU48" s="35">
        <f t="shared" si="59"/>
        <v>1885.1476532709164</v>
      </c>
      <c r="CV48" s="35">
        <f t="shared" si="60"/>
        <v>1846.6519982621944</v>
      </c>
      <c r="CW48" s="35">
        <f t="shared" si="61"/>
        <v>1806.1168949407136</v>
      </c>
    </row>
    <row r="49" spans="1:102" x14ac:dyDescent="0.3">
      <c r="A49" s="184" t="str">
        <f>'Su K. oro stendu'!B94</f>
        <v>2023.01.11-1</v>
      </c>
      <c r="B49" s="289">
        <f>Sheet3!DD49</f>
        <v>13.8</v>
      </c>
      <c r="C49" s="289">
        <f>_xlfn.FORECAST.LINEAR(Sheet3!DD49,$DW$3:$DW$24,$DU$3:$DU$24)</f>
        <v>999.61839778105036</v>
      </c>
      <c r="D49" s="35">
        <f>_xlfn.FORECAST.LINEAR(Sheet3!CI49,'Cooling water'!$DW$3:$DW$24,'Cooling water'!$DU$3:$DU$24)</f>
        <v>992.31510608777</v>
      </c>
      <c r="E49" s="35">
        <f>_xlfn.FORECAST.LINEAR(Sheet3!CJ49,'Cooling water'!$DW$3:$DW$24,'Cooling water'!$DU$3:$DU$24)</f>
        <v>993.12637587758854</v>
      </c>
      <c r="F49" s="35">
        <f>_xlfn.FORECAST.LINEAR(Sheet3!CK49,'Cooling water'!$DW$3:$DW$24,'Cooling water'!$DU$3:$DU$24)</f>
        <v>993.9479131101059</v>
      </c>
      <c r="G49" s="35">
        <f>_xlfn.FORECAST.LINEAR(Sheet3!CL49,'Cooling water'!$DW$3:$DW$24,'Cooling water'!$DU$3:$DU$24)</f>
        <v>994.78748044818417</v>
      </c>
      <c r="H49" s="35">
        <f>_xlfn.FORECAST.LINEAR(Sheet3!CM49,'Cooling water'!$DW$3:$DW$24,'Cooling water'!$DU$3:$DU$24)</f>
        <v>995.65284055468567</v>
      </c>
      <c r="I49" s="35">
        <f>_xlfn.FORECAST.LINEAR(Sheet3!CN49,'Cooling water'!$DW$3:$DW$24,'Cooling water'!$DU$3:$DU$24)</f>
        <v>996.5517560924726</v>
      </c>
      <c r="J49" s="35">
        <f>_xlfn.FORECAST.LINEAR(Sheet3!CO49,'Cooling water'!$DW$3:$DW$24,'Cooling water'!$DU$3:$DU$24)</f>
        <v>997.49198972440706</v>
      </c>
      <c r="K49" s="35">
        <f>_xlfn.FORECAST.LINEAR(Sheet3!CP49,'Cooling water'!$DW$3:$DW$24,'Cooling water'!$DU$3:$DU$24)</f>
        <v>998.48130411335126</v>
      </c>
      <c r="L49" s="289">
        <f t="shared" si="17"/>
        <v>1.1787772606270952E-3</v>
      </c>
      <c r="M49" s="35">
        <f xml:space="preserve"> 0.0000000000330128*((Sheet3!CI49+273)^(4)) - 0.0000000448315*((Sheet3!CI49+273)^(3)) + 0.0000228887*((Sheet3!CI49+273)^(2)) - 0.00521331*((Sheet3!CI49+273)) + 0.447905</f>
        <v>7.7024631479205574E-4</v>
      </c>
      <c r="N49" s="35">
        <f xml:space="preserve"> 0.0000000000330128*((Sheet3!CJ49+273)^(4)) - 0.0000000448315*((Sheet3!CJ49+273)^(3)) + 0.0000228887*((Sheet3!CJ49+273)^(2)) - 0.00521331*((Sheet3!CJ49+273)) + 0.447905</f>
        <v>8.0325347580600948E-4</v>
      </c>
      <c r="O49" s="35">
        <f xml:space="preserve"> 0.0000000000330128*((Sheet3!CK49+273)^(4)) - 0.0000000448315*((Sheet3!CK49+273)^(3)) + 0.0000228887*((Sheet3!CK49+273)^(2)) - 0.00521331*((Sheet3!CK49+273)) + 0.447905</f>
        <v>8.3925344092627974E-4</v>
      </c>
      <c r="P49" s="35">
        <f xml:space="preserve"> 0.0000000000330128*((Sheet3!CL49+273)^(4)) - 0.0000000448315*((Sheet3!CL49+273)^(3)) + 0.0000228887*((Sheet3!CL49+273)^(2)) - 0.00521331*((Sheet3!CL49+273)) + 0.447905</f>
        <v>8.7896339082704777E-4</v>
      </c>
      <c r="Q49" s="35">
        <f xml:space="preserve"> 0.0000000000330128*((Sheet3!CM49+273)^(4)) - 0.0000000448315*((Sheet3!CM49+273)^(3)) + 0.0000228887*((Sheet3!CM49+273)^(2)) - 0.00521331*((Sheet3!CM49+273)) + 0.447905</f>
        <v>9.2325854969166343E-4</v>
      </c>
      <c r="R49" s="35">
        <f xml:space="preserve"> 0.0000000000330128*((Sheet3!CN49+273)^(4)) - 0.0000000448315*((Sheet3!CN49+273)^(3)) + 0.0000228887*((Sheet3!CN49+273)^(2)) - 0.00521331*((Sheet3!CN49+273)) + 0.447905</f>
        <v>9.7321056666466177E-4</v>
      </c>
      <c r="S49" s="35">
        <f xml:space="preserve"> 0.0000000000330128*((Sheet3!CO49+273)^(4)) - 0.0000000448315*((Sheet3!CO49+273)^(3)) + 0.0000228887*((Sheet3!CO49+273)^(2)) - 0.00521331*((Sheet3!CO49+273)) + 0.447905</f>
        <v>1.0301367176759335E-3</v>
      </c>
      <c r="T49" s="35">
        <f xml:space="preserve"> 0.0000000000330128*((Sheet3!CP49+273)^(4)) - 0.0000000448315*((Sheet3!CP49+273)^(3)) + 0.0000228887*((Sheet3!CP49+273)^(2)) - 0.00521331*((Sheet3!CP49+273)) + 0.447905</f>
        <v>1.0956630494778352E-3</v>
      </c>
      <c r="U49" s="289">
        <f>(Sheet3!DC49*0.014*0.001*C49) / (L49*0.00015*3600*3)</f>
        <v>3209.8861052905618</v>
      </c>
      <c r="V49" s="35">
        <f>(Sheet3!$DC49*0.014*0.001*D49) / (M49*0.00015*3600*3)</f>
        <v>4876.4873865224927</v>
      </c>
      <c r="W49" s="35">
        <f>(Sheet3!$DC49*0.014*0.001*E49) / (N49*0.00015*3600*3)</f>
        <v>4679.9265215957357</v>
      </c>
      <c r="X49" s="35">
        <f>(Sheet3!$DC49*0.014*0.001*F49) / (O49*0.00015*3600*3)</f>
        <v>4482.8853026776987</v>
      </c>
      <c r="Y49" s="35">
        <f>(Sheet3!$DC49*0.014*0.001*G49) / (P49*0.00015*3600*3)</f>
        <v>4283.9723163636145</v>
      </c>
      <c r="Z49" s="35">
        <f>(Sheet3!$DC49*0.014*0.001*H49) / (Q49*0.00015*3600*3)</f>
        <v>4081.9880659797523</v>
      </c>
      <c r="AA49" s="35">
        <f>(Sheet3!$DC49*0.014*0.001*I49) / (R49*0.00015*3600*3)</f>
        <v>3875.9679278444041</v>
      </c>
      <c r="AB49" s="35">
        <f>(Sheet3!$DC49*0.014*0.001*J49) / (S49*0.00015*3600*3)</f>
        <v>3665.2337860201374</v>
      </c>
      <c r="AC49" s="35">
        <f>(Sheet3!$DC49*0.014*0.001*K49) / (T49*0.00015*3600*3)</f>
        <v>3449.4515825968797</v>
      </c>
      <c r="AD49" s="289">
        <f t="shared" si="63"/>
        <v>0.59437215008648503</v>
      </c>
      <c r="AE49" s="35">
        <f>_xlfn.FORECAST.LINEAR(Sheet3!CI49,$DA$3:$DA$12,$CZ$3:$CZ$12)/1000</f>
        <v>0.61336856697985531</v>
      </c>
      <c r="AF49" s="35">
        <f>_xlfn.FORECAST.LINEAR(Sheet3!CJ49,$DA$3:$DA$12,$CZ$3:$CZ$12)/1000</f>
        <v>0.61125839258348424</v>
      </c>
      <c r="AG49" s="35">
        <f>_xlfn.FORECAST.LINEAR(Sheet3!CK49,$DA$3:$DA$12,$CZ$3:$CZ$12)/1000</f>
        <v>0.60912151178811846</v>
      </c>
      <c r="AH49" s="35">
        <f>_xlfn.FORECAST.LINEAR(Sheet3!CL49,$DA$3:$DA$12,$CZ$3:$CZ$12)/1000</f>
        <v>0.60693773331753276</v>
      </c>
      <c r="AI49" s="35">
        <f>_xlfn.FORECAST.LINEAR(Sheet3!CM49,$DA$3:$DA$12,$CZ$3:$CZ$12)/1000</f>
        <v>0.6046868658955018</v>
      </c>
      <c r="AJ49" s="35">
        <f>_xlfn.FORECAST.LINEAR(Sheet3!CN49,$DA$3:$DA$12,$CZ$3:$CZ$12)/1000</f>
        <v>0.60234871824580039</v>
      </c>
      <c r="AK49" s="35">
        <f>_xlfn.FORECAST.LINEAR(Sheet3!CO49,$DA$3:$DA$12,$CZ$3:$CZ$12)/1000</f>
        <v>0.59990309909220296</v>
      </c>
      <c r="AL49" s="35">
        <f>_xlfn.FORECAST.LINEAR(Sheet3!CP49,$DA$3:$DA$12,$CZ$3:$CZ$12)/1000</f>
        <v>0.59732981715848454</v>
      </c>
      <c r="AM49" s="289">
        <f t="shared" si="64"/>
        <v>4189.7435964805154</v>
      </c>
      <c r="AN49" s="35">
        <f>_xlfn.FORECAST.LINEAR(Sheet3!CI49,$DP$3:$DP$14,$DJ$3:$DJ$14)*1000</f>
        <v>4191.4153073773368</v>
      </c>
      <c r="AO49" s="35">
        <f>_xlfn.FORECAST.LINEAR(Sheet3!CJ49,$DP$3:$DP$14,$DJ$3:$DJ$14)*1000</f>
        <v>4191.2296091189546</v>
      </c>
      <c r="AP49" s="35">
        <f>_xlfn.FORECAST.LINEAR(Sheet3!CK49,$DP$3:$DP$14,$DJ$3:$DJ$14)*1000</f>
        <v>4191.041560660612</v>
      </c>
      <c r="AQ49" s="35">
        <f>_xlfn.FORECAST.LINEAR(Sheet3!CL49,$DP$3:$DP$14,$DJ$3:$DJ$14)*1000</f>
        <v>4190.8493851421445</v>
      </c>
      <c r="AR49" s="35">
        <f>_xlfn.FORECAST.LINEAR(Sheet3!CM49,$DP$3:$DP$14,$DJ$3:$DJ$14)*1000</f>
        <v>4190.6513057033835</v>
      </c>
      <c r="AS49" s="35">
        <f>_xlfn.FORECAST.LINEAR(Sheet3!CN49,$DP$3:$DP$14,$DJ$3:$DJ$14)*1000</f>
        <v>4190.4455454841627</v>
      </c>
      <c r="AT49" s="35">
        <f>_xlfn.FORECAST.LINEAR(Sheet3!CO49,$DP$3:$DP$14,$DJ$3:$DJ$14)*1000</f>
        <v>4190.2303276243165</v>
      </c>
      <c r="AU49" s="35">
        <f>_xlfn.FORECAST.LINEAR(Sheet3!CP49,$DP$3:$DP$14,$DJ$3:$DJ$14)*1000</f>
        <v>4190.0038752636765</v>
      </c>
      <c r="AV49" s="289">
        <f t="shared" si="18"/>
        <v>1.4191776577998275E-7</v>
      </c>
      <c r="AW49" s="35">
        <f t="shared" si="19"/>
        <v>1.4747255965409459E-7</v>
      </c>
      <c r="AX49" s="35">
        <f t="shared" si="20"/>
        <v>1.4685166174327592E-7</v>
      </c>
      <c r="AY49" s="35">
        <f t="shared" si="21"/>
        <v>1.46223893472938E-7</v>
      </c>
      <c r="AZ49" s="35">
        <f t="shared" si="22"/>
        <v>1.4558337205044665E-7</v>
      </c>
      <c r="BA49" s="35">
        <f t="shared" si="23"/>
        <v>1.4492425376242124E-7</v>
      </c>
      <c r="BB49" s="35">
        <f t="shared" si="24"/>
        <v>1.4424073619956384E-7</v>
      </c>
      <c r="BC49" s="35">
        <f t="shared" si="25"/>
        <v>1.4352706131969119E-7</v>
      </c>
      <c r="BD49" s="35">
        <f t="shared" si="26"/>
        <v>1.4277751933017788E-7</v>
      </c>
      <c r="BE49" s="289">
        <f t="shared" si="62"/>
        <v>8.3092292912287231</v>
      </c>
      <c r="BF49" s="35">
        <f t="shared" si="27"/>
        <v>5.263429474657829</v>
      </c>
      <c r="BG49" s="35">
        <f t="shared" si="28"/>
        <v>5.5076867528915896</v>
      </c>
      <c r="BH49" s="35">
        <f t="shared" si="29"/>
        <v>5.7744571202616877</v>
      </c>
      <c r="BI49" s="35">
        <f t="shared" si="30"/>
        <v>6.0691616022542298</v>
      </c>
      <c r="BJ49" s="35">
        <f t="shared" si="31"/>
        <v>6.3984433348611995</v>
      </c>
      <c r="BK49" s="35">
        <f t="shared" si="32"/>
        <v>6.7704732497394717</v>
      </c>
      <c r="BL49" s="35">
        <f t="shared" si="33"/>
        <v>7.1953455858737492</v>
      </c>
      <c r="BM49" s="35">
        <f t="shared" si="34"/>
        <v>7.6855905923700103</v>
      </c>
      <c r="BN49" s="289">
        <f t="shared" si="35"/>
        <v>1.6068407923090016E-3</v>
      </c>
      <c r="BO49" s="35">
        <f t="shared" si="36"/>
        <v>1.6697340413728905E-3</v>
      </c>
      <c r="BP49" s="35">
        <f t="shared" si="37"/>
        <v>1.6627040258883627E-3</v>
      </c>
      <c r="BQ49" s="35">
        <f t="shared" si="38"/>
        <v>1.6555962218769882E-3</v>
      </c>
      <c r="BR49" s="35">
        <f t="shared" si="39"/>
        <v>1.6483440223771558E-3</v>
      </c>
      <c r="BS49" s="35">
        <f t="shared" si="40"/>
        <v>1.6408812628957391E-3</v>
      </c>
      <c r="BT49" s="35">
        <f t="shared" si="41"/>
        <v>1.6331422465983604E-3</v>
      </c>
      <c r="BU49" s="35">
        <f t="shared" si="42"/>
        <v>1.6250617789900733E-3</v>
      </c>
      <c r="BV49" s="35">
        <f t="shared" si="43"/>
        <v>1.6165752118736934E-3</v>
      </c>
      <c r="BW49" s="289">
        <f t="shared" si="44"/>
        <v>4.7960620827244893E-2</v>
      </c>
      <c r="BX49" s="35">
        <f t="shared" si="45"/>
        <v>4.3199669634735247E-2</v>
      </c>
      <c r="BY49" s="35">
        <f t="shared" si="46"/>
        <v>4.3646300992905868E-2</v>
      </c>
      <c r="BZ49" s="35">
        <f t="shared" si="47"/>
        <v>4.4118201009598144E-2</v>
      </c>
      <c r="CA49" s="35">
        <f t="shared" si="48"/>
        <v>4.4621641018434424E-2</v>
      </c>
      <c r="CB49" s="35">
        <f t="shared" si="49"/>
        <v>4.516367455237779E-2</v>
      </c>
      <c r="CC49" s="35">
        <f t="shared" si="50"/>
        <v>4.5752218563007332E-2</v>
      </c>
      <c r="CD49" s="35">
        <f t="shared" si="51"/>
        <v>4.6396132666629668E-2</v>
      </c>
      <c r="CE49" s="35">
        <f t="shared" si="52"/>
        <v>4.710529072713316E-2</v>
      </c>
      <c r="CF49" s="289">
        <f t="shared" si="65"/>
        <v>27.176487376534091</v>
      </c>
      <c r="CG49" s="35">
        <f t="shared" si="66"/>
        <v>38.115955619874462</v>
      </c>
      <c r="CH49" s="35">
        <f t="shared" si="67"/>
        <v>37.013114400081058</v>
      </c>
      <c r="CI49" s="35">
        <f t="shared" si="68"/>
        <v>35.865278418095969</v>
      </c>
      <c r="CJ49" s="35">
        <f t="shared" si="69"/>
        <v>34.6604924657059</v>
      </c>
      <c r="CK49" s="35">
        <f t="shared" si="70"/>
        <v>33.386124509316566</v>
      </c>
      <c r="CL49" s="35">
        <f t="shared" si="71"/>
        <v>32.028977219541609</v>
      </c>
      <c r="CM49" s="35">
        <f t="shared" si="72"/>
        <v>30.575463461464807</v>
      </c>
      <c r="CN49" s="35">
        <f t="shared" si="73"/>
        <v>29.011856964400422</v>
      </c>
      <c r="CO49" s="289">
        <f t="shared" si="53"/>
        <v>1153.7819452706276</v>
      </c>
      <c r="CP49" s="35">
        <f t="shared" si="54"/>
        <v>1669.9377912592972</v>
      </c>
      <c r="CQ49" s="35">
        <f t="shared" si="55"/>
        <v>1616.0412009072973</v>
      </c>
      <c r="CR49" s="35">
        <f t="shared" si="56"/>
        <v>1560.4509007665995</v>
      </c>
      <c r="CS49" s="35">
        <f t="shared" si="57"/>
        <v>1502.6257666289257</v>
      </c>
      <c r="CT49" s="35">
        <f t="shared" si="58"/>
        <v>1442.0107852811166</v>
      </c>
      <c r="CU49" s="35">
        <f t="shared" si="59"/>
        <v>1378.0438124939164</v>
      </c>
      <c r="CV49" s="35">
        <f t="shared" si="60"/>
        <v>1310.1653776223679</v>
      </c>
      <c r="CW49" s="35">
        <f t="shared" si="61"/>
        <v>1237.8319439981005</v>
      </c>
    </row>
    <row r="50" spans="1:102" x14ac:dyDescent="0.3">
      <c r="A50" s="184" t="str">
        <f>'Su K. oro stendu'!B95</f>
        <v>2023.01.11-2</v>
      </c>
      <c r="B50" s="289">
        <f>Sheet3!DD50</f>
        <v>39.5</v>
      </c>
      <c r="C50" s="289">
        <f>_xlfn.FORECAST.LINEAR(Sheet3!DD50,$DW$3:$DW$24,$DU$3:$DU$24)</f>
        <v>988.95677942149791</v>
      </c>
      <c r="D50" s="35">
        <f>_xlfn.FORECAST.LINEAR(Sheet3!CI50,'Cooling water'!$DW$3:$DW$24,'Cooling water'!$DU$3:$DU$24)</f>
        <v>984.15138632627236</v>
      </c>
      <c r="E50" s="35">
        <f>_xlfn.FORECAST.LINEAR(Sheet3!CJ50,'Cooling water'!$DW$3:$DW$24,'Cooling water'!$DU$3:$DU$24)</f>
        <v>984.71873790618292</v>
      </c>
      <c r="F50" s="35">
        <f>_xlfn.FORECAST.LINEAR(Sheet3!CK50,'Cooling water'!$DW$3:$DW$24,'Cooling water'!$DU$3:$DU$24)</f>
        <v>985.26801478406867</v>
      </c>
      <c r="G50" s="35">
        <f>_xlfn.FORECAST.LINEAR(Sheet3!CL50,'Cooling water'!$DW$3:$DW$24,'Cooling water'!$DU$3:$DU$24)</f>
        <v>985.81223812393068</v>
      </c>
      <c r="H50" s="35">
        <f>_xlfn.FORECAST.LINEAR(Sheet3!CM50,'Cooling water'!$DW$3:$DW$24,'Cooling water'!$DU$3:$DU$24)</f>
        <v>986.36442908977028</v>
      </c>
      <c r="I50" s="35">
        <f>_xlfn.FORECAST.LINEAR(Sheet3!CN50,'Cooling water'!$DW$3:$DW$24,'Cooling water'!$DU$3:$DU$24)</f>
        <v>986.93760884558822</v>
      </c>
      <c r="J50" s="35">
        <f>_xlfn.FORECAST.LINEAR(Sheet3!CO50,'Cooling water'!$DW$3:$DW$24,'Cooling water'!$DU$3:$DU$24)</f>
        <v>987.54479855538591</v>
      </c>
      <c r="K50" s="35">
        <f>_xlfn.FORECAST.LINEAR(Sheet3!CP50,'Cooling water'!$DW$3:$DW$24,'Cooling water'!$DU$3:$DU$24)</f>
        <v>988.19901938316434</v>
      </c>
      <c r="L50" s="289">
        <f t="shared" si="17"/>
        <v>6.5602539062492582E-4</v>
      </c>
      <c r="M50" s="35">
        <f xml:space="preserve"> 0.0000000000330128*((Sheet3!CI50+273)^(4)) - 0.0000000448315*((Sheet3!CI50+273)^(3)) + 0.0000228887*((Sheet3!CI50+273)^(2)) - 0.00521331*((Sheet3!CI50+273)) + 0.447905</f>
        <v>5.3673392694220112E-4</v>
      </c>
      <c r="N50" s="35">
        <f xml:space="preserve"> 0.0000000000330128*((Sheet3!CJ50+273)^(4)) - 0.0000000448315*((Sheet3!CJ50+273)^(3)) + 0.0000228887*((Sheet3!CJ50+273)^(2)) - 0.00521331*((Sheet3!CJ50+273)) + 0.447905</f>
        <v>5.4890879317448515E-4</v>
      </c>
      <c r="O50" s="35">
        <f xml:space="preserve"> 0.0000000000330128*((Sheet3!CK50+273)^(4)) - 0.0000000448315*((Sheet3!CK50+273)^(3)) + 0.0000228887*((Sheet3!CK50+273)^(2)) - 0.00521331*((Sheet3!CK50+273)) + 0.447905</f>
        <v>5.611019560822772E-4</v>
      </c>
      <c r="P50" s="35">
        <f xml:space="preserve"> 0.0000000000330128*((Sheet3!CL50+273)^(4)) - 0.0000000448315*((Sheet3!CL50+273)^(3)) + 0.0000228887*((Sheet3!CL50+273)^(2)) - 0.00521331*((Sheet3!CL50+273)) + 0.447905</f>
        <v>5.7360889881796773E-4</v>
      </c>
      <c r="Q50" s="35">
        <f xml:space="preserve"> 0.0000000000330128*((Sheet3!CM50+273)^(4)) - 0.0000000448315*((Sheet3!CM50+273)^(3)) + 0.0000228887*((Sheet3!CM50+273)^(2)) - 0.00521331*((Sheet3!CM50+273)) + 0.447905</f>
        <v>5.8676688074243977E-4</v>
      </c>
      <c r="R50" s="35">
        <f xml:space="preserve"> 0.0000000000330128*((Sheet3!CN50+273)^(4)) - 0.0000000448315*((Sheet3!CN50+273)^(3)) + 0.0000228887*((Sheet3!CN50+273)^(2)) - 0.00521331*((Sheet3!CN50+273)) + 0.447905</f>
        <v>6.00963590076109E-4</v>
      </c>
      <c r="S50" s="35">
        <f xml:space="preserve"> 0.0000000000330128*((Sheet3!CO50+273)^(4)) - 0.0000000448315*((Sheet3!CO50+273)^(3)) + 0.0000228887*((Sheet3!CO50+273)^(2)) - 0.00521331*((Sheet3!CO50+273)) + 0.447905</f>
        <v>6.1665042677283566E-4</v>
      </c>
      <c r="T50" s="35">
        <f xml:space="preserve"> 0.0000000000330128*((Sheet3!CP50+273)^(4)) - 0.0000000448315*((Sheet3!CP50+273)^(3)) + 0.0000228887*((Sheet3!CP50+273)^(2)) - 0.00521331*((Sheet3!CP50+273)) + 0.447905</f>
        <v>6.3436233335045777E-4</v>
      </c>
      <c r="U50" s="289">
        <f>(Sheet3!DC50*0.014*0.001*C50) / (L50*0.00015*3600*3)</f>
        <v>5706.1580294762398</v>
      </c>
      <c r="V50" s="35">
        <f>(Sheet3!$DC50*0.014*0.001*D50) / (M50*0.00015*3600*3)</f>
        <v>6940.4877547508213</v>
      </c>
      <c r="W50" s="35">
        <f>(Sheet3!$DC50*0.014*0.001*E50) / (N50*0.00015*3600*3)</f>
        <v>6790.4592250026199</v>
      </c>
      <c r="X50" s="35">
        <f>(Sheet3!$DC50*0.014*0.001*F50) / (O50*0.00015*3600*3)</f>
        <v>6646.6029080294484</v>
      </c>
      <c r="Y50" s="35">
        <f>(Sheet3!$DC50*0.014*0.001*G50) / (P50*0.00015*3600*3)</f>
        <v>6505.2719489017591</v>
      </c>
      <c r="Z50" s="35">
        <f>(Sheet3!$DC50*0.014*0.001*H50) / (Q50*0.00015*3600*3)</f>
        <v>6362.956306361617</v>
      </c>
      <c r="AA50" s="35">
        <f>(Sheet3!$DC50*0.014*0.001*I50) / (R50*0.00015*3600*3)</f>
        <v>6216.2528269496315</v>
      </c>
      <c r="AB50" s="35">
        <f>(Sheet3!$DC50*0.014*0.001*J50) / (S50*0.00015*3600*3)</f>
        <v>6061.8460296234753</v>
      </c>
      <c r="AC50" s="35">
        <f>(Sheet3!$DC50*0.014*0.001*K50) / (T50*0.00015*3600*3)</f>
        <v>5896.4980919149375</v>
      </c>
      <c r="AD50" s="289">
        <f t="shared" si="63"/>
        <v>0.62210382994016189</v>
      </c>
      <c r="AE50" s="35">
        <f>_xlfn.FORECAST.LINEAR(Sheet3!CI50,$DA$3:$DA$12,$CZ$3:$CZ$12)/1000</f>
        <v>0.63460302268874391</v>
      </c>
      <c r="AF50" s="35">
        <f>_xlfn.FORECAST.LINEAR(Sheet3!CJ50,$DA$3:$DA$12,$CZ$3:$CZ$12)/1000</f>
        <v>0.63312729809910306</v>
      </c>
      <c r="AG50" s="35">
        <f>_xlfn.FORECAST.LINEAR(Sheet3!CK50,$DA$3:$DA$12,$CZ$3:$CZ$12)/1000</f>
        <v>0.63169858718347482</v>
      </c>
      <c r="AH50" s="35">
        <f>_xlfn.FORECAST.LINEAR(Sheet3!CL50,$DA$3:$DA$12,$CZ$3:$CZ$12)/1000</f>
        <v>0.63028302090441812</v>
      </c>
      <c r="AI50" s="35">
        <f>_xlfn.FORECAST.LINEAR(Sheet3!CM50,$DA$3:$DA$12,$CZ$3:$CZ$12)/1000</f>
        <v>0.62884673022449211</v>
      </c>
      <c r="AJ50" s="35">
        <f>_xlfn.FORECAST.LINEAR(Sheet3!CN50,$DA$3:$DA$12,$CZ$3:$CZ$12)/1000</f>
        <v>0.62735584610625572</v>
      </c>
      <c r="AK50" s="35">
        <f>_xlfn.FORECAST.LINEAR(Sheet3!CO50,$DA$3:$DA$12,$CZ$3:$CZ$12)/1000</f>
        <v>0.6257764995122681</v>
      </c>
      <c r="AL50" s="35">
        <f>_xlfn.FORECAST.LINEAR(Sheet3!CP50,$DA$3:$DA$12,$CZ$3:$CZ$12)/1000</f>
        <v>0.62407482140508808</v>
      </c>
      <c r="AM50" s="289">
        <f t="shared" si="64"/>
        <v>4192.1840225702763</v>
      </c>
      <c r="AN50" s="35">
        <f>_xlfn.FORECAST.LINEAR(Sheet3!CI50,$DP$3:$DP$14,$DJ$3:$DJ$14)*1000</f>
        <v>4193.2839687778469</v>
      </c>
      <c r="AO50" s="35">
        <f>_xlfn.FORECAST.LINEAR(Sheet3!CJ50,$DP$3:$DP$14,$DJ$3:$DJ$14)*1000</f>
        <v>4193.1541029778346</v>
      </c>
      <c r="AP50" s="35">
        <f>_xlfn.FORECAST.LINEAR(Sheet3!CK50,$DP$3:$DP$14,$DJ$3:$DJ$14)*1000</f>
        <v>4193.028374446003</v>
      </c>
      <c r="AQ50" s="35">
        <f>_xlfn.FORECAST.LINEAR(Sheet3!CL50,$DP$3:$DP$14,$DJ$3:$DJ$14)*1000</f>
        <v>4192.9038026603257</v>
      </c>
      <c r="AR50" s="35">
        <f>_xlfn.FORECAST.LINEAR(Sheet3!CM50,$DP$3:$DP$14,$DJ$3:$DJ$14)*1000</f>
        <v>4192.777407098778</v>
      </c>
      <c r="AS50" s="35">
        <f>_xlfn.FORECAST.LINEAR(Sheet3!CN50,$DP$3:$DP$14,$DJ$3:$DJ$14)*1000</f>
        <v>4192.6462072393342</v>
      </c>
      <c r="AT50" s="35">
        <f>_xlfn.FORECAST.LINEAR(Sheet3!CO50,$DP$3:$DP$14,$DJ$3:$DJ$14)*1000</f>
        <v>4192.5072225599688</v>
      </c>
      <c r="AU50" s="35">
        <f>_xlfn.FORECAST.LINEAR(Sheet3!CP50,$DP$3:$DP$14,$DJ$3:$DJ$14)*1000</f>
        <v>4192.3574725386552</v>
      </c>
      <c r="AV50" s="289">
        <f t="shared" si="18"/>
        <v>1.5005318726448756E-7</v>
      </c>
      <c r="AW50" s="35">
        <f t="shared" si="19"/>
        <v>1.5377507729822709E-7</v>
      </c>
      <c r="AX50" s="35">
        <f t="shared" si="20"/>
        <v>1.5333384053923445E-7</v>
      </c>
      <c r="AY50" s="35">
        <f t="shared" si="21"/>
        <v>1.5290712404692531E-7</v>
      </c>
      <c r="AZ50" s="35">
        <f t="shared" si="22"/>
        <v>1.524847822979678E-7</v>
      </c>
      <c r="BA50" s="35">
        <f t="shared" si="23"/>
        <v>1.5205671313746494E-7</v>
      </c>
      <c r="BB50" s="35">
        <f t="shared" si="24"/>
        <v>1.5161285788160471E-7</v>
      </c>
      <c r="BC50" s="35">
        <f t="shared" si="25"/>
        <v>1.5114320395819193E-7</v>
      </c>
      <c r="BD50" s="35">
        <f t="shared" si="26"/>
        <v>1.506377900531203E-7</v>
      </c>
      <c r="BE50" s="289">
        <f t="shared" si="62"/>
        <v>4.4207719493428757</v>
      </c>
      <c r="BF50" s="35">
        <f t="shared" si="27"/>
        <v>3.5465916342630002</v>
      </c>
      <c r="BG50" s="35">
        <f t="shared" si="28"/>
        <v>3.6353813287954715</v>
      </c>
      <c r="BH50" s="35">
        <f t="shared" si="29"/>
        <v>3.7244288186555727</v>
      </c>
      <c r="BI50" s="35">
        <f t="shared" si="30"/>
        <v>3.815884060532845</v>
      </c>
      <c r="BJ50" s="35">
        <f t="shared" si="31"/>
        <v>3.912213902952892</v>
      </c>
      <c r="BK50" s="35">
        <f t="shared" si="32"/>
        <v>4.0162656206359495</v>
      </c>
      <c r="BL50" s="35">
        <f t="shared" si="33"/>
        <v>4.1313653837349271</v>
      </c>
      <c r="BM50" s="35">
        <f t="shared" si="34"/>
        <v>4.2614660571165386</v>
      </c>
      <c r="BN50" s="289">
        <f t="shared" si="35"/>
        <v>1.698952777246784E-3</v>
      </c>
      <c r="BO50" s="35">
        <f t="shared" si="36"/>
        <v>1.7410932710590426E-3</v>
      </c>
      <c r="BP50" s="35">
        <f t="shared" si="37"/>
        <v>1.7360974397089724E-3</v>
      </c>
      <c r="BQ50" s="35">
        <f t="shared" si="38"/>
        <v>1.731266011713859E-3</v>
      </c>
      <c r="BR50" s="35">
        <f t="shared" si="39"/>
        <v>1.7264841160379353E-3</v>
      </c>
      <c r="BS50" s="35">
        <f t="shared" si="40"/>
        <v>1.7216373726774753E-3</v>
      </c>
      <c r="BT50" s="35">
        <f t="shared" si="41"/>
        <v>1.7166118938230332E-3</v>
      </c>
      <c r="BU50" s="35">
        <f t="shared" si="42"/>
        <v>1.7112943137564359E-3</v>
      </c>
      <c r="BV50" s="35">
        <f t="shared" si="43"/>
        <v>1.7055718471208755E-3</v>
      </c>
      <c r="BW50" s="289">
        <f t="shared" si="44"/>
        <v>4.1535673136834116E-2</v>
      </c>
      <c r="BX50" s="35">
        <f t="shared" si="45"/>
        <v>3.9551203562200071E-2</v>
      </c>
      <c r="BY50" s="35">
        <f t="shared" si="46"/>
        <v>3.9767877786641835E-2</v>
      </c>
      <c r="BZ50" s="35">
        <f t="shared" si="47"/>
        <v>3.9981332903585444E-2</v>
      </c>
      <c r="CA50" s="35">
        <f t="shared" si="48"/>
        <v>4.0196740461133619E-2</v>
      </c>
      <c r="CB50" s="35">
        <f t="shared" si="49"/>
        <v>4.0419642376035021E-2</v>
      </c>
      <c r="CC50" s="35">
        <f t="shared" si="50"/>
        <v>4.0656036206458405E-2</v>
      </c>
      <c r="CD50" s="35">
        <f t="shared" si="51"/>
        <v>4.0912496072374009E-2</v>
      </c>
      <c r="CE50" s="35">
        <f t="shared" si="52"/>
        <v>4.1196342611496801E-2</v>
      </c>
      <c r="CF50" s="289">
        <f t="shared" si="65"/>
        <v>42.363126168341161</v>
      </c>
      <c r="CG50" s="35">
        <f t="shared" si="66"/>
        <v>47.697919284968549</v>
      </c>
      <c r="CH50" s="35">
        <f t="shared" si="67"/>
        <v>47.101944474604672</v>
      </c>
      <c r="CI50" s="35">
        <f t="shared" si="68"/>
        <v>46.517987578006533</v>
      </c>
      <c r="CJ50" s="35">
        <f t="shared" si="69"/>
        <v>45.931897630230502</v>
      </c>
      <c r="CK50" s="35">
        <f t="shared" si="70"/>
        <v>45.328840157801956</v>
      </c>
      <c r="CL50" s="35">
        <f t="shared" si="71"/>
        <v>44.693123973672826</v>
      </c>
      <c r="CM50" s="35">
        <f t="shared" si="72"/>
        <v>44.007972652748457</v>
      </c>
      <c r="CN50" s="35">
        <f t="shared" si="73"/>
        <v>43.255222523305882</v>
      </c>
      <c r="CO50" s="289">
        <f t="shared" si="53"/>
        <v>1882.4473598259522</v>
      </c>
      <c r="CP50" s="35">
        <f t="shared" si="54"/>
        <v>2162.0888395860552</v>
      </c>
      <c r="CQ50" s="35">
        <f t="shared" si="55"/>
        <v>2130.1090600300308</v>
      </c>
      <c r="CR50" s="35">
        <f t="shared" si="56"/>
        <v>2098.9533594032255</v>
      </c>
      <c r="CS50" s="35">
        <f t="shared" si="57"/>
        <v>2067.863942446726</v>
      </c>
      <c r="CT50" s="35">
        <f t="shared" si="58"/>
        <v>2036.0637798644577</v>
      </c>
      <c r="CU50" s="35">
        <f t="shared" si="59"/>
        <v>2002.7494718310927</v>
      </c>
      <c r="CV50" s="35">
        <f t="shared" si="60"/>
        <v>1967.0825055191824</v>
      </c>
      <c r="CW50" s="35">
        <f t="shared" si="61"/>
        <v>1928.1782336478186</v>
      </c>
    </row>
    <row r="51" spans="1:102" x14ac:dyDescent="0.3">
      <c r="A51" s="184" t="str">
        <f>'Su K. oro stendu'!B96</f>
        <v>2023.01.12-1</v>
      </c>
      <c r="B51" s="289">
        <f>Sheet3!DD51</f>
        <v>8</v>
      </c>
      <c r="C51" s="289">
        <f>_xlfn.FORECAST.LINEAR(Sheet3!DD51,$DW$3:$DW$24,$DU$3:$DU$24)</f>
        <v>1002.0245217688092</v>
      </c>
      <c r="D51" s="35">
        <f>_xlfn.FORECAST.LINEAR(Sheet3!CI51,'Cooling water'!$DW$3:$DW$24,'Cooling water'!$DU$3:$DU$24)</f>
        <v>989.36773467447972</v>
      </c>
      <c r="E51" s="35">
        <f>_xlfn.FORECAST.LINEAR(Sheet3!CJ51,'Cooling water'!$DW$3:$DW$24,'Cooling water'!$DU$3:$DU$24)</f>
        <v>990.73256138570719</v>
      </c>
      <c r="F51" s="35">
        <f>_xlfn.FORECAST.LINEAR(Sheet3!CK51,'Cooling water'!$DW$3:$DW$24,'Cooling water'!$DU$3:$DU$24)</f>
        <v>992.02469648358419</v>
      </c>
      <c r="G51" s="35">
        <f>_xlfn.FORECAST.LINEAR(Sheet3!CL51,'Cooling water'!$DW$3:$DW$24,'Cooling water'!$DU$3:$DU$24)</f>
        <v>993.3036468777002</v>
      </c>
      <c r="H51" s="35">
        <f>_xlfn.FORECAST.LINEAR(Sheet3!CM51,'Cooling water'!$DW$3:$DW$24,'Cooling water'!$DU$3:$DU$24)</f>
        <v>994.62891947764467</v>
      </c>
      <c r="I51" s="35">
        <f>_xlfn.FORECAST.LINEAR(Sheet3!CN51,'Cooling water'!$DW$3:$DW$24,'Cooling water'!$DU$3:$DU$24)</f>
        <v>996.06002119300729</v>
      </c>
      <c r="J51" s="35">
        <f>_xlfn.FORECAST.LINEAR(Sheet3!CO51,'Cooling water'!$DW$3:$DW$24,'Cooling water'!$DU$3:$DU$24)</f>
        <v>997.65645893337728</v>
      </c>
      <c r="K51" s="35">
        <f>_xlfn.FORECAST.LINEAR(Sheet3!CP51,'Cooling water'!$DW$3:$DW$24,'Cooling water'!$DU$3:$DU$24)</f>
        <v>999.47773960834434</v>
      </c>
      <c r="L51" s="289">
        <f t="shared" si="17"/>
        <v>1.385880747369006E-3</v>
      </c>
      <c r="M51" s="35">
        <f xml:space="preserve"> 0.0000000000330128*((Sheet3!CI51+273)^(4)) - 0.0000000448315*((Sheet3!CI51+273)^(3)) + 0.0000228887*((Sheet3!CI51+273)^(2)) - 0.00521331*((Sheet3!CI51+273)) + 0.447905</f>
        <v>6.6833123418863494E-4</v>
      </c>
      <c r="N51" s="35">
        <f xml:space="preserve"> 0.0000000000330128*((Sheet3!CJ51+273)^(4)) - 0.0000000448315*((Sheet3!CJ51+273)^(3)) + 0.0000228887*((Sheet3!CJ51+273)^(2)) - 0.00521331*((Sheet3!CJ51+273)) + 0.447905</f>
        <v>7.123291406465615E-4</v>
      </c>
      <c r="O51" s="35">
        <f xml:space="preserve"> 0.0000000000330128*((Sheet3!CK51+273)^(4)) - 0.0000000448315*((Sheet3!CK51+273)^(3)) + 0.0000228887*((Sheet3!CK51+273)^(2)) - 0.00521331*((Sheet3!CK51+273)) + 0.447905</f>
        <v>7.590035239493087E-4</v>
      </c>
      <c r="P51" s="35">
        <f xml:space="preserve"> 0.0000000000330128*((Sheet3!CL51+273)^(4)) - 0.0000000448315*((Sheet3!CL51+273)^(3)) + 0.0000228887*((Sheet3!CL51+273)^(2)) - 0.00521331*((Sheet3!CL51+273)) + 0.447905</f>
        <v>8.107945295270369E-4</v>
      </c>
      <c r="Q51" s="35">
        <f xml:space="preserve"> 0.0000000000330128*((Sheet3!CM51+273)^(4)) - 0.0000000448315*((Sheet3!CM51+273)^(3)) + 0.0000228887*((Sheet3!CM51+273)^(2)) - 0.00521331*((Sheet3!CM51+273)) + 0.447905</f>
        <v>8.7122583637189166E-4</v>
      </c>
      <c r="R51" s="35">
        <f xml:space="preserve"> 0.0000000000330128*((Sheet3!CN51+273)^(4)) - 0.0000000448315*((Sheet3!CN51+273)^(3)) + 0.0000228887*((Sheet3!CN51+273)^(2)) - 0.00521331*((Sheet3!CN51+273)) + 0.447905</f>
        <v>9.4536746270867944E-4</v>
      </c>
      <c r="S51" s="35">
        <f xml:space="preserve"> 0.0000000000330128*((Sheet3!CO51+273)^(4)) - 0.0000000448315*((Sheet3!CO51+273)^(3)) + 0.0000228887*((Sheet3!CO51+273)^(2)) - 0.00521331*((Sheet3!CO51+273)) + 0.447905</f>
        <v>1.0406169549934674E-3</v>
      </c>
      <c r="T51" s="35">
        <f xml:space="preserve"> 0.0000000000330128*((Sheet3!CP51+273)^(4)) - 0.0000000448315*((Sheet3!CP51+273)^(3)) + 0.0000228887*((Sheet3!CP51+273)^(2)) - 0.00521331*((Sheet3!CP51+273)) + 0.447905</f>
        <v>1.1680178587278878E-3</v>
      </c>
      <c r="U51" s="289">
        <f>(Sheet3!DC51*0.014*0.001*C51) / (L51*0.00015*3600*3)</f>
        <v>1218.4287013747369</v>
      </c>
      <c r="V51" s="35">
        <f>(Sheet3!$DC51*0.014*0.001*D51) / (M51*0.00015*3600*3)</f>
        <v>2494.6729464136911</v>
      </c>
      <c r="W51" s="35">
        <f>(Sheet3!$DC51*0.014*0.001*E51) / (N51*0.00015*3600*3)</f>
        <v>2343.8151546240911</v>
      </c>
      <c r="X51" s="35">
        <f>(Sheet3!$DC51*0.014*0.001*F51) / (O51*0.00015*3600*3)</f>
        <v>2202.5527801944913</v>
      </c>
      <c r="Y51" s="35">
        <f>(Sheet3!$DC51*0.014*0.001*G51) / (P51*0.00015*3600*3)</f>
        <v>2064.5188505220412</v>
      </c>
      <c r="Z51" s="35">
        <f>(Sheet3!$DC51*0.014*0.001*H51) / (Q51*0.00015*3600*3)</f>
        <v>1923.879951541061</v>
      </c>
      <c r="AA51" s="35">
        <f>(Sheet3!$DC51*0.014*0.001*I51) / (R51*0.00015*3600*3)</f>
        <v>1775.5482999809478</v>
      </c>
      <c r="AB51" s="35">
        <f>(Sheet3!$DC51*0.014*0.001*J51) / (S51*0.00015*3600*3)</f>
        <v>1615.6145413846289</v>
      </c>
      <c r="AC51" s="35">
        <f>(Sheet3!$DC51*0.014*0.001*K51) / (T51*0.00015*3600*3)</f>
        <v>1442.0199718048573</v>
      </c>
      <c r="AD51" s="289">
        <f t="shared" si="63"/>
        <v>0.5881136386798187</v>
      </c>
      <c r="AE51" s="35">
        <f>_xlfn.FORECAST.LINEAR(Sheet3!CI51,$DA$3:$DA$12,$CZ$3:$CZ$12)/1000</f>
        <v>0.62103490408617412</v>
      </c>
      <c r="AF51" s="35">
        <f>_xlfn.FORECAST.LINEAR(Sheet3!CJ51,$DA$3:$DA$12,$CZ$3:$CZ$12)/1000</f>
        <v>0.61748488605560048</v>
      </c>
      <c r="AG51" s="35">
        <f>_xlfn.FORECAST.LINEAR(Sheet3!CK51,$DA$3:$DA$12,$CZ$3:$CZ$12)/1000</f>
        <v>0.61412394443739671</v>
      </c>
      <c r="AH51" s="35">
        <f>_xlfn.FORECAST.LINEAR(Sheet3!CL51,$DA$3:$DA$12,$CZ$3:$CZ$12)/1000</f>
        <v>0.61079729723598175</v>
      </c>
      <c r="AI51" s="35">
        <f>_xlfn.FORECAST.LINEAR(Sheet3!CM51,$DA$3:$DA$12,$CZ$3:$CZ$12)/1000</f>
        <v>0.60735016245577422</v>
      </c>
      <c r="AJ51" s="35">
        <f>_xlfn.FORECAST.LINEAR(Sheet3!CN51,$DA$3:$DA$12,$CZ$3:$CZ$12)/1000</f>
        <v>0.60362775810119285</v>
      </c>
      <c r="AK51" s="35">
        <f>_xlfn.FORECAST.LINEAR(Sheet3!CO51,$DA$3:$DA$12,$CZ$3:$CZ$12)/1000</f>
        <v>0.59947530217665645</v>
      </c>
      <c r="AL51" s="35">
        <f>_xlfn.FORECAST.LINEAR(Sheet3!CP51,$DA$3:$DA$12,$CZ$3:$CZ$12)/1000</f>
        <v>0.59473801268658366</v>
      </c>
      <c r="AM51" s="289">
        <f t="shared" si="64"/>
        <v>4189.1928388415818</v>
      </c>
      <c r="AN51" s="35">
        <f>_xlfn.FORECAST.LINEAR(Sheet3!CI51,$DP$3:$DP$14,$DJ$3:$DJ$14)*1000</f>
        <v>4192.0899556202812</v>
      </c>
      <c r="AO51" s="35">
        <f>_xlfn.FORECAST.LINEAR(Sheet3!CJ51,$DP$3:$DP$14,$DJ$3:$DJ$14)*1000</f>
        <v>4191.7775491354723</v>
      </c>
      <c r="AP51" s="35">
        <f>_xlfn.FORECAST.LINEAR(Sheet3!CK51,$DP$3:$DP$14,$DJ$3:$DJ$14)*1000</f>
        <v>4191.4817816358282</v>
      </c>
      <c r="AQ51" s="35">
        <f>_xlfn.FORECAST.LINEAR(Sheet3!CL51,$DP$3:$DP$14,$DJ$3:$DJ$14)*1000</f>
        <v>4191.1890320921812</v>
      </c>
      <c r="AR51" s="35">
        <f>_xlfn.FORECAST.LINEAR(Sheet3!CM51,$DP$3:$DP$14,$DJ$3:$DJ$14)*1000</f>
        <v>4190.8856794753565</v>
      </c>
      <c r="AS51" s="35">
        <f>_xlfn.FORECAST.LINEAR(Sheet3!CN51,$DP$3:$DP$14,$DJ$3:$DJ$14)*1000</f>
        <v>4190.5581027561857</v>
      </c>
      <c r="AT51" s="35">
        <f>_xlfn.FORECAST.LINEAR(Sheet3!CO51,$DP$3:$DP$14,$DJ$3:$DJ$14)*1000</f>
        <v>4190.1926809054976</v>
      </c>
      <c r="AU51" s="35">
        <f>_xlfn.FORECAST.LINEAR(Sheet3!CP51,$DP$3:$DP$14,$DJ$3:$DJ$14)*1000</f>
        <v>4189.775792894121</v>
      </c>
      <c r="AV51" s="289">
        <f t="shared" si="18"/>
        <v>1.4010464975452958E-7</v>
      </c>
      <c r="AW51" s="35">
        <f t="shared" si="19"/>
        <v>1.4973649850047399E-7</v>
      </c>
      <c r="AX51" s="35">
        <f t="shared" si="20"/>
        <v>1.4868654432430626E-7</v>
      </c>
      <c r="AY51" s="35">
        <f t="shared" si="21"/>
        <v>1.4769505802840406E-7</v>
      </c>
      <c r="AZ51" s="35">
        <f t="shared" si="22"/>
        <v>1.4671611812497014E-7</v>
      </c>
      <c r="BA51" s="35">
        <f t="shared" si="23"/>
        <v>1.4570426194982552E-7</v>
      </c>
      <c r="BB51" s="35">
        <f t="shared" si="24"/>
        <v>1.4461449555299427E-7</v>
      </c>
      <c r="BC51" s="35">
        <f t="shared" si="25"/>
        <v>1.4340235475735978E-7</v>
      </c>
      <c r="BD51" s="35">
        <f t="shared" si="26"/>
        <v>1.420240157256872E-7</v>
      </c>
      <c r="BE51" s="289">
        <f t="shared" si="62"/>
        <v>9.8717685163690199</v>
      </c>
      <c r="BF51" s="35">
        <f t="shared" si="27"/>
        <v>4.5113481310556436</v>
      </c>
      <c r="BG51" s="35">
        <f t="shared" si="28"/>
        <v>4.8356249145316861</v>
      </c>
      <c r="BH51" s="35">
        <f t="shared" si="29"/>
        <v>5.1803051674615572</v>
      </c>
      <c r="BI51" s="35">
        <f t="shared" si="30"/>
        <v>5.5635366345132402</v>
      </c>
      <c r="BJ51" s="35">
        <f t="shared" si="31"/>
        <v>6.0117014976607885</v>
      </c>
      <c r="BK51" s="35">
        <f t="shared" si="32"/>
        <v>6.5630137576804124</v>
      </c>
      <c r="BL51" s="35">
        <f t="shared" si="33"/>
        <v>7.2736700454672816</v>
      </c>
      <c r="BM51" s="35">
        <f t="shared" si="34"/>
        <v>8.2283843402910914</v>
      </c>
      <c r="BN51" s="289">
        <f t="shared" si="35"/>
        <v>3.5631009827682553E-3</v>
      </c>
      <c r="BO51" s="35">
        <f t="shared" si="36"/>
        <v>3.8080553778770459E-3</v>
      </c>
      <c r="BP51" s="35">
        <f t="shared" si="37"/>
        <v>3.7813532465522139E-3</v>
      </c>
      <c r="BQ51" s="35">
        <f t="shared" si="38"/>
        <v>3.7561380534696163E-3</v>
      </c>
      <c r="BR51" s="35">
        <f t="shared" si="39"/>
        <v>3.7312419366161936E-3</v>
      </c>
      <c r="BS51" s="35">
        <f t="shared" si="40"/>
        <v>3.705508702648623E-3</v>
      </c>
      <c r="BT51" s="35">
        <f t="shared" si="41"/>
        <v>3.6777940784277971E-3</v>
      </c>
      <c r="BU51" s="35">
        <f t="shared" si="42"/>
        <v>3.6469672638449412E-3</v>
      </c>
      <c r="BV51" s="35">
        <f t="shared" si="43"/>
        <v>3.6119137437301912E-3</v>
      </c>
      <c r="BW51" s="289">
        <f t="shared" si="44"/>
        <v>6.1102245629814277E-2</v>
      </c>
      <c r="BX51" s="35">
        <f t="shared" si="45"/>
        <v>5.1080342143701177E-2</v>
      </c>
      <c r="BY51" s="35">
        <f t="shared" si="46"/>
        <v>5.1883153192311661E-2</v>
      </c>
      <c r="BZ51" s="35">
        <f t="shared" si="47"/>
        <v>5.2695753734893741E-2</v>
      </c>
      <c r="CA51" s="35">
        <f t="shared" si="48"/>
        <v>5.355530398423413E-2</v>
      </c>
      <c r="CB51" s="35">
        <f t="shared" si="49"/>
        <v>5.4508309057845331E-2</v>
      </c>
      <c r="CC51" s="35">
        <f t="shared" si="50"/>
        <v>5.5612712623620199E-2</v>
      </c>
      <c r="CD51" s="35">
        <f t="shared" si="51"/>
        <v>5.6940694980767148E-2</v>
      </c>
      <c r="CE51" s="35">
        <f t="shared" si="52"/>
        <v>5.858202543721807E-2</v>
      </c>
      <c r="CF51" s="289">
        <f t="shared" si="65"/>
        <v>11.630769625227554</v>
      </c>
      <c r="CG51" s="35">
        <f t="shared" si="66"/>
        <v>11.617833458822259</v>
      </c>
      <c r="CH51" s="35">
        <f t="shared" si="67"/>
        <v>11.619243611981751</v>
      </c>
      <c r="CI51" s="35">
        <f t="shared" si="68"/>
        <v>11.620575239175103</v>
      </c>
      <c r="CJ51" s="35">
        <f t="shared" si="69"/>
        <v>11.62189001579023</v>
      </c>
      <c r="CK51" s="35">
        <f t="shared" si="70"/>
        <v>11.62324900098665</v>
      </c>
      <c r="CL51" s="35">
        <f t="shared" si="71"/>
        <v>11.624712624411826</v>
      </c>
      <c r="CM51" s="35">
        <f t="shared" si="72"/>
        <v>11.626340604195622</v>
      </c>
      <c r="CN51" s="35">
        <f t="shared" si="73"/>
        <v>11.628191798451983</v>
      </c>
      <c r="CO51" s="289">
        <f t="shared" si="53"/>
        <v>488.58673178137769</v>
      </c>
      <c r="CP51" s="35">
        <f t="shared" si="54"/>
        <v>515.36286341348762</v>
      </c>
      <c r="CQ51" s="35">
        <f t="shared" si="55"/>
        <v>512.47909412834395</v>
      </c>
      <c r="CR51" s="35">
        <f t="shared" si="56"/>
        <v>509.74810732241133</v>
      </c>
      <c r="CS51" s="35">
        <f t="shared" si="57"/>
        <v>507.04421502989379</v>
      </c>
      <c r="CT51" s="35">
        <f t="shared" si="58"/>
        <v>504.24158350093984</v>
      </c>
      <c r="CU51" s="35">
        <f t="shared" si="59"/>
        <v>501.21423000316747</v>
      </c>
      <c r="CV51" s="35">
        <f t="shared" si="60"/>
        <v>497.83600335063579</v>
      </c>
      <c r="CW51" s="35">
        <f t="shared" si="61"/>
        <v>493.98054866784025</v>
      </c>
    </row>
    <row r="52" spans="1:102" x14ac:dyDescent="0.3">
      <c r="A52" s="184" t="str">
        <f>'Su K. oro stendu'!B97</f>
        <v>2023.01.12-2</v>
      </c>
      <c r="B52" s="289">
        <f>Sheet3!DD52</f>
        <v>8</v>
      </c>
      <c r="C52" s="289">
        <f>_xlfn.FORECAST.LINEAR(Sheet3!DD52,$DW$3:$DW$24,$DU$3:$DU$24)</f>
        <v>1002.0245217688092</v>
      </c>
      <c r="D52" s="35">
        <f>_xlfn.FORECAST.LINEAR(Sheet3!CI52,'Cooling water'!$DW$3:$DW$24,'Cooling water'!$DU$3:$DU$24)</f>
        <v>988.39319518401146</v>
      </c>
      <c r="E52" s="35">
        <f>_xlfn.FORECAST.LINEAR(Sheet3!CJ52,'Cooling water'!$DW$3:$DW$24,'Cooling water'!$DU$3:$DU$24)</f>
        <v>989.73191217109081</v>
      </c>
      <c r="F52" s="35">
        <f>_xlfn.FORECAST.LINEAR(Sheet3!CK52,'Cooling water'!$DW$3:$DW$24,'Cooling water'!$DU$3:$DU$24)</f>
        <v>991.0796580917563</v>
      </c>
      <c r="G52" s="35">
        <f>_xlfn.FORECAST.LINEAR(Sheet3!CL52,'Cooling water'!$DW$3:$DW$24,'Cooling water'!$DU$3:$DU$24)</f>
        <v>992.47816663552521</v>
      </c>
      <c r="H52" s="35">
        <f>_xlfn.FORECAST.LINEAR(Sheet3!CM52,'Cooling water'!$DW$3:$DW$24,'Cooling water'!$DU$3:$DU$24)</f>
        <v>993.96917149191495</v>
      </c>
      <c r="I52" s="35">
        <f>_xlfn.FORECAST.LINEAR(Sheet3!CN52,'Cooling water'!$DW$3:$DW$24,'Cooling water'!$DU$3:$DU$24)</f>
        <v>995.59440635044245</v>
      </c>
      <c r="J52" s="35">
        <f>_xlfn.FORECAST.LINEAR(Sheet3!CO52,'Cooling water'!$DW$3:$DW$24,'Cooling water'!$DU$3:$DU$24)</f>
        <v>997.39560490062524</v>
      </c>
      <c r="K52" s="35">
        <f>_xlfn.FORECAST.LINEAR(Sheet3!CP52,'Cooling water'!$DW$3:$DW$24,'Cooling water'!$DU$3:$DU$24)</f>
        <v>999.41450083198049</v>
      </c>
      <c r="L52" s="289">
        <f t="shared" si="17"/>
        <v>1.385880747369006E-3</v>
      </c>
      <c r="M52" s="35">
        <f xml:space="preserve"> 0.0000000000330128*((Sheet3!CI52+273)^(4)) - 0.0000000448315*((Sheet3!CI52+273)^(3)) + 0.0000228887*((Sheet3!CI52+273)^(2)) - 0.00521331*((Sheet3!CI52+273)) + 0.447905</f>
        <v>6.3979171341754792E-4</v>
      </c>
      <c r="N52" s="35">
        <f xml:space="preserve"> 0.0000000000330128*((Sheet3!CJ52+273)^(4)) - 0.0000000448315*((Sheet3!CJ52+273)^(3)) + 0.0000228887*((Sheet3!CJ52+273)^(2)) - 0.00521331*((Sheet3!CJ52+273)) + 0.447905</f>
        <v>6.7958572933224382E-4</v>
      </c>
      <c r="O52" s="35">
        <f xml:space="preserve"> 0.0000000000330128*((Sheet3!CK52+273)^(4)) - 0.0000000448315*((Sheet3!CK52+273)^(3)) + 0.0000228887*((Sheet3!CK52+273)^(2)) - 0.00521331*((Sheet3!CK52+273)) + 0.447905</f>
        <v>7.2435465534503862E-4</v>
      </c>
      <c r="P52" s="35">
        <f xml:space="preserve"> 0.0000000000330128*((Sheet3!CL52+273)^(4)) - 0.0000000448315*((Sheet3!CL52+273)^(3)) + 0.0000228887*((Sheet3!CL52+273)^(2)) - 0.00521331*((Sheet3!CL52+273)) + 0.447905</f>
        <v>7.7668819551046653E-4</v>
      </c>
      <c r="Q52" s="35">
        <f xml:space="preserve"> 0.0000000000330128*((Sheet3!CM52+273)^(4)) - 0.0000000448315*((Sheet3!CM52+273)^(3)) + 0.0000228887*((Sheet3!CM52+273)^(2)) - 0.00521331*((Sheet3!CM52+273)) + 0.447905</f>
        <v>8.4022144122553044E-4</v>
      </c>
      <c r="R52" s="35">
        <f xml:space="preserve"> 0.0000000000330128*((Sheet3!CN52+273)^(4)) - 0.0000000448315*((Sheet3!CN52+273)^(3)) + 0.0000228887*((Sheet3!CN52+273)^(2)) - 0.00521331*((Sheet3!CN52+273)) + 0.447905</f>
        <v>9.2015396110500802E-4</v>
      </c>
      <c r="S52" s="35">
        <f xml:space="preserve"> 0.0000000000330128*((Sheet3!CO52+273)^(4)) - 0.0000000448315*((Sheet3!CO52+273)^(3)) + 0.0000228887*((Sheet3!CO52+273)^(2)) - 0.00521331*((Sheet3!CO52+273)) + 0.447905</f>
        <v>1.0240690751097681E-3</v>
      </c>
      <c r="T52" s="35">
        <f xml:space="preserve"> 0.0000000000330128*((Sheet3!CP52+273)^(4)) - 0.0000000448315*((Sheet3!CP52+273)^(3)) + 0.0000228887*((Sheet3!CP52+273)^(2)) - 0.00521331*((Sheet3!CP52+273)) + 0.447905</f>
        <v>1.1632256650362383E-3</v>
      </c>
      <c r="U52" s="289">
        <f>(Sheet3!DC52*0.014*0.001*C52) / (L52*0.00015*3600*3)</f>
        <v>1405.879270817004</v>
      </c>
      <c r="V52" s="35">
        <f>(Sheet3!$DC52*0.014*0.001*D52) / (M52*0.00015*3600*3)</f>
        <v>3003.9083298472933</v>
      </c>
      <c r="W52" s="35">
        <f>(Sheet3!$DC52*0.014*0.001*E52) / (N52*0.00015*3600*3)</f>
        <v>2831.840980535942</v>
      </c>
      <c r="X52" s="35">
        <f>(Sheet3!$DC52*0.014*0.001*F52) / (O52*0.00015*3600*3)</f>
        <v>2660.4361840685101</v>
      </c>
      <c r="Y52" s="35">
        <f>(Sheet3!$DC52*0.014*0.001*G52) / (P52*0.00015*3600*3)</f>
        <v>2484.6761782938011</v>
      </c>
      <c r="Z52" s="35">
        <f>(Sheet3!$DC52*0.014*0.001*H52) / (Q52*0.00015*3600*3)</f>
        <v>2300.2481710505713</v>
      </c>
      <c r="AA52" s="35">
        <f>(Sheet3!$DC52*0.014*0.001*I52) / (R52*0.00015*3600*3)</f>
        <v>2103.8631513614278</v>
      </c>
      <c r="AB52" s="35">
        <f>(Sheet3!$DC52*0.014*0.001*J52) / (S52*0.00015*3600*3)</f>
        <v>1893.7983677072255</v>
      </c>
      <c r="AC52" s="35">
        <f>(Sheet3!$DC52*0.014*0.001*K52) / (T52*0.00015*3600*3)</f>
        <v>1670.6182061237635</v>
      </c>
      <c r="AD52" s="289">
        <f t="shared" si="63"/>
        <v>0.5881136386798187</v>
      </c>
      <c r="AE52" s="35">
        <f>_xlfn.FORECAST.LINEAR(Sheet3!CI52,$DA$3:$DA$12,$CZ$3:$CZ$12)/1000</f>
        <v>0.62356975538576287</v>
      </c>
      <c r="AF52" s="35">
        <f>_xlfn.FORECAST.LINEAR(Sheet3!CJ52,$DA$3:$DA$12,$CZ$3:$CZ$12)/1000</f>
        <v>0.62008765073257011</v>
      </c>
      <c r="AG52" s="35">
        <f>_xlfn.FORECAST.LINEAR(Sheet3!CK52,$DA$3:$DA$12,$CZ$3:$CZ$12)/1000</f>
        <v>0.61658206113673641</v>
      </c>
      <c r="AH52" s="35">
        <f>_xlfn.FORECAST.LINEAR(Sheet3!CL52,$DA$3:$DA$12,$CZ$3:$CZ$12)/1000</f>
        <v>0.61294443409921595</v>
      </c>
      <c r="AI52" s="35">
        <f>_xlfn.FORECAST.LINEAR(Sheet3!CM52,$DA$3:$DA$12,$CZ$3:$CZ$12)/1000</f>
        <v>0.60906621712096254</v>
      </c>
      <c r="AJ52" s="35">
        <f>_xlfn.FORECAST.LINEAR(Sheet3!CN52,$DA$3:$DA$12,$CZ$3:$CZ$12)/1000</f>
        <v>0.60483885770293</v>
      </c>
      <c r="AK52" s="35">
        <f>_xlfn.FORECAST.LINEAR(Sheet3!CO52,$DA$3:$DA$12,$CZ$3:$CZ$12)/1000</f>
        <v>0.60015380334607216</v>
      </c>
      <c r="AL52" s="35">
        <f>_xlfn.FORECAST.LINEAR(Sheet3!CP52,$DA$3:$DA$12,$CZ$3:$CZ$12)/1000</f>
        <v>0.59490250155134317</v>
      </c>
      <c r="AM52" s="289">
        <f t="shared" si="64"/>
        <v>4189.1928388415818</v>
      </c>
      <c r="AN52" s="35">
        <f>_xlfn.FORECAST.LINEAR(Sheet3!CI52,$DP$3:$DP$14,$DJ$3:$DJ$14)*1000</f>
        <v>4192.3130260320922</v>
      </c>
      <c r="AO52" s="35">
        <f>_xlfn.FORECAST.LINEAR(Sheet3!CJ52,$DP$3:$DP$14,$DJ$3:$DJ$14)*1000</f>
        <v>4192.0065960181955</v>
      </c>
      <c r="AP52" s="35">
        <f>_xlfn.FORECAST.LINEAR(Sheet3!CK52,$DP$3:$DP$14,$DJ$3:$DJ$14)*1000</f>
        <v>4191.6980992969447</v>
      </c>
      <c r="AQ52" s="35">
        <f>_xlfn.FORECAST.LINEAR(Sheet3!CL52,$DP$3:$DP$14,$DJ$3:$DJ$14)*1000</f>
        <v>4191.3779830986459</v>
      </c>
      <c r="AR52" s="35">
        <f>_xlfn.FORECAST.LINEAR(Sheet3!CM52,$DP$3:$DP$14,$DJ$3:$DJ$14)*1000</f>
        <v>4191.0366946536105</v>
      </c>
      <c r="AS52" s="35">
        <f>_xlfn.FORECAST.LINEAR(Sheet3!CN52,$DP$3:$DP$14,$DJ$3:$DJ$14)*1000</f>
        <v>4190.6646811921473</v>
      </c>
      <c r="AT52" s="35">
        <f>_xlfn.FORECAST.LINEAR(Sheet3!CO52,$DP$3:$DP$14,$DJ$3:$DJ$14)*1000</f>
        <v>4190.252389944565</v>
      </c>
      <c r="AU52" s="35">
        <f>_xlfn.FORECAST.LINEAR(Sheet3!CP52,$DP$3:$DP$14,$DJ$3:$DJ$14)*1000</f>
        <v>4189.7902681411724</v>
      </c>
      <c r="AV52" s="289">
        <f t="shared" si="18"/>
        <v>1.4010464975452958E-7</v>
      </c>
      <c r="AW52" s="35">
        <f t="shared" si="19"/>
        <v>1.5048790403265274E-7</v>
      </c>
      <c r="AX52" s="35">
        <f t="shared" si="20"/>
        <v>1.4945606768606743E-7</v>
      </c>
      <c r="AY52" s="35">
        <f t="shared" si="21"/>
        <v>1.4841996579251445E-7</v>
      </c>
      <c r="AZ52" s="35">
        <f t="shared" si="22"/>
        <v>1.4734768481118704E-7</v>
      </c>
      <c r="BA52" s="35">
        <f t="shared" si="23"/>
        <v>1.4620766229445684E-7</v>
      </c>
      <c r="BB52" s="35">
        <f t="shared" si="24"/>
        <v>1.4496872681798082E-7</v>
      </c>
      <c r="BC52" s="35">
        <f t="shared" si="25"/>
        <v>1.4360016208365858E-7</v>
      </c>
      <c r="BD52" s="35">
        <f t="shared" si="26"/>
        <v>1.4207179415515526E-7</v>
      </c>
      <c r="BE52" s="289">
        <f t="shared" si="62"/>
        <v>9.8717685163690199</v>
      </c>
      <c r="BF52" s="35">
        <f t="shared" si="27"/>
        <v>4.3013746432401403</v>
      </c>
      <c r="BG52" s="35">
        <f t="shared" si="28"/>
        <v>4.5942341482772697</v>
      </c>
      <c r="BH52" s="35">
        <f t="shared" si="29"/>
        <v>4.9243664767492348</v>
      </c>
      <c r="BI52" s="35">
        <f t="shared" si="30"/>
        <v>5.3110749054754329</v>
      </c>
      <c r="BJ52" s="35">
        <f t="shared" si="31"/>
        <v>5.7816355477019972</v>
      </c>
      <c r="BK52" s="35">
        <f t="shared" si="32"/>
        <v>6.3753455270820814</v>
      </c>
      <c r="BL52" s="35">
        <f t="shared" si="33"/>
        <v>7.1500136557038614</v>
      </c>
      <c r="BM52" s="35">
        <f t="shared" si="34"/>
        <v>8.1923870858025811</v>
      </c>
      <c r="BN52" s="289">
        <f t="shared" si="35"/>
        <v>3.0880208517324878E-3</v>
      </c>
      <c r="BO52" s="35">
        <f t="shared" si="36"/>
        <v>3.3168762521482639E-3</v>
      </c>
      <c r="BP52" s="35">
        <f t="shared" si="37"/>
        <v>3.2941337367541385E-3</v>
      </c>
      <c r="BQ52" s="35">
        <f t="shared" si="38"/>
        <v>3.2712972052227666E-3</v>
      </c>
      <c r="BR52" s="35">
        <f t="shared" si="39"/>
        <v>3.2476632570628975E-3</v>
      </c>
      <c r="BS52" s="35">
        <f t="shared" si="40"/>
        <v>3.2225362301635386E-3</v>
      </c>
      <c r="BT52" s="35">
        <f t="shared" si="41"/>
        <v>3.1952290808861068E-3</v>
      </c>
      <c r="BU52" s="35">
        <f t="shared" si="42"/>
        <v>3.1650647969459441E-3</v>
      </c>
      <c r="BV52" s="35">
        <f t="shared" si="43"/>
        <v>3.1313783201544427E-3</v>
      </c>
      <c r="BW52" s="289">
        <f t="shared" si="44"/>
        <v>5.895493909453315E-2</v>
      </c>
      <c r="BX52" s="35">
        <f t="shared" si="45"/>
        <v>4.8762451696032237E-2</v>
      </c>
      <c r="BY52" s="35">
        <f t="shared" si="46"/>
        <v>4.9486870044293967E-2</v>
      </c>
      <c r="BZ52" s="35">
        <f t="shared" si="47"/>
        <v>5.0265382349668736E-2</v>
      </c>
      <c r="CA52" s="35">
        <f t="shared" si="48"/>
        <v>5.11316435679268E-2</v>
      </c>
      <c r="CB52" s="35">
        <f t="shared" si="49"/>
        <v>5.212709567956892E-2</v>
      </c>
      <c r="CC52" s="35">
        <f t="shared" si="50"/>
        <v>5.3303144513337508E-2</v>
      </c>
      <c r="CD52" s="35">
        <f t="shared" si="51"/>
        <v>5.4723487559544585E-2</v>
      </c>
      <c r="CE52" s="35">
        <f t="shared" si="52"/>
        <v>5.6466113845384448E-2</v>
      </c>
      <c r="CF52" s="289">
        <f t="shared" si="65"/>
        <v>11.655858848991835</v>
      </c>
      <c r="CG52" s="35">
        <f t="shared" si="66"/>
        <v>19.969732736709872</v>
      </c>
      <c r="CH52" s="35">
        <f t="shared" si="67"/>
        <v>11.644973922523251</v>
      </c>
      <c r="CI52" s="35">
        <f t="shared" si="68"/>
        <v>11.6461799313882</v>
      </c>
      <c r="CJ52" s="35">
        <f t="shared" si="69"/>
        <v>11.64742805223157</v>
      </c>
      <c r="CK52" s="35">
        <f t="shared" si="70"/>
        <v>11.648755023323867</v>
      </c>
      <c r="CL52" s="35">
        <f t="shared" si="71"/>
        <v>11.650197127789681</v>
      </c>
      <c r="CM52" s="35">
        <f t="shared" si="72"/>
        <v>11.65179011899269</v>
      </c>
      <c r="CN52" s="35">
        <f t="shared" si="73"/>
        <v>11.653569118994668</v>
      </c>
      <c r="CO52" s="289">
        <f t="shared" si="53"/>
        <v>489.64068282992514</v>
      </c>
      <c r="CP52" s="35">
        <f t="shared" si="54"/>
        <v>889.46581126780256</v>
      </c>
      <c r="CQ52" s="35">
        <f t="shared" si="55"/>
        <v>515.7788944613917</v>
      </c>
      <c r="CR52" s="35">
        <f t="shared" si="56"/>
        <v>512.91611617604508</v>
      </c>
      <c r="CS52" s="35">
        <f t="shared" si="57"/>
        <v>509.94472829902946</v>
      </c>
      <c r="CT52" s="35">
        <f t="shared" si="58"/>
        <v>506.77593973033407</v>
      </c>
      <c r="CU52" s="35">
        <f t="shared" si="59"/>
        <v>503.32085162759046</v>
      </c>
      <c r="CV52" s="35">
        <f t="shared" si="60"/>
        <v>499.49043969311748</v>
      </c>
      <c r="CW52" s="35">
        <f t="shared" si="61"/>
        <v>495.19553006367215</v>
      </c>
    </row>
    <row r="53" spans="1:102" x14ac:dyDescent="0.3">
      <c r="A53" s="184">
        <f>'Su K. oro stendu'!B98</f>
        <v>44939</v>
      </c>
      <c r="B53" s="289">
        <f>Sheet3!DD53</f>
        <v>8</v>
      </c>
      <c r="C53" s="289">
        <f>_xlfn.FORECAST.LINEAR(Sheet3!DD53,$DW$3:$DW$24,$DU$3:$DU$24)</f>
        <v>1002.0245217688092</v>
      </c>
      <c r="D53" s="35">
        <f>_xlfn.FORECAST.LINEAR(Sheet3!CI53,'Cooling water'!$DW$3:$DW$24,'Cooling water'!$DU$3:$DU$24)</f>
        <v>987.53465507570729</v>
      </c>
      <c r="E53" s="35">
        <f>_xlfn.FORECAST.LINEAR(Sheet3!CJ53,'Cooling water'!$DW$3:$DW$24,'Cooling water'!$DU$3:$DU$24)</f>
        <v>989.04631083477364</v>
      </c>
      <c r="F53" s="35">
        <f>_xlfn.FORECAST.LINEAR(Sheet3!CK53,'Cooling water'!$DW$3:$DW$24,'Cooling water'!$DU$3:$DU$24)</f>
        <v>990.52548471505315</v>
      </c>
      <c r="G53" s="35">
        <f>_xlfn.FORECAST.LINEAR(Sheet3!CL53,'Cooling water'!$DW$3:$DW$24,'Cooling water'!$DU$3:$DU$24)</f>
        <v>992.02679682122232</v>
      </c>
      <c r="H53" s="35">
        <f>_xlfn.FORECAST.LINEAR(Sheet3!CM53,'Cooling water'!$DW$3:$DW$24,'Cooling water'!$DU$3:$DU$24)</f>
        <v>993.60486725795761</v>
      </c>
      <c r="I53" s="35">
        <f>_xlfn.FORECAST.LINEAR(Sheet3!CN53,'Cooling water'!$DW$3:$DW$24,'Cooling water'!$DU$3:$DU$24)</f>
        <v>995.31431612993572</v>
      </c>
      <c r="J53" s="35">
        <f>_xlfn.FORECAST.LINEAR(Sheet3!CO53,'Cooling water'!$DW$3:$DW$24,'Cooling water'!$DU$3:$DU$24)</f>
        <v>997.20976354183313</v>
      </c>
      <c r="K53" s="35">
        <f>_xlfn.FORECAST.LINEAR(Sheet3!CP53,'Cooling water'!$DW$3:$DW$24,'Cooling water'!$DU$3:$DU$24)</f>
        <v>999.34582959832619</v>
      </c>
      <c r="L53" s="289">
        <f t="shared" si="17"/>
        <v>1.385880747369006E-3</v>
      </c>
      <c r="M53" s="35">
        <f xml:space="preserve"> 0.0000000000330128*((Sheet3!CI53+273)^(4)) - 0.0000000448315*((Sheet3!CI53+273)^(3)) + 0.0000228887*((Sheet3!CI53+273)^(2)) - 0.00521331*((Sheet3!CI53+273)) + 0.447905</f>
        <v>6.1638259985241639E-4</v>
      </c>
      <c r="N53" s="35">
        <f xml:space="preserve"> 0.0000000000330128*((Sheet3!CJ53+273)^(4)) - 0.0000000448315*((Sheet3!CJ53+273)^(3)) + 0.0000228887*((Sheet3!CJ53+273)^(2)) - 0.00521331*((Sheet3!CJ53+273)) + 0.447905</f>
        <v>6.5867175791933796E-4</v>
      </c>
      <c r="O53" s="35">
        <f xml:space="preserve"> 0.0000000000330128*((Sheet3!CK53+273)^(4)) - 0.0000000448315*((Sheet3!CK53+273)^(3)) + 0.0000228887*((Sheet3!CK53+273)^(2)) - 0.00521331*((Sheet3!CK53+273)) + 0.447905</f>
        <v>7.0532375145937465E-4</v>
      </c>
      <c r="P53" s="35">
        <f xml:space="preserve"> 0.0000000000330128*((Sheet3!CL53+273)^(4)) - 0.0000000448315*((Sheet3!CL53+273)^(3)) + 0.0000228887*((Sheet3!CL53+273)^(2)) - 0.00521331*((Sheet3!CL53+273)) + 0.447905</f>
        <v>7.5908379484390665E-4</v>
      </c>
      <c r="Q53" s="35">
        <f xml:space="preserve"> 0.0000000000330128*((Sheet3!CM53+273)^(4)) - 0.0000000448315*((Sheet3!CM53+273)^(3)) + 0.0000228887*((Sheet3!CM53+273)^(2)) - 0.00521331*((Sheet3!CM53+273)) + 0.447905</f>
        <v>8.2389136014771047E-4</v>
      </c>
      <c r="R53" s="35">
        <f xml:space="preserve"> 0.0000000000330128*((Sheet3!CN53+273)^(4)) - 0.0000000448315*((Sheet3!CN53+273)^(3)) + 0.0000228887*((Sheet3!CN53+273)^(2)) - 0.00521331*((Sheet3!CN53+273)) + 0.447905</f>
        <v>9.0550505599251707E-4</v>
      </c>
      <c r="S53" s="35">
        <f xml:space="preserve"> 0.0000000000330128*((Sheet3!CO53+273)^(4)) - 0.0000000448315*((Sheet3!CO53+273)^(3)) + 0.0000228887*((Sheet3!CO53+273)^(2)) - 0.00521331*((Sheet3!CO53+273)) + 0.447905</f>
        <v>1.0125225699229023E-3</v>
      </c>
      <c r="T53" s="35">
        <f xml:space="preserve"> 0.0000000000330128*((Sheet3!CP53+273)^(4)) - 0.0000000448315*((Sheet3!CP53+273)^(3)) + 0.0000228887*((Sheet3!CP53+273)^(2)) - 0.00521331*((Sheet3!CP53+273)) + 0.447905</f>
        <v>1.1580532804564836E-3</v>
      </c>
      <c r="U53" s="289">
        <f>(Sheet3!DC53*0.014*0.001*C53) / (L53*0.00015*3600*3)</f>
        <v>1593.3298402592714</v>
      </c>
      <c r="V53" s="35">
        <f>(Sheet3!$DC53*0.014*0.001*D53) / (M53*0.00015*3600*3)</f>
        <v>3530.654138269254</v>
      </c>
      <c r="W53" s="35">
        <f>(Sheet3!$DC53*0.014*0.001*E53) / (N53*0.00015*3600*3)</f>
        <v>3309.0306243067871</v>
      </c>
      <c r="X53" s="35">
        <f>(Sheet3!$DC53*0.014*0.001*F53) / (O53*0.00015*3600*3)</f>
        <v>3094.7840261483047</v>
      </c>
      <c r="Y53" s="35">
        <f>(Sheet3!$DC53*0.014*0.001*G53) / (P53*0.00015*3600*3)</f>
        <v>2879.9628462333235</v>
      </c>
      <c r="Z53" s="35">
        <f>(Sheet3!$DC53*0.014*0.001*H53) / (Q53*0.00015*3600*3)</f>
        <v>2657.6449662026148</v>
      </c>
      <c r="AA53" s="35">
        <f>(Sheet3!$DC53*0.014*0.001*I53) / (R53*0.00015*3600*3)</f>
        <v>2422.2701245999283</v>
      </c>
      <c r="AB53" s="35">
        <f>(Sheet3!$DC53*0.014*0.001*J53) / (S53*0.00015*3600*3)</f>
        <v>2170.3761620385053</v>
      </c>
      <c r="AC53" s="35">
        <f>(Sheet3!$DC53*0.014*0.001*K53) / (T53*0.00015*3600*3)</f>
        <v>1901.6932494665446</v>
      </c>
      <c r="AD53" s="289">
        <f t="shared" si="63"/>
        <v>0.5881136386798187</v>
      </c>
      <c r="AE53" s="35">
        <f>_xlfn.FORECAST.LINEAR(Sheet3!CI53,$DA$3:$DA$12,$CZ$3:$CZ$12)/1000</f>
        <v>0.62580288347402346</v>
      </c>
      <c r="AF53" s="35">
        <f>_xlfn.FORECAST.LINEAR(Sheet3!CJ53,$DA$3:$DA$12,$CZ$3:$CZ$12)/1000</f>
        <v>0.62187095192801811</v>
      </c>
      <c r="AG53" s="35">
        <f>_xlfn.FORECAST.LINEAR(Sheet3!CK53,$DA$3:$DA$12,$CZ$3:$CZ$12)/1000</f>
        <v>0.61802350821802265</v>
      </c>
      <c r="AH53" s="35">
        <f>_xlfn.FORECAST.LINEAR(Sheet3!CL53,$DA$3:$DA$12,$CZ$3:$CZ$12)/1000</f>
        <v>0.61411848129953139</v>
      </c>
      <c r="AI53" s="35">
        <f>_xlfn.FORECAST.LINEAR(Sheet3!CM53,$DA$3:$DA$12,$CZ$3:$CZ$12)/1000</f>
        <v>0.61001380012803863</v>
      </c>
      <c r="AJ53" s="35">
        <f>_xlfn.FORECAST.LINEAR(Sheet3!CN53,$DA$3:$DA$12,$CZ$3:$CZ$12)/1000</f>
        <v>0.60556739365903833</v>
      </c>
      <c r="AK53" s="35">
        <f>_xlfn.FORECAST.LINEAR(Sheet3!CO53,$DA$3:$DA$12,$CZ$3:$CZ$12)/1000</f>
        <v>0.60063719084802492</v>
      </c>
      <c r="AL53" s="35">
        <f>_xlfn.FORECAST.LINEAR(Sheet3!CP53,$DA$3:$DA$12,$CZ$3:$CZ$12)/1000</f>
        <v>0.59508112065049246</v>
      </c>
      <c r="AM53" s="289">
        <f t="shared" si="64"/>
        <v>4189.1928388415818</v>
      </c>
      <c r="AN53" s="35">
        <f>_xlfn.FORECAST.LINEAR(Sheet3!CI53,$DP$3:$DP$14,$DJ$3:$DJ$14)*1000</f>
        <v>4192.5095443850059</v>
      </c>
      <c r="AO53" s="35">
        <f>_xlfn.FORECAST.LINEAR(Sheet3!CJ53,$DP$3:$DP$14,$DJ$3:$DJ$14)*1000</f>
        <v>4192.163528983896</v>
      </c>
      <c r="AP53" s="35">
        <f>_xlfn.FORECAST.LINEAR(Sheet3!CK53,$DP$3:$DP$14,$DJ$3:$DJ$14)*1000</f>
        <v>4191.824948628926</v>
      </c>
      <c r="AQ53" s="35">
        <f>_xlfn.FORECAST.LINEAR(Sheet3!CL53,$DP$3:$DP$14,$DJ$3:$DJ$14)*1000</f>
        <v>4191.4813008721585</v>
      </c>
      <c r="AR53" s="35">
        <f>_xlfn.FORECAST.LINEAR(Sheet3!CM53,$DP$3:$DP$14,$DJ$3:$DJ$14)*1000</f>
        <v>4191.120083265655</v>
      </c>
      <c r="AS53" s="35">
        <f>_xlfn.FORECAST.LINEAR(Sheet3!CN53,$DP$3:$DP$14,$DJ$3:$DJ$14)*1000</f>
        <v>4190.728793361478</v>
      </c>
      <c r="AT53" s="35">
        <f>_xlfn.FORECAST.LINEAR(Sheet3!CO53,$DP$3:$DP$14,$DJ$3:$DJ$14)*1000</f>
        <v>4190.294928711688</v>
      </c>
      <c r="AU53" s="35">
        <f>_xlfn.FORECAST.LINEAR(Sheet3!CP53,$DP$3:$DP$14,$DJ$3:$DJ$14)*1000</f>
        <v>4189.8059868683467</v>
      </c>
      <c r="AV53" s="289">
        <f t="shared" si="18"/>
        <v>1.4010464975452958E-7</v>
      </c>
      <c r="AW53" s="35">
        <f t="shared" si="19"/>
        <v>1.511510452790071E-7</v>
      </c>
      <c r="AX53" s="35">
        <f t="shared" si="20"/>
        <v>1.499841714603296E-7</v>
      </c>
      <c r="AY53" s="35">
        <f t="shared" si="21"/>
        <v>1.4884566924005843E-7</v>
      </c>
      <c r="AZ53" s="35">
        <f t="shared" si="22"/>
        <v>1.4769344839983408E-7</v>
      </c>
      <c r="BA53" s="35">
        <f t="shared" si="23"/>
        <v>1.4648590732457391E-7</v>
      </c>
      <c r="BB53" s="35">
        <f t="shared" si="24"/>
        <v>1.4518196696467893E-7</v>
      </c>
      <c r="BC53" s="35">
        <f t="shared" si="25"/>
        <v>1.437411471459322E-7</v>
      </c>
      <c r="BD53" s="35">
        <f t="shared" si="26"/>
        <v>1.4212368348262513E-7</v>
      </c>
      <c r="BE53" s="289">
        <f t="shared" si="62"/>
        <v>9.8717685163690199</v>
      </c>
      <c r="BF53" s="35">
        <f t="shared" si="27"/>
        <v>4.1293992103846975</v>
      </c>
      <c r="BG53" s="35">
        <f t="shared" si="28"/>
        <v>4.440245540590511</v>
      </c>
      <c r="BH53" s="35">
        <f t="shared" si="29"/>
        <v>4.7839502201993014</v>
      </c>
      <c r="BI53" s="35">
        <f t="shared" si="30"/>
        <v>5.180898521651021</v>
      </c>
      <c r="BJ53" s="35">
        <f t="shared" si="31"/>
        <v>5.6605729660859376</v>
      </c>
      <c r="BK53" s="35">
        <f t="shared" si="32"/>
        <v>6.2663976799563947</v>
      </c>
      <c r="BL53" s="35">
        <f t="shared" si="33"/>
        <v>7.0637786913657523</v>
      </c>
      <c r="BM53" s="35">
        <f t="shared" si="34"/>
        <v>8.1535414235042225</v>
      </c>
      <c r="BN53" s="289">
        <f t="shared" si="35"/>
        <v>2.7247242809404302E-3</v>
      </c>
      <c r="BO53" s="35">
        <f t="shared" si="36"/>
        <v>2.9395521410803308E-3</v>
      </c>
      <c r="BP53" s="35">
        <f t="shared" si="37"/>
        <v>2.9168590368035276E-3</v>
      </c>
      <c r="BQ53" s="35">
        <f t="shared" si="38"/>
        <v>2.8947176971055775E-3</v>
      </c>
      <c r="BR53" s="35">
        <f t="shared" si="39"/>
        <v>2.8723095607170604E-3</v>
      </c>
      <c r="BS53" s="35">
        <f t="shared" si="40"/>
        <v>2.848825568617163E-3</v>
      </c>
      <c r="BT53" s="35">
        <f t="shared" si="41"/>
        <v>2.8234668245231665E-3</v>
      </c>
      <c r="BU53" s="35">
        <f t="shared" si="42"/>
        <v>2.7954460789485006E-3</v>
      </c>
      <c r="BV53" s="35">
        <f t="shared" si="43"/>
        <v>2.7639900029033928E-3</v>
      </c>
      <c r="BW53" s="289">
        <f t="shared" si="44"/>
        <v>5.7138755813072213E-2</v>
      </c>
      <c r="BX53" s="35">
        <f t="shared" si="45"/>
        <v>4.683207577987996E-2</v>
      </c>
      <c r="BY53" s="35">
        <f t="shared" si="46"/>
        <v>4.7597265763777208E-2</v>
      </c>
      <c r="BZ53" s="35">
        <f t="shared" si="47"/>
        <v>4.840047404756205E-2</v>
      </c>
      <c r="CA53" s="35">
        <f t="shared" si="48"/>
        <v>4.9278840504485423E-2</v>
      </c>
      <c r="CB53" s="35">
        <f t="shared" si="49"/>
        <v>5.0278575083406905E-2</v>
      </c>
      <c r="CC53" s="35">
        <f t="shared" si="50"/>
        <v>5.1457840763898893E-2</v>
      </c>
      <c r="CD53" s="35">
        <f t="shared" si="51"/>
        <v>5.2889985652884962E-2</v>
      </c>
      <c r="CE53" s="35">
        <f t="shared" si="52"/>
        <v>5.4666602768087894E-2</v>
      </c>
      <c r="CF53" s="289">
        <f t="shared" si="65"/>
        <v>11.67504472598805</v>
      </c>
      <c r="CG53" s="35">
        <f t="shared" si="66"/>
        <v>24.186006439159673</v>
      </c>
      <c r="CH53" s="35">
        <f t="shared" si="67"/>
        <v>22.873872361046669</v>
      </c>
      <c r="CI53" s="35">
        <f t="shared" si="68"/>
        <v>21.524393380732199</v>
      </c>
      <c r="CJ53" s="35">
        <f t="shared" si="69"/>
        <v>11.667250672171155</v>
      </c>
      <c r="CK53" s="35">
        <f t="shared" si="70"/>
        <v>11.668490873758598</v>
      </c>
      <c r="CL53" s="35">
        <f t="shared" si="71"/>
        <v>11.669830081953998</v>
      </c>
      <c r="CM53" s="35">
        <f t="shared" si="72"/>
        <v>11.671309871803834</v>
      </c>
      <c r="CN53" s="35">
        <f t="shared" si="73"/>
        <v>11.672971083206047</v>
      </c>
      <c r="CO53" s="289">
        <f t="shared" si="53"/>
        <v>490.44664539646135</v>
      </c>
      <c r="CP53" s="35">
        <f t="shared" si="54"/>
        <v>1081.1194692391016</v>
      </c>
      <c r="CQ53" s="35">
        <f t="shared" si="55"/>
        <v>1016.0426271031482</v>
      </c>
      <c r="CR53" s="35">
        <f t="shared" si="56"/>
        <v>950.18436495892138</v>
      </c>
      <c r="CS53" s="35">
        <f t="shared" si="57"/>
        <v>511.79101883819192</v>
      </c>
      <c r="CT53" s="35">
        <f t="shared" si="58"/>
        <v>508.42431854720144</v>
      </c>
      <c r="CU53" s="35">
        <f t="shared" si="59"/>
        <v>504.77632765519456</v>
      </c>
      <c r="CV53" s="35">
        <f t="shared" si="60"/>
        <v>500.73019820836254</v>
      </c>
      <c r="CW53" s="35">
        <f t="shared" si="61"/>
        <v>496.16890810821764</v>
      </c>
    </row>
    <row r="54" spans="1:102" x14ac:dyDescent="0.3">
      <c r="A54" s="184">
        <f>'Su K. oro stendu'!B99</f>
        <v>44942</v>
      </c>
      <c r="B54" s="289">
        <f>Sheet3!DD54</f>
        <v>9</v>
      </c>
      <c r="C54" s="289">
        <f>_xlfn.FORECAST.LINEAR(Sheet3!DD54,$DW$3:$DW$24,$DU$3:$DU$24)</f>
        <v>1001.6096728054025</v>
      </c>
      <c r="D54" s="35">
        <f>_xlfn.FORECAST.LINEAR(Sheet3!CI54,'Cooling water'!$DW$3:$DW$24,'Cooling water'!$DU$3:$DU$24)</f>
        <v>986.11408571486834</v>
      </c>
      <c r="E54" s="35">
        <f>_xlfn.FORECAST.LINEAR(Sheet3!CJ54,'Cooling water'!$DW$3:$DW$24,'Cooling water'!$DU$3:$DU$24)</f>
        <v>987.22496029582317</v>
      </c>
      <c r="F54" s="35">
        <f>_xlfn.FORECAST.LINEAR(Sheet3!CK54,'Cooling water'!$DW$3:$DW$24,'Cooling water'!$DU$3:$DU$24)</f>
        <v>988.72072256815068</v>
      </c>
      <c r="G54" s="35">
        <f>_xlfn.FORECAST.LINEAR(Sheet3!CL54,'Cooling water'!$DW$3:$DW$24,'Cooling water'!$DU$3:$DU$24)</f>
        <v>990.52051905642941</v>
      </c>
      <c r="H54" s="35">
        <f>_xlfn.FORECAST.LINEAR(Sheet3!CM54,'Cooling water'!$DW$3:$DW$24,'Cooling water'!$DU$3:$DU$24)</f>
        <v>992.54349628523801</v>
      </c>
      <c r="I54" s="35">
        <f>_xlfn.FORECAST.LINEAR(Sheet3!CN54,'Cooling water'!$DW$3:$DW$24,'Cooling water'!$DU$3:$DU$24)</f>
        <v>994.7088007791549</v>
      </c>
      <c r="J54" s="35">
        <f>_xlfn.FORECAST.LINEAR(Sheet3!CO54,'Cooling water'!$DW$3:$DW$24,'Cooling water'!$DU$3:$DU$24)</f>
        <v>996.93557906275885</v>
      </c>
      <c r="K54" s="35">
        <f>_xlfn.FORECAST.LINEAR(Sheet3!CP54,'Cooling water'!$DW$3:$DW$24,'Cooling water'!$DU$3:$DU$24)</f>
        <v>999.14297766062816</v>
      </c>
      <c r="L54" s="289">
        <f t="shared" si="17"/>
        <v>1.3468857681728785E-3</v>
      </c>
      <c r="M54" s="35">
        <f xml:space="preserve"> 0.0000000000330128*((Sheet3!CI54+273)^(4)) - 0.0000000448315*((Sheet3!CI54+273)^(3)) + 0.0000228887*((Sheet3!CI54+273)^(2)) - 0.00521331*((Sheet3!CI54+273)) + 0.447905</f>
        <v>5.8074080578784937E-4</v>
      </c>
      <c r="N54" s="35">
        <f xml:space="preserve"> 0.0000000000330128*((Sheet3!CJ54+273)^(4)) - 0.0000000448315*((Sheet3!CJ54+273)^(3)) + 0.0000228887*((Sheet3!CJ54+273)^(2)) - 0.00521331*((Sheet3!CJ54+273)) + 0.447905</f>
        <v>6.0830102743780756E-4</v>
      </c>
      <c r="O54" s="35">
        <f xml:space="preserve"> 0.0000000000330128*((Sheet3!CK54+273)^(4)) - 0.0000000448315*((Sheet3!CK54+273)^(3)) + 0.0000228887*((Sheet3!CK54+273)^(2)) - 0.00521331*((Sheet3!CK54+273)) + 0.447905</f>
        <v>6.491379504141026E-4</v>
      </c>
      <c r="P54" s="35">
        <f xml:space="preserve"> 0.0000000000330128*((Sheet3!CL54+273)^(4)) - 0.0000000448315*((Sheet3!CL54+273)^(3)) + 0.0000228887*((Sheet3!CL54+273)^(2)) - 0.00521331*((Sheet3!CL54+273)) + 0.447905</f>
        <v>7.0515728010889234E-4</v>
      </c>
      <c r="Q54" s="35">
        <f xml:space="preserve"> 0.0000000000330128*((Sheet3!CM54+273)^(4)) - 0.0000000448315*((Sheet3!CM54+273)^(3)) + 0.0000228887*((Sheet3!CM54+273)^(2)) - 0.00521331*((Sheet3!CM54+273)) + 0.447905</f>
        <v>7.7929569219370443E-4</v>
      </c>
      <c r="R54" s="35">
        <f xml:space="preserve"> 0.0000000000330128*((Sheet3!CN54+273)^(4)) - 0.0000000448315*((Sheet3!CN54+273)^(3)) + 0.0000228887*((Sheet3!CN54+273)^(2)) - 0.00521331*((Sheet3!CN54+273)) + 0.447905</f>
        <v>8.7510972706694723E-4</v>
      </c>
      <c r="S54" s="35">
        <f xml:space="preserve"> 0.0000000000330128*((Sheet3!CO54+273)^(4)) - 0.0000000448315*((Sheet3!CO54+273)^(3)) + 0.0000228887*((Sheet3!CO54+273)^(2)) - 0.00521331*((Sheet3!CO54+273)) + 0.447905</f>
        <v>9.9584816447428892E-4</v>
      </c>
      <c r="T54" s="35">
        <f xml:space="preserve"> 0.0000000000330128*((Sheet3!CP54+273)^(4)) - 0.0000000448315*((Sheet3!CP54+273)^(3)) + 0.0000228887*((Sheet3!CP54+273)^(2)) - 0.00521331*((Sheet3!CP54+273)) + 0.447905</f>
        <v>1.1429638936841791E-3</v>
      </c>
      <c r="U54" s="289">
        <f>(Sheet3!DC54*0.014*0.001*C54) / (L54*0.00015*3600*3)</f>
        <v>771.19110758948079</v>
      </c>
      <c r="V54" s="35">
        <f>(Sheet3!$DC54*0.014*0.001*D54) / (M54*0.00015*3600*3)</f>
        <v>1760.9178129697568</v>
      </c>
      <c r="W54" s="35">
        <f>(Sheet3!$DC54*0.014*0.001*E54) / (N54*0.00015*3600*3)</f>
        <v>1683.0299498694485</v>
      </c>
      <c r="X54" s="35">
        <f>(Sheet3!$DC54*0.014*0.001*F54) / (O54*0.00015*3600*3)</f>
        <v>1579.5410019320261</v>
      </c>
      <c r="Y54" s="35">
        <f>(Sheet3!$DC54*0.014*0.001*G54) / (P54*0.00015*3600*3)</f>
        <v>1456.7054658331592</v>
      </c>
      <c r="Z54" s="35">
        <f>(Sheet3!$DC54*0.014*0.001*H54) / (Q54*0.00015*3600*3)</f>
        <v>1320.8136229016616</v>
      </c>
      <c r="AA54" s="35">
        <f>(Sheet3!$DC54*0.014*0.001*I54) / (R54*0.00015*3600*3)</f>
        <v>1178.7663141764672</v>
      </c>
      <c r="AB54" s="35">
        <f>(Sheet3!$DC54*0.014*0.001*J54) / (S54*0.00015*3600*3)</f>
        <v>1038.1694277398437</v>
      </c>
      <c r="AC54" s="35">
        <f>(Sheet3!$DC54*0.014*0.001*K54) / (T54*0.00015*3600*3)</f>
        <v>906.54506135768304</v>
      </c>
      <c r="AD54" s="289">
        <f t="shared" si="63"/>
        <v>0.58919269237062322</v>
      </c>
      <c r="AE54" s="35">
        <f>_xlfn.FORECAST.LINEAR(Sheet3!CI54,$DA$3:$DA$12,$CZ$3:$CZ$12)/1000</f>
        <v>0.62949789237381504</v>
      </c>
      <c r="AF54" s="35">
        <f>_xlfn.FORECAST.LINEAR(Sheet3!CJ54,$DA$3:$DA$12,$CZ$3:$CZ$12)/1000</f>
        <v>0.62660842313962284</v>
      </c>
      <c r="AG54" s="35">
        <f>_xlfn.FORECAST.LINEAR(Sheet3!CK54,$DA$3:$DA$12,$CZ$3:$CZ$12)/1000</f>
        <v>0.62271783176085438</v>
      </c>
      <c r="AH54" s="35">
        <f>_xlfn.FORECAST.LINEAR(Sheet3!CL54,$DA$3:$DA$12,$CZ$3:$CZ$12)/1000</f>
        <v>0.61803642427359429</v>
      </c>
      <c r="AI54" s="35">
        <f>_xlfn.FORECAST.LINEAR(Sheet3!CM54,$DA$3:$DA$12,$CZ$3:$CZ$12)/1000</f>
        <v>0.61277450671392719</v>
      </c>
      <c r="AJ54" s="35">
        <f>_xlfn.FORECAST.LINEAR(Sheet3!CN54,$DA$3:$DA$12,$CZ$3:$CZ$12)/1000</f>
        <v>0.60714238511793783</v>
      </c>
      <c r="AK54" s="35">
        <f>_xlfn.FORECAST.LINEAR(Sheet3!CO54,$DA$3:$DA$12,$CZ$3:$CZ$12)/1000</f>
        <v>0.60135036552171062</v>
      </c>
      <c r="AL54" s="35">
        <f>_xlfn.FORECAST.LINEAR(Sheet3!CP54,$DA$3:$DA$12,$CZ$3:$CZ$12)/1000</f>
        <v>0.59560875396133017</v>
      </c>
      <c r="AM54" s="289">
        <f t="shared" si="64"/>
        <v>4189.2877970551908</v>
      </c>
      <c r="AN54" s="35">
        <f>_xlfn.FORECAST.LINEAR(Sheet3!CI54,$DP$3:$DP$14,$DJ$3:$DJ$14)*1000</f>
        <v>4192.8347102663565</v>
      </c>
      <c r="AO54" s="35">
        <f>_xlfn.FORECAST.LINEAR(Sheet3!CJ54,$DP$3:$DP$14,$DJ$3:$DJ$14)*1000</f>
        <v>4192.580432987017</v>
      </c>
      <c r="AP54" s="35">
        <f>_xlfn.FORECAST.LINEAR(Sheet3!CK54,$DP$3:$DP$14,$DJ$3:$DJ$14)*1000</f>
        <v>4192.2380555776626</v>
      </c>
      <c r="AQ54" s="35">
        <f>_xlfn.FORECAST.LINEAR(Sheet3!CL54,$DP$3:$DP$14,$DJ$3:$DJ$14)*1000</f>
        <v>4191.8260852596377</v>
      </c>
      <c r="AR54" s="35">
        <f>_xlfn.FORECAST.LINEAR(Sheet3!CM54,$DP$3:$DP$14,$DJ$3:$DJ$14)*1000</f>
        <v>4191.3630292542839</v>
      </c>
      <c r="AS54" s="35">
        <f>_xlfn.FORECAST.LINEAR(Sheet3!CN54,$DP$3:$DP$14,$DJ$3:$DJ$14)*1000</f>
        <v>4190.8673947829475</v>
      </c>
      <c r="AT54" s="35">
        <f>_xlfn.FORECAST.LINEAR(Sheet3!CO54,$DP$3:$DP$14,$DJ$3:$DJ$14)*1000</f>
        <v>4190.357689066971</v>
      </c>
      <c r="AU54" s="35">
        <f>_xlfn.FORECAST.LINEAR(Sheet3!CP54,$DP$3:$DP$14,$DJ$3:$DJ$14)*1000</f>
        <v>4189.8524193276999</v>
      </c>
      <c r="AV54" s="289">
        <f t="shared" si="18"/>
        <v>1.4041666211195642E-7</v>
      </c>
      <c r="AW54" s="35">
        <f t="shared" si="19"/>
        <v>1.5225072733963604E-7</v>
      </c>
      <c r="AX54" s="35">
        <f t="shared" si="20"/>
        <v>1.5139052610137739E-7</v>
      </c>
      <c r="AY54" s="35">
        <f t="shared" si="21"/>
        <v>1.5023521036846102E-7</v>
      </c>
      <c r="AZ54" s="35">
        <f t="shared" si="22"/>
        <v>1.4884948580614764E-7</v>
      </c>
      <c r="BA54" s="35">
        <f t="shared" si="23"/>
        <v>1.4729766514271965E-7</v>
      </c>
      <c r="BB54" s="35">
        <f t="shared" si="24"/>
        <v>1.4564335432054857E-7</v>
      </c>
      <c r="BC54" s="35">
        <f t="shared" si="25"/>
        <v>1.4394924380578048E-7</v>
      </c>
      <c r="BD54" s="35">
        <f t="shared" si="26"/>
        <v>1.4227700218303956E-7</v>
      </c>
      <c r="BE54" s="289">
        <f t="shared" si="62"/>
        <v>9.576649856146922</v>
      </c>
      <c r="BF54" s="35">
        <f t="shared" si="27"/>
        <v>3.8680831781552656</v>
      </c>
      <c r="BG54" s="35">
        <f t="shared" si="28"/>
        <v>4.0700872998532498</v>
      </c>
      <c r="BH54" s="35">
        <f t="shared" si="29"/>
        <v>4.370102605461887</v>
      </c>
      <c r="BI54" s="35">
        <f t="shared" si="30"/>
        <v>4.7827224494824696</v>
      </c>
      <c r="BJ54" s="35">
        <f t="shared" si="31"/>
        <v>5.3303639712979951</v>
      </c>
      <c r="BK54" s="35">
        <f t="shared" si="32"/>
        <v>6.0405415795668178</v>
      </c>
      <c r="BL54" s="35">
        <f t="shared" si="33"/>
        <v>6.9393156675439149</v>
      </c>
      <c r="BM54" s="35">
        <f t="shared" si="34"/>
        <v>8.040261334822123</v>
      </c>
      <c r="BN54" s="289">
        <f t="shared" si="35"/>
        <v>5.8029334852390136E-3</v>
      </c>
      <c r="BO54" s="35">
        <f t="shared" si="36"/>
        <v>6.291994344138018E-3</v>
      </c>
      <c r="BP54" s="35">
        <f t="shared" si="37"/>
        <v>6.256445211332431E-3</v>
      </c>
      <c r="BQ54" s="35">
        <f t="shared" si="38"/>
        <v>6.2087000203292541E-3</v>
      </c>
      <c r="BR54" s="35">
        <f t="shared" si="39"/>
        <v>6.1514328317846733E-3</v>
      </c>
      <c r="BS54" s="35">
        <f t="shared" si="40"/>
        <v>6.0873014676328004E-3</v>
      </c>
      <c r="BT54" s="35">
        <f t="shared" si="41"/>
        <v>6.018934540798178E-3</v>
      </c>
      <c r="BU54" s="35">
        <f t="shared" si="42"/>
        <v>5.9489228307490899E-3</v>
      </c>
      <c r="BV54" s="35">
        <f t="shared" si="43"/>
        <v>5.8798148861358181E-3</v>
      </c>
      <c r="BW54" s="289">
        <f t="shared" si="44"/>
        <v>6.8504121077868338E-2</v>
      </c>
      <c r="BX54" s="35">
        <f t="shared" si="45"/>
        <v>5.5727868232535539E-2</v>
      </c>
      <c r="BY54" s="35">
        <f t="shared" si="46"/>
        <v>5.6361720353987149E-2</v>
      </c>
      <c r="BZ54" s="35">
        <f t="shared" si="47"/>
        <v>5.7263049977032118E-2</v>
      </c>
      <c r="CA54" s="35">
        <f t="shared" si="48"/>
        <v>5.8433818122308336E-2</v>
      </c>
      <c r="CB54" s="35">
        <f t="shared" si="49"/>
        <v>5.9882071710844462E-2</v>
      </c>
      <c r="CC54" s="35">
        <f t="shared" si="50"/>
        <v>6.1609867217334184E-2</v>
      </c>
      <c r="CD54" s="35">
        <f t="shared" si="51"/>
        <v>6.3597514502664557E-2</v>
      </c>
      <c r="CE54" s="35">
        <f t="shared" si="52"/>
        <v>6.5789994914694394E-2</v>
      </c>
      <c r="CF54" s="289">
        <f t="shared" si="65"/>
        <v>11.512482929620061</v>
      </c>
      <c r="CG54" s="35">
        <f t="shared" si="66"/>
        <v>11.486655376494408</v>
      </c>
      <c r="CH54" s="35">
        <f t="shared" si="67"/>
        <v>11.488532744309477</v>
      </c>
      <c r="CI54" s="35">
        <f t="shared" si="68"/>
        <v>11.491054192171621</v>
      </c>
      <c r="CJ54" s="35">
        <f t="shared" si="69"/>
        <v>11.494078501575203</v>
      </c>
      <c r="CK54" s="35">
        <f t="shared" si="70"/>
        <v>11.497465311589773</v>
      </c>
      <c r="CL54" s="35">
        <f t="shared" si="71"/>
        <v>11.501075803827556</v>
      </c>
      <c r="CM54" s="35">
        <f t="shared" si="72"/>
        <v>11.504773157904882</v>
      </c>
      <c r="CN54" s="35">
        <f t="shared" si="73"/>
        <v>11.50842278366909</v>
      </c>
      <c r="CO54" s="289">
        <f t="shared" si="53"/>
        <v>484.50505808383457</v>
      </c>
      <c r="CP54" s="35">
        <f t="shared" si="54"/>
        <v>516.48752499482714</v>
      </c>
      <c r="CQ54" s="35">
        <f t="shared" si="55"/>
        <v>514.20081336426324</v>
      </c>
      <c r="CR54" s="35">
        <f t="shared" si="56"/>
        <v>511.12031079968483</v>
      </c>
      <c r="CS54" s="35">
        <f t="shared" si="57"/>
        <v>507.4113698166808</v>
      </c>
      <c r="CT54" s="35">
        <f t="shared" si="58"/>
        <v>503.23954534070799</v>
      </c>
      <c r="CU54" s="35">
        <f t="shared" si="59"/>
        <v>498.77075678271905</v>
      </c>
      <c r="CV54" s="35">
        <f t="shared" si="60"/>
        <v>494.17139598217614</v>
      </c>
      <c r="CW54" s="35">
        <f t="shared" si="61"/>
        <v>489.60838244580924</v>
      </c>
    </row>
    <row r="55" spans="1:102" x14ac:dyDescent="0.3">
      <c r="A55" s="190" t="str">
        <f>'Su K. oro stendu'!B100</f>
        <v>2023.01.17-1</v>
      </c>
      <c r="B55" s="289">
        <f>Sheet3!DD55</f>
        <v>8.9</v>
      </c>
      <c r="C55" s="289">
        <f>_xlfn.FORECAST.LINEAR(Sheet3!DD55,$DW$3:$DW$24,$DU$3:$DU$24)</f>
        <v>1001.6511577017433</v>
      </c>
      <c r="D55" s="35">
        <f>_xlfn.FORECAST.LINEAR(Sheet3!CI55,'Cooling water'!$DW$3:$DW$24,'Cooling water'!$DU$3:$DU$24)</f>
        <v>984.71899697197978</v>
      </c>
      <c r="E55" s="35">
        <f>_xlfn.FORECAST.LINEAR(Sheet3!CJ55,'Cooling water'!$DW$3:$DW$24,'Cooling water'!$DU$3:$DU$24)</f>
        <v>986.38179391866458</v>
      </c>
      <c r="F55" s="35">
        <f>_xlfn.FORECAST.LINEAR(Sheet3!CK55,'Cooling water'!$DW$3:$DW$24,'Cooling water'!$DU$3:$DU$24)</f>
        <v>988.14399615333127</v>
      </c>
      <c r="G55" s="35">
        <f>_xlfn.FORECAST.LINEAR(Sheet3!CL55,'Cooling water'!$DW$3:$DW$24,'Cooling water'!$DU$3:$DU$24)</f>
        <v>990.01718643382435</v>
      </c>
      <c r="H55" s="35">
        <f>_xlfn.FORECAST.LINEAR(Sheet3!CM55,'Cooling water'!$DW$3:$DW$24,'Cooling water'!$DU$3:$DU$24)</f>
        <v>992.01294751798787</v>
      </c>
      <c r="I55" s="35">
        <f>_xlfn.FORECAST.LINEAR(Sheet3!CN55,'Cooling water'!$DW$3:$DW$24,'Cooling water'!$DU$3:$DU$24)</f>
        <v>994.14286216366611</v>
      </c>
      <c r="J55" s="35">
        <f>_xlfn.FORECAST.LINEAR(Sheet3!CO55,'Cooling water'!$DW$3:$DW$24,'Cooling water'!$DU$3:$DU$24)</f>
        <v>996.41851312870335</v>
      </c>
      <c r="K55" s="35">
        <f>_xlfn.FORECAST.LINEAR(Sheet3!CP55,'Cooling water'!$DW$3:$DW$24,'Cooling water'!$DU$3:$DU$24)</f>
        <v>998.85148317094377</v>
      </c>
      <c r="L55" s="289">
        <f t="shared" si="17"/>
        <v>1.350720331141364E-3</v>
      </c>
      <c r="M55" s="35">
        <f xml:space="preserve"> 0.0000000000330128*((Sheet3!CI55+273)^(4)) - 0.0000000448315*((Sheet3!CI55+273)^(3)) + 0.0000228887*((Sheet3!CI55+273)^(2)) - 0.00521331*((Sheet3!CI55+273)) + 0.447905</f>
        <v>5.4891444737181772E-4</v>
      </c>
      <c r="N55" s="35">
        <f xml:space="preserve"> 0.0000000000330128*((Sheet3!CJ55+273)^(4)) - 0.0000000448315*((Sheet3!CJ55+273)^(3)) + 0.0000228887*((Sheet3!CJ55+273)^(2)) - 0.00521331*((Sheet3!CJ55+273)) + 0.447905</f>
        <v>5.8718870857354943E-4</v>
      </c>
      <c r="O55" s="35">
        <f xml:space="preserve"> 0.0000000000330128*((Sheet3!CK55+273)^(4)) - 0.0000000448315*((Sheet3!CK55+273)^(3)) + 0.0000228887*((Sheet3!CK55+273)^(2)) - 0.00521331*((Sheet3!CK55+273)) + 0.447905</f>
        <v>6.328385477587517E-4</v>
      </c>
      <c r="P55" s="35">
        <f xml:space="preserve"> 0.0000000000330128*((Sheet3!CL55+273)^(4)) - 0.0000000448315*((Sheet3!CL55+273)^(3)) + 0.0000228887*((Sheet3!CL55+273)^(2)) - 0.00521331*((Sheet3!CL55+273)) + 0.447905</f>
        <v>6.8864142473223922E-4</v>
      </c>
      <c r="Q55" s="35">
        <f xml:space="preserve"> 0.0000000000330128*((Sheet3!CM55+273)^(4)) - 0.0000000448315*((Sheet3!CM55+273)^(3)) + 0.0000228887*((Sheet3!CM55+273)^(2)) - 0.00521331*((Sheet3!CM55+273)) + 0.447905</f>
        <v>7.5855477740138788E-4</v>
      </c>
      <c r="R55" s="35">
        <f xml:space="preserve"> 0.0000000000330128*((Sheet3!CN55+273)^(4)) - 0.0000000448315*((Sheet3!CN55+273)^(3)) + 0.0000228887*((Sheet3!CN55+273)^(2)) - 0.00521331*((Sheet3!CN55+273)) + 0.447905</f>
        <v>8.4820179964251174E-4</v>
      </c>
      <c r="S55" s="35">
        <f xml:space="preserve"> 0.0000000000330128*((Sheet3!CO55+273)^(4)) - 0.0000000448315*((Sheet3!CO55+273)^(3)) + 0.0000228887*((Sheet3!CO55+273)^(2)) - 0.00521331*((Sheet3!CO55+273)) + 0.447905</f>
        <v>9.6553953021549788E-4</v>
      </c>
      <c r="T55" s="35">
        <f xml:space="preserve"> 0.0000000000330128*((Sheet3!CP55+273)^(4)) - 0.0000000448315*((Sheet3!CP55+273)^(3)) + 0.0000228887*((Sheet3!CP55+273)^(2)) - 0.00521331*((Sheet3!CP55+273)) + 0.447905</f>
        <v>1.1217690596547758E-3</v>
      </c>
      <c r="U55" s="289">
        <f>(Sheet3!DC55*0.014*0.001*C55) / (L55*0.00015*3600*3)</f>
        <v>865.16282488413788</v>
      </c>
      <c r="V55" s="35">
        <f>(Sheet3!$DC55*0.014*0.001*D55) / (M55*0.00015*3600*3)</f>
        <v>2092.9287529254179</v>
      </c>
      <c r="W55" s="35">
        <f>(Sheet3!$DC55*0.014*0.001*E55) / (N55*0.00015*3600*3)</f>
        <v>1959.8107776413972</v>
      </c>
      <c r="X55" s="35">
        <f>(Sheet3!$DC55*0.014*0.001*F55) / (O55*0.00015*3600*3)</f>
        <v>1821.6884326369543</v>
      </c>
      <c r="Y55" s="35">
        <f>(Sheet3!$DC55*0.014*0.001*G55) / (P55*0.00015*3600*3)</f>
        <v>1677.2445126846126</v>
      </c>
      <c r="Z55" s="35">
        <f>(Sheet3!$DC55*0.014*0.001*H55) / (Q55*0.00015*3600*3)</f>
        <v>1525.7282311710724</v>
      </c>
      <c r="AA55" s="35">
        <f>(Sheet3!$DC55*0.014*0.001*I55) / (R55*0.00015*3600*3)</f>
        <v>1367.402591788622</v>
      </c>
      <c r="AB55" s="35">
        <f>(Sheet3!$DC55*0.014*0.001*J55) / (S55*0.00015*3600*3)</f>
        <v>1203.9779096950758</v>
      </c>
      <c r="AC55" s="35">
        <f>(Sheet3!$DC55*0.014*0.001*K55) / (T55*0.00015*3600*3)</f>
        <v>1038.8294456300393</v>
      </c>
      <c r="AD55" s="289">
        <f t="shared" si="63"/>
        <v>0.58908478700154276</v>
      </c>
      <c r="AE55" s="35">
        <f>_xlfn.FORECAST.LINEAR(Sheet3!CI55,$DA$3:$DA$12,$CZ$3:$CZ$12)/1000</f>
        <v>0.63312662424927102</v>
      </c>
      <c r="AF55" s="35">
        <f>_xlfn.FORECAST.LINEAR(Sheet3!CJ55,$DA$3:$DA$12,$CZ$3:$CZ$12)/1000</f>
        <v>0.62880156298445677</v>
      </c>
      <c r="AG55" s="35">
        <f>_xlfn.FORECAST.LINEAR(Sheet3!CK55,$DA$3:$DA$12,$CZ$3:$CZ$12)/1000</f>
        <v>0.62421794100877159</v>
      </c>
      <c r="AH55" s="35">
        <f>_xlfn.FORECAST.LINEAR(Sheet3!CL55,$DA$3:$DA$12,$CZ$3:$CZ$12)/1000</f>
        <v>0.61934563068853676</v>
      </c>
      <c r="AI55" s="35">
        <f>_xlfn.FORECAST.LINEAR(Sheet3!CM55,$DA$3:$DA$12,$CZ$3:$CZ$12)/1000</f>
        <v>0.61415450439007357</v>
      </c>
      <c r="AJ55" s="35">
        <f>_xlfn.FORECAST.LINEAR(Sheet3!CN55,$DA$3:$DA$12,$CZ$3:$CZ$12)/1000</f>
        <v>0.60861443447970343</v>
      </c>
      <c r="AK55" s="35">
        <f>_xlfn.FORECAST.LINEAR(Sheet3!CO55,$DA$3:$DA$12,$CZ$3:$CZ$12)/1000</f>
        <v>0.60269529332374738</v>
      </c>
      <c r="AL55" s="35">
        <f>_xlfn.FORECAST.LINEAR(Sheet3!CP55,$DA$3:$DA$12,$CZ$3:$CZ$12)/1000</f>
        <v>0.59636695328852696</v>
      </c>
      <c r="AM55" s="289">
        <f t="shared" si="64"/>
        <v>4189.2783012338296</v>
      </c>
      <c r="AN55" s="35">
        <f>_xlfn.FORECAST.LINEAR(Sheet3!CI55,$DP$3:$DP$14,$DJ$3:$DJ$14)*1000</f>
        <v>4193.1540436781197</v>
      </c>
      <c r="AO55" s="35">
        <f>_xlfn.FORECAST.LINEAR(Sheet3!CJ55,$DP$3:$DP$14,$DJ$3:$DJ$14)*1000</f>
        <v>4192.7734323193354</v>
      </c>
      <c r="AP55" s="35">
        <f>_xlfn.FORECAST.LINEAR(Sheet3!CK55,$DP$3:$DP$14,$DJ$3:$DJ$14)*1000</f>
        <v>4192.3700672612476</v>
      </c>
      <c r="AQ55" s="35">
        <f>_xlfn.FORECAST.LINEAR(Sheet3!CL55,$DP$3:$DP$14,$DJ$3:$DJ$14)*1000</f>
        <v>4191.9412972305227</v>
      </c>
      <c r="AR55" s="35">
        <f>_xlfn.FORECAST.LINEAR(Sheet3!CM55,$DP$3:$DP$14,$DJ$3:$DJ$14)*1000</f>
        <v>4191.4844709538293</v>
      </c>
      <c r="AS55" s="35">
        <f>_xlfn.FORECAST.LINEAR(Sheet3!CN55,$DP$3:$DP$14,$DJ$3:$DJ$14)*1000</f>
        <v>4190.9969371578354</v>
      </c>
      <c r="AT55" s="35">
        <f>_xlfn.FORECAST.LINEAR(Sheet3!CO55,$DP$3:$DP$14,$DJ$3:$DJ$14)*1000</f>
        <v>4190.4760445692073</v>
      </c>
      <c r="AU55" s="35">
        <f>_xlfn.FORECAST.LINEAR(Sheet3!CP55,$DP$3:$DP$14,$DJ$3:$DJ$14)*1000</f>
        <v>4189.9191419146136</v>
      </c>
      <c r="AV55" s="289">
        <f t="shared" si="18"/>
        <v>1.4038544976410841E-7</v>
      </c>
      <c r="AW55" s="35">
        <f t="shared" si="19"/>
        <v>1.53333639171516E-7</v>
      </c>
      <c r="AX55" s="35">
        <f t="shared" si="20"/>
        <v>1.520432590227356E-7</v>
      </c>
      <c r="AY55" s="35">
        <f t="shared" si="21"/>
        <v>1.5068027321886175E-7</v>
      </c>
      <c r="AZ55" s="35">
        <f t="shared" si="22"/>
        <v>1.4923653327302344E-7</v>
      </c>
      <c r="BA55" s="35">
        <f t="shared" si="23"/>
        <v>1.4770406216318833E-7</v>
      </c>
      <c r="BB55" s="35">
        <f t="shared" si="24"/>
        <v>1.4607507103189938E-7</v>
      </c>
      <c r="BC55" s="35">
        <f t="shared" si="25"/>
        <v>1.4434197708323309E-7</v>
      </c>
      <c r="BD55" s="35">
        <f t="shared" si="26"/>
        <v>1.4249742253131002E-7</v>
      </c>
      <c r="BE55" s="289">
        <f t="shared" si="62"/>
        <v>9.6056518503694956</v>
      </c>
      <c r="BF55" s="35">
        <f t="shared" si="27"/>
        <v>3.6354225939553486</v>
      </c>
      <c r="BG55" s="35">
        <f t="shared" si="28"/>
        <v>3.9153039082473393</v>
      </c>
      <c r="BH55" s="35">
        <f t="shared" si="29"/>
        <v>4.2502677522298038</v>
      </c>
      <c r="BI55" s="35">
        <f t="shared" si="30"/>
        <v>4.6609587349627333</v>
      </c>
      <c r="BJ55" s="35">
        <f t="shared" si="31"/>
        <v>5.1769881147470178</v>
      </c>
      <c r="BK55" s="35">
        <f t="shared" si="32"/>
        <v>5.8408262160796314</v>
      </c>
      <c r="BL55" s="35">
        <f t="shared" si="33"/>
        <v>6.7132932947582171</v>
      </c>
      <c r="BM55" s="35">
        <f t="shared" si="34"/>
        <v>7.8812577221748663</v>
      </c>
      <c r="BN55" s="289">
        <f t="shared" si="35"/>
        <v>5.1570165219468377E-3</v>
      </c>
      <c r="BO55" s="35">
        <f t="shared" si="36"/>
        <v>5.6326642960965031E-3</v>
      </c>
      <c r="BP55" s="35">
        <f t="shared" si="37"/>
        <v>5.5852625763453869E-3</v>
      </c>
      <c r="BQ55" s="35">
        <f t="shared" si="38"/>
        <v>5.5351937100806348E-3</v>
      </c>
      <c r="BR55" s="35">
        <f t="shared" si="39"/>
        <v>5.4821583651314711E-3</v>
      </c>
      <c r="BS55" s="35">
        <f t="shared" si="40"/>
        <v>5.4258635080354882E-3</v>
      </c>
      <c r="BT55" s="35">
        <f t="shared" si="41"/>
        <v>5.3660230174983432E-3</v>
      </c>
      <c r="BU55" s="35">
        <f t="shared" si="42"/>
        <v>5.3023583418330524E-3</v>
      </c>
      <c r="BV55" s="35">
        <f t="shared" si="43"/>
        <v>5.234599195027714E-3</v>
      </c>
      <c r="BW55" s="289">
        <f t="shared" si="44"/>
        <v>6.6562977315387073E-2</v>
      </c>
      <c r="BX55" s="35">
        <f t="shared" si="45"/>
        <v>5.3372628413518815E-2</v>
      </c>
      <c r="BY55" s="35">
        <f t="shared" si="46"/>
        <v>5.4256736343745983E-2</v>
      </c>
      <c r="BZ55" s="35">
        <f t="shared" si="47"/>
        <v>5.5257174836981525E-2</v>
      </c>
      <c r="CA55" s="35">
        <f t="shared" si="48"/>
        <v>5.6410260720582812E-2</v>
      </c>
      <c r="CB55" s="35">
        <f t="shared" si="49"/>
        <v>5.7761425986308838E-2</v>
      </c>
      <c r="CC55" s="35">
        <f t="shared" si="50"/>
        <v>5.9365359515067877E-2</v>
      </c>
      <c r="CD55" s="35">
        <f t="shared" si="51"/>
        <v>6.1284771650797883E-2</v>
      </c>
      <c r="CE55" s="35">
        <f t="shared" si="52"/>
        <v>6.3587410461496713E-2</v>
      </c>
      <c r="CF55" s="289">
        <f t="shared" si="65"/>
        <v>11.546594133533915</v>
      </c>
      <c r="CG55" s="35">
        <f t="shared" si="66"/>
        <v>11.521474932247587</v>
      </c>
      <c r="CH55" s="35">
        <f t="shared" si="67"/>
        <v>11.523978241217916</v>
      </c>
      <c r="CI55" s="35">
        <f t="shared" si="68"/>
        <v>11.526622403554493</v>
      </c>
      <c r="CJ55" s="35">
        <f t="shared" si="69"/>
        <v>11.529423227141756</v>
      </c>
      <c r="CK55" s="35">
        <f t="shared" si="70"/>
        <v>11.532396187226153</v>
      </c>
      <c r="CL55" s="35">
        <f t="shared" si="71"/>
        <v>11.535556394019009</v>
      </c>
      <c r="CM55" s="35">
        <f t="shared" si="72"/>
        <v>11.538918557976833</v>
      </c>
      <c r="CN55" s="35">
        <f t="shared" si="73"/>
        <v>11.542496953041619</v>
      </c>
      <c r="CO55" s="289">
        <f t="shared" si="53"/>
        <v>485.85163898186352</v>
      </c>
      <c r="CP55" s="35">
        <f t="shared" si="54"/>
        <v>521.03946644475093</v>
      </c>
      <c r="CQ55" s="35">
        <f t="shared" si="55"/>
        <v>517.5925378483355</v>
      </c>
      <c r="CR55" s="35">
        <f t="shared" si="56"/>
        <v>513.93746453802589</v>
      </c>
      <c r="CS55" s="35">
        <f t="shared" si="57"/>
        <v>510.04985000636964</v>
      </c>
      <c r="CT55" s="35">
        <f t="shared" si="58"/>
        <v>505.90521891398942</v>
      </c>
      <c r="CU55" s="35">
        <f t="shared" si="59"/>
        <v>501.47900936818615</v>
      </c>
      <c r="CV55" s="35">
        <f t="shared" si="60"/>
        <v>496.74656463847714</v>
      </c>
      <c r="CW55" s="35">
        <f t="shared" si="61"/>
        <v>491.6831243733954</v>
      </c>
      <c r="CX55" s="35"/>
    </row>
    <row r="56" spans="1:102" x14ac:dyDescent="0.3">
      <c r="A56" s="184" t="str">
        <f>'Su K. oro stendu'!B101</f>
        <v>2023.01.17-2</v>
      </c>
      <c r="B56" s="289">
        <f>Sheet3!DD56</f>
        <v>8.8000000000000007</v>
      </c>
      <c r="C56" s="289">
        <f>_xlfn.FORECAST.LINEAR(Sheet3!DD56,$DW$3:$DW$24,$DU$3:$DU$24)</f>
        <v>1001.6926425980839</v>
      </c>
      <c r="D56" s="35">
        <f>_xlfn.FORECAST.LINEAR(Sheet3!CI56,'Cooling water'!$DW$3:$DW$24,'Cooling water'!$DU$3:$DU$24)</f>
        <v>983.76534523163616</v>
      </c>
      <c r="E56" s="35">
        <f>_xlfn.FORECAST.LINEAR(Sheet3!CJ56,'Cooling water'!$DW$3:$DW$24,'Cooling water'!$DU$3:$DU$24)</f>
        <v>985.6030942822216</v>
      </c>
      <c r="F56" s="35">
        <f>_xlfn.FORECAST.LINEAR(Sheet3!CK56,'Cooling water'!$DW$3:$DW$24,'Cooling water'!$DU$3:$DU$24)</f>
        <v>987.48199927113717</v>
      </c>
      <c r="G56" s="35">
        <f>_xlfn.FORECAST.LINEAR(Sheet3!CL56,'Cooling water'!$DW$3:$DW$24,'Cooling water'!$DU$3:$DU$24)</f>
        <v>989.43249028931643</v>
      </c>
      <c r="H56" s="35">
        <f>_xlfn.FORECAST.LINEAR(Sheet3!CM56,'Cooling water'!$DW$3:$DW$24,'Cooling water'!$DU$3:$DU$24)</f>
        <v>991.48499742769309</v>
      </c>
      <c r="I56" s="35">
        <f>_xlfn.FORECAST.LINEAR(Sheet3!CN56,'Cooling water'!$DW$3:$DW$24,'Cooling water'!$DU$3:$DU$24)</f>
        <v>993.66995077720048</v>
      </c>
      <c r="J56" s="35">
        <f>_xlfn.FORECAST.LINEAR(Sheet3!CO56,'Cooling water'!$DW$3:$DW$24,'Cooling water'!$DU$3:$DU$24)</f>
        <v>996.01778042877254</v>
      </c>
      <c r="K56" s="35">
        <f>_xlfn.FORECAST.LINEAR(Sheet3!CP56,'Cooling water'!$DW$3:$DW$24,'Cooling water'!$DU$3:$DU$24)</f>
        <v>998.55891647334272</v>
      </c>
      <c r="L56" s="289">
        <f t="shared" si="17"/>
        <v>1.3545692019232281E-3</v>
      </c>
      <c r="M56" s="35">
        <f xml:space="preserve"> 0.0000000000330128*((Sheet3!CI56+273)^(4)) - 0.0000000448315*((Sheet3!CI56+273)^(3)) + 0.0000228887*((Sheet3!CI56+273)^(2)) - 0.00521331*((Sheet3!CI56+273)) + 0.447905</f>
        <v>5.2867698218683756E-4</v>
      </c>
      <c r="N56" s="35">
        <f xml:space="preserve"> 0.0000000000330128*((Sheet3!CJ56+273)^(4)) - 0.0000000448315*((Sheet3!CJ56+273)^(3)) + 0.0000228887*((Sheet3!CJ56+273)^(2)) - 0.00521331*((Sheet3!CJ56+273)) + 0.447905</f>
        <v>5.6875024832647725E-4</v>
      </c>
      <c r="O56" s="35">
        <f xml:space="preserve"> 0.0000000000330128*((Sheet3!CK56+273)^(4)) - 0.0000000448315*((Sheet3!CK56+273)^(3)) + 0.0000228887*((Sheet3!CK56+273)^(2)) - 0.00521331*((Sheet3!CK56+273)) + 0.447905</f>
        <v>6.1499551082433435E-4</v>
      </c>
      <c r="P56" s="35">
        <f xml:space="preserve"> 0.0000000000330128*((Sheet3!CL56+273)^(4)) - 0.0000000448315*((Sheet3!CL56+273)^(3)) + 0.0000228887*((Sheet3!CL56+273)^(2)) - 0.00521331*((Sheet3!CL56+273)) + 0.447905</f>
        <v>6.7030795755518291E-4</v>
      </c>
      <c r="Q56" s="35">
        <f xml:space="preserve"> 0.0000000000330128*((Sheet3!CM56+273)^(4)) - 0.0000000448315*((Sheet3!CM56+273)^(3)) + 0.0000228887*((Sheet3!CM56+273)^(2)) - 0.00521331*((Sheet3!CM56+273)) + 0.447905</f>
        <v>7.3886439899717438E-4</v>
      </c>
      <c r="R56" s="35">
        <f xml:space="preserve"> 0.0000000000330128*((Sheet3!CN56+273)^(4)) - 0.0000000448315*((Sheet3!CN56+273)^(3)) + 0.0000228887*((Sheet3!CN56+273)^(2)) - 0.00521331*((Sheet3!CN56+273)) + 0.447905</f>
        <v>8.2676885855148541E-4</v>
      </c>
      <c r="S56" s="35">
        <f xml:space="preserve"> 0.0000000000330128*((Sheet3!CO56+273)^(4)) - 0.0000000448315*((Sheet3!CO56+273)^(3)) + 0.0000228887*((Sheet3!CO56+273)^(2)) - 0.00521331*((Sheet3!CO56+273)) + 0.447905</f>
        <v>9.4303470000500766E-4</v>
      </c>
      <c r="T56" s="35">
        <f xml:space="preserve"> 0.0000000000330128*((Sheet3!CP56+273)^(4)) - 0.0000000448315*((Sheet3!CP56+273)^(3)) + 0.0000228887*((Sheet3!CP56+273)^(2)) - 0.00521331*((Sheet3!CP56+273)) + 0.447905</f>
        <v>1.1010626257810241E-3</v>
      </c>
      <c r="U56" s="289">
        <f>(Sheet3!DC56*0.014*0.001*C56) / (L56*0.00015*3600*3)</f>
        <v>958.60031424274177</v>
      </c>
      <c r="V56" s="35">
        <f>(Sheet3!$DC56*0.014*0.001*D56) / (M56*0.00015*3600*3)</f>
        <v>2412.1560355690622</v>
      </c>
      <c r="W56" s="35">
        <f>(Sheet3!$DC56*0.014*0.001*E56) / (N56*0.00015*3600*3)</f>
        <v>2246.3878380635347</v>
      </c>
      <c r="X56" s="35">
        <f>(Sheet3!$DC56*0.014*0.001*F56) / (O56*0.00015*3600*3)</f>
        <v>2081.4286214848048</v>
      </c>
      <c r="Y56" s="35">
        <f>(Sheet3!$DC56*0.014*0.001*G56) / (P56*0.00015*3600*3)</f>
        <v>1913.4453919886112</v>
      </c>
      <c r="Z56" s="35">
        <f>(Sheet3!$DC56*0.014*0.001*H56) / (Q56*0.00015*3600*3)</f>
        <v>1739.5050184354284</v>
      </c>
      <c r="AA56" s="35">
        <f>(Sheet3!$DC56*0.014*0.001*I56) / (R56*0.00015*3600*3)</f>
        <v>1557.9816095034921</v>
      </c>
      <c r="AB56" s="35">
        <f>(Sheet3!$DC56*0.014*0.001*J56) / (S56*0.00015*3600*3)</f>
        <v>1369.1268834627399</v>
      </c>
      <c r="AC56" s="35">
        <f>(Sheet3!$DC56*0.014*0.001*K56) / (T56*0.00015*3600*3)</f>
        <v>1175.6172580463822</v>
      </c>
      <c r="AD56" s="289">
        <f t="shared" si="63"/>
        <v>0.58897688163246231</v>
      </c>
      <c r="AE56" s="35">
        <f>_xlfn.FORECAST.LINEAR(Sheet3!CI56,$DA$3:$DA$12,$CZ$3:$CZ$12)/1000</f>
        <v>0.63560714492289072</v>
      </c>
      <c r="AF56" s="35">
        <f>_xlfn.FORECAST.LINEAR(Sheet3!CJ56,$DA$3:$DA$12,$CZ$3:$CZ$12)/1000</f>
        <v>0.63082701993590184</v>
      </c>
      <c r="AG56" s="35">
        <f>_xlfn.FORECAST.LINEAR(Sheet3!CK56,$DA$3:$DA$12,$CZ$3:$CZ$12)/1000</f>
        <v>0.62593984522462565</v>
      </c>
      <c r="AH56" s="35">
        <f>_xlfn.FORECAST.LINEAR(Sheet3!CL56,$DA$3:$DA$12,$CZ$3:$CZ$12)/1000</f>
        <v>0.62086646980923588</v>
      </c>
      <c r="AI56" s="35">
        <f>_xlfn.FORECAST.LINEAR(Sheet3!CM56,$DA$3:$DA$12,$CZ$3:$CZ$12)/1000</f>
        <v>0.61552774270990696</v>
      </c>
      <c r="AJ56" s="35">
        <f>_xlfn.FORECAST.LINEAR(Sheet3!CN56,$DA$3:$DA$12,$CZ$3:$CZ$12)/1000</f>
        <v>0.60984451294681274</v>
      </c>
      <c r="AK56" s="35">
        <f>_xlfn.FORECAST.LINEAR(Sheet3!CO56,$DA$3:$DA$12,$CZ$3:$CZ$12)/1000</f>
        <v>0.60373762954012711</v>
      </c>
      <c r="AL56" s="35">
        <f>_xlfn.FORECAST.LINEAR(Sheet3!CP56,$DA$3:$DA$12,$CZ$3:$CZ$12)/1000</f>
        <v>0.59712794151002435</v>
      </c>
      <c r="AM56" s="289">
        <f t="shared" si="64"/>
        <v>4189.2688054124683</v>
      </c>
      <c r="AN56" s="35">
        <f>_xlfn.FORECAST.LINEAR(Sheet3!CI56,$DP$3:$DP$14,$DJ$3:$DJ$14)*1000</f>
        <v>4193.3723329198838</v>
      </c>
      <c r="AO56" s="35">
        <f>_xlfn.FORECAST.LINEAR(Sheet3!CJ56,$DP$3:$DP$14,$DJ$3:$DJ$14)*1000</f>
        <v>4192.9516753256767</v>
      </c>
      <c r="AP56" s="35">
        <f>_xlfn.FORECAST.LINEAR(Sheet3!CK56,$DP$3:$DP$14,$DJ$3:$DJ$14)*1000</f>
        <v>4192.5215972080305</v>
      </c>
      <c r="AQ56" s="35">
        <f>_xlfn.FORECAST.LINEAR(Sheet3!CL56,$DP$3:$DP$14,$DJ$3:$DJ$14)*1000</f>
        <v>4192.0751331715137</v>
      </c>
      <c r="AR56" s="35">
        <f>_xlfn.FORECAST.LINEAR(Sheet3!CM56,$DP$3:$DP$14,$DJ$3:$DJ$14)*1000</f>
        <v>4191.605317820693</v>
      </c>
      <c r="AS56" s="35">
        <f>_xlfn.FORECAST.LINEAR(Sheet3!CN56,$DP$3:$DP$14,$DJ$3:$DJ$14)*1000</f>
        <v>4191.1051857601351</v>
      </c>
      <c r="AT56" s="35">
        <f>_xlfn.FORECAST.LINEAR(Sheet3!CO56,$DP$3:$DP$14,$DJ$3:$DJ$14)*1000</f>
        <v>4190.5677715944066</v>
      </c>
      <c r="AU56" s="35">
        <f>_xlfn.FORECAST.LINEAR(Sheet3!CP56,$DP$3:$DP$14,$DJ$3:$DJ$14)*1000</f>
        <v>4189.9861099280761</v>
      </c>
      <c r="AV56" s="289">
        <f t="shared" si="18"/>
        <v>1.4035423988643738E-7</v>
      </c>
      <c r="AW56" s="35">
        <f t="shared" si="19"/>
        <v>1.5407558497746645E-7</v>
      </c>
      <c r="AX56" s="35">
        <f t="shared" si="20"/>
        <v>1.5264703450685906E-7</v>
      </c>
      <c r="AY56" s="35">
        <f t="shared" si="21"/>
        <v>1.5119175282632058E-7</v>
      </c>
      <c r="AZ56" s="35">
        <f t="shared" si="22"/>
        <v>1.4968661972774363E-7</v>
      </c>
      <c r="BA56" s="35">
        <f t="shared" si="23"/>
        <v>1.4810888149873357E-7</v>
      </c>
      <c r="BB56" s="35">
        <f t="shared" si="24"/>
        <v>1.4643618410334523E-7</v>
      </c>
      <c r="BC56" s="35">
        <f t="shared" si="25"/>
        <v>1.4464661849571637E-7</v>
      </c>
      <c r="BD56" s="35">
        <f t="shared" si="26"/>
        <v>1.4271877732270087E-7</v>
      </c>
      <c r="BE56" s="289">
        <f t="shared" si="62"/>
        <v>9.6347661162201312</v>
      </c>
      <c r="BF56" s="35">
        <f t="shared" si="27"/>
        <v>3.4879082903053469</v>
      </c>
      <c r="BG56" s="35">
        <f t="shared" si="28"/>
        <v>3.7803426790512402</v>
      </c>
      <c r="BH56" s="35">
        <f t="shared" si="29"/>
        <v>4.1192168560410547</v>
      </c>
      <c r="BI56" s="35">
        <f t="shared" si="30"/>
        <v>4.5259028423574694</v>
      </c>
      <c r="BJ56" s="35">
        <f t="shared" si="31"/>
        <v>5.0315001730873234</v>
      </c>
      <c r="BK56" s="35">
        <f t="shared" si="32"/>
        <v>5.6818995283840863</v>
      </c>
      <c r="BL56" s="35">
        <f t="shared" si="33"/>
        <v>6.5456427228933007</v>
      </c>
      <c r="BM56" s="35">
        <f t="shared" si="34"/>
        <v>7.7260446002860137</v>
      </c>
      <c r="BN56" s="289">
        <f t="shared" si="35"/>
        <v>4.6402830329801718E-3</v>
      </c>
      <c r="BO56" s="35">
        <f t="shared" si="36"/>
        <v>5.0939275033366439E-3</v>
      </c>
      <c r="BP56" s="35">
        <f t="shared" si="37"/>
        <v>5.0466978755328885E-3</v>
      </c>
      <c r="BQ56" s="35">
        <f t="shared" si="38"/>
        <v>4.9985844811967182E-3</v>
      </c>
      <c r="BR56" s="35">
        <f t="shared" si="39"/>
        <v>4.9488229379376454E-3</v>
      </c>
      <c r="BS56" s="35">
        <f t="shared" si="40"/>
        <v>4.8966609801622115E-3</v>
      </c>
      <c r="BT56" s="35">
        <f t="shared" si="41"/>
        <v>4.8413595560697796E-3</v>
      </c>
      <c r="BU56" s="35">
        <f t="shared" si="42"/>
        <v>4.7821943257767442E-3</v>
      </c>
      <c r="BV56" s="35">
        <f t="shared" si="43"/>
        <v>4.7184575359750071E-3</v>
      </c>
      <c r="BW56" s="289">
        <f t="shared" si="44"/>
        <v>6.4878053297720173E-2</v>
      </c>
      <c r="BX56" s="35">
        <f t="shared" si="45"/>
        <v>5.1511696405517719E-2</v>
      </c>
      <c r="BY56" s="35">
        <f t="shared" si="46"/>
        <v>5.2436780255318782E-2</v>
      </c>
      <c r="BZ56" s="35">
        <f t="shared" si="47"/>
        <v>5.3446198627728904E-2</v>
      </c>
      <c r="CA56" s="35">
        <f t="shared" si="48"/>
        <v>5.458246988328213E-2</v>
      </c>
      <c r="CB56" s="35">
        <f t="shared" si="49"/>
        <v>5.5898580620762799E-2</v>
      </c>
      <c r="CC56" s="35">
        <f t="shared" si="50"/>
        <v>5.7460132110445095E-2</v>
      </c>
      <c r="CD56" s="35">
        <f t="shared" si="51"/>
        <v>5.934665935369552E-2</v>
      </c>
      <c r="CE56" s="35">
        <f t="shared" si="52"/>
        <v>6.1651083512129529E-2</v>
      </c>
      <c r="CF56" s="289">
        <f t="shared" si="65"/>
        <v>11.573883092352119</v>
      </c>
      <c r="CG56" s="35">
        <f t="shared" si="66"/>
        <v>11.549925896749373</v>
      </c>
      <c r="CH56" s="35">
        <f t="shared" si="67"/>
        <v>11.552420117456286</v>
      </c>
      <c r="CI56" s="35">
        <f t="shared" si="68"/>
        <v>11.554961010324037</v>
      </c>
      <c r="CJ56" s="35">
        <f t="shared" si="69"/>
        <v>11.557588942776107</v>
      </c>
      <c r="CK56" s="35">
        <f t="shared" si="70"/>
        <v>11.560343642341753</v>
      </c>
      <c r="CL56" s="35">
        <f t="shared" si="71"/>
        <v>11.563264138723095</v>
      </c>
      <c r="CM56" s="35">
        <f t="shared" si="72"/>
        <v>11.566388684678429</v>
      </c>
      <c r="CN56" s="35">
        <f t="shared" si="73"/>
        <v>11.569754657020541</v>
      </c>
      <c r="CO56" s="289">
        <f t="shared" si="53"/>
        <v>486.91068372230222</v>
      </c>
      <c r="CP56" s="35">
        <f t="shared" si="54"/>
        <v>524.37253023598771</v>
      </c>
      <c r="CQ56" s="35">
        <f t="shared" si="55"/>
        <v>520.54133969589361</v>
      </c>
      <c r="CR56" s="35">
        <f t="shared" si="56"/>
        <v>516.622179027058</v>
      </c>
      <c r="CS56" s="35">
        <f t="shared" si="57"/>
        <v>512.55138902911858</v>
      </c>
      <c r="CT56" s="35">
        <f t="shared" si="58"/>
        <v>508.26515908010305</v>
      </c>
      <c r="CU56" s="35">
        <f t="shared" si="59"/>
        <v>503.69951333963803</v>
      </c>
      <c r="CV56" s="35">
        <f t="shared" si="60"/>
        <v>498.79029191625028</v>
      </c>
      <c r="CW56" s="35">
        <f t="shared" si="61"/>
        <v>493.4731272944781</v>
      </c>
    </row>
    <row r="57" spans="1:102" x14ac:dyDescent="0.3">
      <c r="A57" s="184">
        <f>'Su K. oro stendu'!B102</f>
        <v>44944</v>
      </c>
      <c r="B57" s="289">
        <f>Sheet3!DD57</f>
        <v>7.9</v>
      </c>
      <c r="C57" s="289">
        <f>_xlfn.FORECAST.LINEAR(Sheet3!DD57,$DW$3:$DW$24,$DU$3:$DU$24)</f>
        <v>1002.0660066651499</v>
      </c>
      <c r="D57" s="35">
        <f>_xlfn.FORECAST.LINEAR(Sheet3!CI57,'Cooling water'!$DW$3:$DW$24,'Cooling water'!$DU$3:$DU$24)</f>
        <v>991.44408993132436</v>
      </c>
      <c r="E57" s="35">
        <f>_xlfn.FORECAST.LINEAR(Sheet3!CJ57,'Cooling water'!$DW$3:$DW$24,'Cooling water'!$DU$3:$DU$24)</f>
        <v>992.58648128526283</v>
      </c>
      <c r="F57" s="35">
        <f>_xlfn.FORECAST.LINEAR(Sheet3!CK57,'Cooling water'!$DW$3:$DW$24,'Cooling water'!$DU$3:$DU$24)</f>
        <v>993.6983359563219</v>
      </c>
      <c r="G57" s="35">
        <f>_xlfn.FORECAST.LINEAR(Sheet3!CL57,'Cooling water'!$DW$3:$DW$24,'Cooling water'!$DU$3:$DU$24)</f>
        <v>994.82037238840746</v>
      </c>
      <c r="H57" s="35">
        <f>_xlfn.FORECAST.LINEAR(Sheet3!CM57,'Cooling water'!$DW$3:$DW$24,'Cooling water'!$DU$3:$DU$24)</f>
        <v>995.99330902542488</v>
      </c>
      <c r="I57" s="35">
        <f>_xlfn.FORECAST.LINEAR(Sheet3!CN57,'Cooling water'!$DW$3:$DW$24,'Cooling water'!$DU$3:$DU$24)</f>
        <v>997.25786431128006</v>
      </c>
      <c r="J57" s="35">
        <f>_xlfn.FORECAST.LINEAR(Sheet3!CO57,'Cooling water'!$DW$3:$DW$24,'Cooling water'!$DU$3:$DU$24)</f>
        <v>998.65475668987847</v>
      </c>
      <c r="K57" s="35">
        <f>_xlfn.FORECAST.LINEAR(Sheet3!CP57,'Cooling water'!$DW$3:$DW$24,'Cooling water'!$DU$3:$DU$24)</f>
        <v>1000.2247046051258</v>
      </c>
      <c r="L57" s="289">
        <f t="shared" si="17"/>
        <v>1.3898604534543502E-3</v>
      </c>
      <c r="M57" s="35">
        <f xml:space="preserve"> 0.0000000000330128*((Sheet3!CI57+273)^(4)) - 0.0000000448315*((Sheet3!CI57+273)^(3)) + 0.0000228887*((Sheet3!CI57+273)^(2)) - 0.00521331*((Sheet3!CI57+273)) + 0.447905</f>
        <v>7.373766218583544E-4</v>
      </c>
      <c r="N57" s="35">
        <f xml:space="preserve"> 0.0000000000330128*((Sheet3!CJ57+273)^(4)) - 0.0000000448315*((Sheet3!CJ57+273)^(3)) + 0.0000228887*((Sheet3!CJ57+273)^(2)) - 0.00521331*((Sheet3!CJ57+273)) + 0.447905</f>
        <v>7.8101972565414179E-4</v>
      </c>
      <c r="O57" s="35">
        <f xml:space="preserve"> 0.0000000000330128*((Sheet3!CK57+273)^(4)) - 0.0000000448315*((Sheet3!CK57+273)^(3)) + 0.0000228887*((Sheet3!CK57+273)^(2)) - 0.00521331*((Sheet3!CK57+273)) + 0.447905</f>
        <v>8.280292194877692E-4</v>
      </c>
      <c r="P57" s="35">
        <f xml:space="preserve"> 0.0000000000330128*((Sheet3!CL57+273)^(4)) - 0.0000000448315*((Sheet3!CL57+273)^(3)) + 0.0000228887*((Sheet3!CL57+273)^(2)) - 0.00521331*((Sheet3!CL57+273)) + 0.447905</f>
        <v>8.805827580327108E-4</v>
      </c>
      <c r="Q57" s="35">
        <f xml:space="preserve"> 0.0000000000330128*((Sheet3!CM57+273)^(4)) - 0.0000000448315*((Sheet3!CM57+273)^(3)) + 0.0000228887*((Sheet3!CM57+273)^(2)) - 0.00521331*((Sheet3!CM57+273)) + 0.447905</f>
        <v>9.4168745286538069E-4</v>
      </c>
      <c r="R57" s="35">
        <f xml:space="preserve"> 0.0000000000330128*((Sheet3!CN57+273)^(4)) - 0.0000000448315*((Sheet3!CN57+273)^(3)) + 0.0000228887*((Sheet3!CN57+273)^(2)) - 0.00521331*((Sheet3!CN57+273)) + 0.447905</f>
        <v>1.0154919730287482E-3</v>
      </c>
      <c r="S57" s="35">
        <f xml:space="preserve"> 0.0000000000330128*((Sheet3!CO57+273)^(4)) - 0.0000000448315*((Sheet3!CO57+273)^(3)) + 0.0000228887*((Sheet3!CO57+273)^(2)) - 0.00521331*((Sheet3!CO57+273)) + 0.447905</f>
        <v>1.107784097820419E-3</v>
      </c>
      <c r="T57" s="35">
        <f xml:space="preserve"> 0.0000000000330128*((Sheet3!CP57+273)^(4)) - 0.0000000448315*((Sheet3!CP57+273)^(3)) + 0.0000228887*((Sheet3!CP57+273)^(2)) - 0.00521331*((Sheet3!CP57+273)) + 0.447905</f>
        <v>1.226777218975128E-3</v>
      </c>
      <c r="U57" s="289">
        <f>(Sheet3!DC57*0.014*0.001*C57) / (L57*0.00015*3600*3)</f>
        <v>2523.4411228919962</v>
      </c>
      <c r="V57" s="35">
        <f>(Sheet3!$DC57*0.014*0.001*D57) / (M57*0.00015*3600*3)</f>
        <v>4705.9456618170516</v>
      </c>
      <c r="W57" s="35">
        <f>(Sheet3!$DC57*0.014*0.001*E57) / (N57*0.00015*3600*3)</f>
        <v>4448.0985183680641</v>
      </c>
      <c r="X57" s="35">
        <f>(Sheet3!$DC57*0.014*0.001*F57) / (O57*0.00015*3600*3)</f>
        <v>4200.2674470819202</v>
      </c>
      <c r="Y57" s="35">
        <f>(Sheet3!$DC57*0.014*0.001*G57) / (P57*0.00015*3600*3)</f>
        <v>3954.0534624345732</v>
      </c>
      <c r="Z57" s="35">
        <f>(Sheet3!$DC57*0.014*0.001*H57) / (Q57*0.00015*3600*3)</f>
        <v>3701.8403197173384</v>
      </c>
      <c r="AA57" s="35">
        <f>(Sheet3!$DC57*0.014*0.001*I57) / (R57*0.00015*3600*3)</f>
        <v>3437.1542245471478</v>
      </c>
      <c r="AB57" s="35">
        <f>(Sheet3!$DC57*0.014*0.001*J57) / (S57*0.00015*3600*3)</f>
        <v>3155.210167117953</v>
      </c>
      <c r="AC57" s="35">
        <f>(Sheet3!$DC57*0.014*0.001*K57) / (T57*0.00015*3600*3)</f>
        <v>2853.6448280663058</v>
      </c>
      <c r="AD57" s="289">
        <f t="shared" si="63"/>
        <v>0.58800573331073824</v>
      </c>
      <c r="AE57" s="35">
        <f>_xlfn.FORECAST.LINEAR(Sheet3!CI57,$DA$3:$DA$12,$CZ$3:$CZ$12)/1000</f>
        <v>0.61563414621776613</v>
      </c>
      <c r="AF57" s="35">
        <f>_xlfn.FORECAST.LINEAR(Sheet3!CJ57,$DA$3:$DA$12,$CZ$3:$CZ$12)/1000</f>
        <v>0.61266269946112573</v>
      </c>
      <c r="AG57" s="35">
        <f>_xlfn.FORECAST.LINEAR(Sheet3!CK57,$DA$3:$DA$12,$CZ$3:$CZ$12)/1000</f>
        <v>0.6097706809380653</v>
      </c>
      <c r="AH57" s="35">
        <f>_xlfn.FORECAST.LINEAR(Sheet3!CL57,$DA$3:$DA$12,$CZ$3:$CZ$12)/1000</f>
        <v>0.60685217888055376</v>
      </c>
      <c r="AI57" s="35">
        <f>_xlfn.FORECAST.LINEAR(Sheet3!CM57,$DA$3:$DA$12,$CZ$3:$CZ$12)/1000</f>
        <v>0.60380128152056023</v>
      </c>
      <c r="AJ57" s="35">
        <f>_xlfn.FORECAST.LINEAR(Sheet3!CN57,$DA$3:$DA$12,$CZ$3:$CZ$12)/1000</f>
        <v>0.60051207709005372</v>
      </c>
      <c r="AK57" s="35">
        <f>_xlfn.FORECAST.LINEAR(Sheet3!CO57,$DA$3:$DA$12,$CZ$3:$CZ$12)/1000</f>
        <v>0.59687865382100336</v>
      </c>
      <c r="AL57" s="35">
        <f>_xlfn.FORECAST.LINEAR(Sheet3!CP57,$DA$3:$DA$12,$CZ$3:$CZ$12)/1000</f>
        <v>0.59279509994537816</v>
      </c>
      <c r="AM57" s="289">
        <f t="shared" si="64"/>
        <v>4189.1833430202205</v>
      </c>
      <c r="AN57" s="35">
        <f>_xlfn.FORECAST.LINEAR(Sheet3!CI57,$DP$3:$DP$14,$DJ$3:$DJ$14)*1000</f>
        <v>4191.6146814761942</v>
      </c>
      <c r="AO57" s="35">
        <f>_xlfn.FORECAST.LINEAR(Sheet3!CJ57,$DP$3:$DP$14,$DJ$3:$DJ$14)*1000</f>
        <v>4191.3531900617718</v>
      </c>
      <c r="AP57" s="35">
        <f>_xlfn.FORECAST.LINEAR(Sheet3!CK57,$DP$3:$DP$14,$DJ$3:$DJ$14)*1000</f>
        <v>4191.0986884414961</v>
      </c>
      <c r="AQ57" s="35">
        <f>_xlfn.FORECAST.LINEAR(Sheet3!CL57,$DP$3:$DP$14,$DJ$3:$DJ$14)*1000</f>
        <v>4190.8418562336474</v>
      </c>
      <c r="AR57" s="35">
        <f>_xlfn.FORECAST.LINEAR(Sheet3!CM57,$DP$3:$DP$14,$DJ$3:$DJ$14)*1000</f>
        <v>4190.573373056508</v>
      </c>
      <c r="AS57" s="35">
        <f>_xlfn.FORECAST.LINEAR(Sheet3!CN57,$DP$3:$DP$14,$DJ$3:$DJ$14)*1000</f>
        <v>4190.283918528361</v>
      </c>
      <c r="AT57" s="35">
        <f>_xlfn.FORECAST.LINEAR(Sheet3!CO57,$DP$3:$DP$14,$DJ$3:$DJ$14)*1000</f>
        <v>4189.9641722674878</v>
      </c>
      <c r="AU57" s="35">
        <f>_xlfn.FORECAST.LINEAR(Sheet3!CP57,$DP$3:$DP$14,$DJ$3:$DJ$14)*1000</f>
        <v>4189.6048138921715</v>
      </c>
      <c r="AV57" s="289">
        <f t="shared" si="18"/>
        <v>1.4007346209461199E-7</v>
      </c>
      <c r="AW57" s="35">
        <f t="shared" si="19"/>
        <v>1.4814026558779667E-7</v>
      </c>
      <c r="AX57" s="35">
        <f t="shared" si="20"/>
        <v>1.4726475709736075E-7</v>
      </c>
      <c r="AY57" s="35">
        <f t="shared" si="21"/>
        <v>1.4641450003319262E-7</v>
      </c>
      <c r="AZ57" s="35">
        <f t="shared" si="22"/>
        <v>1.4555829922399515E-7</v>
      </c>
      <c r="BA57" s="35">
        <f t="shared" si="23"/>
        <v>1.4466522951844816E-7</v>
      </c>
      <c r="BB57" s="35">
        <f t="shared" si="24"/>
        <v>1.4370465158145189E-7</v>
      </c>
      <c r="BC57" s="35">
        <f t="shared" si="25"/>
        <v>1.426462513467502E-7</v>
      </c>
      <c r="BD57" s="35">
        <f t="shared" si="26"/>
        <v>1.4146010242209886E-7</v>
      </c>
      <c r="BE57" s="289">
        <f t="shared" si="62"/>
        <v>9.901910697283272</v>
      </c>
      <c r="BF57" s="35">
        <f t="shared" si="27"/>
        <v>5.0205120897655675</v>
      </c>
      <c r="BG57" s="35">
        <f t="shared" si="28"/>
        <v>5.3431186874946466</v>
      </c>
      <c r="BH57" s="35">
        <f t="shared" si="29"/>
        <v>5.6912414523565955</v>
      </c>
      <c r="BI57" s="35">
        <f t="shared" si="30"/>
        <v>6.0811894703067804</v>
      </c>
      <c r="BJ57" s="35">
        <f t="shared" si="31"/>
        <v>6.5356111132809778</v>
      </c>
      <c r="BK57" s="35">
        <f t="shared" si="32"/>
        <v>7.0859518839266959</v>
      </c>
      <c r="BL57" s="35">
        <f t="shared" si="33"/>
        <v>7.776414269067109</v>
      </c>
      <c r="BM57" s="35">
        <f t="shared" si="34"/>
        <v>8.6703006530671978</v>
      </c>
      <c r="BN57" s="289">
        <f t="shared" si="35"/>
        <v>1.7151852501381061E-3</v>
      </c>
      <c r="BO57" s="35">
        <f t="shared" si="36"/>
        <v>1.8139624357689389E-3</v>
      </c>
      <c r="BP57" s="35">
        <f t="shared" si="37"/>
        <v>1.8032419236411518E-3</v>
      </c>
      <c r="BQ57" s="35">
        <f t="shared" si="38"/>
        <v>1.7928306126513377E-3</v>
      </c>
      <c r="BR57" s="35">
        <f t="shared" si="39"/>
        <v>1.7823465211101446E-3</v>
      </c>
      <c r="BS57" s="35">
        <f t="shared" si="40"/>
        <v>1.7714109736952836E-3</v>
      </c>
      <c r="BT57" s="35">
        <f t="shared" si="41"/>
        <v>1.7596487948749213E-3</v>
      </c>
      <c r="BU57" s="35">
        <f t="shared" si="42"/>
        <v>1.7466887920010226E-3</v>
      </c>
      <c r="BV57" s="35">
        <f t="shared" si="43"/>
        <v>1.7321645194542717E-3</v>
      </c>
      <c r="BW57" s="289">
        <f t="shared" si="44"/>
        <v>5.0934131809909598E-2</v>
      </c>
      <c r="BX57" s="35">
        <f t="shared" si="45"/>
        <v>4.358584547909531E-2</v>
      </c>
      <c r="BY57" s="35">
        <f t="shared" si="46"/>
        <v>4.4204206851185313E-2</v>
      </c>
      <c r="BZ57" s="35">
        <f t="shared" si="47"/>
        <v>4.4842308875468771E-2</v>
      </c>
      <c r="CA57" s="35">
        <f t="shared" si="48"/>
        <v>4.5524644976223952E-2</v>
      </c>
      <c r="CB57" s="35">
        <f t="shared" si="49"/>
        <v>4.6281005042945189E-2</v>
      </c>
      <c r="CC57" s="35">
        <f t="shared" si="50"/>
        <v>4.7147367327372097E-2</v>
      </c>
      <c r="CD57" s="35">
        <f t="shared" si="51"/>
        <v>4.8167058878036476E-2</v>
      </c>
      <c r="CE57" s="35">
        <f t="shared" si="52"/>
        <v>4.9392069384303794E-2</v>
      </c>
      <c r="CF57" s="289">
        <f t="shared" si="65"/>
        <v>11.728358996545634</v>
      </c>
      <c r="CG57" s="35">
        <f t="shared" si="66"/>
        <v>36.060138074718431</v>
      </c>
      <c r="CH57" s="35">
        <f t="shared" si="67"/>
        <v>34.611351174339411</v>
      </c>
      <c r="CI57" s="35">
        <f t="shared" si="68"/>
        <v>33.145778332703138</v>
      </c>
      <c r="CJ57" s="35">
        <f t="shared" si="69"/>
        <v>31.611849380823834</v>
      </c>
      <c r="CK57" s="35">
        <f t="shared" si="70"/>
        <v>29.95149328315529</v>
      </c>
      <c r="CL57" s="35">
        <f t="shared" si="71"/>
        <v>28.10064672558293</v>
      </c>
      <c r="CM57" s="35">
        <f t="shared" si="72"/>
        <v>25.990321116715897</v>
      </c>
      <c r="CN57" s="35">
        <f t="shared" si="73"/>
        <v>11.727462312682434</v>
      </c>
      <c r="CO57" s="289">
        <f t="shared" si="53"/>
        <v>492.59588087824352</v>
      </c>
      <c r="CP57" s="35">
        <f t="shared" si="54"/>
        <v>1585.7037368660028</v>
      </c>
      <c r="CQ57" s="35">
        <f t="shared" si="55"/>
        <v>1514.6488458905562</v>
      </c>
      <c r="CR57" s="35">
        <f t="shared" si="56"/>
        <v>1443.6659874396116</v>
      </c>
      <c r="CS57" s="35">
        <f t="shared" si="57"/>
        <v>1370.2656910854876</v>
      </c>
      <c r="CT57" s="35">
        <f t="shared" si="58"/>
        <v>1291.7678591302583</v>
      </c>
      <c r="CU57" s="35">
        <f t="shared" si="59"/>
        <v>1205.3412666252586</v>
      </c>
      <c r="CV57" s="35">
        <f t="shared" si="60"/>
        <v>1108.0762771800701</v>
      </c>
      <c r="CW57" s="35">
        <f t="shared" si="61"/>
        <v>496.57015669658853</v>
      </c>
    </row>
    <row r="58" spans="1:102" x14ac:dyDescent="0.3">
      <c r="A58" s="184" t="str">
        <f>'Su K. oro stendu'!B103</f>
        <v>2023.01.19-1</v>
      </c>
      <c r="B58" s="289">
        <f>Sheet3!DD58</f>
        <v>7.3</v>
      </c>
      <c r="C58" s="289">
        <f>_xlfn.FORECAST.LINEAR(Sheet3!DD58,$DW$3:$DW$24,$DU$3:$DU$24)</f>
        <v>1002.314916043194</v>
      </c>
      <c r="D58" s="35">
        <f>_xlfn.FORECAST.LINEAR(Sheet3!CI58,'Cooling water'!$DW$3:$DW$24,'Cooling water'!$DU$3:$DU$24)</f>
        <v>991.10058226178171</v>
      </c>
      <c r="E58" s="35">
        <f>_xlfn.FORECAST.LINEAR(Sheet3!CJ58,'Cooling water'!$DW$3:$DW$24,'Cooling water'!$DU$3:$DU$24)</f>
        <v>992.26356984939014</v>
      </c>
      <c r="F58" s="35">
        <f>_xlfn.FORECAST.LINEAR(Sheet3!CK58,'Cooling water'!$DW$3:$DW$24,'Cooling water'!$DU$3:$DU$24)</f>
        <v>993.41426916314492</v>
      </c>
      <c r="G58" s="35">
        <f>_xlfn.FORECAST.LINEAR(Sheet3!CL58,'Cooling water'!$DW$3:$DW$24,'Cooling water'!$DU$3:$DU$24)</f>
        <v>994.5893691559196</v>
      </c>
      <c r="H58" s="35">
        <f>_xlfn.FORECAST.LINEAR(Sheet3!CM58,'Cooling water'!$DW$3:$DW$24,'Cooling water'!$DU$3:$DU$24)</f>
        <v>995.82555878058747</v>
      </c>
      <c r="I58" s="35">
        <f>_xlfn.FORECAST.LINEAR(Sheet3!CN58,'Cooling water'!$DW$3:$DW$24,'Cooling water'!$DU$3:$DU$24)</f>
        <v>997.15952699002185</v>
      </c>
      <c r="J58" s="35">
        <f>_xlfn.FORECAST.LINEAR(Sheet3!CO58,'Cooling water'!$DW$3:$DW$24,'Cooling water'!$DU$3:$DU$24)</f>
        <v>998.62796273709603</v>
      </c>
      <c r="K58" s="35">
        <f>_xlfn.FORECAST.LINEAR(Sheet3!CP58,'Cooling water'!$DW$3:$DW$24,'Cooling water'!$DU$3:$DU$24)</f>
        <v>1000.2675549746834</v>
      </c>
      <c r="L58" s="289">
        <f t="shared" si="17"/>
        <v>1.4140504503450391E-3</v>
      </c>
      <c r="M58" s="35">
        <f xml:space="preserve"> 0.0000000000330128*((Sheet3!CI58+273)^(4)) - 0.0000000448315*((Sheet3!CI58+273)^(3)) + 0.0000228887*((Sheet3!CI58+273)^(2)) - 0.00521331*((Sheet3!CI58+273)) + 0.447905</f>
        <v>7.2509119282426759E-4</v>
      </c>
      <c r="N58" s="35">
        <f xml:space="preserve"> 0.0000000000330128*((Sheet3!CJ58+273)^(4)) - 0.0000000448315*((Sheet3!CJ58+273)^(3)) + 0.0000228887*((Sheet3!CJ58+273)^(2)) - 0.00521331*((Sheet3!CJ58+273)) + 0.447905</f>
        <v>7.682298197526638E-4</v>
      </c>
      <c r="O58" s="35">
        <f xml:space="preserve"> 0.0000000000330128*((Sheet3!CK58+273)^(4)) - 0.0000000448315*((Sheet3!CK58+273)^(3)) + 0.0000228887*((Sheet3!CK58+273)^(2)) - 0.00521331*((Sheet3!CK58+273)) + 0.447905</f>
        <v>8.1556247893965761E-4</v>
      </c>
      <c r="P58" s="35">
        <f xml:space="preserve"> 0.0000000000330128*((Sheet3!CL58+273)^(4)) - 0.0000000448315*((Sheet3!CL58+273)^(3)) + 0.0000228887*((Sheet3!CL58+273)^(2)) - 0.00521331*((Sheet3!CL58+273)) + 0.447905</f>
        <v>8.6931347477592347E-4</v>
      </c>
      <c r="Q58" s="35">
        <f xml:space="preserve"> 0.0000000000330128*((Sheet3!CM58+273)^(4)) - 0.0000000448315*((Sheet3!CM58+273)^(3)) + 0.0000228887*((Sheet3!CM58+273)^(2)) - 0.00521331*((Sheet3!CM58+273)) + 0.447905</f>
        <v>9.3253439809282135E-4</v>
      </c>
      <c r="R58" s="35">
        <f xml:space="preserve"> 0.0000000000330128*((Sheet3!CN58+273)^(4)) - 0.0000000448315*((Sheet3!CN58+273)^(3)) + 0.0000228887*((Sheet3!CN58+273)^(2)) - 0.00521331*((Sheet3!CN58+273)) + 0.447905</f>
        <v>1.0094354921315052E-3</v>
      </c>
      <c r="S58" s="35">
        <f xml:space="preserve"> 0.0000000000330128*((Sheet3!CO58+273)^(4)) - 0.0000000448315*((Sheet3!CO58+273)^(3)) + 0.0000228887*((Sheet3!CO58+273)^(2)) - 0.00521331*((Sheet3!CO58+273)) + 0.447905</f>
        <v>1.1058989741805636E-3</v>
      </c>
      <c r="T58" s="35">
        <f xml:space="preserve"> 0.0000000000330128*((Sheet3!CP58+273)^(4)) - 0.0000000448315*((Sheet3!CP58+273)^(3)) + 0.0000228887*((Sheet3!CP58+273)^(2)) - 0.00521331*((Sheet3!CP58+273)) + 0.447905</f>
        <v>1.2302713534446674E-3</v>
      </c>
      <c r="U58" s="289">
        <f>(Sheet3!DC58*0.014*0.001*C58) / (L58*0.00015*3600*3)</f>
        <v>2756.5433321115675</v>
      </c>
      <c r="V58" s="35">
        <f>(Sheet3!$DC58*0.014*0.001*D58) / (M58*0.00015*3600*3)</f>
        <v>5315.5797233125013</v>
      </c>
      <c r="W58" s="35">
        <f>(Sheet3!$DC58*0.014*0.001*E58) / (N58*0.00015*3600*3)</f>
        <v>5022.9796766791505</v>
      </c>
      <c r="X58" s="35">
        <f>(Sheet3!$DC58*0.014*0.001*F58) / (O58*0.00015*3600*3)</f>
        <v>4736.9488091642197</v>
      </c>
      <c r="Y58" s="35">
        <f>(Sheet3!$DC58*0.014*0.001*G58) / (P58*0.00015*3600*3)</f>
        <v>4449.3127726042121</v>
      </c>
      <c r="Z58" s="35">
        <f>(Sheet3!$DC58*0.014*0.001*H58) / (Q58*0.00015*3600*3)</f>
        <v>4152.8279908318455</v>
      </c>
      <c r="AA58" s="35">
        <f>(Sheet3!$DC58*0.014*0.001*I58) / (R58*0.00015*3600*3)</f>
        <v>3841.5952630839406</v>
      </c>
      <c r="AB58" s="35">
        <f>(Sheet3!$DC58*0.014*0.001*J58) / (S58*0.00015*3600*3)</f>
        <v>3511.6708479629724</v>
      </c>
      <c r="AC58" s="35">
        <f>(Sheet3!$DC58*0.014*0.001*K58) / (T58*0.00015*3600*3)</f>
        <v>3161.8466686764614</v>
      </c>
      <c r="AD58" s="289">
        <f t="shared" si="63"/>
        <v>0.58735830109625553</v>
      </c>
      <c r="AE58" s="35">
        <f>_xlfn.FORECAST.LINEAR(Sheet3!CI58,$DA$3:$DA$12,$CZ$3:$CZ$12)/1000</f>
        <v>0.61652763577983649</v>
      </c>
      <c r="AF58" s="35">
        <f>_xlfn.FORECAST.LINEAR(Sheet3!CJ58,$DA$3:$DA$12,$CZ$3:$CZ$12)/1000</f>
        <v>0.61350261665368688</v>
      </c>
      <c r="AG58" s="35">
        <f>_xlfn.FORECAST.LINEAR(Sheet3!CK58,$DA$3:$DA$12,$CZ$3:$CZ$12)/1000</f>
        <v>0.61050956026198966</v>
      </c>
      <c r="AH58" s="35">
        <f>_xlfn.FORECAST.LINEAR(Sheet3!CL58,$DA$3:$DA$12,$CZ$3:$CZ$12)/1000</f>
        <v>0.60745303584921251</v>
      </c>
      <c r="AI58" s="35">
        <f>_xlfn.FORECAST.LINEAR(Sheet3!CM58,$DA$3:$DA$12,$CZ$3:$CZ$12)/1000</f>
        <v>0.60423761265982301</v>
      </c>
      <c r="AJ58" s="35">
        <f>_xlfn.FORECAST.LINEAR(Sheet3!CN58,$DA$3:$DA$12,$CZ$3:$CZ$12)/1000</f>
        <v>0.60076785993828874</v>
      </c>
      <c r="AK58" s="35">
        <f>_xlfn.FORECAST.LINEAR(Sheet3!CO58,$DA$3:$DA$12,$CZ$3:$CZ$12)/1000</f>
        <v>0.59694834692907739</v>
      </c>
      <c r="AL58" s="35">
        <f>_xlfn.FORECAST.LINEAR(Sheet3!CP58,$DA$3:$DA$12,$CZ$3:$CZ$12)/1000</f>
        <v>0.59268364287665665</v>
      </c>
      <c r="AM58" s="289">
        <f t="shared" si="64"/>
        <v>4189.1263680920547</v>
      </c>
      <c r="AN58" s="35">
        <f>_xlfn.FORECAST.LINEAR(Sheet3!CI58,$DP$3:$DP$14,$DJ$3:$DJ$14)*1000</f>
        <v>4191.6933097904439</v>
      </c>
      <c r="AO58" s="35">
        <f>_xlfn.FORECAST.LINEAR(Sheet3!CJ58,$DP$3:$DP$14,$DJ$3:$DJ$14)*1000</f>
        <v>4191.427103933589</v>
      </c>
      <c r="AP58" s="35">
        <f>_xlfn.FORECAST.LINEAR(Sheet3!CK58,$DP$3:$DP$14,$DJ$3:$DJ$14)*1000</f>
        <v>4191.1637108414661</v>
      </c>
      <c r="AQ58" s="35">
        <f>_xlfn.FORECAST.LINEAR(Sheet3!CL58,$DP$3:$DP$14,$DJ$3:$DJ$14)*1000</f>
        <v>4190.8947324759183</v>
      </c>
      <c r="AR58" s="35">
        <f>_xlfn.FORECAST.LINEAR(Sheet3!CM58,$DP$3:$DP$14,$DJ$3:$DJ$14)*1000</f>
        <v>4190.6117707987887</v>
      </c>
      <c r="AS58" s="35">
        <f>_xlfn.FORECAST.LINEAR(Sheet3!CN58,$DP$3:$DP$14,$DJ$3:$DJ$14)*1000</f>
        <v>4190.3064277719204</v>
      </c>
      <c r="AT58" s="35">
        <f>_xlfn.FORECAST.LINEAR(Sheet3!CO58,$DP$3:$DP$14,$DJ$3:$DJ$14)*1000</f>
        <v>4189.9703053571584</v>
      </c>
      <c r="AU58" s="35">
        <f>_xlfn.FORECAST.LINEAR(Sheet3!CP58,$DP$3:$DP$14,$DJ$3:$DJ$14)*1000</f>
        <v>4189.5950055163421</v>
      </c>
      <c r="AV58" s="289">
        <f t="shared" si="18"/>
        <v>1.3988638793350981E-7</v>
      </c>
      <c r="AW58" s="35">
        <f t="shared" si="19"/>
        <v>1.4840390123932997E-7</v>
      </c>
      <c r="AX58" s="35">
        <f t="shared" si="20"/>
        <v>1.475120352402038E-7</v>
      </c>
      <c r="AY58" s="35">
        <f t="shared" si="21"/>
        <v>1.4663155838511586E-7</v>
      </c>
      <c r="AZ58" s="35">
        <f t="shared" si="22"/>
        <v>1.4573442160993804E-7</v>
      </c>
      <c r="BA58" s="35">
        <f t="shared" si="23"/>
        <v>1.4479283068964267E-7</v>
      </c>
      <c r="BB58" s="35">
        <f t="shared" si="24"/>
        <v>1.437792667886086E-7</v>
      </c>
      <c r="BC58" s="35">
        <f t="shared" si="25"/>
        <v>1.4266652602091297E-7</v>
      </c>
      <c r="BD58" s="35">
        <f t="shared" si="26"/>
        <v>1.4142777739989931E-7</v>
      </c>
      <c r="BE58" s="289">
        <f t="shared" si="62"/>
        <v>10.085217177141914</v>
      </c>
      <c r="BF58" s="35">
        <f t="shared" si="27"/>
        <v>4.9298031840941157</v>
      </c>
      <c r="BG58" s="35">
        <f t="shared" si="28"/>
        <v>5.2485176120755836</v>
      </c>
      <c r="BH58" s="35">
        <f t="shared" si="29"/>
        <v>5.5988572303256934</v>
      </c>
      <c r="BI58" s="35">
        <f t="shared" si="30"/>
        <v>5.9975027653217676</v>
      </c>
      <c r="BJ58" s="35">
        <f t="shared" si="31"/>
        <v>6.4674716426874035</v>
      </c>
      <c r="BK58" s="35">
        <f t="shared" si="32"/>
        <v>7.0407295615551915</v>
      </c>
      <c r="BL58" s="35">
        <f t="shared" si="33"/>
        <v>7.7622861113174775</v>
      </c>
      <c r="BM58" s="35">
        <f t="shared" si="34"/>
        <v>8.6966103751479409</v>
      </c>
      <c r="BN58" s="289">
        <f t="shared" si="35"/>
        <v>1.5416050915121487E-3</v>
      </c>
      <c r="BO58" s="35">
        <f t="shared" si="36"/>
        <v>1.63547156467833E-3</v>
      </c>
      <c r="BP58" s="35">
        <f t="shared" si="37"/>
        <v>1.6256428373410212E-3</v>
      </c>
      <c r="BQ58" s="35">
        <f t="shared" si="38"/>
        <v>1.6159396230196442E-3</v>
      </c>
      <c r="BR58" s="35">
        <f t="shared" si="39"/>
        <v>1.6060528095789086E-3</v>
      </c>
      <c r="BS58" s="35">
        <f t="shared" si="40"/>
        <v>1.5956760933144296E-3</v>
      </c>
      <c r="BT58" s="35">
        <f t="shared" si="41"/>
        <v>1.584506205425482E-3</v>
      </c>
      <c r="BU58" s="35">
        <f t="shared" si="42"/>
        <v>1.5722433479855708E-3</v>
      </c>
      <c r="BV58" s="35">
        <f t="shared" si="43"/>
        <v>1.5585918325703187E-3</v>
      </c>
      <c r="BW58" s="289">
        <f t="shared" si="44"/>
        <v>4.9821407884692893E-2</v>
      </c>
      <c r="BX58" s="35">
        <f t="shared" si="45"/>
        <v>4.22784973049792E-2</v>
      </c>
      <c r="BY58" s="35">
        <f t="shared" si="46"/>
        <v>4.2881191743864643E-2</v>
      </c>
      <c r="BZ58" s="35">
        <f t="shared" si="47"/>
        <v>4.3514352850757582E-2</v>
      </c>
      <c r="CA58" s="35">
        <f t="shared" si="48"/>
        <v>4.4201190619118182E-2</v>
      </c>
      <c r="CB58" s="35">
        <f t="shared" si="49"/>
        <v>4.49698269274377E-2</v>
      </c>
      <c r="CC58" s="35">
        <f t="shared" si="50"/>
        <v>4.5854218922667958E-2</v>
      </c>
      <c r="CD58" s="35">
        <f t="shared" si="51"/>
        <v>4.6895238757488418E-2</v>
      </c>
      <c r="CE58" s="35">
        <f t="shared" si="52"/>
        <v>4.8141764112968687E-2</v>
      </c>
      <c r="CF58" s="289">
        <f t="shared" si="65"/>
        <v>11.737525853158457</v>
      </c>
      <c r="CG58" s="35">
        <f t="shared" si="66"/>
        <v>40.869997835298769</v>
      </c>
      <c r="CH58" s="35">
        <f t="shared" si="67"/>
        <v>39.320788646097242</v>
      </c>
      <c r="CI58" s="35">
        <f t="shared" si="68"/>
        <v>37.72533306388091</v>
      </c>
      <c r="CJ58" s="35">
        <f t="shared" si="69"/>
        <v>36.032148080921125</v>
      </c>
      <c r="CK58" s="35">
        <f t="shared" si="70"/>
        <v>34.183683299278265</v>
      </c>
      <c r="CL58" s="35">
        <f t="shared" si="71"/>
        <v>32.116917415152912</v>
      </c>
      <c r="CM58" s="35">
        <f t="shared" si="72"/>
        <v>29.764798968941633</v>
      </c>
      <c r="CN58" s="35">
        <f t="shared" si="73"/>
        <v>27.059061895028375</v>
      </c>
      <c r="CO58" s="289">
        <f t="shared" si="53"/>
        <v>492.43808887032344</v>
      </c>
      <c r="CP58" s="35">
        <f t="shared" si="54"/>
        <v>1799.8202242659847</v>
      </c>
      <c r="CQ58" s="35">
        <f t="shared" si="55"/>
        <v>1723.1004802333744</v>
      </c>
      <c r="CR58" s="35">
        <f t="shared" si="56"/>
        <v>1645.1197499690738</v>
      </c>
      <c r="CS58" s="35">
        <f t="shared" si="57"/>
        <v>1563.4169814231366</v>
      </c>
      <c r="CT58" s="35">
        <f t="shared" si="58"/>
        <v>1475.3619420482401</v>
      </c>
      <c r="CU58" s="35">
        <f t="shared" si="59"/>
        <v>1378.2008388082979</v>
      </c>
      <c r="CV58" s="35">
        <f t="shared" si="60"/>
        <v>1269.1462529418582</v>
      </c>
      <c r="CW58" s="35">
        <f t="shared" si="61"/>
        <v>1145.5330983407389</v>
      </c>
    </row>
    <row r="59" spans="1:102" x14ac:dyDescent="0.3">
      <c r="A59" s="184" t="str">
        <f>'Su K. oro stendu'!B104</f>
        <v>2023.01.19-2</v>
      </c>
      <c r="B59" s="289">
        <f>Sheet3!DD59</f>
        <v>7.6</v>
      </c>
      <c r="C59" s="289">
        <f>_xlfn.FORECAST.LINEAR(Sheet3!DD59,$DW$3:$DW$24,$DU$3:$DU$24)</f>
        <v>1002.1904613541719</v>
      </c>
      <c r="D59" s="35">
        <f>_xlfn.FORECAST.LINEAR(Sheet3!CI59,'Cooling water'!$DW$3:$DW$24,'Cooling water'!$DU$3:$DU$24)</f>
        <v>990.05653344217478</v>
      </c>
      <c r="E59" s="35">
        <f>_xlfn.FORECAST.LINEAR(Sheet3!CJ59,'Cooling water'!$DW$3:$DW$24,'Cooling water'!$DU$3:$DU$24)</f>
        <v>991.34929152240375</v>
      </c>
      <c r="F59" s="35">
        <f>_xlfn.FORECAST.LINEAR(Sheet3!CK59,'Cooling water'!$DW$3:$DW$24,'Cooling water'!$DU$3:$DU$24)</f>
        <v>992.60199377631341</v>
      </c>
      <c r="G59" s="35">
        <f>_xlfn.FORECAST.LINEAR(Sheet3!CL59,'Cooling water'!$DW$3:$DW$24,'Cooling water'!$DU$3:$DU$24)</f>
        <v>993.86339716818293</v>
      </c>
      <c r="H59" s="35">
        <f>_xlfn.FORECAST.LINEAR(Sheet3!CM59,'Cooling water'!$DW$3:$DW$24,'Cooling water'!$DU$3:$DU$24)</f>
        <v>995.18225866229147</v>
      </c>
      <c r="I59" s="35">
        <f>_xlfn.FORECAST.LINEAR(Sheet3!CN59,'Cooling water'!$DW$3:$DW$24,'Cooling water'!$DU$3:$DU$24)</f>
        <v>996.60733522291821</v>
      </c>
      <c r="J59" s="35">
        <f>_xlfn.FORECAST.LINEAR(Sheet3!CO59,'Cooling water'!$DW$3:$DW$24,'Cooling water'!$DU$3:$DU$24)</f>
        <v>998.1873838143423</v>
      </c>
      <c r="K59" s="35">
        <f>_xlfn.FORECAST.LINEAR(Sheet3!CP59,'Cooling water'!$DW$3:$DW$24,'Cooling water'!$DU$3:$DU$24)</f>
        <v>999.97116140084302</v>
      </c>
      <c r="L59" s="289">
        <f t="shared" si="17"/>
        <v>1.4018883665742887E-3</v>
      </c>
      <c r="M59" s="35">
        <f xml:space="preserve"> 0.0000000000330128*((Sheet3!CI59+273)^(4)) - 0.0000000448315*((Sheet3!CI59+273)^(3)) + 0.0000228887*((Sheet3!CI59+273)^(2)) - 0.00521331*((Sheet3!CI59+273)) + 0.447905</f>
        <v>6.8990744075803079E-4</v>
      </c>
      <c r="N59" s="35">
        <f xml:space="preserve"> 0.0000000000330128*((Sheet3!CJ59+273)^(4)) - 0.0000000448315*((Sheet3!CJ59+273)^(3)) + 0.0000228887*((Sheet3!CJ59+273)^(2)) - 0.00521331*((Sheet3!CJ59+273)) + 0.447905</f>
        <v>7.3394929899439632E-4</v>
      </c>
      <c r="O59" s="35">
        <f xml:space="preserve"> 0.0000000000330128*((Sheet3!CK59+273)^(4)) - 0.0000000448315*((Sheet3!CK59+273)^(3)) + 0.0000228887*((Sheet3!CK59+273)^(2)) - 0.00521331*((Sheet3!CK59+273)) + 0.447905</f>
        <v>7.8164353749810012E-4</v>
      </c>
      <c r="P59" s="35">
        <f xml:space="preserve"> 0.0000000000330128*((Sheet3!CL59+273)^(4)) - 0.0000000448315*((Sheet3!CL59+273)^(3)) + 0.0000228887*((Sheet3!CL59+273)^(2)) - 0.00521331*((Sheet3!CL59+273)) + 0.447905</f>
        <v>8.3542366561872861E-4</v>
      </c>
      <c r="Q59" s="35">
        <f xml:space="preserve"> 0.0000000000330128*((Sheet3!CM59+273)^(4)) - 0.0000000448315*((Sheet3!CM59+273)^(3)) + 0.0000228887*((Sheet3!CM59+273)^(2)) - 0.00521331*((Sheet3!CM59+273)) + 0.447905</f>
        <v>8.9872962499049081E-4</v>
      </c>
      <c r="R59" s="35">
        <f xml:space="preserve"> 0.0000000000330128*((Sheet3!CN59+273)^(4)) - 0.0000000448315*((Sheet3!CN59+273)^(3)) + 0.0000228887*((Sheet3!CN59+273)^(2)) - 0.00521331*((Sheet3!CN59+273)) + 0.447905</f>
        <v>9.7643863368435113E-4</v>
      </c>
      <c r="S59" s="35">
        <f xml:space="preserve"> 0.0000000000330128*((Sheet3!CO59+273)^(4)) - 0.0000000448315*((Sheet3!CO59+273)^(3)) + 0.0000228887*((Sheet3!CO59+273)^(2)) - 0.00521331*((Sheet3!CO59+273)) + 0.447905</f>
        <v>1.0755631551648825E-3</v>
      </c>
      <c r="T59" s="35">
        <f xml:space="preserve"> 0.0000000000330128*((Sheet3!CP59+273)^(4)) - 0.0000000448315*((Sheet3!CP59+273)^(3)) + 0.0000228887*((Sheet3!CP59+273)^(2)) - 0.00521331*((Sheet3!CP59+273)) + 0.447905</f>
        <v>1.2063801841117883E-3</v>
      </c>
      <c r="U59" s="289">
        <f>(Sheet3!DC59*0.014*0.001*C59) / (L59*0.00015*3600*3)</f>
        <v>3089.0138716049851</v>
      </c>
      <c r="V59" s="35">
        <f>(Sheet3!$DC59*0.014*0.001*D59) / (M59*0.00015*3600*3)</f>
        <v>6200.8637758465493</v>
      </c>
      <c r="W59" s="35">
        <f>(Sheet3!$DC59*0.014*0.001*E59) / (N59*0.00015*3600*3)</f>
        <v>5836.3814171595395</v>
      </c>
      <c r="X59" s="35">
        <f>(Sheet3!$DC59*0.014*0.001*F59) / (O59*0.00015*3600*3)</f>
        <v>5487.182782180008</v>
      </c>
      <c r="Y59" s="35">
        <f>(Sheet3!$DC59*0.014*0.001*G59) / (P59*0.00015*3600*3)</f>
        <v>5140.4714110710265</v>
      </c>
      <c r="Z59" s="35">
        <f>(Sheet3!$DC59*0.014*0.001*H59) / (Q59*0.00015*3600*3)</f>
        <v>4784.7207145581033</v>
      </c>
      <c r="AA59" s="35">
        <f>(Sheet3!$DC59*0.014*0.001*I59) / (R59*0.00015*3600*3)</f>
        <v>4410.2392543145261</v>
      </c>
      <c r="AB59" s="35">
        <f>(Sheet3!$DC59*0.014*0.001*J59) / (S59*0.00015*3600*3)</f>
        <v>4010.1367748131329</v>
      </c>
      <c r="AC59" s="35">
        <f>(Sheet3!$DC59*0.014*0.001*K59) / (T59*0.00015*3600*3)</f>
        <v>3581.676075250979</v>
      </c>
      <c r="AD59" s="289">
        <f t="shared" si="63"/>
        <v>0.58768201720349689</v>
      </c>
      <c r="AE59" s="35">
        <f>_xlfn.FORECAST.LINEAR(Sheet3!CI59,$DA$3:$DA$12,$CZ$3:$CZ$12)/1000</f>
        <v>0.61924328612864199</v>
      </c>
      <c r="AF59" s="35">
        <f>_xlfn.FORECAST.LINEAR(Sheet3!CJ59,$DA$3:$DA$12,$CZ$3:$CZ$12)/1000</f>
        <v>0.6158807240859816</v>
      </c>
      <c r="AG59" s="35">
        <f>_xlfn.FORECAST.LINEAR(Sheet3!CK59,$DA$3:$DA$12,$CZ$3:$CZ$12)/1000</f>
        <v>0.61262235029263756</v>
      </c>
      <c r="AH59" s="35">
        <f>_xlfn.FORECAST.LINEAR(Sheet3!CL59,$DA$3:$DA$12,$CZ$3:$CZ$12)/1000</f>
        <v>0.60934134417799579</v>
      </c>
      <c r="AI59" s="35">
        <f>_xlfn.FORECAST.LINEAR(Sheet3!CM59,$DA$3:$DA$12,$CZ$3:$CZ$12)/1000</f>
        <v>0.60591088517144265</v>
      </c>
      <c r="AJ59" s="35">
        <f>_xlfn.FORECAST.LINEAR(Sheet3!CN59,$DA$3:$DA$12,$CZ$3:$CZ$12)/1000</f>
        <v>0.60220415270236372</v>
      </c>
      <c r="AK59" s="35">
        <f>_xlfn.FORECAST.LINEAR(Sheet3!CO59,$DA$3:$DA$12,$CZ$3:$CZ$12)/1000</f>
        <v>0.59809432620014524</v>
      </c>
      <c r="AL59" s="35">
        <f>_xlfn.FORECAST.LINEAR(Sheet3!CP59,$DA$3:$DA$12,$CZ$3:$CZ$12)/1000</f>
        <v>0.59345458509417326</v>
      </c>
      <c r="AM59" s="289">
        <f t="shared" si="64"/>
        <v>4189.1548555561376</v>
      </c>
      <c r="AN59" s="35">
        <f>_xlfn.FORECAST.LINEAR(Sheet3!CI59,$DP$3:$DP$14,$DJ$3:$DJ$14)*1000</f>
        <v>4191.9322907680425</v>
      </c>
      <c r="AO59" s="35">
        <f>_xlfn.FORECAST.LINEAR(Sheet3!CJ59,$DP$3:$DP$14,$DJ$3:$DJ$14)*1000</f>
        <v>4191.6363806688123</v>
      </c>
      <c r="AP59" s="35">
        <f>_xlfn.FORECAST.LINEAR(Sheet3!CK59,$DP$3:$DP$14,$DJ$3:$DJ$14)*1000</f>
        <v>4191.349639279274</v>
      </c>
      <c r="AQ59" s="35">
        <f>_xlfn.FORECAST.LINEAR(Sheet3!CL59,$DP$3:$DP$14,$DJ$3:$DJ$14)*1000</f>
        <v>4191.0609062142348</v>
      </c>
      <c r="AR59" s="35">
        <f>_xlfn.FORECAST.LINEAR(Sheet3!CM59,$DP$3:$DP$14,$DJ$3:$DJ$14)*1000</f>
        <v>4190.7590210885</v>
      </c>
      <c r="AS59" s="35">
        <f>_xlfn.FORECAST.LINEAR(Sheet3!CN59,$DP$3:$DP$14,$DJ$3:$DJ$14)*1000</f>
        <v>4190.4328235168769</v>
      </c>
      <c r="AT59" s="35">
        <f>_xlfn.FORECAST.LINEAR(Sheet3!CO59,$DP$3:$DP$14,$DJ$3:$DJ$14)*1000</f>
        <v>4190.0711531141706</v>
      </c>
      <c r="AU59" s="35">
        <f>_xlfn.FORECAST.LINEAR(Sheet3!CP59,$DP$3:$DP$14,$DJ$3:$DJ$14)*1000</f>
        <v>4189.6628494951865</v>
      </c>
      <c r="AV59" s="289">
        <f t="shared" si="18"/>
        <v>1.3997991391624553E-7</v>
      </c>
      <c r="AW59" s="35">
        <f t="shared" si="19"/>
        <v>1.4920626305822554E-7</v>
      </c>
      <c r="AX59" s="35">
        <f t="shared" si="20"/>
        <v>1.4821300411951862E-7</v>
      </c>
      <c r="AY59" s="35">
        <f t="shared" si="21"/>
        <v>1.4725288186207363E-7</v>
      </c>
      <c r="AZ59" s="35">
        <f t="shared" si="22"/>
        <v>1.4628842956736208E-7</v>
      </c>
      <c r="BA59" s="35">
        <f t="shared" si="23"/>
        <v>1.452825456398505E-7</v>
      </c>
      <c r="BB59" s="35">
        <f t="shared" si="24"/>
        <v>1.4419851362363588E-7</v>
      </c>
      <c r="BC59" s="35">
        <f t="shared" si="25"/>
        <v>1.4300005618393272E-7</v>
      </c>
      <c r="BD59" s="35">
        <f t="shared" si="26"/>
        <v>1.4165142191767239E-7</v>
      </c>
      <c r="BE59" s="289">
        <f t="shared" si="62"/>
        <v>9.9930358354810647</v>
      </c>
      <c r="BF59" s="35">
        <f t="shared" si="27"/>
        <v>4.6702892761826957</v>
      </c>
      <c r="BG59" s="35">
        <f t="shared" si="28"/>
        <v>4.9952019326420549</v>
      </c>
      <c r="BH59" s="35">
        <f t="shared" si="29"/>
        <v>5.3477339789720206</v>
      </c>
      <c r="BI59" s="35">
        <f t="shared" si="30"/>
        <v>5.7460592466840268</v>
      </c>
      <c r="BJ59" s="35">
        <f t="shared" si="31"/>
        <v>6.2160284220388142</v>
      </c>
      <c r="BK59" s="35">
        <f t="shared" si="32"/>
        <v>6.7945404932522582</v>
      </c>
      <c r="BL59" s="35">
        <f t="shared" si="33"/>
        <v>7.5350759109203205</v>
      </c>
      <c r="BM59" s="35">
        <f t="shared" si="34"/>
        <v>8.5167869061762644</v>
      </c>
      <c r="BN59" s="289">
        <f t="shared" si="35"/>
        <v>1.3883722074141903E-3</v>
      </c>
      <c r="BO59" s="35">
        <f t="shared" si="36"/>
        <v>1.4798825274754612E-3</v>
      </c>
      <c r="BP59" s="35">
        <f t="shared" si="37"/>
        <v>1.4700310204507352E-3</v>
      </c>
      <c r="BQ59" s="35">
        <f t="shared" si="38"/>
        <v>1.4605081752034239E-3</v>
      </c>
      <c r="BR59" s="35">
        <f t="shared" si="39"/>
        <v>1.4509423830558767E-3</v>
      </c>
      <c r="BS59" s="35">
        <f t="shared" si="40"/>
        <v>1.4409656567544353E-3</v>
      </c>
      <c r="BT59" s="35">
        <f t="shared" si="41"/>
        <v>1.4302138290017761E-3</v>
      </c>
      <c r="BU59" s="35">
        <f t="shared" si="42"/>
        <v>1.4183270878651284E-3</v>
      </c>
      <c r="BV59" s="35">
        <f t="shared" si="43"/>
        <v>1.404950837795689E-3</v>
      </c>
      <c r="BW59" s="289">
        <f t="shared" si="44"/>
        <v>4.8423060770178987E-2</v>
      </c>
      <c r="BX59" s="35">
        <f t="shared" si="45"/>
        <v>4.0681237388439366E-2</v>
      </c>
      <c r="BY59" s="35">
        <f t="shared" si="46"/>
        <v>4.1302019309972633E-2</v>
      </c>
      <c r="BZ59" s="35">
        <f t="shared" si="47"/>
        <v>4.1944000040745305E-2</v>
      </c>
      <c r="CA59" s="35">
        <f t="shared" si="48"/>
        <v>4.2634037697294069E-2</v>
      </c>
      <c r="CB59" s="35">
        <f t="shared" si="49"/>
        <v>4.340532912656505E-2</v>
      </c>
      <c r="CC59" s="35">
        <f t="shared" si="50"/>
        <v>4.4298769645264212E-2</v>
      </c>
      <c r="CD59" s="35">
        <f t="shared" si="51"/>
        <v>4.5364633392104843E-2</v>
      </c>
      <c r="CE59" s="35">
        <f t="shared" si="52"/>
        <v>4.6664393475398767E-2</v>
      </c>
      <c r="CF59" s="289">
        <f t="shared" si="65"/>
        <v>27.492979627885195</v>
      </c>
      <c r="CG59" s="35">
        <f t="shared" si="66"/>
        <v>47.058484465518859</v>
      </c>
      <c r="CH59" s="35">
        <f t="shared" si="67"/>
        <v>45.288725910262713</v>
      </c>
      <c r="CI59" s="35">
        <f t="shared" si="68"/>
        <v>43.494986405277999</v>
      </c>
      <c r="CJ59" s="35">
        <f t="shared" si="69"/>
        <v>41.609224176987247</v>
      </c>
      <c r="CK59" s="35">
        <f t="shared" si="70"/>
        <v>39.553852713503836</v>
      </c>
      <c r="CL59" s="35">
        <f t="shared" si="71"/>
        <v>37.242242841114702</v>
      </c>
      <c r="CM59" s="35">
        <f t="shared" si="72"/>
        <v>34.580553996525495</v>
      </c>
      <c r="CN59" s="35">
        <f t="shared" si="73"/>
        <v>31.471975598704205</v>
      </c>
      <c r="CO59" s="289">
        <f t="shared" si="53"/>
        <v>1154.0806947607296</v>
      </c>
      <c r="CP59" s="35">
        <f t="shared" si="54"/>
        <v>2081.4750400472535</v>
      </c>
      <c r="CQ59" s="35">
        <f t="shared" si="55"/>
        <v>1992.3180933245824</v>
      </c>
      <c r="CR59" s="35">
        <f t="shared" si="56"/>
        <v>1903.2857712534092</v>
      </c>
      <c r="CS59" s="35">
        <f t="shared" si="57"/>
        <v>1811.0157564434978</v>
      </c>
      <c r="CT59" s="35">
        <f t="shared" si="58"/>
        <v>1711.8649935414269</v>
      </c>
      <c r="CU59" s="35">
        <f t="shared" si="59"/>
        <v>1601.9595210620821</v>
      </c>
      <c r="CV59" s="35">
        <f t="shared" si="60"/>
        <v>1477.3166530128324</v>
      </c>
      <c r="CW59" s="35">
        <f t="shared" si="61"/>
        <v>1334.0848729302106</v>
      </c>
    </row>
    <row r="60" spans="1:102" x14ac:dyDescent="0.3">
      <c r="A60" s="184">
        <f>'Su K. oro stendu'!B105</f>
        <v>44946</v>
      </c>
      <c r="B60" s="289">
        <f>Sheet3!DD60</f>
        <v>7.2</v>
      </c>
      <c r="C60" s="289">
        <f>_xlfn.FORECAST.LINEAR(Sheet3!DD60,$DW$3:$DW$24,$DU$3:$DU$24)</f>
        <v>1002.3564009395346</v>
      </c>
      <c r="D60" s="35">
        <f>_xlfn.FORECAST.LINEAR(Sheet3!CI60,'Cooling water'!$DW$3:$DW$24,'Cooling water'!$DU$3:$DU$24)</f>
        <v>998.11419287646049</v>
      </c>
      <c r="E60" s="35">
        <f>_xlfn.FORECAST.LINEAR(Sheet3!CJ60,'Cooling water'!$DW$3:$DW$24,'Cooling water'!$DU$3:$DU$24)</f>
        <v>998.66075015397223</v>
      </c>
      <c r="F60" s="35">
        <f>_xlfn.FORECAST.LINEAR(Sheet3!CK60,'Cooling water'!$DW$3:$DW$24,'Cooling water'!$DU$3:$DU$24)</f>
        <v>999.18729181140679</v>
      </c>
      <c r="G60" s="35">
        <f>_xlfn.FORECAST.LINEAR(Sheet3!CL60,'Cooling water'!$DW$3:$DW$24,'Cooling water'!$DU$3:$DU$24)</f>
        <v>999.70034174164482</v>
      </c>
      <c r="H60" s="35">
        <f>_xlfn.FORECAST.LINEAR(Sheet3!CM60,'Cooling water'!$DW$3:$DW$24,'Cooling water'!$DU$3:$DU$24)</f>
        <v>1000.2064238375671</v>
      </c>
      <c r="I60" s="35">
        <f>_xlfn.FORECAST.LINEAR(Sheet3!CN60,'Cooling water'!$DW$3:$DW$24,'Cooling water'!$DU$3:$DU$24)</f>
        <v>1000.7120619920543</v>
      </c>
      <c r="J60" s="35">
        <f>_xlfn.FORECAST.LINEAR(Sheet3!CO60,'Cooling water'!$DW$3:$DW$24,'Cooling water'!$DU$3:$DU$24)</f>
        <v>1001.2237800979872</v>
      </c>
      <c r="K60" s="35">
        <f>_xlfn.FORECAST.LINEAR(Sheet3!CP60,'Cooling water'!$DW$3:$DW$24,'Cooling water'!$DU$3:$DU$24)</f>
        <v>1001.7481020482464</v>
      </c>
      <c r="L60" s="289">
        <f t="shared" si="17"/>
        <v>1.4181345121204725E-3</v>
      </c>
      <c r="M60" s="35">
        <f xml:space="preserve"> 0.0000000000330128*((Sheet3!CI60+273)^(4)) - 0.0000000448315*((Sheet3!CI60+273)^(3)) + 0.0000228887*((Sheet3!CI60+273)^(2)) - 0.00521331*((Sheet3!CI60+273)) + 0.447905</f>
        <v>1.0706425976789724E-3</v>
      </c>
      <c r="N60" s="35">
        <f xml:space="preserve"> 0.0000000000330128*((Sheet3!CJ60+273)^(4)) - 0.0000000448315*((Sheet3!CJ60+273)^(3)) + 0.0000228887*((Sheet3!CJ60+273)^(2)) - 0.00521331*((Sheet3!CJ60+273)) + 0.447905</f>
        <v>1.1082064159211313E-3</v>
      </c>
      <c r="O60" s="35">
        <f xml:space="preserve"> 0.0000000000330128*((Sheet3!CK60+273)^(4)) - 0.0000000448315*((Sheet3!CK60+273)^(3)) + 0.0000228887*((Sheet3!CK60+273)^(2)) - 0.00521331*((Sheet3!CK60+273)) + 0.447905</f>
        <v>1.1462362220309164E-3</v>
      </c>
      <c r="P60" s="35">
        <f xml:space="preserve"> 0.0000000000330128*((Sheet3!CL60+273)^(4)) - 0.0000000448315*((Sheet3!CL60+273)^(3)) + 0.0000228887*((Sheet3!CL60+273)^(2)) - 0.00521331*((Sheet3!CL60+273)) + 0.447905</f>
        <v>1.1851097945860811E-3</v>
      </c>
      <c r="Q60" s="35">
        <f xml:space="preserve"> 0.0000000000330128*((Sheet3!CM60+273)^(4)) - 0.0000000448315*((Sheet3!CM60+273)^(3)) + 0.0000228887*((Sheet3!CM60+273)^(2)) - 0.00521331*((Sheet3!CM60+273)) + 0.447905</f>
        <v>1.2252907098182497E-3</v>
      </c>
      <c r="R60" s="35">
        <f xml:space="preserve"> 0.0000000000330128*((Sheet3!CN60+273)^(4)) - 0.0000000448315*((Sheet3!CN60+273)^(3)) + 0.0000228887*((Sheet3!CN60+273)^(2)) - 0.00521331*((Sheet3!CN60+273)) + 0.447905</f>
        <v>1.267333914961144E-3</v>
      </c>
      <c r="S60" s="35">
        <f xml:space="preserve"> 0.0000000000330128*((Sheet3!CO60+273)^(4)) - 0.0000000448315*((Sheet3!CO60+273)^(3)) + 0.0000228887*((Sheet3!CO60+273)^(2)) - 0.00521331*((Sheet3!CO60+273)) + 0.447905</f>
        <v>1.3118939974350319E-3</v>
      </c>
      <c r="T60" s="35">
        <f xml:space="preserve"> 0.0000000000330128*((Sheet3!CP60+273)^(4)) - 0.0000000448315*((Sheet3!CP60+273)^(3)) + 0.0000228887*((Sheet3!CP60+273)^(2)) - 0.00521331*((Sheet3!CP60+273)) + 0.447905</f>
        <v>1.3597370273681353E-3</v>
      </c>
      <c r="U60" s="289">
        <f>(Sheet3!DC60*0.014*0.001*C60) / (L60*0.00015*3600*3)</f>
        <v>4801.0951048494435</v>
      </c>
      <c r="V60" s="35">
        <f>(Sheet3!$DC60*0.014*0.001*D60) / (M60*0.00015*3600*3)</f>
        <v>6332.4428598226477</v>
      </c>
      <c r="W60" s="35">
        <f>(Sheet3!$DC60*0.014*0.001*E60) / (N60*0.00015*3600*3)</f>
        <v>6121.1481151464486</v>
      </c>
      <c r="X60" s="35">
        <f>(Sheet3!$DC60*0.014*0.001*F60) / (O60*0.00015*3600*3)</f>
        <v>5921.1810502248763</v>
      </c>
      <c r="Y60" s="35">
        <f>(Sheet3!$DC60*0.014*0.001*G60) / (P60*0.00015*3600*3)</f>
        <v>5729.8970670462595</v>
      </c>
      <c r="Z60" s="35">
        <f>(Sheet3!$DC60*0.014*0.001*H60) / (Q60*0.00015*3600*3)</f>
        <v>5544.8022997173912</v>
      </c>
      <c r="AA60" s="35">
        <f>(Sheet3!$DC60*0.014*0.001*I60) / (R60*0.00015*3600*3)</f>
        <v>5363.5661914829252</v>
      </c>
      <c r="AB60" s="35">
        <f>(Sheet3!$DC60*0.014*0.001*J60) / (S60*0.00015*3600*3)</f>
        <v>5184.0356351336541</v>
      </c>
      <c r="AC60" s="35">
        <f>(Sheet3!$DC60*0.014*0.001*K60) / (T60*0.00015*3600*3)</f>
        <v>5004.2519992171738</v>
      </c>
      <c r="AD60" s="289">
        <f t="shared" si="63"/>
        <v>0.58725039572717508</v>
      </c>
      <c r="AE60" s="35">
        <f>_xlfn.FORECAST.LINEAR(Sheet3!CI60,$DA$3:$DA$12,$CZ$3:$CZ$12)/1000</f>
        <v>0.59828470139358025</v>
      </c>
      <c r="AF60" s="35">
        <f>_xlfn.FORECAST.LINEAR(Sheet3!CJ60,$DA$3:$DA$12,$CZ$3:$CZ$12)/1000</f>
        <v>0.59686306436526981</v>
      </c>
      <c r="AG60" s="35">
        <f>_xlfn.FORECAST.LINEAR(Sheet3!CK60,$DA$3:$DA$12,$CZ$3:$CZ$12)/1000</f>
        <v>0.5954934894863757</v>
      </c>
      <c r="AH60" s="35">
        <f>_xlfn.FORECAST.LINEAR(Sheet3!CL60,$DA$3:$DA$12,$CZ$3:$CZ$12)/1000</f>
        <v>0.59415900761556617</v>
      </c>
      <c r="AI60" s="35">
        <f>_xlfn.FORECAST.LINEAR(Sheet3!CM60,$DA$3:$DA$12,$CZ$3:$CZ$12)/1000</f>
        <v>0.59284264961150968</v>
      </c>
      <c r="AJ60" s="35">
        <f>_xlfn.FORECAST.LINEAR(Sheet3!CN60,$DA$3:$DA$12,$CZ$3:$CZ$12)/1000</f>
        <v>0.59152744633287435</v>
      </c>
      <c r="AK60" s="35">
        <f>_xlfn.FORECAST.LINEAR(Sheet3!CO60,$DA$3:$DA$12,$CZ$3:$CZ$12)/1000</f>
        <v>0.59019642863832833</v>
      </c>
      <c r="AL60" s="35">
        <f>_xlfn.FORECAST.LINEAR(Sheet3!CP60,$DA$3:$DA$12,$CZ$3:$CZ$12)/1000</f>
        <v>0.58883262738654008</v>
      </c>
      <c r="AM60" s="289">
        <f t="shared" si="64"/>
        <v>4189.1168722706943</v>
      </c>
      <c r="AN60" s="35">
        <f>_xlfn.FORECAST.LINEAR(Sheet3!CI60,$DP$3:$DP$14,$DJ$3:$DJ$14)*1000</f>
        <v>4190.0879063938619</v>
      </c>
      <c r="AO60" s="35">
        <f>_xlfn.FORECAST.LINEAR(Sheet3!CJ60,$DP$3:$DP$14,$DJ$3:$DJ$14)*1000</f>
        <v>4189.9628003738744</v>
      </c>
      <c r="AP60" s="35">
        <f>_xlfn.FORECAST.LINEAR(Sheet3!CK60,$DP$3:$DP$14,$DJ$3:$DJ$14)*1000</f>
        <v>4189.8422758948682</v>
      </c>
      <c r="AQ60" s="35">
        <f>_xlfn.FORECAST.LINEAR(Sheet3!CL60,$DP$3:$DP$14,$DJ$3:$DJ$14)*1000</f>
        <v>4189.7248396489931</v>
      </c>
      <c r="AR60" s="35">
        <f>_xlfn.FORECAST.LINEAR(Sheet3!CM60,$DP$3:$DP$14,$DJ$3:$DJ$14)*1000</f>
        <v>4189.6089983283973</v>
      </c>
      <c r="AS60" s="35">
        <f>_xlfn.FORECAST.LINEAR(Sheet3!CN60,$DP$3:$DP$14,$DJ$3:$DJ$14)*1000</f>
        <v>4189.4932586252326</v>
      </c>
      <c r="AT60" s="35">
        <f>_xlfn.FORECAST.LINEAR(Sheet3!CO60,$DP$3:$DP$14,$DJ$3:$DJ$14)*1000</f>
        <v>4189.3761272316488</v>
      </c>
      <c r="AU60" s="35">
        <f>_xlfn.FORECAST.LINEAR(Sheet3!CP60,$DP$3:$DP$14,$DJ$3:$DJ$14)*1000</f>
        <v>4189.256110839794</v>
      </c>
      <c r="AV60" s="289">
        <f t="shared" si="18"/>
        <v>1.3985521753686097E-7</v>
      </c>
      <c r="AW60" s="35">
        <f t="shared" si="19"/>
        <v>1.430554909627736E-7</v>
      </c>
      <c r="AX60" s="35">
        <f t="shared" si="20"/>
        <v>1.4264171630409951E-7</v>
      </c>
      <c r="AY60" s="35">
        <f t="shared" si="21"/>
        <v>1.4224350376874141E-7</v>
      </c>
      <c r="AZ60" s="35">
        <f t="shared" si="22"/>
        <v>1.4185588037025119E-7</v>
      </c>
      <c r="BA60" s="35">
        <f t="shared" si="23"/>
        <v>1.4147389368541982E-7</v>
      </c>
      <c r="BB60" s="35">
        <f t="shared" si="24"/>
        <v>1.4109261081020363E-7</v>
      </c>
      <c r="BC60" s="35">
        <f t="shared" si="25"/>
        <v>1.4070711793659008E-7</v>
      </c>
      <c r="BD60" s="35">
        <f t="shared" si="26"/>
        <v>1.4031252054369989E-7</v>
      </c>
      <c r="BE60" s="289">
        <f t="shared" si="62"/>
        <v>10.116180857599945</v>
      </c>
      <c r="BF60" s="35">
        <f t="shared" si="27"/>
        <v>7.4982472226940819</v>
      </c>
      <c r="BG60" s="35">
        <f t="shared" si="28"/>
        <v>7.7795794966524383</v>
      </c>
      <c r="BH60" s="35">
        <f t="shared" si="29"/>
        <v>8.0648219770957343</v>
      </c>
      <c r="BI60" s="35">
        <f t="shared" si="30"/>
        <v>8.3568268433982364</v>
      </c>
      <c r="BJ60" s="35">
        <f t="shared" si="31"/>
        <v>8.6591087648412408</v>
      </c>
      <c r="BK60" s="35">
        <f t="shared" si="32"/>
        <v>8.9758927097509389</v>
      </c>
      <c r="BL60" s="35">
        <f t="shared" si="33"/>
        <v>9.3121834149233287</v>
      </c>
      <c r="BM60" s="35">
        <f t="shared" si="34"/>
        <v>9.673863821574141</v>
      </c>
      <c r="BN60" s="289">
        <f t="shared" si="35"/>
        <v>8.8240166852202344E-4</v>
      </c>
      <c r="BO60" s="35">
        <f t="shared" si="36"/>
        <v>9.0259345443095959E-4</v>
      </c>
      <c r="BP60" s="35">
        <f t="shared" si="37"/>
        <v>8.9998278708771317E-4</v>
      </c>
      <c r="BQ60" s="35">
        <f t="shared" si="38"/>
        <v>8.974703073117348E-4</v>
      </c>
      <c r="BR60" s="35">
        <f t="shared" si="39"/>
        <v>8.9502463857223406E-4</v>
      </c>
      <c r="BS60" s="35">
        <f t="shared" si="40"/>
        <v>8.9261453407999726E-4</v>
      </c>
      <c r="BT60" s="35">
        <f t="shared" si="41"/>
        <v>8.9020887019991362E-4</v>
      </c>
      <c r="BU60" s="35">
        <f t="shared" si="42"/>
        <v>8.8777664378125807E-4</v>
      </c>
      <c r="BV60" s="35">
        <f t="shared" si="43"/>
        <v>8.8528697336342805E-4</v>
      </c>
      <c r="BW60" s="289">
        <f t="shared" si="44"/>
        <v>4.336827265310185E-2</v>
      </c>
      <c r="BX60" s="35">
        <f t="shared" si="45"/>
        <v>4.0468246060780554E-2</v>
      </c>
      <c r="BY60" s="35">
        <f t="shared" si="46"/>
        <v>4.0813043286956015E-2</v>
      </c>
      <c r="BZ60" s="35">
        <f t="shared" si="47"/>
        <v>4.1153342700178328E-2</v>
      </c>
      <c r="CA60" s="35">
        <f t="shared" si="48"/>
        <v>4.1492585428990141E-2</v>
      </c>
      <c r="CB60" s="35">
        <f t="shared" si="49"/>
        <v>4.1834606219305327E-2</v>
      </c>
      <c r="CC60" s="35">
        <f t="shared" si="50"/>
        <v>4.2183614623066308E-2</v>
      </c>
      <c r="CD60" s="35">
        <f t="shared" si="51"/>
        <v>4.2544184888745604E-2</v>
      </c>
      <c r="CE60" s="35">
        <f t="shared" si="52"/>
        <v>4.2921254703065806E-2</v>
      </c>
      <c r="CF60" s="289">
        <f t="shared" si="65"/>
        <v>46.962574748906583</v>
      </c>
      <c r="CG60" s="35">
        <f t="shared" si="66"/>
        <v>56.86093223398931</v>
      </c>
      <c r="CH60" s="35">
        <f t="shared" si="67"/>
        <v>55.618722450172498</v>
      </c>
      <c r="CI60" s="35">
        <f t="shared" si="68"/>
        <v>54.410431867404149</v>
      </c>
      <c r="CJ60" s="35">
        <f t="shared" si="69"/>
        <v>53.223247038848001</v>
      </c>
      <c r="CK60" s="35">
        <f t="shared" si="70"/>
        <v>52.043691219906322</v>
      </c>
      <c r="CL60" s="35">
        <f t="shared" si="71"/>
        <v>50.857775458711203</v>
      </c>
      <c r="CM60" s="35">
        <f t="shared" si="72"/>
        <v>49.651131684343945</v>
      </c>
      <c r="CN60" s="35">
        <f t="shared" si="73"/>
        <v>48.409135649989089</v>
      </c>
      <c r="CO60" s="289">
        <f t="shared" si="53"/>
        <v>1969.9136146901735</v>
      </c>
      <c r="CP60" s="35">
        <f t="shared" si="54"/>
        <v>2429.9304187552066</v>
      </c>
      <c r="CQ60" s="35">
        <f t="shared" si="55"/>
        <v>2371.1972226922421</v>
      </c>
      <c r="CR60" s="35">
        <f t="shared" si="56"/>
        <v>2314.3612812272281</v>
      </c>
      <c r="CS60" s="35">
        <f t="shared" si="57"/>
        <v>2258.7908316200032</v>
      </c>
      <c r="CT60" s="35">
        <f t="shared" si="58"/>
        <v>2203.8371284551804</v>
      </c>
      <c r="CU60" s="35">
        <f t="shared" si="59"/>
        <v>2148.8407173758692</v>
      </c>
      <c r="CV60" s="35">
        <f t="shared" si="60"/>
        <v>2093.137185567939</v>
      </c>
      <c r="CW60" s="35">
        <f t="shared" si="61"/>
        <v>2036.0627524496069</v>
      </c>
    </row>
    <row r="61" spans="1:102" x14ac:dyDescent="0.3">
      <c r="A61" s="184" t="str">
        <f>'Su K. oro stendu'!B106</f>
        <v>2023.01.23-1</v>
      </c>
      <c r="B61" s="289">
        <f>Sheet3!DD61</f>
        <v>6.8</v>
      </c>
      <c r="C61" s="289">
        <f>_xlfn.FORECAST.LINEAR(Sheet3!DD61,$DW$3:$DW$24,$DU$3:$DU$24)</f>
        <v>1002.5223405248973</v>
      </c>
      <c r="D61" s="35">
        <f>_xlfn.FORECAST.LINEAR(Sheet3!CI61,'Cooling water'!$DW$3:$DW$24,'Cooling water'!$DU$3:$DU$24)</f>
        <v>997.5763377386437</v>
      </c>
      <c r="E61" s="35">
        <f>_xlfn.FORECAST.LINEAR(Sheet3!CJ61,'Cooling water'!$DW$3:$DW$24,'Cooling water'!$DU$3:$DU$24)</f>
        <v>998.21134868496597</v>
      </c>
      <c r="F61" s="35">
        <f>_xlfn.FORECAST.LINEAR(Sheet3!CK61,'Cooling water'!$DW$3:$DW$24,'Cooling water'!$DU$3:$DU$24)</f>
        <v>998.79447999781439</v>
      </c>
      <c r="G61" s="35">
        <f>_xlfn.FORECAST.LINEAR(Sheet3!CL61,'Cooling water'!$DW$3:$DW$24,'Cooling water'!$DU$3:$DU$24)</f>
        <v>999.34744758335978</v>
      </c>
      <c r="H61" s="35">
        <f>_xlfn.FORECAST.LINEAR(Sheet3!CM61,'Cooling water'!$DW$3:$DW$24,'Cooling water'!$DU$3:$DU$24)</f>
        <v>999.89196734777261</v>
      </c>
      <c r="I61" s="35">
        <f>_xlfn.FORECAST.LINEAR(Sheet3!CN61,'Cooling water'!$DW$3:$DW$24,'Cooling water'!$DU$3:$DU$24)</f>
        <v>1000.4497551972236</v>
      </c>
      <c r="J61" s="35">
        <f>_xlfn.FORECAST.LINEAR(Sheet3!CO61,'Cooling water'!$DW$3:$DW$24,'Cooling water'!$DU$3:$DU$24)</f>
        <v>1001.0425270378834</v>
      </c>
      <c r="K61" s="35">
        <f>_xlfn.FORECAST.LINEAR(Sheet3!CP61,'Cooling water'!$DW$3:$DW$24,'Cooling water'!$DU$3:$DU$24)</f>
        <v>1001.6919987759225</v>
      </c>
      <c r="L61" s="289">
        <f t="shared" si="17"/>
        <v>1.4346221808749782E-3</v>
      </c>
      <c r="M61" s="35">
        <f xml:space="preserve"> 0.0000000000330128*((Sheet3!CI61+273)^(4)) - 0.0000000448315*((Sheet3!CI61+273)^(3)) + 0.0000228887*((Sheet3!CI61+273)^(2)) - 0.00521331*((Sheet3!CI61+273)) + 0.447905</f>
        <v>1.0354914674370885E-3</v>
      </c>
      <c r="N61" s="35">
        <f xml:space="preserve"> 0.0000000000330128*((Sheet3!CJ61+273)^(4)) - 0.0000000448315*((Sheet3!CJ61+273)^(3)) + 0.0000228887*((Sheet3!CJ61+273)^(2)) - 0.00521331*((Sheet3!CJ61+273)) + 0.447905</f>
        <v>1.0771815679944119E-3</v>
      </c>
      <c r="O61" s="35">
        <f xml:space="preserve"> 0.0000000000330128*((Sheet3!CK61+273)^(4)) - 0.0000000448315*((Sheet3!CK61+273)^(3)) + 0.0000228887*((Sheet3!CK61+273)^(2)) - 0.00521331*((Sheet3!CK61+273)) + 0.447905</f>
        <v>1.1176905889869193E-3</v>
      </c>
      <c r="P61" s="35">
        <f xml:space="preserve"> 0.0000000000330128*((Sheet3!CL61+273)^(4)) - 0.0000000448315*((Sheet3!CL61+273)^(3)) + 0.0000228887*((Sheet3!CL61+273)^(2)) - 0.00521331*((Sheet3!CL61+273)) + 0.447905</f>
        <v>1.1581747730409209E-3</v>
      </c>
      <c r="Q61" s="35">
        <f xml:space="preserve"> 0.0000000000330128*((Sheet3!CM61+273)^(4)) - 0.0000000448315*((Sheet3!CM61+273)^(3)) + 0.0000228887*((Sheet3!CM61+273)^(2)) - 0.00521331*((Sheet3!CM61+273)) + 0.447905</f>
        <v>1.2001055246597669E-3</v>
      </c>
      <c r="R61" s="35">
        <f xml:space="preserve"> 0.0000000000330128*((Sheet3!CN61+273)^(4)) - 0.0000000448315*((Sheet3!CN61+273)^(3)) + 0.0000228887*((Sheet3!CN61+273)^(2)) - 0.00521331*((Sheet3!CN61+273)) + 0.447905</f>
        <v>1.2452818650505737E-3</v>
      </c>
      <c r="S61" s="35">
        <f xml:space="preserve"> 0.0000000000330128*((Sheet3!CO61+273)^(4)) - 0.0000000448315*((Sheet3!CO61+273)^(3)) + 0.0000228887*((Sheet3!CO61+273)^(2)) - 0.00521331*((Sheet3!CO61+273)) + 0.447905</f>
        <v>1.2958740381894263E-3</v>
      </c>
      <c r="T61" s="35">
        <f xml:space="preserve"> 0.0000000000330128*((Sheet3!CP61+273)^(4)) - 0.0000000448315*((Sheet3!CP61+273)^(3)) + 0.0000228887*((Sheet3!CP61+273)^(2)) - 0.00521331*((Sheet3!CP61+273)) + 0.447905</f>
        <v>1.3545093600908498E-3</v>
      </c>
      <c r="U61" s="289">
        <f>(Sheet3!DC61*0.014*0.001*C61) / (L61*0.00015*3600*3)</f>
        <v>5404.96112402584</v>
      </c>
      <c r="V61" s="35">
        <f>(Sheet3!$DC61*0.014*0.001*D61) / (M61*0.00015*3600*3)</f>
        <v>7451.3621440084207</v>
      </c>
      <c r="W61" s="35">
        <f>(Sheet3!$DC61*0.014*0.001*E61) / (N61*0.00015*3600*3)</f>
        <v>7167.5320907708465</v>
      </c>
      <c r="X61" s="35">
        <f>(Sheet3!$DC61*0.014*0.001*F61) / (O61*0.00015*3600*3)</f>
        <v>6911.7909742118982</v>
      </c>
      <c r="Y61" s="35">
        <f>(Sheet3!$DC61*0.014*0.001*G61) / (P61*0.00015*3600*3)</f>
        <v>6673.8810671589799</v>
      </c>
      <c r="Z61" s="35">
        <f>(Sheet3!$DC61*0.014*0.001*H61) / (Q61*0.00015*3600*3)</f>
        <v>6444.210243547458</v>
      </c>
      <c r="AA61" s="35">
        <f>(Sheet3!$DC61*0.014*0.001*I61) / (R61*0.00015*3600*3)</f>
        <v>6213.8916341098156</v>
      </c>
      <c r="AB61" s="35">
        <f>(Sheet3!$DC61*0.014*0.001*J61) / (S61*0.00015*3600*3)</f>
        <v>5974.8333319616677</v>
      </c>
      <c r="AC61" s="35">
        <f>(Sheet3!$DC61*0.014*0.001*K61) / (T61*0.00015*3600*3)</f>
        <v>5719.8975576928442</v>
      </c>
      <c r="AD61" s="289">
        <f t="shared" si="63"/>
        <v>0.58681877425085327</v>
      </c>
      <c r="AE61" s="35">
        <f>_xlfn.FORECAST.LINEAR(Sheet3!CI61,$DA$3:$DA$12,$CZ$3:$CZ$12)/1000</f>
        <v>0.59968370349500377</v>
      </c>
      <c r="AF61" s="35">
        <f>_xlfn.FORECAST.LINEAR(Sheet3!CJ61,$DA$3:$DA$12,$CZ$3:$CZ$12)/1000</f>
        <v>0.59803199174983412</v>
      </c>
      <c r="AG61" s="35">
        <f>_xlfn.FORECAST.LINEAR(Sheet3!CK61,$DA$3:$DA$12,$CZ$3:$CZ$12)/1000</f>
        <v>0.59651522287524028</v>
      </c>
      <c r="AH61" s="35">
        <f>_xlfn.FORECAST.LINEAR(Sheet3!CL61,$DA$3:$DA$12,$CZ$3:$CZ$12)/1000</f>
        <v>0.59507691214842029</v>
      </c>
      <c r="AI61" s="35">
        <f>_xlfn.FORECAST.LINEAR(Sheet3!CM61,$DA$3:$DA$12,$CZ$3:$CZ$12)/1000</f>
        <v>0.59366057484657286</v>
      </c>
      <c r="AJ61" s="35">
        <f>_xlfn.FORECAST.LINEAR(Sheet3!CN61,$DA$3:$DA$12,$CZ$3:$CZ$12)/1000</f>
        <v>0.59220972624689605</v>
      </c>
      <c r="AK61" s="35">
        <f>_xlfn.FORECAST.LINEAR(Sheet3!CO61,$DA$3:$DA$12,$CZ$3:$CZ$12)/1000</f>
        <v>0.59066788162658823</v>
      </c>
      <c r="AL61" s="35">
        <f>_xlfn.FORECAST.LINEAR(Sheet3!CP61,$DA$3:$DA$12,$CZ$3:$CZ$12)/1000</f>
        <v>0.58897855626284779</v>
      </c>
      <c r="AM61" s="289">
        <f t="shared" si="64"/>
        <v>4189.0788889852502</v>
      </c>
      <c r="AN61" s="35">
        <f>_xlfn.FORECAST.LINEAR(Sheet3!CI61,$DP$3:$DP$14,$DJ$3:$DJ$14)*1000</f>
        <v>4190.211020509053</v>
      </c>
      <c r="AO61" s="35">
        <f>_xlfn.FORECAST.LINEAR(Sheet3!CJ61,$DP$3:$DP$14,$DJ$3:$DJ$14)*1000</f>
        <v>4190.0656675965374</v>
      </c>
      <c r="AP61" s="35">
        <f>_xlfn.FORECAST.LINEAR(Sheet3!CK61,$DP$3:$DP$14,$DJ$3:$DJ$14)*1000</f>
        <v>4189.9321898428198</v>
      </c>
      <c r="AQ61" s="35">
        <f>_xlfn.FORECAST.LINEAR(Sheet3!CL61,$DP$3:$DP$14,$DJ$3:$DJ$14)*1000</f>
        <v>4189.805616514358</v>
      </c>
      <c r="AR61" s="35">
        <f>_xlfn.FORECAST.LINEAR(Sheet3!CM61,$DP$3:$DP$14,$DJ$3:$DJ$14)*1000</f>
        <v>4189.6809768776111</v>
      </c>
      <c r="AS61" s="35">
        <f>_xlfn.FORECAST.LINEAR(Sheet3!CN61,$DP$3:$DP$14,$DJ$3:$DJ$14)*1000</f>
        <v>4189.5533001990389</v>
      </c>
      <c r="AT61" s="35">
        <f>_xlfn.FORECAST.LINEAR(Sheet3!CO61,$DP$3:$DP$14,$DJ$3:$DJ$14)*1000</f>
        <v>4189.4176157451002</v>
      </c>
      <c r="AU61" s="35">
        <f>_xlfn.FORECAST.LINEAR(Sheet3!CP61,$DP$3:$DP$14,$DJ$3:$DJ$14)*1000</f>
        <v>4189.2689527822531</v>
      </c>
      <c r="AV61" s="289">
        <f t="shared" si="18"/>
        <v>1.3973056059673195E-7</v>
      </c>
      <c r="AW61" s="35">
        <f t="shared" si="19"/>
        <v>1.4346310066421572E-7</v>
      </c>
      <c r="AX61" s="35">
        <f t="shared" si="20"/>
        <v>1.4298190689173186E-7</v>
      </c>
      <c r="AY61" s="35">
        <f t="shared" si="21"/>
        <v>1.4254054118224116E-7</v>
      </c>
      <c r="AZ61" s="35">
        <f t="shared" si="22"/>
        <v>1.4212246082308776E-7</v>
      </c>
      <c r="BA61" s="35">
        <f t="shared" si="23"/>
        <v>1.4171119943954946E-7</v>
      </c>
      <c r="BB61" s="35">
        <f t="shared" si="24"/>
        <v>1.4129036061069397E-7</v>
      </c>
      <c r="BC61" s="35">
        <f t="shared" si="25"/>
        <v>1.408436183297295E-7</v>
      </c>
      <c r="BD61" s="35">
        <f t="shared" si="26"/>
        <v>1.4035472422724332E-7</v>
      </c>
      <c r="BE61" s="289">
        <f t="shared" si="62"/>
        <v>10.241229073227137</v>
      </c>
      <c r="BF61" s="35">
        <f t="shared" si="27"/>
        <v>7.2353604628746249</v>
      </c>
      <c r="BG61" s="35">
        <f t="shared" si="28"/>
        <v>7.5471907324135934</v>
      </c>
      <c r="BH61" s="35">
        <f t="shared" si="29"/>
        <v>7.8506760556890631</v>
      </c>
      <c r="BI61" s="35">
        <f t="shared" si="30"/>
        <v>8.1544537687958645</v>
      </c>
      <c r="BJ61" s="35">
        <f t="shared" si="31"/>
        <v>8.4695859889503602</v>
      </c>
      <c r="BK61" s="35">
        <f t="shared" si="32"/>
        <v>8.8096742018478285</v>
      </c>
      <c r="BL61" s="35">
        <f t="shared" si="33"/>
        <v>9.1912184363693417</v>
      </c>
      <c r="BM61" s="35">
        <f t="shared" si="34"/>
        <v>9.6343134196369551</v>
      </c>
      <c r="BN61" s="289">
        <f t="shared" si="35"/>
        <v>7.7424526792853375E-4</v>
      </c>
      <c r="BO61" s="35">
        <f t="shared" si="36"/>
        <v>7.9492722520589231E-4</v>
      </c>
      <c r="BP61" s="35">
        <f t="shared" si="37"/>
        <v>7.9226093660223092E-4</v>
      </c>
      <c r="BQ61" s="35">
        <f t="shared" si="38"/>
        <v>7.8981533479157654E-4</v>
      </c>
      <c r="BR61" s="35">
        <f t="shared" si="39"/>
        <v>7.8749875681245751E-4</v>
      </c>
      <c r="BS61" s="35">
        <f t="shared" si="40"/>
        <v>7.8521996269092489E-4</v>
      </c>
      <c r="BT61" s="35">
        <f t="shared" si="41"/>
        <v>7.8288810006609574E-4</v>
      </c>
      <c r="BU61" s="35">
        <f t="shared" si="42"/>
        <v>7.8041270674094763E-4</v>
      </c>
      <c r="BV61" s="35">
        <f t="shared" si="43"/>
        <v>7.7770375070619342E-4</v>
      </c>
      <c r="BW61" s="289">
        <f t="shared" si="44"/>
        <v>4.2102613787280273E-2</v>
      </c>
      <c r="BX61" s="35">
        <f t="shared" si="45"/>
        <v>3.8855122645068678E-2</v>
      </c>
      <c r="BY61" s="35">
        <f t="shared" si="46"/>
        <v>3.9234198986464922E-2</v>
      </c>
      <c r="BZ61" s="35">
        <f t="shared" si="47"/>
        <v>3.959219255325018E-2</v>
      </c>
      <c r="CA61" s="35">
        <f t="shared" si="48"/>
        <v>3.9940416202451354E-2</v>
      </c>
      <c r="CB61" s="35">
        <f t="shared" si="49"/>
        <v>4.0291624389616643E-2</v>
      </c>
      <c r="CC61" s="35">
        <f t="shared" si="50"/>
        <v>4.0659897839040351E-2</v>
      </c>
      <c r="CD61" s="35">
        <f t="shared" si="51"/>
        <v>4.1060643669715215E-2</v>
      </c>
      <c r="CE61" s="35">
        <f t="shared" si="52"/>
        <v>4.1510707858968723E-2</v>
      </c>
      <c r="CF61" s="289">
        <f t="shared" si="65"/>
        <v>53.670843701315107</v>
      </c>
      <c r="CG61" s="35">
        <f t="shared" si="66"/>
        <v>66.175240605218647</v>
      </c>
      <c r="CH61" s="35">
        <f t="shared" si="67"/>
        <v>64.62108986585271</v>
      </c>
      <c r="CI61" s="35">
        <f t="shared" si="68"/>
        <v>63.176832449416679</v>
      </c>
      <c r="CJ61" s="35">
        <f t="shared" si="69"/>
        <v>61.793701436585636</v>
      </c>
      <c r="CK61" s="35">
        <f t="shared" si="70"/>
        <v>60.420212828395378</v>
      </c>
      <c r="CL61" s="35">
        <f t="shared" si="71"/>
        <v>59.002926048051975</v>
      </c>
      <c r="CM61" s="35">
        <f t="shared" si="72"/>
        <v>57.487006444580693</v>
      </c>
      <c r="CN61" s="35">
        <f t="shared" si="73"/>
        <v>55.81673189256793</v>
      </c>
      <c r="CO61" s="289">
        <f t="shared" si="53"/>
        <v>2249.6470509867759</v>
      </c>
      <c r="CP61" s="35">
        <f t="shared" si="54"/>
        <v>2834.586668986462</v>
      </c>
      <c r="CQ61" s="35">
        <f t="shared" si="55"/>
        <v>2760.39136296578</v>
      </c>
      <c r="CR61" s="35">
        <f t="shared" si="56"/>
        <v>2691.8530206511073</v>
      </c>
      <c r="CS61" s="35">
        <f t="shared" si="57"/>
        <v>2626.5717886503417</v>
      </c>
      <c r="CT61" s="35">
        <f t="shared" si="58"/>
        <v>2562.0784485755339</v>
      </c>
      <c r="CU61" s="35">
        <f t="shared" si="59"/>
        <v>2495.8647630487653</v>
      </c>
      <c r="CV61" s="35">
        <f t="shared" si="60"/>
        <v>2425.4091655481789</v>
      </c>
      <c r="CW61" s="35">
        <f t="shared" si="61"/>
        <v>2348.2041546710793</v>
      </c>
    </row>
    <row r="62" spans="1:102" x14ac:dyDescent="0.3">
      <c r="A62" s="184" t="str">
        <f>'Su K. oro stendu'!B107</f>
        <v>2023.01.23-2</v>
      </c>
      <c r="B62" s="289">
        <f>Sheet3!DD62</f>
        <v>7.5</v>
      </c>
      <c r="C62" s="289">
        <f>_xlfn.FORECAST.LINEAR(Sheet3!DD62,$DW$3:$DW$24,$DU$3:$DU$24)</f>
        <v>1002.2319462505126</v>
      </c>
      <c r="D62" s="35">
        <f>_xlfn.FORECAST.LINEAR(Sheet3!CI62,'Cooling water'!$DW$3:$DW$24,'Cooling water'!$DU$3:$DU$24)</f>
        <v>996.85471100789209</v>
      </c>
      <c r="E62" s="35">
        <f>_xlfn.FORECAST.LINEAR(Sheet3!CJ62,'Cooling water'!$DW$3:$DW$24,'Cooling water'!$DU$3:$DU$24)</f>
        <v>997.58677277514016</v>
      </c>
      <c r="F62" s="35">
        <f>_xlfn.FORECAST.LINEAR(Sheet3!CK62,'Cooling water'!$DW$3:$DW$24,'Cooling water'!$DU$3:$DU$24)</f>
        <v>998.26463405897516</v>
      </c>
      <c r="G62" s="35">
        <f>_xlfn.FORECAST.LINEAR(Sheet3!CL62,'Cooling water'!$DW$3:$DW$24,'Cooling water'!$DU$3:$DU$24)</f>
        <v>998.9055647818393</v>
      </c>
      <c r="H62" s="35">
        <f>_xlfn.FORECAST.LINEAR(Sheet3!CM62,'Cooling water'!$DW$3:$DW$24,'Cooling water'!$DU$3:$DU$24)</f>
        <v>999.5268348661748</v>
      </c>
      <c r="I62" s="35">
        <f>_xlfn.FORECAST.LINEAR(Sheet3!CN62,'Cooling water'!$DW$3:$DW$24,'Cooling water'!$DU$3:$DU$24)</f>
        <v>1000.1457142344235</v>
      </c>
      <c r="J62" s="35">
        <f>_xlfn.FORECAST.LINEAR(Sheet3!CO62,'Cooling water'!$DW$3:$DW$24,'Cooling water'!$DU$3:$DU$24)</f>
        <v>1000.7794728090278</v>
      </c>
      <c r="K62" s="35">
        <f>_xlfn.FORECAST.LINEAR(Sheet3!CP62,'Cooling water'!$DW$3:$DW$24,'Cooling water'!$DU$3:$DU$24)</f>
        <v>1001.4453805124294</v>
      </c>
      <c r="L62" s="289">
        <f t="shared" si="17"/>
        <v>1.4059274243978237E-3</v>
      </c>
      <c r="M62" s="35">
        <f xml:space="preserve"> 0.0000000000330128*((Sheet3!CI62+273)^(4)) - 0.0000000448315*((Sheet3!CI62+273)^(3)) + 0.0000228887*((Sheet3!CI62+273)^(2)) - 0.00521331*((Sheet3!CI62+273)) + 0.447905</f>
        <v>9.9101103537591051E-4</v>
      </c>
      <c r="N62" s="35">
        <f xml:space="preserve"> 0.0000000000330128*((Sheet3!CJ62+273)^(4)) - 0.0000000448315*((Sheet3!CJ62+273)^(3)) + 0.0000228887*((Sheet3!CJ62+273)^(2)) - 0.00521331*((Sheet3!CJ62+273)) + 0.447905</f>
        <v>1.0361568519843267E-3</v>
      </c>
      <c r="O62" s="35">
        <f xml:space="preserve"> 0.0000000000330128*((Sheet3!CK62+273)^(4)) - 0.0000000448315*((Sheet3!CK62+273)^(3)) + 0.0000228887*((Sheet3!CK62+273)^(2)) - 0.00521331*((Sheet3!CK62+273)) + 0.447905</f>
        <v>1.0807929961684781E-3</v>
      </c>
      <c r="P62" s="35">
        <f xml:space="preserve"> 0.0000000000330128*((Sheet3!CL62+273)^(4)) - 0.0000000448315*((Sheet3!CL62+273)^(3)) + 0.0000228887*((Sheet3!CL62+273)^(2)) - 0.00521331*((Sheet3!CL62+273)) + 0.447905</f>
        <v>1.1256584083878529E-3</v>
      </c>
      <c r="Q62" s="35">
        <f xml:space="preserve"> 0.0000000000330128*((Sheet3!CM62+273)^(4)) - 0.0000000448315*((Sheet3!CM62+273)^(3)) + 0.0000228887*((Sheet3!CM62+273)^(2)) - 0.00521331*((Sheet3!CM62+273)) + 0.447905</f>
        <v>1.1717575265979274E-3</v>
      </c>
      <c r="R62" s="35">
        <f xml:space="preserve"> 0.0000000000330128*((Sheet3!CN62+273)^(4)) - 0.0000000448315*((Sheet3!CN62+273)^(3)) + 0.0000228887*((Sheet3!CN62+273)^(2)) - 0.00521331*((Sheet3!CN62+273)) + 0.447905</f>
        <v>1.2203718463332791E-3</v>
      </c>
      <c r="S62" s="35">
        <f xml:space="preserve"> 0.0000000000330128*((Sheet3!CO62+273)^(4)) - 0.0000000448315*((Sheet3!CO62+273)^(3)) + 0.0000228887*((Sheet3!CO62+273)^(2)) - 0.00521331*((Sheet3!CO62+273)) + 0.447905</f>
        <v>1.2730865311694206E-3</v>
      </c>
      <c r="T62" s="35">
        <f xml:space="preserve"> 0.0000000000330128*((Sheet3!CP62+273)^(4)) - 0.0000000448315*((Sheet3!CP62+273)^(3)) + 0.0000228887*((Sheet3!CP62+273)^(2)) - 0.00521331*((Sheet3!CP62+273)) + 0.447905</f>
        <v>1.3318394241896847E-3</v>
      </c>
      <c r="U62" s="289">
        <f>(Sheet3!DC62*0.014*0.001*C62) / (L62*0.00015*3600*3)</f>
        <v>6172.8550918709952</v>
      </c>
      <c r="V62" s="35">
        <f>(Sheet3!$DC62*0.014*0.001*D62) / (M62*0.00015*3600*3)</f>
        <v>8710.3201460889923</v>
      </c>
      <c r="W62" s="35">
        <f>(Sheet3!$DC62*0.014*0.001*E62) / (N62*0.00015*3600*3)</f>
        <v>8336.9255171401055</v>
      </c>
      <c r="X62" s="35">
        <f>(Sheet3!$DC62*0.014*0.001*F62) / (O62*0.00015*3600*3)</f>
        <v>7998.0461626888091</v>
      </c>
      <c r="Y62" s="35">
        <f>(Sheet3!$DC62*0.014*0.001*G62) / (P62*0.00015*3600*3)</f>
        <v>7684.1981515074367</v>
      </c>
      <c r="Z62" s="35">
        <f>(Sheet3!$DC62*0.014*0.001*H62) / (Q62*0.00015*3600*3)</f>
        <v>7386.4786896845135</v>
      </c>
      <c r="AA62" s="35">
        <f>(Sheet3!$DC62*0.014*0.001*I62) / (R62*0.00015*3600*3)</f>
        <v>7096.6247399218864</v>
      </c>
      <c r="AB62" s="35">
        <f>(Sheet3!$DC62*0.014*0.001*J62) / (S62*0.00015*3600*3)</f>
        <v>6807.0855391407122</v>
      </c>
      <c r="AC62" s="35">
        <f>(Sheet3!$DC62*0.014*0.001*K62) / (T62*0.00015*3600*3)</f>
        <v>6511.1266616249432</v>
      </c>
      <c r="AD62" s="289">
        <f t="shared" si="63"/>
        <v>0.58757411183441643</v>
      </c>
      <c r="AE62" s="35">
        <f>_xlfn.FORECAST.LINEAR(Sheet3!CI62,$DA$3:$DA$12,$CZ$3:$CZ$12)/1000</f>
        <v>0.6015607094800407</v>
      </c>
      <c r="AF62" s="35">
        <f>_xlfn.FORECAST.LINEAR(Sheet3!CJ62,$DA$3:$DA$12,$CZ$3:$CZ$12)/1000</f>
        <v>0.59965656117180111</v>
      </c>
      <c r="AG62" s="35">
        <f>_xlfn.FORECAST.LINEAR(Sheet3!CK62,$DA$3:$DA$12,$CZ$3:$CZ$12)/1000</f>
        <v>0.59789339244126083</v>
      </c>
      <c r="AH62" s="35">
        <f>_xlfn.FORECAST.LINEAR(Sheet3!CL62,$DA$3:$DA$12,$CZ$3:$CZ$12)/1000</f>
        <v>0.59622628290728186</v>
      </c>
      <c r="AI62" s="35">
        <f>_xlfn.FORECAST.LINEAR(Sheet3!CM62,$DA$3:$DA$12,$CZ$3:$CZ$12)/1000</f>
        <v>0.59461031218872573</v>
      </c>
      <c r="AJ62" s="35">
        <f>_xlfn.FORECAST.LINEAR(Sheet3!CN62,$DA$3:$DA$12,$CZ$3:$CZ$12)/1000</f>
        <v>0.59300055990445422</v>
      </c>
      <c r="AK62" s="35">
        <f>_xlfn.FORECAST.LINEAR(Sheet3!CO62,$DA$3:$DA$12,$CZ$3:$CZ$12)/1000</f>
        <v>0.59135210567332908</v>
      </c>
      <c r="AL62" s="35">
        <f>_xlfn.FORECAST.LINEAR(Sheet3!CP62,$DA$3:$DA$12,$CZ$3:$CZ$12)/1000</f>
        <v>0.58962002911421185</v>
      </c>
      <c r="AM62" s="289">
        <f t="shared" si="64"/>
        <v>4189.1453597347772</v>
      </c>
      <c r="AN62" s="35">
        <f>_xlfn.FORECAST.LINEAR(Sheet3!CI62,$DP$3:$DP$14,$DJ$3:$DJ$14)*1000</f>
        <v>4190.3761996255244</v>
      </c>
      <c r="AO62" s="35">
        <f>_xlfn.FORECAST.LINEAR(Sheet3!CJ62,$DP$3:$DP$14,$DJ$3:$DJ$14)*1000</f>
        <v>4190.2086319471618</v>
      </c>
      <c r="AP62" s="35">
        <f>_xlfn.FORECAST.LINEAR(Sheet3!CK62,$DP$3:$DP$14,$DJ$3:$DJ$14)*1000</f>
        <v>4190.053470666151</v>
      </c>
      <c r="AQ62" s="35">
        <f>_xlfn.FORECAST.LINEAR(Sheet3!CL62,$DP$3:$DP$14,$DJ$3:$DJ$14)*1000</f>
        <v>4189.9067627269751</v>
      </c>
      <c r="AR62" s="35">
        <f>_xlfn.FORECAST.LINEAR(Sheet3!CM62,$DP$3:$DP$14,$DJ$3:$DJ$14)*1000</f>
        <v>4189.7645550741154</v>
      </c>
      <c r="AS62" s="35">
        <f>_xlfn.FORECAST.LINEAR(Sheet3!CN62,$DP$3:$DP$14,$DJ$3:$DJ$14)*1000</f>
        <v>4189.6228946520532</v>
      </c>
      <c r="AT62" s="35">
        <f>_xlfn.FORECAST.LINEAR(Sheet3!CO62,$DP$3:$DP$14,$DJ$3:$DJ$14)*1000</f>
        <v>4189.4778284052682</v>
      </c>
      <c r="AU62" s="35">
        <f>_xlfn.FORECAST.LINEAR(Sheet3!CP62,$DP$3:$DP$14,$DJ$3:$DJ$14)*1000</f>
        <v>4189.3254032782424</v>
      </c>
      <c r="AV62" s="289">
        <f t="shared" si="18"/>
        <v>1.3994873612289514E-7</v>
      </c>
      <c r="AW62" s="35">
        <f t="shared" si="19"/>
        <v>1.4401064079503732E-7</v>
      </c>
      <c r="AX62" s="35">
        <f t="shared" si="20"/>
        <v>1.4345518854955527E-7</v>
      </c>
      <c r="AY62" s="35">
        <f t="shared" si="21"/>
        <v>1.4294155531591058E-7</v>
      </c>
      <c r="AZ62" s="35">
        <f t="shared" si="22"/>
        <v>1.4245651817230822E-7</v>
      </c>
      <c r="BA62" s="35">
        <f t="shared" si="23"/>
        <v>1.4198692705147423E-7</v>
      </c>
      <c r="BB62" s="35">
        <f t="shared" si="24"/>
        <v>1.4151969730445829E-7</v>
      </c>
      <c r="BC62" s="35">
        <f t="shared" si="25"/>
        <v>1.4104180664059644E-7</v>
      </c>
      <c r="BD62" s="35">
        <f t="shared" si="26"/>
        <v>1.4054029638415581E-7</v>
      </c>
      <c r="BE62" s="289">
        <f t="shared" si="62"/>
        <v>10.023645064368937</v>
      </c>
      <c r="BF62" s="35">
        <f t="shared" si="27"/>
        <v>6.9032252119571771</v>
      </c>
      <c r="BG62" s="35">
        <f t="shared" si="28"/>
        <v>7.2403333280497977</v>
      </c>
      <c r="BH62" s="35">
        <f t="shared" si="29"/>
        <v>7.5742272818515941</v>
      </c>
      <c r="BI62" s="35">
        <f t="shared" si="30"/>
        <v>7.9104258115340214</v>
      </c>
      <c r="BJ62" s="35">
        <f t="shared" si="31"/>
        <v>8.2564800028612702</v>
      </c>
      <c r="BK62" s="35">
        <f t="shared" si="32"/>
        <v>8.6220792577506273</v>
      </c>
      <c r="BL62" s="35">
        <f t="shared" si="33"/>
        <v>9.0192759014575916</v>
      </c>
      <c r="BM62" s="35">
        <f t="shared" si="34"/>
        <v>9.4628887373914825</v>
      </c>
      <c r="BN62" s="289">
        <f t="shared" si="35"/>
        <v>6.9264619491351002E-4</v>
      </c>
      <c r="BO62" s="35">
        <f t="shared" si="36"/>
        <v>7.1274971919821697E-4</v>
      </c>
      <c r="BP62" s="35">
        <f t="shared" si="37"/>
        <v>7.1000062767407875E-4</v>
      </c>
      <c r="BQ62" s="35">
        <f t="shared" si="38"/>
        <v>7.0745851036226059E-4</v>
      </c>
      <c r="BR62" s="35">
        <f t="shared" si="39"/>
        <v>7.0505792325290017E-4</v>
      </c>
      <c r="BS62" s="35">
        <f t="shared" si="40"/>
        <v>7.0273378291393202E-4</v>
      </c>
      <c r="BT62" s="35">
        <f t="shared" si="41"/>
        <v>7.0042132968722469E-4</v>
      </c>
      <c r="BU62" s="35">
        <f t="shared" si="42"/>
        <v>6.9805611254358487E-4</v>
      </c>
      <c r="BV62" s="35">
        <f t="shared" si="43"/>
        <v>6.9557399530224958E-4</v>
      </c>
      <c r="BW62" s="289">
        <f t="shared" si="44"/>
        <v>4.0727305790228444E-2</v>
      </c>
      <c r="BX62" s="35">
        <f t="shared" si="45"/>
        <v>3.736789831441762E-2</v>
      </c>
      <c r="BY62" s="35">
        <f t="shared" si="46"/>
        <v>3.7779457867308464E-2</v>
      </c>
      <c r="BZ62" s="35">
        <f t="shared" si="47"/>
        <v>3.8173433594915269E-2</v>
      </c>
      <c r="CA62" s="35">
        <f t="shared" si="48"/>
        <v>3.8557384209750786E-2</v>
      </c>
      <c r="CB62" s="35">
        <f t="shared" si="49"/>
        <v>3.8940169679797958E-2</v>
      </c>
      <c r="CC62" s="35">
        <f t="shared" si="50"/>
        <v>3.9331837995826957E-2</v>
      </c>
      <c r="CD62" s="35">
        <f t="shared" si="51"/>
        <v>3.9743572241296578E-2</v>
      </c>
      <c r="CE62" s="35">
        <f t="shared" si="52"/>
        <v>4.0187701327923181E-2</v>
      </c>
      <c r="CF62" s="289">
        <f t="shared" si="65"/>
        <v>61.295815713641502</v>
      </c>
      <c r="CG62" s="35">
        <f t="shared" si="66"/>
        <v>75.824307875206216</v>
      </c>
      <c r="CH62" s="35">
        <f t="shared" si="67"/>
        <v>73.923161038339927</v>
      </c>
      <c r="CI62" s="35">
        <f t="shared" si="68"/>
        <v>72.135447460767509</v>
      </c>
      <c r="CJ62" s="35">
        <f t="shared" si="69"/>
        <v>70.423439090212867</v>
      </c>
      <c r="CK62" s="35">
        <f t="shared" si="70"/>
        <v>68.746130906542419</v>
      </c>
      <c r="CL62" s="35">
        <f t="shared" si="71"/>
        <v>67.06012207378383</v>
      </c>
      <c r="CM62" s="35">
        <f t="shared" si="72"/>
        <v>65.320315933594458</v>
      </c>
      <c r="CN62" s="35">
        <f t="shared" si="73"/>
        <v>63.480525354246886</v>
      </c>
      <c r="CO62" s="289">
        <f t="shared" si="53"/>
        <v>2572.559605507784</v>
      </c>
      <c r="CP62" s="35">
        <f t="shared" si="54"/>
        <v>3258.0660315172918</v>
      </c>
      <c r="CQ62" s="35">
        <f t="shared" si="55"/>
        <v>3166.3220385142995</v>
      </c>
      <c r="CR62" s="35">
        <f t="shared" si="56"/>
        <v>3080.6648141133301</v>
      </c>
      <c r="CS62" s="35">
        <f t="shared" si="57"/>
        <v>2999.1646655932132</v>
      </c>
      <c r="CT62" s="35">
        <f t="shared" si="58"/>
        <v>2919.7970257218708</v>
      </c>
      <c r="CU62" s="35">
        <f t="shared" si="59"/>
        <v>2840.4778526439186</v>
      </c>
      <c r="CV62" s="35">
        <f t="shared" si="60"/>
        <v>2759.0933121841563</v>
      </c>
      <c r="CW62" s="35">
        <f t="shared" si="61"/>
        <v>2673.5278005397508</v>
      </c>
    </row>
    <row r="63" spans="1:102" x14ac:dyDescent="0.3">
      <c r="A63" s="184" t="str">
        <f>'Su K. oro stendu'!B108</f>
        <v>2023.01.24-1</v>
      </c>
      <c r="B63" s="289">
        <f>Sheet3!DD63</f>
        <v>7.2</v>
      </c>
      <c r="C63" s="289">
        <f>_xlfn.FORECAST.LINEAR(Sheet3!DD63,$DW$3:$DW$24,$DU$3:$DU$24)</f>
        <v>1002.3564009395346</v>
      </c>
      <c r="D63" s="35">
        <f>_xlfn.FORECAST.LINEAR(Sheet3!CI63,'Cooling water'!$DW$3:$DW$24,'Cooling water'!$DU$3:$DU$24)</f>
        <v>996.61415797273207</v>
      </c>
      <c r="E63" s="35">
        <f>_xlfn.FORECAST.LINEAR(Sheet3!CJ63,'Cooling water'!$DW$3:$DW$24,'Cooling water'!$DU$3:$DU$24)</f>
        <v>997.41049261637033</v>
      </c>
      <c r="F63" s="35">
        <f>_xlfn.FORECAST.LINEAR(Sheet3!CK63,'Cooling water'!$DW$3:$DW$24,'Cooling water'!$DU$3:$DU$24)</f>
        <v>998.15232120545772</v>
      </c>
      <c r="G63" s="35">
        <f>_xlfn.FORECAST.LINEAR(Sheet3!CL63,'Cooling water'!$DW$3:$DW$24,'Cooling water'!$DU$3:$DU$24)</f>
        <v>998.85507288125393</v>
      </c>
      <c r="H63" s="35">
        <f>_xlfn.FORECAST.LINEAR(Sheet3!CM63,'Cooling water'!$DW$3:$DW$24,'Cooling water'!$DU$3:$DU$24)</f>
        <v>999.53417678501842</v>
      </c>
      <c r="I63" s="35">
        <f>_xlfn.FORECAST.LINEAR(Sheet3!CN63,'Cooling water'!$DW$3:$DW$24,'Cooling water'!$DU$3:$DU$24)</f>
        <v>1000.2050620580106</v>
      </c>
      <c r="J63" s="35">
        <f>_xlfn.FORECAST.LINEAR(Sheet3!CO63,'Cooling water'!$DW$3:$DW$24,'Cooling water'!$DU$3:$DU$24)</f>
        <v>1000.8831578414903</v>
      </c>
      <c r="K63" s="35">
        <f>_xlfn.FORECAST.LINEAR(Sheet3!CP63,'Cooling water'!$DW$3:$DW$24,'Cooling water'!$DU$3:$DU$24)</f>
        <v>1001.5838932767168</v>
      </c>
      <c r="L63" s="289">
        <f t="shared" si="17"/>
        <v>1.4181345121204725E-3</v>
      </c>
      <c r="M63" s="35">
        <f xml:space="preserve"> 0.0000000000330128*((Sheet3!CI63+273)^(4)) - 0.0000000448315*((Sheet3!CI63+273)^(3)) + 0.0000228887*((Sheet3!CI63+273)^(2)) - 0.00521331*((Sheet3!CI63+273)) + 0.447905</f>
        <v>9.7683605694909303E-4</v>
      </c>
      <c r="N63" s="35">
        <f xml:space="preserve"> 0.0000000000330128*((Sheet3!CJ63+273)^(4)) - 0.0000000448315*((Sheet3!CJ63+273)^(3)) + 0.0000228887*((Sheet3!CJ63+273)^(2)) - 0.00521331*((Sheet3!CJ63+273)) + 0.447905</f>
        <v>1.0250027384244298E-3</v>
      </c>
      <c r="O63" s="35">
        <f xml:space="preserve"> 0.0000000000330128*((Sheet3!CK63+273)^(4)) - 0.0000000448315*((Sheet3!CK63+273)^(3)) + 0.0000228887*((Sheet3!CK63+273)^(2)) - 0.00521331*((Sheet3!CK63+273)) + 0.447905</f>
        <v>1.0732017578767294E-3</v>
      </c>
      <c r="P63" s="35">
        <f xml:space="preserve"> 0.0000000000330128*((Sheet3!CL63+273)^(4)) - 0.0000000448315*((Sheet3!CL63+273)^(3)) + 0.0000228887*((Sheet3!CL63+273)^(2)) - 0.00521331*((Sheet3!CL63+273)) + 0.447905</f>
        <v>1.1220266165650195E-3</v>
      </c>
      <c r="Q63" s="35">
        <f xml:space="preserve"> 0.0000000000330128*((Sheet3!CM63+273)^(4)) - 0.0000000448315*((Sheet3!CM63+273)^(3)) + 0.0000228887*((Sheet3!CM63+273)^(2)) - 0.00521331*((Sheet3!CM63+273)) + 0.447905</f>
        <v>1.1723182247418418E-3</v>
      </c>
      <c r="R63" s="35">
        <f xml:space="preserve"> 0.0000000000330128*((Sheet3!CN63+273)^(4)) - 0.0000000448315*((Sheet3!CN63+273)^(3)) + 0.0000228887*((Sheet3!CN63+273)^(2)) - 0.00521331*((Sheet3!CN63+273)) + 0.447905</f>
        <v>1.2251800753346753E-3</v>
      </c>
      <c r="S63" s="35">
        <f xml:space="preserve"> 0.0000000000330128*((Sheet3!CO63+273)^(4)) - 0.0000000448315*((Sheet3!CO63+273)^(3)) + 0.0000228887*((Sheet3!CO63+273)^(2)) - 0.00521331*((Sheet3!CO63+273)) + 0.447905</f>
        <v>1.2820036255700717E-3</v>
      </c>
      <c r="T63" s="35">
        <f xml:space="preserve"> 0.0000000000330128*((Sheet3!CP63+273)^(4)) - 0.0000000448315*((Sheet3!CP63+273)^(3)) + 0.0000228887*((Sheet3!CP63+273)^(2)) - 0.00521331*((Sheet3!CP63+273)) + 0.447905</f>
        <v>1.3445100835660639E-3</v>
      </c>
      <c r="U63" s="289">
        <f>(Sheet3!DC63*0.014*0.001*C63) / (L63*0.00015*3600*3)</f>
        <v>2913.6416857674108</v>
      </c>
      <c r="V63" s="35">
        <f>(Sheet3!$DC63*0.014*0.001*D63) / (M63*0.00015*3600*3)</f>
        <v>4205.6852833705161</v>
      </c>
      <c r="W63" s="35">
        <f>(Sheet3!$DC63*0.014*0.001*E63) / (N63*0.00015*3600*3)</f>
        <v>4011.2553295816847</v>
      </c>
      <c r="X63" s="35">
        <f>(Sheet3!$DC63*0.014*0.001*F63) / (O63*0.00015*3600*3)</f>
        <v>3833.9535408294082</v>
      </c>
      <c r="Y63" s="35">
        <f>(Sheet3!$DC63*0.014*0.001*G63) / (P63*0.00015*3600*3)</f>
        <v>3669.7013398985628</v>
      </c>
      <c r="Z63" s="35">
        <f>(Sheet3!$DC63*0.014*0.001*H63) / (Q63*0.00015*3600*3)</f>
        <v>3514.66172618884</v>
      </c>
      <c r="AA63" s="35">
        <f>(Sheet3!$DC63*0.014*0.001*I63) / (R63*0.00015*3600*3)</f>
        <v>3365.2747188762546</v>
      </c>
      <c r="AB63" s="35">
        <f>(Sheet3!$DC63*0.014*0.001*J63) / (S63*0.00015*3600*3)</f>
        <v>3218.2926107307112</v>
      </c>
      <c r="AC63" s="35">
        <f>(Sheet3!$DC63*0.014*0.001*K63) / (T63*0.00015*3600*3)</f>
        <v>3070.8221773498231</v>
      </c>
      <c r="AD63" s="289">
        <f t="shared" si="63"/>
        <v>0.58725039572717508</v>
      </c>
      <c r="AE63" s="35">
        <f>_xlfn.FORECAST.LINEAR(Sheet3!CI63,$DA$3:$DA$12,$CZ$3:$CZ$12)/1000</f>
        <v>0.6021864062114296</v>
      </c>
      <c r="AF63" s="35">
        <f>_xlfn.FORECAST.LINEAR(Sheet3!CJ63,$DA$3:$DA$12,$CZ$3:$CZ$12)/1000</f>
        <v>0.60011507926564922</v>
      </c>
      <c r="AG63" s="35">
        <f>_xlfn.FORECAST.LINEAR(Sheet3!CK63,$DA$3:$DA$12,$CZ$3:$CZ$12)/1000</f>
        <v>0.59818552671132752</v>
      </c>
      <c r="AH63" s="35">
        <f>_xlfn.FORECAST.LINEAR(Sheet3!CL63,$DA$3:$DA$12,$CZ$3:$CZ$12)/1000</f>
        <v>0.59635761617911887</v>
      </c>
      <c r="AI63" s="35">
        <f>_xlfn.FORECAST.LINEAR(Sheet3!CM63,$DA$3:$DA$12,$CZ$3:$CZ$12)/1000</f>
        <v>0.59459121529967784</v>
      </c>
      <c r="AJ63" s="35">
        <f>_xlfn.FORECAST.LINEAR(Sheet3!CN63,$DA$3:$DA$12,$CZ$3:$CZ$12)/1000</f>
        <v>0.59284619170365882</v>
      </c>
      <c r="AK63" s="35">
        <f>_xlfn.FORECAST.LINEAR(Sheet3!CO63,$DA$3:$DA$12,$CZ$3:$CZ$12)/1000</f>
        <v>0.59108241302171638</v>
      </c>
      <c r="AL63" s="35">
        <f>_xlfn.FORECAST.LINEAR(Sheet3!CP63,$DA$3:$DA$12,$CZ$3:$CZ$12)/1000</f>
        <v>0.58925974688450478</v>
      </c>
      <c r="AM63" s="289">
        <f t="shared" si="64"/>
        <v>4189.1168722706943</v>
      </c>
      <c r="AN63" s="35">
        <f>_xlfn.FORECAST.LINEAR(Sheet3!CI63,$DP$3:$DP$14,$DJ$3:$DJ$14)*1000</f>
        <v>4190.4312618011891</v>
      </c>
      <c r="AO63" s="35">
        <f>_xlfn.FORECAST.LINEAR(Sheet3!CJ63,$DP$3:$DP$14,$DJ$3:$DJ$14)*1000</f>
        <v>4190.2489821720583</v>
      </c>
      <c r="AP63" s="35">
        <f>_xlfn.FORECAST.LINEAR(Sheet3!CK63,$DP$3:$DP$14,$DJ$3:$DJ$14)*1000</f>
        <v>4190.0791788849874</v>
      </c>
      <c r="AQ63" s="35">
        <f>_xlfn.FORECAST.LINEAR(Sheet3!CL63,$DP$3:$DP$14,$DJ$3:$DJ$14)*1000</f>
        <v>4189.9183202361037</v>
      </c>
      <c r="AR63" s="35">
        <f>_xlfn.FORECAST.LINEAR(Sheet3!CM63,$DP$3:$DP$14,$DJ$3:$DJ$14)*1000</f>
        <v>4189.7628745215306</v>
      </c>
      <c r="AS63" s="35">
        <f>_xlfn.FORECAST.LINEAR(Sheet3!CN63,$DP$3:$DP$14,$DJ$3:$DJ$14)*1000</f>
        <v>4189.6093100373937</v>
      </c>
      <c r="AT63" s="35">
        <f>_xlfn.FORECAST.LINEAR(Sheet3!CO63,$DP$3:$DP$14,$DJ$3:$DJ$14)*1000</f>
        <v>4189.4540950798191</v>
      </c>
      <c r="AU63" s="35">
        <f>_xlfn.FORECAST.LINEAR(Sheet3!CP63,$DP$3:$DP$14,$DJ$3:$DJ$14)*1000</f>
        <v>4189.2936979449305</v>
      </c>
      <c r="AV63" s="289">
        <f t="shared" si="18"/>
        <v>1.3985521753686097E-7</v>
      </c>
      <c r="AW63" s="35">
        <f t="shared" si="19"/>
        <v>1.4419333080002617E-7</v>
      </c>
      <c r="AX63" s="35">
        <f t="shared" si="20"/>
        <v>1.4358886996991949E-7</v>
      </c>
      <c r="AY63" s="35">
        <f t="shared" si="21"/>
        <v>1.430266116163558E-7</v>
      </c>
      <c r="AZ63" s="35">
        <f t="shared" si="22"/>
        <v>1.4249470734049703E-7</v>
      </c>
      <c r="BA63" s="35">
        <f t="shared" si="23"/>
        <v>1.419813809487614E-7</v>
      </c>
      <c r="BB63" s="35">
        <f t="shared" si="24"/>
        <v>1.4147492104998944E-7</v>
      </c>
      <c r="BC63" s="35">
        <f t="shared" si="25"/>
        <v>1.4096367716874869E-7</v>
      </c>
      <c r="BD63" s="35">
        <f t="shared" si="26"/>
        <v>1.4043605932200863E-7</v>
      </c>
      <c r="BE63" s="289">
        <f t="shared" si="62"/>
        <v>10.116180857599945</v>
      </c>
      <c r="BF63" s="35">
        <f t="shared" si="27"/>
        <v>6.7975037438106716</v>
      </c>
      <c r="BG63" s="35">
        <f t="shared" si="28"/>
        <v>7.1569884340554806</v>
      </c>
      <c r="BH63" s="35">
        <f t="shared" si="29"/>
        <v>7.5174007722057752</v>
      </c>
      <c r="BI63" s="35">
        <f t="shared" si="30"/>
        <v>7.8831891284612636</v>
      </c>
      <c r="BJ63" s="35">
        <f t="shared" si="31"/>
        <v>8.2606928066920915</v>
      </c>
      <c r="BK63" s="35">
        <f t="shared" si="32"/>
        <v>8.6582758258828036</v>
      </c>
      <c r="BL63" s="35">
        <f t="shared" si="33"/>
        <v>9.0865422836635563</v>
      </c>
      <c r="BM63" s="35">
        <f t="shared" si="34"/>
        <v>9.5586838396594338</v>
      </c>
      <c r="BN63" s="289">
        <f t="shared" si="35"/>
        <v>1.4540203594513843E-3</v>
      </c>
      <c r="BO63" s="35">
        <f t="shared" si="36"/>
        <v>1.4991220375820972E-3</v>
      </c>
      <c r="BP63" s="35">
        <f t="shared" si="37"/>
        <v>1.4928376931797559E-3</v>
      </c>
      <c r="BQ63" s="35">
        <f t="shared" si="38"/>
        <v>1.4869921115293052E-3</v>
      </c>
      <c r="BR63" s="35">
        <f t="shared" si="39"/>
        <v>1.4814621094314286E-3</v>
      </c>
      <c r="BS63" s="35">
        <f t="shared" si="40"/>
        <v>1.4761252543768028E-3</v>
      </c>
      <c r="BT63" s="35">
        <f t="shared" si="41"/>
        <v>1.4708597875817155E-3</v>
      </c>
      <c r="BU63" s="35">
        <f t="shared" si="42"/>
        <v>1.4655445835795972E-3</v>
      </c>
      <c r="BV63" s="35">
        <f t="shared" si="43"/>
        <v>1.4600591458198812E-3</v>
      </c>
      <c r="BW63" s="289">
        <f t="shared" si="44"/>
        <v>4.9135815277982851E-2</v>
      </c>
      <c r="BX63" s="35">
        <f t="shared" si="45"/>
        <v>4.4827860234878704E-2</v>
      </c>
      <c r="BY63" s="35">
        <f t="shared" si="46"/>
        <v>4.5361470533480247E-2</v>
      </c>
      <c r="BZ63" s="35">
        <f t="shared" si="47"/>
        <v>4.5877050681002327E-2</v>
      </c>
      <c r="CA63" s="35">
        <f t="shared" si="48"/>
        <v>4.6382005364501884E-2</v>
      </c>
      <c r="CB63" s="35">
        <f t="shared" si="49"/>
        <v>4.6885258940083815E-2</v>
      </c>
      <c r="CC63" s="35">
        <f t="shared" si="50"/>
        <v>4.7397132857149041E-2</v>
      </c>
      <c r="CD63" s="35">
        <f t="shared" si="51"/>
        <v>4.7929270605027614E-2</v>
      </c>
      <c r="CE63" s="35">
        <f t="shared" si="52"/>
        <v>4.8494617121500223E-2</v>
      </c>
      <c r="CF63" s="289">
        <f t="shared" si="65"/>
        <v>11.74215124748134</v>
      </c>
      <c r="CG63" s="35">
        <f t="shared" si="66"/>
        <v>35.282692846256055</v>
      </c>
      <c r="CH63" s="35">
        <f t="shared" si="67"/>
        <v>33.989407360506732</v>
      </c>
      <c r="CI63" s="35">
        <f t="shared" si="68"/>
        <v>32.763097989194364</v>
      </c>
      <c r="CJ63" s="35">
        <f t="shared" si="69"/>
        <v>31.583881657699042</v>
      </c>
      <c r="CK63" s="35">
        <f t="shared" si="70"/>
        <v>30.429729010668197</v>
      </c>
      <c r="CL63" s="35">
        <f t="shared" si="71"/>
        <v>29.276963789760156</v>
      </c>
      <c r="CM63" s="35">
        <f t="shared" si="72"/>
        <v>28.100667434520055</v>
      </c>
      <c r="CN63" s="35">
        <f t="shared" si="73"/>
        <v>26.875017218779696</v>
      </c>
      <c r="CO63" s="289">
        <f t="shared" si="53"/>
        <v>492.54164048369711</v>
      </c>
      <c r="CP63" s="35">
        <f t="shared" si="54"/>
        <v>1517.6255718963321</v>
      </c>
      <c r="CQ63" s="35">
        <f t="shared" si="55"/>
        <v>1456.9682780244957</v>
      </c>
      <c r="CR63" s="35">
        <f t="shared" si="56"/>
        <v>1399.8865019543618</v>
      </c>
      <c r="CS63" s="35">
        <f t="shared" si="57"/>
        <v>1345.3777410763428</v>
      </c>
      <c r="CT63" s="35">
        <f t="shared" si="58"/>
        <v>1292.3749681209333</v>
      </c>
      <c r="CU63" s="35">
        <f t="shared" si="59"/>
        <v>1239.7668919575162</v>
      </c>
      <c r="CV63" s="35">
        <f t="shared" si="60"/>
        <v>1186.415022479777</v>
      </c>
      <c r="CW63" s="35">
        <f t="shared" si="61"/>
        <v>1131.1689888467738</v>
      </c>
    </row>
    <row r="64" spans="1:102" x14ac:dyDescent="0.3">
      <c r="A64" s="184" t="str">
        <f>'Su K. oro stendu'!B109</f>
        <v>2023.01.24-2</v>
      </c>
      <c r="B64" s="289">
        <f>Sheet3!DD64</f>
        <v>7.4</v>
      </c>
      <c r="C64" s="289">
        <f>_xlfn.FORECAST.LINEAR(Sheet3!DD64,$DW$3:$DW$24,$DU$3:$DU$24)</f>
        <v>1002.2734311468532</v>
      </c>
      <c r="D64" s="35">
        <f>_xlfn.FORECAST.LINEAR(Sheet3!CI64,'Cooling water'!$DW$3:$DW$24,'Cooling water'!$DU$3:$DU$24)</f>
        <v>995.71379343454794</v>
      </c>
      <c r="E64" s="35">
        <f>_xlfn.FORECAST.LINEAR(Sheet3!CJ64,'Cooling water'!$DW$3:$DW$24,'Cooling water'!$DU$3:$DU$24)</f>
        <v>996.61255229698054</v>
      </c>
      <c r="F64" s="35">
        <f>_xlfn.FORECAST.LINEAR(Sheet3!CK64,'Cooling water'!$DW$3:$DW$24,'Cooling water'!$DU$3:$DU$24)</f>
        <v>997.4586967395187</v>
      </c>
      <c r="G64" s="35">
        <f>_xlfn.FORECAST.LINEAR(Sheet3!CL64,'Cooling water'!$DW$3:$DW$24,'Cooling water'!$DU$3:$DU$24)</f>
        <v>998.26595142842905</v>
      </c>
      <c r="H64" s="35">
        <f>_xlfn.FORECAST.LINEAR(Sheet3!CM64,'Cooling water'!$DW$3:$DW$24,'Cooling water'!$DU$3:$DU$24)</f>
        <v>999.04804102997844</v>
      </c>
      <c r="I64" s="35">
        <f>_xlfn.FORECAST.LINEAR(Sheet3!CN64,'Cooling water'!$DW$3:$DW$24,'Cooling water'!$DU$3:$DU$24)</f>
        <v>999.81869021043372</v>
      </c>
      <c r="J64" s="35">
        <f>_xlfn.FORECAST.LINEAR(Sheet3!CO64,'Cooling water'!$DW$3:$DW$24,'Cooling water'!$DU$3:$DU$24)</f>
        <v>1000.5916236360615</v>
      </c>
      <c r="K64" s="35">
        <f>_xlfn.FORECAST.LINEAR(Sheet3!CP64,'Cooling water'!$DW$3:$DW$24,'Cooling water'!$DU$3:$DU$24)</f>
        <v>1001.3805659731287</v>
      </c>
      <c r="L64" s="289">
        <f t="shared" si="17"/>
        <v>1.4099814367261043E-3</v>
      </c>
      <c r="M64" s="35">
        <f xml:space="preserve"> 0.0000000000330128*((Sheet3!CI64+273)^(4)) - 0.0000000448315*((Sheet3!CI64+273)^(3)) + 0.0000228887*((Sheet3!CI64+273)^(2)) - 0.00521331*((Sheet3!CI64+273)) + 0.447905</f>
        <v>9.2651500540719134E-4</v>
      </c>
      <c r="N64" s="35">
        <f xml:space="preserve"> 0.0000000000330128*((Sheet3!CJ64+273)^(4)) - 0.0000000448315*((Sheet3!CJ64+273)^(3)) + 0.0000228887*((Sheet3!CJ64+273)^(2)) - 0.00521331*((Sheet3!CJ64+273)) + 0.447905</f>
        <v>9.7674250403567697E-4</v>
      </c>
      <c r="O64" s="35">
        <f xml:space="preserve"> 0.0000000000330128*((Sheet3!CK64+273)^(4)) - 0.0000000448315*((Sheet3!CK64+273)^(3)) + 0.0000228887*((Sheet3!CK64+273)^(2)) - 0.00521331*((Sheet3!CK64+273)) + 0.447905</f>
        <v>1.028034690694124E-3</v>
      </c>
      <c r="P64" s="35">
        <f xml:space="preserve"> 0.0000000000330128*((Sheet3!CL64+273)^(4)) - 0.0000000448315*((Sheet3!CL64+273)^(3)) + 0.0000228887*((Sheet3!CL64+273)^(2)) - 0.00521331*((Sheet3!CL64+273)) + 0.447905</f>
        <v>1.0808825075063755E-3</v>
      </c>
      <c r="Q64" s="35">
        <f xml:space="preserve"> 0.0000000000330128*((Sheet3!CM64+273)^(4)) - 0.0000000448315*((Sheet3!CM64+273)^(3)) + 0.0000228887*((Sheet3!CM64+273)^(2)) - 0.00521331*((Sheet3!CM64+273)) + 0.447905</f>
        <v>1.1359982536991442E-3</v>
      </c>
      <c r="R64" s="35">
        <f xml:space="preserve"> 0.0000000000330128*((Sheet3!CN64+273)^(4)) - 0.0000000448315*((Sheet3!CN64+273)^(3)) + 0.0000228887*((Sheet3!CN64+273)^(2)) - 0.00521331*((Sheet3!CN64+273)) + 0.447905</f>
        <v>1.1943400698275486E-3</v>
      </c>
      <c r="S64" s="35">
        <f xml:space="preserve"> 0.0000000000330128*((Sheet3!CO64+273)^(4)) - 0.0000000448315*((Sheet3!CO64+273)^(3)) + 0.0000228887*((Sheet3!CO64+273)^(2)) - 0.00521331*((Sheet3!CO64+273)) + 0.447905</f>
        <v>1.257143369578273E-3</v>
      </c>
      <c r="T64" s="35">
        <f xml:space="preserve"> 0.0000000000330128*((Sheet3!CP64+273)^(4)) - 0.0000000448315*((Sheet3!CP64+273)^(3)) + 0.0000228887*((Sheet3!CP64+273)^(2)) - 0.00521331*((Sheet3!CP64+273)) + 0.447905</f>
        <v>1.3259644395688941E-3</v>
      </c>
      <c r="U64" s="289">
        <f>(Sheet3!DC64*0.014*0.001*C64) / (L64*0.00015*3600*3)</f>
        <v>3298.8314768776263</v>
      </c>
      <c r="V64" s="35">
        <f>(Sheet3!$DC64*0.014*0.001*D64) / (M64*0.00015*3600*3)</f>
        <v>4987.3445549631588</v>
      </c>
      <c r="W64" s="35">
        <f>(Sheet3!$DC64*0.014*0.001*E64) / (N64*0.00015*3600*3)</f>
        <v>4735.1481634808379</v>
      </c>
      <c r="X64" s="35">
        <f>(Sheet3!$DC64*0.014*0.001*F64) / (O64*0.00015*3600*3)</f>
        <v>4502.7149891603422</v>
      </c>
      <c r="Y64" s="35">
        <f>(Sheet3!$DC64*0.014*0.001*G64) / (P64*0.00015*3600*3)</f>
        <v>4286.0287207126476</v>
      </c>
      <c r="Z64" s="35">
        <f>(Sheet3!$DC64*0.014*0.001*H64) / (Q64*0.00015*3600*3)</f>
        <v>4081.2764728007446</v>
      </c>
      <c r="AA64" s="35">
        <f>(Sheet3!$DC64*0.014*0.001*I64) / (R64*0.00015*3600*3)</f>
        <v>3884.9063564312669</v>
      </c>
      <c r="AB64" s="35">
        <f>(Sheet3!$DC64*0.014*0.001*J64) / (S64*0.00015*3600*3)</f>
        <v>3693.6807885400704</v>
      </c>
      <c r="AC64" s="35">
        <f>(Sheet3!$DC64*0.014*0.001*K64) / (T64*0.00015*3600*3)</f>
        <v>3504.7301804024473</v>
      </c>
      <c r="AD64" s="289">
        <f t="shared" si="63"/>
        <v>0.58746620646533598</v>
      </c>
      <c r="AE64" s="35">
        <f>_xlfn.FORECAST.LINEAR(Sheet3!CI64,$DA$3:$DA$12,$CZ$3:$CZ$12)/1000</f>
        <v>0.60452832282131808</v>
      </c>
      <c r="AF64" s="35">
        <f>_xlfn.FORECAST.LINEAR(Sheet3!CJ64,$DA$3:$DA$12,$CZ$3:$CZ$12)/1000</f>
        <v>0.60219058269612336</v>
      </c>
      <c r="AG64" s="35">
        <f>_xlfn.FORECAST.LINEAR(Sheet3!CK64,$DA$3:$DA$12,$CZ$3:$CZ$12)/1000</f>
        <v>0.59998969667684354</v>
      </c>
      <c r="AH64" s="35">
        <f>_xlfn.FORECAST.LINEAR(Sheet3!CL64,$DA$3:$DA$12,$CZ$3:$CZ$12)/1000</f>
        <v>0.59788996586316423</v>
      </c>
      <c r="AI64" s="35">
        <f>_xlfn.FORECAST.LINEAR(Sheet3!CM64,$DA$3:$DA$12,$CZ$3:$CZ$12)/1000</f>
        <v>0.59585569135477079</v>
      </c>
      <c r="AJ64" s="35">
        <f>_xlfn.FORECAST.LINEAR(Sheet3!CN64,$DA$3:$DA$12,$CZ$3:$CZ$12)/1000</f>
        <v>0.5938511742513487</v>
      </c>
      <c r="AK64" s="35">
        <f>_xlfn.FORECAST.LINEAR(Sheet3!CO64,$DA$3:$DA$12,$CZ$3:$CZ$12)/1000</f>
        <v>0.59184071565258345</v>
      </c>
      <c r="AL64" s="35">
        <f>_xlfn.FORECAST.LINEAR(Sheet3!CP64,$DA$3:$DA$12,$CZ$3:$CZ$12)/1000</f>
        <v>0.5897886166581604</v>
      </c>
      <c r="AM64" s="289">
        <f t="shared" si="64"/>
        <v>4189.135863913416</v>
      </c>
      <c r="AN64" s="35">
        <f>_xlfn.FORECAST.LINEAR(Sheet3!CI64,$DP$3:$DP$14,$DJ$3:$DJ$14)*1000</f>
        <v>4190.6373536941064</v>
      </c>
      <c r="AO64" s="35">
        <f>_xlfn.FORECAST.LINEAR(Sheet3!CJ64,$DP$3:$DP$14,$DJ$3:$DJ$14)*1000</f>
        <v>4190.4316293376041</v>
      </c>
      <c r="AP64" s="35">
        <f>_xlfn.FORECAST.LINEAR(Sheet3!CK64,$DP$3:$DP$14,$DJ$3:$DJ$14)*1000</f>
        <v>4190.237948331247</v>
      </c>
      <c r="AQ64" s="35">
        <f>_xlfn.FORECAST.LINEAR(Sheet3!CL64,$DP$3:$DP$14,$DJ$3:$DJ$14)*1000</f>
        <v>4190.0531691225515</v>
      </c>
      <c r="AR64" s="35">
        <f>_xlfn.FORECAST.LINEAR(Sheet3!CM64,$DP$3:$DP$14,$DJ$3:$DJ$14)*1000</f>
        <v>4189.874150159033</v>
      </c>
      <c r="AS64" s="35">
        <f>_xlfn.FORECAST.LINEAR(Sheet3!CN64,$DP$3:$DP$14,$DJ$3:$DJ$14)*1000</f>
        <v>4189.6977498882097</v>
      </c>
      <c r="AT64" s="35">
        <f>_xlfn.FORECAST.LINEAR(Sheet3!CO64,$DP$3:$DP$14,$DJ$3:$DJ$14)*1000</f>
        <v>4189.520826757599</v>
      </c>
      <c r="AU64" s="35">
        <f>_xlfn.FORECAST.LINEAR(Sheet3!CP64,$DP$3:$DP$14,$DJ$3:$DJ$14)*1000</f>
        <v>4189.3402392147173</v>
      </c>
      <c r="AV64" s="289">
        <f t="shared" si="18"/>
        <v>1.399175607954189E-7</v>
      </c>
      <c r="AW64" s="35">
        <f t="shared" si="19"/>
        <v>1.4487786911289598E-7</v>
      </c>
      <c r="AX64" s="35">
        <f t="shared" si="20"/>
        <v>1.441945505270831E-7</v>
      </c>
      <c r="AY64" s="35">
        <f t="shared" si="21"/>
        <v>1.4355231006103915E-7</v>
      </c>
      <c r="AZ64" s="35">
        <f t="shared" si="22"/>
        <v>1.4294055775972642E-7</v>
      </c>
      <c r="BA64" s="35">
        <f t="shared" si="23"/>
        <v>1.423487772291999E-7</v>
      </c>
      <c r="BB64" s="35">
        <f t="shared" si="24"/>
        <v>1.417665187957738E-7</v>
      </c>
      <c r="BC64" s="35">
        <f t="shared" si="25"/>
        <v>1.4118339547363531E-7</v>
      </c>
      <c r="BD64" s="35">
        <f t="shared" si="26"/>
        <v>1.4058908169230519E-7</v>
      </c>
      <c r="BE64" s="289">
        <f t="shared" si="62"/>
        <v>10.054372045636999</v>
      </c>
      <c r="BF64" s="35">
        <f t="shared" si="27"/>
        <v>6.4226740813351251</v>
      </c>
      <c r="BG64" s="35">
        <f t="shared" si="28"/>
        <v>6.7968061943188909</v>
      </c>
      <c r="BH64" s="35">
        <f t="shared" si="29"/>
        <v>7.1796399121627603</v>
      </c>
      <c r="BI64" s="35">
        <f t="shared" si="30"/>
        <v>7.5748974470374959</v>
      </c>
      <c r="BJ64" s="35">
        <f t="shared" si="31"/>
        <v>7.9879906944883761</v>
      </c>
      <c r="BK64" s="35">
        <f t="shared" si="32"/>
        <v>8.4262254923821818</v>
      </c>
      <c r="BL64" s="35">
        <f t="shared" si="33"/>
        <v>8.8990638693402815</v>
      </c>
      <c r="BM64" s="35">
        <f t="shared" si="34"/>
        <v>9.4184865993664495</v>
      </c>
      <c r="BN64" s="289">
        <f t="shared" si="35"/>
        <v>1.2921357227715117E-3</v>
      </c>
      <c r="BO64" s="35">
        <f t="shared" si="36"/>
        <v>1.33794406545942E-3</v>
      </c>
      <c r="BP64" s="35">
        <f t="shared" si="37"/>
        <v>1.3316336327321545E-3</v>
      </c>
      <c r="BQ64" s="35">
        <f t="shared" si="38"/>
        <v>1.3257025555745261E-3</v>
      </c>
      <c r="BR64" s="35">
        <f t="shared" si="39"/>
        <v>1.320053035975127E-3</v>
      </c>
      <c r="BS64" s="35">
        <f t="shared" si="40"/>
        <v>1.314587955257689E-3</v>
      </c>
      <c r="BT64" s="35">
        <f t="shared" si="41"/>
        <v>1.309210810906131E-3</v>
      </c>
      <c r="BU64" s="35">
        <f t="shared" si="42"/>
        <v>1.303825679325557E-3</v>
      </c>
      <c r="BV64" s="35">
        <f t="shared" si="43"/>
        <v>1.298337204090379E-3</v>
      </c>
      <c r="BW64" s="289">
        <f t="shared" si="44"/>
        <v>4.7634012844702374E-2</v>
      </c>
      <c r="BX64" s="35">
        <f t="shared" si="45"/>
        <v>4.2957585057961059E-2</v>
      </c>
      <c r="BY64" s="35">
        <f t="shared" si="46"/>
        <v>4.3518489086729673E-2</v>
      </c>
      <c r="BZ64" s="35">
        <f t="shared" si="47"/>
        <v>4.4069547107760822E-2</v>
      </c>
      <c r="CA64" s="35">
        <f t="shared" si="48"/>
        <v>4.4616287773219708E-2</v>
      </c>
      <c r="CB64" s="35">
        <f t="shared" si="49"/>
        <v>4.5165643057934718E-2</v>
      </c>
      <c r="CC64" s="35">
        <f t="shared" si="50"/>
        <v>4.5725879044039588E-2</v>
      </c>
      <c r="CD64" s="35">
        <f t="shared" si="51"/>
        <v>4.6306543178211819E-2</v>
      </c>
      <c r="CE64" s="35">
        <f t="shared" si="52"/>
        <v>4.6918439033051755E-2</v>
      </c>
      <c r="CF64" s="289">
        <f t="shared" si="65"/>
        <v>30.014765096635806</v>
      </c>
      <c r="CG64" s="35">
        <f t="shared" si="66"/>
        <v>41.862440912372143</v>
      </c>
      <c r="CH64" s="35">
        <f t="shared" si="67"/>
        <v>40.329821579938951</v>
      </c>
      <c r="CI64" s="35">
        <f t="shared" si="68"/>
        <v>38.854781491417491</v>
      </c>
      <c r="CJ64" s="35">
        <f t="shared" si="69"/>
        <v>37.420991803943892</v>
      </c>
      <c r="CK64" s="35">
        <f t="shared" si="70"/>
        <v>36.009670235175911</v>
      </c>
      <c r="CL64" s="35">
        <f t="shared" si="71"/>
        <v>34.600093552371199</v>
      </c>
      <c r="CM64" s="35">
        <f t="shared" si="72"/>
        <v>33.170061502558525</v>
      </c>
      <c r="CN64" s="35">
        <f t="shared" si="73"/>
        <v>31.696317738901126</v>
      </c>
      <c r="CO64" s="289">
        <f t="shared" si="53"/>
        <v>1259.4757278049151</v>
      </c>
      <c r="CP64" s="35">
        <f t="shared" si="54"/>
        <v>1807.6450852830615</v>
      </c>
      <c r="CQ64" s="35">
        <f t="shared" si="55"/>
        <v>1734.7313398038664</v>
      </c>
      <c r="CR64" s="35">
        <f t="shared" si="56"/>
        <v>1665.1763258200438</v>
      </c>
      <c r="CS64" s="35">
        <f t="shared" si="57"/>
        <v>1598.1168223018401</v>
      </c>
      <c r="CT64" s="35">
        <f t="shared" si="58"/>
        <v>1532.6119252455751</v>
      </c>
      <c r="CU64" s="35">
        <f t="shared" si="59"/>
        <v>1467.664727520154</v>
      </c>
      <c r="CV64" s="35">
        <f t="shared" si="60"/>
        <v>1402.2423527081746</v>
      </c>
      <c r="CW64" s="35">
        <f t="shared" si="61"/>
        <v>1335.2948137417145</v>
      </c>
    </row>
    <row r="65" spans="1:101" x14ac:dyDescent="0.3">
      <c r="A65" s="184">
        <f>'Su K. oro stendu'!B110</f>
        <v>44951</v>
      </c>
      <c r="B65" s="289">
        <f>Sheet3!DD65</f>
        <v>6.8</v>
      </c>
      <c r="C65" s="289">
        <f>_xlfn.FORECAST.LINEAR(Sheet3!DD65,$DW$3:$DW$24,$DU$3:$DU$24)</f>
        <v>1002.5223405248973</v>
      </c>
      <c r="D65" s="35">
        <f>_xlfn.FORECAST.LINEAR(Sheet3!CI65,'Cooling water'!$DW$3:$DW$24,'Cooling water'!$DU$3:$DU$24)</f>
        <v>995.47214042261078</v>
      </c>
      <c r="E65" s="35">
        <f>_xlfn.FORECAST.LINEAR(Sheet3!CJ65,'Cooling water'!$DW$3:$DW$24,'Cooling water'!$DU$3:$DU$24)</f>
        <v>996.39025128385231</v>
      </c>
      <c r="F65" s="35">
        <f>_xlfn.FORECAST.LINEAR(Sheet3!CK65,'Cooling water'!$DW$3:$DW$24,'Cooling water'!$DU$3:$DU$24)</f>
        <v>997.25787331575225</v>
      </c>
      <c r="G65" s="35">
        <f>_xlfn.FORECAST.LINEAR(Sheet3!CL65,'Cooling water'!$DW$3:$DW$24,'Cooling water'!$DU$3:$DU$24)</f>
        <v>998.09001147785068</v>
      </c>
      <c r="H65" s="35">
        <f>_xlfn.FORECAST.LINEAR(Sheet3!CM65,'Cooling water'!$DW$3:$DW$24,'Cooling water'!$DU$3:$DU$24)</f>
        <v>998.90167072968768</v>
      </c>
      <c r="I65" s="35">
        <f>_xlfn.FORECAST.LINEAR(Sheet3!CN65,'Cooling water'!$DW$3:$DW$24,'Cooling water'!$DU$3:$DU$24)</f>
        <v>999.70785603080321</v>
      </c>
      <c r="J65" s="35">
        <f>_xlfn.FORECAST.LINEAR(Sheet3!CO65,'Cooling water'!$DW$3:$DW$24,'Cooling water'!$DU$3:$DU$24)</f>
        <v>1000.5235723407372</v>
      </c>
      <c r="K65" s="35">
        <f>_xlfn.FORECAST.LINEAR(Sheet3!CP65,'Cooling water'!$DW$3:$DW$24,'Cooling water'!$DU$3:$DU$24)</f>
        <v>1001.3638246190299</v>
      </c>
      <c r="L65" s="289">
        <f t="shared" si="17"/>
        <v>1.4346221808749782E-3</v>
      </c>
      <c r="M65" s="35">
        <f xml:space="preserve"> 0.0000000000330128*((Sheet3!CI65+273)^(4)) - 0.0000000448315*((Sheet3!CI65+273)^(3)) + 0.0000228887*((Sheet3!CI65+273)^(2)) - 0.00521331*((Sheet3!CI65+273)) + 0.447905</f>
        <v>9.1371239419713035E-4</v>
      </c>
      <c r="N65" s="35">
        <f xml:space="preserve"> 0.0000000000330128*((Sheet3!CJ65+273)^(4)) - 0.0000000448315*((Sheet3!CJ65+273)^(3)) + 0.0000228887*((Sheet3!CJ65+273)^(2)) - 0.00521331*((Sheet3!CJ65+273)) + 0.447905</f>
        <v>9.6392466081263173E-4</v>
      </c>
      <c r="O65" s="35">
        <f xml:space="preserve"> 0.0000000000330128*((Sheet3!CK65+273)^(4)) - 0.0000000448315*((Sheet3!CK65+273)^(3)) + 0.0000228887*((Sheet3!CK65+273)^(2)) - 0.00521331*((Sheet3!CK65+273)) + 0.447905</f>
        <v>1.0154925301477657E-3</v>
      </c>
      <c r="P65" s="35">
        <f xml:space="preserve"> 0.0000000000330128*((Sheet3!CL65+273)^(4)) - 0.0000000448315*((Sheet3!CL65+273)^(3)) + 0.0000228887*((Sheet3!CL65+273)^(2)) - 0.00521331*((Sheet3!CL65+273)) + 0.447905</f>
        <v>1.0690242385309467E-3</v>
      </c>
      <c r="Q65" s="35">
        <f xml:space="preserve"> 0.0000000000330128*((Sheet3!CM65+273)^(4)) - 0.0000000448315*((Sheet3!CM65+273)^(3)) + 0.0000228887*((Sheet3!CM65+273)^(2)) - 0.00521331*((Sheet3!CM65+273)) + 0.447905</f>
        <v>1.1253777129387466E-3</v>
      </c>
      <c r="R65" s="35">
        <f xml:space="preserve"> 0.0000000000330128*((Sheet3!CN65+273)^(4)) - 0.0000000448315*((Sheet3!CN65+273)^(3)) + 0.0000228887*((Sheet3!CN65+273)^(2)) - 0.00521331*((Sheet3!CN65+273)) + 0.447905</f>
        <v>1.1856928774902631E-3</v>
      </c>
      <c r="S65" s="35">
        <f xml:space="preserve"> 0.0000000000330128*((Sheet3!CO65+273)^(4)) - 0.0000000448315*((Sheet3!CO65+273)^(3)) + 0.0000228887*((Sheet3!CO65+273)^(2)) - 0.00521331*((Sheet3!CO65+273)) + 0.447905</f>
        <v>1.2514345455507669E-3</v>
      </c>
      <c r="T65" s="35">
        <f xml:space="preserve"> 0.0000000000330128*((Sheet3!CP65+273)^(4)) - 0.0000000448315*((Sheet3!CP65+273)^(3)) + 0.0000228887*((Sheet3!CP65+273)^(2)) - 0.00521331*((Sheet3!CP65+273)) + 0.447905</f>
        <v>1.3244525179916256E-3</v>
      </c>
      <c r="U65" s="289">
        <f>(Sheet3!DC65*0.014*0.001*C65) / (L65*0.00015*3600*3)</f>
        <v>3623.437625045256</v>
      </c>
      <c r="V65" s="35">
        <f>(Sheet3!$DC65*0.014*0.001*D65) / (M65*0.00015*3600*3)</f>
        <v>5649.1598752137406</v>
      </c>
      <c r="W65" s="35">
        <f>(Sheet3!$DC65*0.014*0.001*E65) / (N65*0.00015*3600*3)</f>
        <v>5359.8254922375481</v>
      </c>
      <c r="X65" s="35">
        <f>(Sheet3!$DC65*0.014*0.001*F65) / (O65*0.00015*3600*3)</f>
        <v>5092.0775850253567</v>
      </c>
      <c r="Y65" s="35">
        <f>(Sheet3!$DC65*0.014*0.001*G65) / (P65*0.00015*3600*3)</f>
        <v>4841.1264725934898</v>
      </c>
      <c r="Z65" s="35">
        <f>(Sheet3!$DC65*0.014*0.001*H65) / (Q65*0.00015*3600*3)</f>
        <v>4602.4459921095158</v>
      </c>
      <c r="AA65" s="35">
        <f>(Sheet3!$DC65*0.014*0.001*I65) / (R65*0.00015*3600*3)</f>
        <v>4371.8491213140769</v>
      </c>
      <c r="AB65" s="35">
        <f>(Sheet3!$DC65*0.014*0.001*J65) / (S65*0.00015*3600*3)</f>
        <v>4145.5624053006395</v>
      </c>
      <c r="AC65" s="35">
        <f>(Sheet3!$DC65*0.014*0.001*K65) / (T65*0.00015*3600*3)</f>
        <v>3920.304275058807</v>
      </c>
      <c r="AD65" s="289">
        <f t="shared" si="63"/>
        <v>0.58681877425085327</v>
      </c>
      <c r="AE65" s="35">
        <f>_xlfn.FORECAST.LINEAR(Sheet3!CI65,$DA$3:$DA$12,$CZ$3:$CZ$12)/1000</f>
        <v>0.60515688067592488</v>
      </c>
      <c r="AF65" s="35">
        <f>_xlfn.FORECAST.LINEAR(Sheet3!CJ65,$DA$3:$DA$12,$CZ$3:$CZ$12)/1000</f>
        <v>0.60276880453068182</v>
      </c>
      <c r="AG65" s="35">
        <f>_xlfn.FORECAST.LINEAR(Sheet3!CK65,$DA$3:$DA$12,$CZ$3:$CZ$12)/1000</f>
        <v>0.60051205366873706</v>
      </c>
      <c r="AH65" s="35">
        <f>_xlfn.FORECAST.LINEAR(Sheet3!CL65,$DA$3:$DA$12,$CZ$3:$CZ$12)/1000</f>
        <v>0.59834759904964385</v>
      </c>
      <c r="AI65" s="35">
        <f>_xlfn.FORECAST.LINEAR(Sheet3!CM65,$DA$3:$DA$12,$CZ$3:$CZ$12)/1000</f>
        <v>0.5962364116329556</v>
      </c>
      <c r="AJ65" s="35">
        <f>_xlfn.FORECAST.LINEAR(Sheet3!CN65,$DA$3:$DA$12,$CZ$3:$CZ$12)/1000</f>
        <v>0.59413946237822612</v>
      </c>
      <c r="AK65" s="35">
        <f>_xlfn.FORECAST.LINEAR(Sheet3!CO65,$DA$3:$DA$12,$CZ$3:$CZ$12)/1000</f>
        <v>0.59201772224500826</v>
      </c>
      <c r="AL65" s="35">
        <f>_xlfn.FORECAST.LINEAR(Sheet3!CP65,$DA$3:$DA$12,$CZ$3:$CZ$12)/1000</f>
        <v>0.58983216219285584</v>
      </c>
      <c r="AM65" s="289">
        <f t="shared" si="64"/>
        <v>4189.0788889852502</v>
      </c>
      <c r="AN65" s="35">
        <f>_xlfn.FORECAST.LINEAR(Sheet3!CI65,$DP$3:$DP$14,$DJ$3:$DJ$14)*1000</f>
        <v>4190.6926676525609</v>
      </c>
      <c r="AO65" s="35">
        <f>_xlfn.FORECAST.LINEAR(Sheet3!CJ65,$DP$3:$DP$14,$DJ$3:$DJ$14)*1000</f>
        <v>4190.4825136568443</v>
      </c>
      <c r="AP65" s="35">
        <f>_xlfn.FORECAST.LINEAR(Sheet3!CK65,$DP$3:$DP$14,$DJ$3:$DJ$14)*1000</f>
        <v>4190.2839164672532</v>
      </c>
      <c r="AQ65" s="35">
        <f>_xlfn.FORECAST.LINEAR(Sheet3!CL65,$DP$3:$DP$14,$DJ$3:$DJ$14)*1000</f>
        <v>4190.0934414743779</v>
      </c>
      <c r="AR65" s="35">
        <f>_xlfn.FORECAST.LINEAR(Sheet3!CM65,$DP$3:$DP$14,$DJ$3:$DJ$14)*1000</f>
        <v>4189.9076540688093</v>
      </c>
      <c r="AS65" s="35">
        <f>_xlfn.FORECAST.LINEAR(Sheet3!CN65,$DP$3:$DP$14,$DJ$3:$DJ$14)*1000</f>
        <v>4189.7231196411394</v>
      </c>
      <c r="AT65" s="35">
        <f>_xlfn.FORECAST.LINEAR(Sheet3!CO65,$DP$3:$DP$14,$DJ$3:$DJ$14)*1000</f>
        <v>4189.5364035819566</v>
      </c>
      <c r="AU65" s="35">
        <f>_xlfn.FORECAST.LINEAR(Sheet3!CP65,$DP$3:$DP$14,$DJ$3:$DJ$14)*1000</f>
        <v>4189.3440712818528</v>
      </c>
      <c r="AV65" s="289">
        <f t="shared" si="18"/>
        <v>1.3973056059673195E-7</v>
      </c>
      <c r="AW65" s="35">
        <f t="shared" si="19"/>
        <v>1.4506179701712659E-7</v>
      </c>
      <c r="AX65" s="35">
        <f t="shared" si="20"/>
        <v>1.4436345437113594E-7</v>
      </c>
      <c r="AY65" s="35">
        <f t="shared" si="21"/>
        <v>1.4370464474979108E-7</v>
      </c>
      <c r="AZ65" s="35">
        <f t="shared" si="22"/>
        <v>1.4307380764947637E-7</v>
      </c>
      <c r="BA65" s="35">
        <f t="shared" si="23"/>
        <v>1.4245946327797441E-7</v>
      </c>
      <c r="BB65" s="35">
        <f t="shared" si="24"/>
        <v>1.4185020594234834E-7</v>
      </c>
      <c r="BC65" s="35">
        <f t="shared" si="25"/>
        <v>1.4123470077458315E-7</v>
      </c>
      <c r="BD65" s="35">
        <f t="shared" si="26"/>
        <v>1.4060168373630789E-7</v>
      </c>
      <c r="BE65" s="289">
        <f t="shared" ref="BE65:BE96" si="74">AM65*L65/AD65</f>
        <v>10.241229073227137</v>
      </c>
      <c r="BF65" s="35">
        <f t="shared" si="27"/>
        <v>6.3274300482683321</v>
      </c>
      <c r="BG65" s="35">
        <f t="shared" si="28"/>
        <v>6.7012582689360656</v>
      </c>
      <c r="BH65" s="35">
        <f t="shared" si="29"/>
        <v>7.0859560443030416</v>
      </c>
      <c r="BI65" s="35">
        <f t="shared" si="30"/>
        <v>7.4861359145756694</v>
      </c>
      <c r="BJ65" s="35">
        <f t="shared" si="31"/>
        <v>7.9083205942531576</v>
      </c>
      <c r="BK65" s="35">
        <f t="shared" si="32"/>
        <v>8.3612100797512028</v>
      </c>
      <c r="BL65" s="35">
        <f t="shared" si="33"/>
        <v>8.8560365480328969</v>
      </c>
      <c r="BM65" s="35">
        <f t="shared" si="34"/>
        <v>9.4070612957323476</v>
      </c>
      <c r="BN65" s="289">
        <f t="shared" si="35"/>
        <v>1.1549158579933962E-3</v>
      </c>
      <c r="BO65" s="35">
        <f t="shared" si="36"/>
        <v>1.1989801590191072E-3</v>
      </c>
      <c r="BP65" s="35">
        <f t="shared" si="37"/>
        <v>1.1932081432716333E-3</v>
      </c>
      <c r="BQ65" s="35">
        <f t="shared" si="38"/>
        <v>1.1877628800748034E-3</v>
      </c>
      <c r="BR65" s="35">
        <f t="shared" si="39"/>
        <v>1.1825488183273042E-3</v>
      </c>
      <c r="BS65" s="35">
        <f t="shared" si="40"/>
        <v>1.1774710740322372E-3</v>
      </c>
      <c r="BT65" s="35">
        <f t="shared" si="41"/>
        <v>1.1724353756459398E-3</v>
      </c>
      <c r="BU65" s="35">
        <f t="shared" si="42"/>
        <v>1.1673480370144112E-3</v>
      </c>
      <c r="BV65" s="35">
        <f t="shared" si="43"/>
        <v>1.1621159574123404E-3</v>
      </c>
      <c r="BW65" s="289">
        <f t="shared" si="44"/>
        <v>4.652935202204625E-2</v>
      </c>
      <c r="BX65" s="35">
        <f t="shared" si="45"/>
        <v>4.1640049342518838E-2</v>
      </c>
      <c r="BY65" s="35">
        <f t="shared" si="46"/>
        <v>4.2190972835303306E-2</v>
      </c>
      <c r="BZ65" s="35">
        <f t="shared" si="47"/>
        <v>4.2734974472764774E-2</v>
      </c>
      <c r="CA65" s="35">
        <f t="shared" si="48"/>
        <v>4.327834003042963E-2</v>
      </c>
      <c r="CB65" s="35">
        <f t="shared" si="49"/>
        <v>4.3828845062267224E-2</v>
      </c>
      <c r="CC65" s="35">
        <f t="shared" si="50"/>
        <v>4.4395700258005898E-2</v>
      </c>
      <c r="CD65" s="35">
        <f t="shared" si="51"/>
        <v>4.4989517718007521E-2</v>
      </c>
      <c r="CE65" s="35">
        <f t="shared" si="52"/>
        <v>4.5622308600869917E-2</v>
      </c>
      <c r="CF65" s="289">
        <f t="shared" si="65"/>
        <v>33.977353183366105</v>
      </c>
      <c r="CG65" s="35">
        <f t="shared" si="66"/>
        <v>47.577947750645514</v>
      </c>
      <c r="CH65" s="35">
        <f t="shared" si="67"/>
        <v>45.913576084064317</v>
      </c>
      <c r="CI65" s="35">
        <f t="shared" si="68"/>
        <v>44.304063872880533</v>
      </c>
      <c r="CJ65" s="35">
        <f t="shared" si="69"/>
        <v>42.729823628789646</v>
      </c>
      <c r="CK65" s="35">
        <f t="shared" si="70"/>
        <v>41.168490074228686</v>
      </c>
      <c r="CL65" s="35">
        <f t="shared" si="71"/>
        <v>39.595516968070839</v>
      </c>
      <c r="CM65" s="35">
        <f t="shared" si="72"/>
        <v>37.984731690049699</v>
      </c>
      <c r="CN65" s="35">
        <f t="shared" si="73"/>
        <v>36.308860115842307</v>
      </c>
      <c r="CO65" s="289">
        <f t="shared" si="53"/>
        <v>1424.1820533822302</v>
      </c>
      <c r="CP65" s="35">
        <f t="shared" si="54"/>
        <v>2056.5801749816269</v>
      </c>
      <c r="CQ65" s="35">
        <f t="shared" si="55"/>
        <v>1976.8050977085679</v>
      </c>
      <c r="CR65" s="35">
        <f t="shared" si="56"/>
        <v>1900.3660272981706</v>
      </c>
      <c r="CS65" s="35">
        <f t="shared" si="57"/>
        <v>1826.2348125786446</v>
      </c>
      <c r="CT65" s="35">
        <f t="shared" si="58"/>
        <v>1753.2966281575043</v>
      </c>
      <c r="CU65" s="35">
        <f t="shared" si="59"/>
        <v>1680.3756545712529</v>
      </c>
      <c r="CV65" s="35">
        <f t="shared" si="60"/>
        <v>1606.2595953736434</v>
      </c>
      <c r="CW65" s="35">
        <f t="shared" si="61"/>
        <v>1529.7238192060865</v>
      </c>
    </row>
    <row r="66" spans="1:101" x14ac:dyDescent="0.3">
      <c r="A66" s="184">
        <f>'Su K. oro stendu'!B111</f>
        <v>44952</v>
      </c>
      <c r="B66" s="289">
        <f>Sheet3!DD66</f>
        <v>7.6</v>
      </c>
      <c r="C66" s="289">
        <f>_xlfn.FORECAST.LINEAR(Sheet3!DD66,$DW$3:$DW$24,$DU$3:$DU$24)</f>
        <v>1002.1904613541719</v>
      </c>
      <c r="D66" s="35">
        <f>_xlfn.FORECAST.LINEAR(Sheet3!CI66,'Cooling water'!$DW$3:$DW$24,'Cooling water'!$DU$3:$DU$24)</f>
        <v>998.54721099105143</v>
      </c>
      <c r="E66" s="35">
        <f>_xlfn.FORECAST.LINEAR(Sheet3!CJ66,'Cooling water'!$DW$3:$DW$24,'Cooling water'!$DU$3:$DU$24)</f>
        <v>998.98984911628361</v>
      </c>
      <c r="F66" s="35">
        <f>_xlfn.FORECAST.LINEAR(Sheet3!CK66,'Cooling water'!$DW$3:$DW$24,'Cooling water'!$DU$3:$DU$24)</f>
        <v>999.43882844881239</v>
      </c>
      <c r="G66" s="35">
        <f>_xlfn.FORECAST.LINEAR(Sheet3!CL66,'Cooling water'!$DW$3:$DW$24,'Cooling water'!$DU$3:$DU$24)</f>
        <v>999.89166393986807</v>
      </c>
      <c r="H66" s="35">
        <f>_xlfn.FORECAST.LINEAR(Sheet3!CM66,'Cooling water'!$DW$3:$DW$24,'Cooling water'!$DU$3:$DU$24)</f>
        <v>1000.3458705406813</v>
      </c>
      <c r="I66" s="35">
        <f>_xlfn.FORECAST.LINEAR(Sheet3!CN66,'Cooling water'!$DW$3:$DW$24,'Cooling water'!$DU$3:$DU$24)</f>
        <v>1000.7989632024822</v>
      </c>
      <c r="J66" s="35">
        <f>_xlfn.FORECAST.LINEAR(Sheet3!CO66,'Cooling water'!$DW$3:$DW$24,'Cooling water'!$DU$3:$DU$24)</f>
        <v>1001.2484568765016</v>
      </c>
      <c r="K66" s="35">
        <f>_xlfn.FORECAST.LINEAR(Sheet3!CP66,'Cooling water'!$DW$3:$DW$24,'Cooling water'!$DU$3:$DU$24)</f>
        <v>1001.6918665139696</v>
      </c>
      <c r="L66" s="289">
        <f t="shared" si="17"/>
        <v>1.4018883665742887E-3</v>
      </c>
      <c r="M66" s="35">
        <f xml:space="preserve"> 0.0000000000330128*((Sheet3!CI66+273)^(4)) - 0.0000000448315*((Sheet3!CI66+273)^(3)) + 0.0000228887*((Sheet3!CI66+273)^(2)) - 0.00521331*((Sheet3!CI66+273)) + 0.447905</f>
        <v>1.1002457752731232E-3</v>
      </c>
      <c r="N66" s="35">
        <f xml:space="preserve"> 0.0000000000330128*((Sheet3!CJ66+273)^(4)) - 0.0000000448315*((Sheet3!CJ66+273)^(3)) + 0.0000228887*((Sheet3!CJ66+273)^(2)) - 0.00521331*((Sheet3!CJ66+273)) + 0.447905</f>
        <v>1.1317586897359178E-3</v>
      </c>
      <c r="O66" s="35">
        <f xml:space="preserve"> 0.0000000000330128*((Sheet3!CK66+273)^(4)) - 0.0000000448315*((Sheet3!CK66+273)^(3)) + 0.0000228887*((Sheet3!CK66+273)^(2)) - 0.00521331*((Sheet3!CK66+273)) + 0.447905</f>
        <v>1.165065898242279E-3</v>
      </c>
      <c r="P66" s="35">
        <f xml:space="preserve"> 0.0000000000330128*((Sheet3!CL66+273)^(4)) - 0.0000000448315*((Sheet3!CL66+273)^(3)) + 0.0000228887*((Sheet3!CL66+273)^(2)) - 0.00521331*((Sheet3!CL66+273)) + 0.447905</f>
        <v>1.2000815726014302E-3</v>
      </c>
      <c r="Q66" s="35">
        <f xml:space="preserve"> 0.0000000000330128*((Sheet3!CM66+273)^(4)) - 0.0000000448315*((Sheet3!CM66+273)^(3)) + 0.0000228887*((Sheet3!CM66+273)^(2)) - 0.00521331*((Sheet3!CM66+273)) + 0.447905</f>
        <v>1.2366928195117755E-3</v>
      </c>
      <c r="R66" s="35">
        <f xml:space="preserve"> 0.0000000000330128*((Sheet3!CN66+273)^(4)) - 0.0000000448315*((Sheet3!CN66+273)^(3)) + 0.0000228887*((Sheet3!CN66+273)^(2)) - 0.00521331*((Sheet3!CN66+273)) + 0.447905</f>
        <v>1.2747563458983535E-3</v>
      </c>
      <c r="S66" s="35">
        <f xml:space="preserve"> 0.0000000000330128*((Sheet3!CO66+273)^(4)) - 0.0000000448315*((Sheet3!CO66+273)^(3)) + 0.0000228887*((Sheet3!CO66+273)^(2)) - 0.00521331*((Sheet3!CO66+273)) + 0.447905</f>
        <v>1.3140953946406686E-3</v>
      </c>
      <c r="T66" s="35">
        <f xml:space="preserve"> 0.0000000000330128*((Sheet3!CP66+273)^(4)) - 0.0000000448315*((Sheet3!CP66+273)^(3)) + 0.0000228887*((Sheet3!CP66+273)^(2)) - 0.00521331*((Sheet3!CP66+273)) + 0.447905</f>
        <v>1.3544970670651413E-3</v>
      </c>
      <c r="U66" s="289">
        <f>(Sheet3!DC66*0.014*0.001*C66) / (L66*0.00015*3600*3)</f>
        <v>9761.2838342717532</v>
      </c>
      <c r="V66" s="35">
        <f>(Sheet3!$DC66*0.014*0.001*D66) / (M66*0.00015*3600*3)</f>
        <v>12392.216763399249</v>
      </c>
      <c r="W66" s="35">
        <f>(Sheet3!$DC66*0.014*0.001*E66) / (N66*0.00015*3600*3)</f>
        <v>12052.505703689318</v>
      </c>
      <c r="X66" s="35">
        <f>(Sheet3!$DC66*0.014*0.001*F66) / (O66*0.00015*3600*3)</f>
        <v>11713.207460413883</v>
      </c>
      <c r="Y66" s="35">
        <f>(Sheet3!$DC66*0.014*0.001*G66) / (P66*0.00015*3600*3)</f>
        <v>11376.594761570519</v>
      </c>
      <c r="Z66" s="35">
        <f>(Sheet3!$DC66*0.014*0.001*H66) / (Q66*0.00015*3600*3)</f>
        <v>11044.815171183182</v>
      </c>
      <c r="AA66" s="35">
        <f>(Sheet3!$DC66*0.014*0.001*I66) / (R66*0.00015*3600*3)</f>
        <v>10719.876258429682</v>
      </c>
      <c r="AB66" s="35">
        <f>(Sheet3!$DC66*0.014*0.001*J66) / (S66*0.00015*3600*3)</f>
        <v>10403.63422194602</v>
      </c>
      <c r="AC66" s="35">
        <f>(Sheet3!$DC66*0.014*0.001*K66) / (T66*0.00015*3600*3)</f>
        <v>10097.786557589159</v>
      </c>
      <c r="AD66" s="289">
        <f t="shared" ref="AD66:AD102" si="75">_xlfn.FORECAST.LINEAR(B66,$DA$3:$DA$12,$CZ$3:$CZ$12)/1000</f>
        <v>0.58768201720349689</v>
      </c>
      <c r="AE66" s="35">
        <f>_xlfn.FORECAST.LINEAR(Sheet3!CI66,$DA$3:$DA$12,$CZ$3:$CZ$12)/1000</f>
        <v>0.59715838835931934</v>
      </c>
      <c r="AF66" s="35">
        <f>_xlfn.FORECAST.LINEAR(Sheet3!CJ66,$DA$3:$DA$12,$CZ$3:$CZ$12)/1000</f>
        <v>0.5960070529460636</v>
      </c>
      <c r="AG66" s="35">
        <f>_xlfn.FORECAST.LINEAR(Sheet3!CK66,$DA$3:$DA$12,$CZ$3:$CZ$12)/1000</f>
        <v>0.5948392235705684</v>
      </c>
      <c r="AH66" s="35">
        <f>_xlfn.FORECAST.LINEAR(Sheet3!CL66,$DA$3:$DA$12,$CZ$3:$CZ$12)/1000</f>
        <v>0.5936613640335977</v>
      </c>
      <c r="AI66" s="35">
        <f>_xlfn.FORECAST.LINEAR(Sheet3!CM66,$DA$3:$DA$12,$CZ$3:$CZ$12)/1000</f>
        <v>0.5924799381359156</v>
      </c>
      <c r="AJ66" s="35">
        <f>_xlfn.FORECAST.LINEAR(Sheet3!CN66,$DA$3:$DA$12,$CZ$3:$CZ$12)/1000</f>
        <v>0.59130140967828626</v>
      </c>
      <c r="AK66" s="35">
        <f>_xlfn.FORECAST.LINEAR(Sheet3!CO66,$DA$3:$DA$12,$CZ$3:$CZ$12)/1000</f>
        <v>0.59013224246147378</v>
      </c>
      <c r="AL66" s="35">
        <f>_xlfn.FORECAST.LINEAR(Sheet3!CP66,$DA$3:$DA$12,$CZ$3:$CZ$12)/1000</f>
        <v>0.588978900286242</v>
      </c>
      <c r="AM66" s="289">
        <f t="shared" ref="AM66:AM102" si="76">_xlfn.FORECAST.LINEAR(B66,$DP$3:$DP$14,$DJ$3:$DJ$14)*1000</f>
        <v>4189.1548555561376</v>
      </c>
      <c r="AN66" s="35">
        <f>_xlfn.FORECAST.LINEAR(Sheet3!CI66,$DP$3:$DP$14,$DJ$3:$DJ$14)*1000</f>
        <v>4189.9887892928227</v>
      </c>
      <c r="AO66" s="35">
        <f>_xlfn.FORECAST.LINEAR(Sheet3!CJ66,$DP$3:$DP$14,$DJ$3:$DJ$14)*1000</f>
        <v>4189.8874701879067</v>
      </c>
      <c r="AP66" s="35">
        <f>_xlfn.FORECAST.LINEAR(Sheet3!CK66,$DP$3:$DP$14,$DJ$3:$DJ$14)*1000</f>
        <v>4189.7846995915579</v>
      </c>
      <c r="AQ66" s="35">
        <f>_xlfn.FORECAST.LINEAR(Sheet3!CL66,$DP$3:$DP$14,$DJ$3:$DJ$14)*1000</f>
        <v>4189.6810463271586</v>
      </c>
      <c r="AR66" s="35">
        <f>_xlfn.FORECAST.LINEAR(Sheet3!CM66,$DP$3:$DP$14,$DJ$3:$DJ$14)*1000</f>
        <v>4189.5770792180956</v>
      </c>
      <c r="AS66" s="35">
        <f>_xlfn.FORECAST.LINEAR(Sheet3!CN66,$DP$3:$DP$14,$DJ$3:$DJ$14)*1000</f>
        <v>4189.4733670877558</v>
      </c>
      <c r="AT66" s="35">
        <f>_xlfn.FORECAST.LINEAR(Sheet3!CO66,$DP$3:$DP$14,$DJ$3:$DJ$14)*1000</f>
        <v>4189.3704787595243</v>
      </c>
      <c r="AU66" s="35">
        <f>_xlfn.FORECAST.LINEAR(Sheet3!CP66,$DP$3:$DP$14,$DJ$3:$DJ$14)*1000</f>
        <v>4189.2689830567861</v>
      </c>
      <c r="AV66" s="289">
        <f t="shared" ref="AV66:AV102" si="77">AD66/(C66*AM66)</f>
        <v>1.3997991391624553E-7</v>
      </c>
      <c r="AW66" s="35">
        <f t="shared" ref="AW66:AW102" si="78">AE66/(D66*AN66)</f>
        <v>1.4272763622291528E-7</v>
      </c>
      <c r="AX66" s="35">
        <f t="shared" ref="AX66:AX102" si="79">AF66/(E66*AO66)</f>
        <v>1.4239277857120282E-7</v>
      </c>
      <c r="AY66" s="35">
        <f t="shared" ref="AY66:AY102" si="80">AG66/(F66*AP66)</f>
        <v>1.4205341336667593E-7</v>
      </c>
      <c r="AZ66" s="35">
        <f t="shared" ref="AZ66:AZ102" si="81">AH66/(G66*AQ66)</f>
        <v>1.4171142847632629E-7</v>
      </c>
      <c r="BA66" s="35">
        <f t="shared" ref="BA66:BA102" si="82">AI66/(H66*AR66)</f>
        <v>1.4136870534475555E-7</v>
      </c>
      <c r="BB66" s="35">
        <f t="shared" ref="BB66:BB102" si="83">AJ66/(I66*AS66)</f>
        <v>1.4102711892220354E-7</v>
      </c>
      <c r="BC66" s="35">
        <f t="shared" ref="BC66:BC102" si="84">AK66/(J66*AT66)</f>
        <v>1.4068853768200468E-7</v>
      </c>
      <c r="BD66" s="35">
        <f t="shared" ref="BD66:BD102" si="85">AL66/(K66*AU66)</f>
        <v>1.4035482372662706E-7</v>
      </c>
      <c r="BE66" s="289">
        <f t="shared" si="74"/>
        <v>9.9930358354810647</v>
      </c>
      <c r="BF66" s="35">
        <f t="shared" ref="BF66:BF102" si="86">AN66*M66/AE66</f>
        <v>7.7199241503198284</v>
      </c>
      <c r="BG66" s="35">
        <f t="shared" ref="BG66:BG102" si="87">AO66*N66/AF66</f>
        <v>7.9561836222598075</v>
      </c>
      <c r="BH66" s="35">
        <f t="shared" ref="BH66:BH102" si="88">AP66*O66/AG66</f>
        <v>8.2062094782024673</v>
      </c>
      <c r="BI66" s="35">
        <f t="shared" ref="BI66:BI102" si="89">AQ66*P66/AH66</f>
        <v>8.4694058319923773</v>
      </c>
      <c r="BJ66" s="35">
        <f t="shared" ref="BJ66:BJ102" si="90">AR66*Q66/AI66</f>
        <v>8.7449710229202022</v>
      </c>
      <c r="BK66" s="35">
        <f t="shared" ref="BK66:BK102" si="91">AS66*R66/AJ66</f>
        <v>9.0318705033579008</v>
      </c>
      <c r="BL66" s="35">
        <f t="shared" ref="BL66:BL102" si="92">AT66*S66/AK66</f>
        <v>9.3288115043822035</v>
      </c>
      <c r="BM66" s="35">
        <f t="shared" ref="BM66:BM102" si="93">AU66*T66/AL66</f>
        <v>9.6342204244322929</v>
      </c>
      <c r="BN66" s="289">
        <f t="shared" ref="BN66:BN102" si="94">((2*0.3)/0.014)/(U66*BE66)</f>
        <v>4.3935829348550331E-4</v>
      </c>
      <c r="BO66" s="35">
        <f t="shared" ref="BO66:BO102" si="95">((2*0.3)/0.014)/(V66*BF66)</f>
        <v>4.4798263500605027E-4</v>
      </c>
      <c r="BP66" s="35">
        <f t="shared" ref="BP66:BP102" si="96">((2*0.3)/0.014)/(W66*BG66)</f>
        <v>4.4693160931028503E-4</v>
      </c>
      <c r="BQ66" s="35">
        <f t="shared" ref="BQ66:BQ102" si="97">((2*0.3)/0.014)/(X66*BH66)</f>
        <v>4.4586643565102372E-4</v>
      </c>
      <c r="BR66" s="35">
        <f t="shared" ref="BR66:BR102" si="98">((2*0.3)/0.014)/(Y66*BI66)</f>
        <v>4.4479303952140646E-4</v>
      </c>
      <c r="BS66" s="35">
        <f t="shared" ref="BS66:BS102" si="99">((2*0.3)/0.014)/(Z66*BJ66)</f>
        <v>4.4371732625646585E-4</v>
      </c>
      <c r="BT66" s="35">
        <f t="shared" ref="BT66:BT102" si="100">((2*0.3)/0.014)/(AA66*BK66)</f>
        <v>4.4264518080722637E-4</v>
      </c>
      <c r="BU66" s="35">
        <f t="shared" ref="BU66:BU102" si="101">((2*0.3)/0.014)/(AB66*BL66)</f>
        <v>4.4158246779549379E-4</v>
      </c>
      <c r="BV66" s="35">
        <f t="shared" ref="BV66:BV102" si="102">((2*0.3)/0.014)/(AC66*BM66)</f>
        <v>4.4053503184668532E-4</v>
      </c>
      <c r="BW66" s="289">
        <f t="shared" ref="BW66:BW102" si="103">IF(U66&lt;2*100000,0.361*U66^-0.25,(0.79 * LN(U66)- 1.64)^-2)</f>
        <v>3.6318714360548454E-2</v>
      </c>
      <c r="BX66" s="35">
        <f t="shared" ref="BX66:BX102" si="104">IF(V66&lt;2*100000,0.361*V66^-0.25,(0.79 * LN(V66)- 1.64)^-2)</f>
        <v>3.4215268431117787E-2</v>
      </c>
      <c r="BY66" s="35">
        <f t="shared" ref="BY66:BY102" si="105">IF(W66&lt;2*100000,0.361*W66^-0.25,(0.79 * LN(W66)- 1.64)^-2)</f>
        <v>3.4453858478057667E-2</v>
      </c>
      <c r="BZ66" s="35">
        <f t="shared" ref="BZ66:BZ102" si="106">IF(X66&lt;2*100000,0.361*X66^-0.25,(0.79 * LN(X66)- 1.64)^-2)</f>
        <v>3.4700700588169507E-2</v>
      </c>
      <c r="CA66" s="35">
        <f t="shared" ref="CA66:CA102" si="107">IF(Y66&lt;2*100000,0.361*Y66^-0.25,(0.79 * LN(Y66)- 1.64)^-2)</f>
        <v>3.4954583344686874E-2</v>
      </c>
      <c r="CB66" s="35">
        <f t="shared" ref="CB66:CB102" si="108">IF(Z66&lt;2*100000,0.361*Z66^-0.25,(0.79 * LN(Z66)- 1.64)^-2)</f>
        <v>3.5214180723660116E-2</v>
      </c>
      <c r="CC66" s="35">
        <f t="shared" ref="CC66:CC102" si="109">IF(AA66&lt;2*100000,0.361*AA66^-0.25,(0.79 * LN(AA66)- 1.64)^-2)</f>
        <v>3.5478051421524895E-2</v>
      </c>
      <c r="CD66" s="35">
        <f t="shared" ref="CD66:CD102" si="110">IF(AB66&lt;2*100000,0.361*AB66^-0.25,(0.79 * LN(AB66)- 1.64)^-2)</f>
        <v>3.5744640478154739E-2</v>
      </c>
      <c r="CE66" s="35">
        <f t="shared" ref="CE66:CE102" si="111">IF(AC66&lt;2*100000,0.361*AC66^-0.25,(0.79 * LN(AC66)- 1.64)^-2)</f>
        <v>3.6012283075677255E-2</v>
      </c>
      <c r="CF66" s="289">
        <f t="shared" ref="CF66:CF102" si="112">IF(U66&lt;3000,_xlfn.FORECAST.LINEAR(BN66,$CY$14:$CY$20,$DA$14:$DA$20),((BW66/8)*(U66-1000)*BE66)/(1+12.7*(BW66/8)^0.5*(BE66^(2/3)-1)))</f>
        <v>96.607701909181799</v>
      </c>
      <c r="CG66" s="35">
        <f t="shared" ref="CG66:CG102" si="113">IF(V66&lt;3000,_xlfn.FORECAST.LINEAR(BO66,$CY$14:$CY$20,$DA$14:$DA$20),((BX66/8)*(V66-1000)*BF66)/(1+12.7*(BX66/8)^0.5*(BF66^(2/3)-1)))</f>
        <v>110.18691043956144</v>
      </c>
      <c r="CH66" s="35">
        <f t="shared" ref="CH66:CH102" si="114">IF(W66&lt;3000,_xlfn.FORECAST.LINEAR(BP66,$CY$14:$CY$20,$DA$14:$DA$20),((BY66/8)*(W66-1000)*BG66)/(1+12.7*(BY66/8)^0.5*(BG66^(2/3)-1)))</f>
        <v>108.57194933595156</v>
      </c>
      <c r="CI66" s="35">
        <f t="shared" ref="CI66:CI102" si="115">IF(X66&lt;3000,_xlfn.FORECAST.LINEAR(BQ66,$CY$14:$CY$20,$DA$14:$DA$20),((BZ66/8)*(X66-1000)*BH66)/(1+12.7*(BZ66/8)^0.5*(BH66^(2/3)-1)))</f>
        <v>106.92140237368241</v>
      </c>
      <c r="CJ66" s="35">
        <f t="shared" ref="CJ66:CJ102" si="116">IF(Y66&lt;3000,_xlfn.FORECAST.LINEAR(BR66,$CY$14:$CY$20,$DA$14:$DA$20),((CA66/8)*(Y66-1000)*BI66)/(1+12.7*(CA66/8)^0.5*(BI66^(2/3)-1)))</f>
        <v>105.24524827132777</v>
      </c>
      <c r="CK66" s="35">
        <f t="shared" ref="CK66:CK102" si="117">IF(Z66&lt;3000,_xlfn.FORECAST.LINEAR(BS66,$CY$14:$CY$20,$DA$14:$DA$20),((CB66/8)*(Z66-1000)*BJ66)/(1+12.7*(CB66/8)^0.5*(BJ66^(2/3)-1)))</f>
        <v>103.55380751135205</v>
      </c>
      <c r="CL66" s="35">
        <f t="shared" ref="CL66:CL102" si="118">IF(AA66&lt;3000,_xlfn.FORECAST.LINEAR(BT66,$CY$14:$CY$20,$DA$14:$DA$20),((CC66/8)*(AA66-1000)*BK66)/(1+12.7*(CC66/8)^0.5*(BK66^(2/3)-1)))</f>
        <v>101.857667890054</v>
      </c>
      <c r="CM66" s="35">
        <f t="shared" ref="CM66:CM102" si="119">IF(AB66&lt;3000,_xlfn.FORECAST.LINEAR(BU66,$CY$14:$CY$20,$DA$14:$DA$20),((CD66/8)*(AB66-1000)*BL66)/(1+12.7*(CD66/8)^0.5*(BL66^(2/3)-1)))</f>
        <v>100.16760323216981</v>
      </c>
      <c r="CN66" s="35">
        <f t="shared" ref="CN66:CN102" si="120">IF(AC66&lt;3000,_xlfn.FORECAST.LINEAR(BV66,$CY$14:$CY$20,$DA$14:$DA$20),((CE66/8)*(AC66-1000)*BM66)/(1+12.7*(CE66/8)^0.5*(BM66^(2/3)-1)))</f>
        <v>98.494489721052219</v>
      </c>
      <c r="CO66" s="289">
        <f t="shared" ref="CO66:CO102" si="121">CF66*AD66/0.014</f>
        <v>4055.3292239558627</v>
      </c>
      <c r="CP66" s="35">
        <f t="shared" ref="CP66:CP102" si="122">CG66*AE66/0.014</f>
        <v>4699.9312754557977</v>
      </c>
      <c r="CQ66" s="35">
        <f t="shared" ref="CQ66:CQ102" si="123">CH66*AF66/0.014</f>
        <v>4622.1176825949869</v>
      </c>
      <c r="CR66" s="35">
        <f t="shared" ref="CR66:CR102" si="124">CI66*AG66/0.014</f>
        <v>4542.9317122169696</v>
      </c>
      <c r="CS66" s="35">
        <f t="shared" ref="CS66:CS102" si="125">CJ66*AH66/0.014</f>
        <v>4462.8598319150769</v>
      </c>
      <c r="CT66" s="35">
        <f t="shared" ref="CT66:CT102" si="126">CK66*AI66/0.014</f>
        <v>4382.3966762903128</v>
      </c>
      <c r="CU66" s="35">
        <f t="shared" ref="CU66:CU102" si="127">CL66*AJ66/0.014</f>
        <v>4302.041614995117</v>
      </c>
      <c r="CV66" s="35">
        <f t="shared" ref="CV66:CV102" si="128">CM66*AK66/0.014</f>
        <v>4222.2951655279676</v>
      </c>
      <c r="CW66" s="35">
        <f t="shared" ref="CW66:CW102" si="129">CN66*AL66/0.014</f>
        <v>4143.6554457257071</v>
      </c>
    </row>
    <row r="67" spans="1:101" x14ac:dyDescent="0.3">
      <c r="A67" s="184">
        <f>'Su K. oro stendu'!B112</f>
        <v>44953</v>
      </c>
      <c r="B67" s="289">
        <f>Sheet3!DD67</f>
        <v>7.2</v>
      </c>
      <c r="C67" s="289">
        <f>_xlfn.FORECAST.LINEAR(Sheet3!DD67,$DW$3:$DW$24,$DU$3:$DU$24)</f>
        <v>1002.3564009395346</v>
      </c>
      <c r="D67" s="35">
        <f>_xlfn.FORECAST.LINEAR(Sheet3!CI67,'Cooling water'!$DW$3:$DW$24,'Cooling water'!$DU$3:$DU$24)</f>
        <v>997.80809133868058</v>
      </c>
      <c r="E67" s="35">
        <f>_xlfn.FORECAST.LINEAR(Sheet3!CJ67,'Cooling water'!$DW$3:$DW$24,'Cooling water'!$DU$3:$DU$24)</f>
        <v>998.4399716618492</v>
      </c>
      <c r="F67" s="35">
        <f>_xlfn.FORECAST.LINEAR(Sheet3!CK67,'Cooling water'!$DW$3:$DW$24,'Cooling water'!$DU$3:$DU$24)</f>
        <v>999.02471295399619</v>
      </c>
      <c r="G67" s="35">
        <f>_xlfn.FORECAST.LINEAR(Sheet3!CL67,'Cooling water'!$DW$3:$DW$24,'Cooling water'!$DU$3:$DU$24)</f>
        <v>999.57540816455139</v>
      </c>
      <c r="H67" s="35">
        <f>_xlfn.FORECAST.LINEAR(Sheet3!CM67,'Cooling water'!$DW$3:$DW$24,'Cooling water'!$DU$3:$DU$24)</f>
        <v>1000.1051502429448</v>
      </c>
      <c r="I67" s="35">
        <f>_xlfn.FORECAST.LINEAR(Sheet3!CN67,'Cooling water'!$DW$3:$DW$24,'Cooling water'!$DU$3:$DU$24)</f>
        <v>1000.6270321386063</v>
      </c>
      <c r="J67" s="35">
        <f>_xlfn.FORECAST.LINEAR(Sheet3!CO67,'Cooling water'!$DW$3:$DW$24,'Cooling water'!$DU$3:$DU$24)</f>
        <v>1001.1541468009658</v>
      </c>
      <c r="K67" s="35">
        <f>_xlfn.FORECAST.LINEAR(Sheet3!CP67,'Cooling water'!$DW$3:$DW$24,'Cooling water'!$DU$3:$DU$24)</f>
        <v>1001.6995871794533</v>
      </c>
      <c r="L67" s="289">
        <f t="shared" ref="L67:L102" si="130" xml:space="preserve"> 0.0000000000330128*((B67+273)^(4)) - 0.0000000448315*((B67+273)^(3)) + 0.0000228887*((B67+273)^(2)) - 0.00521331*((B67+273)) + 0.447905</f>
        <v>1.4181345121204725E-3</v>
      </c>
      <c r="M67" s="35">
        <f xml:space="preserve"> 0.0000000000330128*((Sheet3!CI67+273)^(4)) - 0.0000000448315*((Sheet3!CI67+273)^(3)) + 0.0000228887*((Sheet3!CI67+273)^(2)) - 0.00521331*((Sheet3!CI67+273)) + 0.447905</f>
        <v>1.0504223189216066E-3</v>
      </c>
      <c r="N67" s="35">
        <f xml:space="preserve"> 0.0000000000330128*((Sheet3!CJ67+273)^(4)) - 0.0000000448315*((Sheet3!CJ67+273)^(3)) + 0.0000228887*((Sheet3!CJ67+273)^(2)) - 0.00521331*((Sheet3!CJ67+273)) + 0.447905</f>
        <v>1.0928033081223365E-3</v>
      </c>
      <c r="O67" s="35">
        <f xml:space="preserve"> 0.0000000000330128*((Sheet3!CK67+273)^(4)) - 0.0000000448315*((Sheet3!CK67+273)^(3)) + 0.0000228887*((Sheet3!CK67+273)^(2)) - 0.00521331*((Sheet3!CK67+273)) + 0.447905</f>
        <v>1.134295955204534E-3</v>
      </c>
      <c r="P67" s="35">
        <f xml:space="preserve"> 0.0000000000330128*((Sheet3!CL67+273)^(4)) - 0.0000000448315*((Sheet3!CL67+273)^(3)) + 0.0000228887*((Sheet3!CL67+273)^(2)) - 0.00521331*((Sheet3!CL67+273)) + 0.447905</f>
        <v>1.1754740782408124E-3</v>
      </c>
      <c r="Q67" s="35">
        <f xml:space="preserve"> 0.0000000000330128*((Sheet3!CM67+273)^(4)) - 0.0000000448315*((Sheet3!CM67+273)^(3)) + 0.0000228887*((Sheet3!CM67+273)^(2)) - 0.00521331*((Sheet3!CM67+273)) + 0.447905</f>
        <v>1.2171004076528824E-3</v>
      </c>
      <c r="R67" s="35">
        <f xml:space="preserve"> 0.0000000000330128*((Sheet3!CN67+273)^(4)) - 0.0000000448315*((Sheet3!CN67+273)^(3)) + 0.0000228887*((Sheet3!CN67+273)^(2)) - 0.00521331*((Sheet3!CN67+273)) + 0.447905</f>
        <v>1.2601277920687437E-3</v>
      </c>
      <c r="S67" s="35">
        <f xml:space="preserve"> 0.0000000000330128*((Sheet3!CO67+273)^(4)) - 0.0000000448315*((Sheet3!CO67+273)^(3)) + 0.0000228887*((Sheet3!CO67+273)^(2)) - 0.00521331*((Sheet3!CO67+273)) + 0.447905</f>
        <v>1.3057084409620057E-3</v>
      </c>
      <c r="T67" s="35">
        <f xml:space="preserve"> 0.0000000000330128*((Sheet3!CP67+273)^(4)) - 0.0000000448315*((Sheet3!CP67+273)^(3)) + 0.0000228887*((Sheet3!CP67+273)^(2)) - 0.00521331*((Sheet3!CP67+273)) + 0.447905</f>
        <v>1.3552149050561901E-3</v>
      </c>
      <c r="U67" s="289">
        <f>(Sheet3!DC67*0.014*0.001*C67) / (L67*0.00015*3600*3)</f>
        <v>9651.0563176362866</v>
      </c>
      <c r="V67" s="35">
        <f>(Sheet3!$DC67*0.014*0.001*D67) / (M67*0.00015*3600*3)</f>
        <v>12970.394590629256</v>
      </c>
      <c r="W67" s="35">
        <f>(Sheet3!$DC67*0.014*0.001*E67) / (N67*0.00015*3600*3)</f>
        <v>12475.273234119084</v>
      </c>
      <c r="X67" s="35">
        <f>(Sheet3!$DC67*0.014*0.001*F67) / (O67*0.00015*3600*3)</f>
        <v>12025.965571580804</v>
      </c>
      <c r="Y67" s="35">
        <f>(Sheet3!$DC67*0.014*0.001*G67) / (P67*0.00015*3600*3)</f>
        <v>11611.079926892508</v>
      </c>
      <c r="Z67" s="35">
        <f>(Sheet3!$DC67*0.014*0.001*H67) / (Q67*0.00015*3600*3)</f>
        <v>11219.909760081231</v>
      </c>
      <c r="AA67" s="35">
        <f>(Sheet3!$DC67*0.014*0.001*I67) / (R67*0.00015*3600*3)</f>
        <v>10842.458020320433</v>
      </c>
      <c r="AB67" s="35">
        <f>(Sheet3!$DC67*0.014*0.001*J67) / (S67*0.00015*3600*3)</f>
        <v>10469.473620366496</v>
      </c>
      <c r="AC67" s="35">
        <f>(Sheet3!$DC67*0.014*0.001*K67) / (T67*0.00015*3600*3)</f>
        <v>10092.51569291291</v>
      </c>
      <c r="AD67" s="289">
        <f t="shared" si="75"/>
        <v>0.58725039572717508</v>
      </c>
      <c r="AE67" s="35">
        <f>_xlfn.FORECAST.LINEAR(Sheet3!CI67,$DA$3:$DA$12,$CZ$3:$CZ$12)/1000</f>
        <v>0.59908089476330673</v>
      </c>
      <c r="AF67" s="35">
        <f>_xlfn.FORECAST.LINEAR(Sheet3!CJ67,$DA$3:$DA$12,$CZ$3:$CZ$12)/1000</f>
        <v>0.59743732600695099</v>
      </c>
      <c r="AG67" s="35">
        <f>_xlfn.FORECAST.LINEAR(Sheet3!CK67,$DA$3:$DA$12,$CZ$3:$CZ$12)/1000</f>
        <v>0.59591636945381043</v>
      </c>
      <c r="AH67" s="35">
        <f>_xlfn.FORECAST.LINEAR(Sheet3!CL67,$DA$3:$DA$12,$CZ$3:$CZ$12)/1000</f>
        <v>0.59448396934708658</v>
      </c>
      <c r="AI67" s="35">
        <f>_xlfn.FORECAST.LINEAR(Sheet3!CM67,$DA$3:$DA$12,$CZ$3:$CZ$12)/1000</f>
        <v>0.59310606992998127</v>
      </c>
      <c r="AJ67" s="35">
        <f>_xlfn.FORECAST.LINEAR(Sheet3!CN67,$DA$3:$DA$12,$CZ$3:$CZ$12)/1000</f>
        <v>0.59174861544569568</v>
      </c>
      <c r="AK67" s="35">
        <f>_xlfn.FORECAST.LINEAR(Sheet3!CO67,$DA$3:$DA$12,$CZ$3:$CZ$12)/1000</f>
        <v>0.59037755013743176</v>
      </c>
      <c r="AL67" s="35">
        <f>_xlfn.FORECAST.LINEAR(Sheet3!CP67,$DA$3:$DA$12,$CZ$3:$CZ$12)/1000</f>
        <v>0.5889588182483908</v>
      </c>
      <c r="AM67" s="289">
        <f t="shared" si="76"/>
        <v>4189.1168722706943</v>
      </c>
      <c r="AN67" s="35">
        <f>_xlfn.FORECAST.LINEAR(Sheet3!CI67,$DP$3:$DP$14,$DJ$3:$DJ$14)*1000</f>
        <v>4190.1579725089414</v>
      </c>
      <c r="AO67" s="35">
        <f>_xlfn.FORECAST.LINEAR(Sheet3!CJ67,$DP$3:$DP$14,$DJ$3:$DJ$14)*1000</f>
        <v>4190.0133361906765</v>
      </c>
      <c r="AP67" s="35">
        <f>_xlfn.FORECAST.LINEAR(Sheet3!CK67,$DP$3:$DP$14,$DJ$3:$DJ$14)*1000</f>
        <v>4189.8794899154682</v>
      </c>
      <c r="AQ67" s="35">
        <f>_xlfn.FORECAST.LINEAR(Sheet3!CL67,$DP$3:$DP$14,$DJ$3:$DJ$14)*1000</f>
        <v>4189.7534367297303</v>
      </c>
      <c r="AR67" s="35">
        <f>_xlfn.FORECAST.LINEAR(Sheet3!CM67,$DP$3:$DP$14,$DJ$3:$DJ$14)*1000</f>
        <v>4189.6321796798757</v>
      </c>
      <c r="AS67" s="35">
        <f>_xlfn.FORECAST.LINEAR(Sheet3!CN67,$DP$3:$DP$14,$DJ$3:$DJ$14)*1000</f>
        <v>4189.512721812318</v>
      </c>
      <c r="AT67" s="35">
        <f>_xlfn.FORECAST.LINEAR(Sheet3!CO67,$DP$3:$DP$14,$DJ$3:$DJ$14)*1000</f>
        <v>4189.392066173471</v>
      </c>
      <c r="AU67" s="35">
        <f>_xlfn.FORECAST.LINEAR(Sheet3!CP67,$DP$3:$DP$14,$DJ$3:$DJ$14)*1000</f>
        <v>4189.2672158097475</v>
      </c>
      <c r="AV67" s="289">
        <f t="shared" si="77"/>
        <v>1.3985521753686097E-7</v>
      </c>
      <c r="AW67" s="35">
        <f t="shared" si="78"/>
        <v>1.4328741634314967E-7</v>
      </c>
      <c r="AX67" s="35">
        <f t="shared" si="79"/>
        <v>1.4280880593995521E-7</v>
      </c>
      <c r="AY67" s="35">
        <f t="shared" si="80"/>
        <v>1.4236641597571079E-7</v>
      </c>
      <c r="AZ67" s="35">
        <f t="shared" si="81"/>
        <v>1.4195023611437899E-7</v>
      </c>
      <c r="BA67" s="35">
        <f t="shared" si="82"/>
        <v>1.4155030461050671E-7</v>
      </c>
      <c r="BB67" s="35">
        <f t="shared" si="83"/>
        <v>1.4115670289732715E-7</v>
      </c>
      <c r="BC67" s="35">
        <f t="shared" si="84"/>
        <v>1.40759552691825E-7</v>
      </c>
      <c r="BD67" s="35">
        <f t="shared" si="85"/>
        <v>1.4034901558694432E-7</v>
      </c>
      <c r="BE67" s="289">
        <f t="shared" si="74"/>
        <v>10.116180857599945</v>
      </c>
      <c r="BF67" s="35">
        <f t="shared" si="86"/>
        <v>7.346980170131582</v>
      </c>
      <c r="BG67" s="35">
        <f t="shared" si="87"/>
        <v>7.6641686676480028</v>
      </c>
      <c r="BH67" s="35">
        <f t="shared" si="88"/>
        <v>7.975218674663247</v>
      </c>
      <c r="BI67" s="35">
        <f t="shared" si="89"/>
        <v>8.2844059941686155</v>
      </c>
      <c r="BJ67" s="35">
        <f t="shared" si="90"/>
        <v>8.5974554844903111</v>
      </c>
      <c r="BK67" s="35">
        <f t="shared" si="91"/>
        <v>8.9215610787783053</v>
      </c>
      <c r="BL67" s="35">
        <f t="shared" si="92"/>
        <v>9.2654684820393118</v>
      </c>
      <c r="BM67" s="35">
        <f t="shared" si="93"/>
        <v>9.6396508486170855</v>
      </c>
      <c r="BN67" s="289">
        <f t="shared" si="94"/>
        <v>4.3896690598627244E-4</v>
      </c>
      <c r="BO67" s="35">
        <f t="shared" si="95"/>
        <v>4.4973963021680918E-4</v>
      </c>
      <c r="BP67" s="35">
        <f t="shared" si="96"/>
        <v>4.4823740433233154E-4</v>
      </c>
      <c r="BQ67" s="35">
        <f t="shared" si="97"/>
        <v>4.4684886440322539E-4</v>
      </c>
      <c r="BR67" s="35">
        <f t="shared" si="98"/>
        <v>4.455425907490842E-4</v>
      </c>
      <c r="BS67" s="35">
        <f t="shared" si="99"/>
        <v>4.442873162019261E-4</v>
      </c>
      <c r="BT67" s="35">
        <f t="shared" si="100"/>
        <v>4.4305190911974284E-4</v>
      </c>
      <c r="BU67" s="35">
        <f t="shared" si="101"/>
        <v>4.4180536430009658E-4</v>
      </c>
      <c r="BV67" s="35">
        <f t="shared" si="102"/>
        <v>4.4051680170017403E-4</v>
      </c>
      <c r="BW67" s="289">
        <f t="shared" si="103"/>
        <v>3.6421974789857842E-2</v>
      </c>
      <c r="BX67" s="35">
        <f t="shared" si="104"/>
        <v>3.3827422268960766E-2</v>
      </c>
      <c r="BY67" s="35">
        <f t="shared" si="105"/>
        <v>3.4158177055284289E-2</v>
      </c>
      <c r="BZ67" s="35">
        <f t="shared" si="106"/>
        <v>3.4472851842205658E-2</v>
      </c>
      <c r="CA67" s="35">
        <f t="shared" si="107"/>
        <v>3.4776754397521779E-2</v>
      </c>
      <c r="CB67" s="35">
        <f t="shared" si="108"/>
        <v>3.5075983807100392E-2</v>
      </c>
      <c r="CC67" s="35">
        <f t="shared" si="109"/>
        <v>3.5377347258178406E-2</v>
      </c>
      <c r="CD67" s="35">
        <f t="shared" si="110"/>
        <v>3.5688310615995512E-2</v>
      </c>
      <c r="CE67" s="35">
        <f t="shared" si="111"/>
        <v>3.6016984051957045E-2</v>
      </c>
      <c r="CF67" s="289">
        <f t="shared" si="112"/>
        <v>95.978767397892327</v>
      </c>
      <c r="CG67" s="35">
        <f t="shared" si="113"/>
        <v>112.85323635679426</v>
      </c>
      <c r="CH67" s="35">
        <f t="shared" si="114"/>
        <v>110.57620506515933</v>
      </c>
      <c r="CI67" s="35">
        <f t="shared" si="115"/>
        <v>108.44421546230163</v>
      </c>
      <c r="CJ67" s="35">
        <f t="shared" si="116"/>
        <v>106.41700729370885</v>
      </c>
      <c r="CK67" s="35">
        <f t="shared" si="117"/>
        <v>104.45142881006211</v>
      </c>
      <c r="CL67" s="35">
        <f t="shared" si="118"/>
        <v>102.50224138112399</v>
      </c>
      <c r="CM67" s="35">
        <f t="shared" si="119"/>
        <v>100.52274749971143</v>
      </c>
      <c r="CN67" s="35">
        <f t="shared" si="120"/>
        <v>98.465312899844889</v>
      </c>
      <c r="CO67" s="289">
        <f t="shared" si="121"/>
        <v>4025.9692239870542</v>
      </c>
      <c r="CP67" s="35">
        <f t="shared" si="122"/>
        <v>4829.1584152545174</v>
      </c>
      <c r="CQ67" s="35">
        <f t="shared" si="123"/>
        <v>4718.7394481517904</v>
      </c>
      <c r="CR67" s="35">
        <f t="shared" si="124"/>
        <v>4615.9773690401116</v>
      </c>
      <c r="CS67" s="35">
        <f t="shared" si="125"/>
        <v>4518.800350142993</v>
      </c>
      <c r="CT67" s="35">
        <f t="shared" si="126"/>
        <v>4425.0554600076548</v>
      </c>
      <c r="CU67" s="35">
        <f t="shared" si="127"/>
        <v>4332.5399583829012</v>
      </c>
      <c r="CV67" s="35">
        <f t="shared" si="128"/>
        <v>4239.0266715688058</v>
      </c>
      <c r="CW67" s="35">
        <f t="shared" si="129"/>
        <v>4142.2867374250482</v>
      </c>
    </row>
    <row r="68" spans="1:101" x14ac:dyDescent="0.3">
      <c r="A68" s="184" t="str">
        <f>'Su K. oro stendu'!B113</f>
        <v>2023.01.30-1</v>
      </c>
      <c r="B68" s="289">
        <f>Sheet3!DD68</f>
        <v>7.1</v>
      </c>
      <c r="C68" s="289">
        <f>_xlfn.FORECAST.LINEAR(Sheet3!DD68,$DW$3:$DW$24,$DU$3:$DU$24)</f>
        <v>1002.3978858358753</v>
      </c>
      <c r="D68" s="35">
        <f>_xlfn.FORECAST.LINEAR(Sheet3!CI68,'Cooling water'!$DW$3:$DW$24,'Cooling water'!$DU$3:$DU$24)</f>
        <v>994.42569081860097</v>
      </c>
      <c r="E68" s="35">
        <f>_xlfn.FORECAST.LINEAR(Sheet3!CJ68,'Cooling water'!$DW$3:$DW$24,'Cooling water'!$DU$3:$DU$24)</f>
        <v>995.48778755693286</v>
      </c>
      <c r="F68" s="35">
        <f>_xlfn.FORECAST.LINEAR(Sheet3!CK68,'Cooling water'!$DW$3:$DW$24,'Cooling water'!$DU$3:$DU$24)</f>
        <v>996.49587370513484</v>
      </c>
      <c r="G68" s="35">
        <f>_xlfn.FORECAST.LINEAR(Sheet3!CL68,'Cooling water'!$DW$3:$DW$24,'Cooling water'!$DU$3:$DU$24)</f>
        <v>997.46552762350836</v>
      </c>
      <c r="H68" s="35">
        <f>_xlfn.FORECAST.LINEAR(Sheet3!CM68,'Cooling water'!$DW$3:$DW$24,'Cooling water'!$DU$3:$DU$24)</f>
        <v>998.41232767235545</v>
      </c>
      <c r="I68" s="35">
        <f>_xlfn.FORECAST.LINEAR(Sheet3!CN68,'Cooling water'!$DW$3:$DW$24,'Cooling water'!$DU$3:$DU$24)</f>
        <v>999.35185221197776</v>
      </c>
      <c r="J68" s="35">
        <f>_xlfn.FORECAST.LINEAR(Sheet3!CO68,'Cooling water'!$DW$3:$DW$24,'Cooling water'!$DU$3:$DU$24)</f>
        <v>1000.299679602677</v>
      </c>
      <c r="K68" s="35">
        <f>_xlfn.FORECAST.LINEAR(Sheet3!CP68,'Cooling water'!$DW$3:$DW$24,'Cooling water'!$DU$3:$DU$24)</f>
        <v>1001.2713882047549</v>
      </c>
      <c r="L68" s="289">
        <f t="shared" si="130"/>
        <v>1.422233668997519E-3</v>
      </c>
      <c r="M68" s="35">
        <f xml:space="preserve"> 0.0000000000330128*((Sheet3!CI68+273)^(4)) - 0.0000000448315*((Sheet3!CI68+273)^(3)) + 0.0000228887*((Sheet3!CI68+273)^(2)) - 0.00521331*((Sheet3!CI68+273)) + 0.447905</f>
        <v>8.61473178771055E-4</v>
      </c>
      <c r="N68" s="35">
        <f xml:space="preserve"> 0.0000000000330128*((Sheet3!CJ68+273)^(4)) - 0.0000000448315*((Sheet3!CJ68+273)^(3)) + 0.0000228887*((Sheet3!CJ68+273)^(2)) - 0.00521331*((Sheet3!CJ68+273)) + 0.447905</f>
        <v>9.145326774617768E-4</v>
      </c>
      <c r="O68" s="35">
        <f xml:space="preserve"> 0.0000000000330128*((Sheet3!CK68+273)^(4)) - 0.0000000448315*((Sheet3!CK68+273)^(3)) + 0.0000228887*((Sheet3!CK68+273)^(2)) - 0.00521331*((Sheet3!CK68+273)) + 0.447905</f>
        <v>9.6998170945528095E-4</v>
      </c>
      <c r="P68" s="35">
        <f xml:space="preserve"> 0.0000000000330128*((Sheet3!CL68+273)^(4)) - 0.0000000448315*((Sheet3!CL68+273)^(3)) + 0.0000228887*((Sheet3!CL68+273)^(2)) - 0.00521331*((Sheet3!CL68+273)) + 0.447905</f>
        <v>1.0284654427530349E-3</v>
      </c>
      <c r="Q68" s="35">
        <f xml:space="preserve"> 0.0000000000330128*((Sheet3!CM68+273)^(4)) - 0.0000000448315*((Sheet3!CM68+273)^(3)) + 0.0000228887*((Sheet3!CM68+273)^(2)) - 0.00521331*((Sheet3!CM68+273)) + 0.447905</f>
        <v>1.0908967576752637E-3</v>
      </c>
      <c r="R68" s="35">
        <f xml:space="preserve"> 0.0000000000330128*((Sheet3!CN68+273)^(4)) - 0.0000000448315*((Sheet3!CN68+273)^(3)) + 0.0000228887*((Sheet3!CN68+273)^(2)) - 0.00521331*((Sheet3!CN68+273)) + 0.447905</f>
        <v>1.1585056030851693E-3</v>
      </c>
      <c r="S68" s="35">
        <f xml:space="preserve"> 0.0000000000330128*((Sheet3!CO68+273)^(4)) - 0.0000000448315*((Sheet3!CO68+273)^(3)) + 0.0000228887*((Sheet3!CO68+273)^(2)) - 0.00521331*((Sheet3!CO68+273)) + 0.447905</f>
        <v>1.2328998571535799E-3</v>
      </c>
      <c r="T68" s="35">
        <f xml:space="preserve"> 0.0000000000330128*((Sheet3!CP68+273)^(4)) - 0.0000000448315*((Sheet3!CP68+273)^(3)) + 0.0000228887*((Sheet3!CP68+273)^(2)) - 0.00521331*((Sheet3!CP68+273)) + 0.447905</f>
        <v>1.3161454800787453E-3</v>
      </c>
      <c r="U68" s="289">
        <f>(Sheet3!DC68*0.014*0.001*C68) / (L68*0.00015*3600*3)</f>
        <v>2192.7277270664299</v>
      </c>
      <c r="V68" s="35">
        <f>(Sheet3!$DC68*0.014*0.001*D68) / (M68*0.00015*3600*3)</f>
        <v>3591.2537872549269</v>
      </c>
      <c r="W68" s="35">
        <f>(Sheet3!$DC68*0.014*0.001*E68) / (N68*0.00015*3600*3)</f>
        <v>3386.5089713792481</v>
      </c>
      <c r="X68" s="35">
        <f>(Sheet3!$DC68*0.014*0.001*F68) / (O68*0.00015*3600*3)</f>
        <v>3196.1524167310586</v>
      </c>
      <c r="Y68" s="35">
        <f>(Sheet3!$DC68*0.014*0.001*G68) / (P68*0.00015*3600*3)</f>
        <v>3017.3362729942314</v>
      </c>
      <c r="Z68" s="35">
        <f>(Sheet3!$DC68*0.014*0.001*H68) / (Q68*0.00015*3600*3)</f>
        <v>2847.356236268522</v>
      </c>
      <c r="AA68" s="35">
        <f>(Sheet3!$DC68*0.014*0.001*I68) / (R68*0.00015*3600*3)</f>
        <v>2683.7113631962156</v>
      </c>
      <c r="AB68" s="35">
        <f>(Sheet3!$DC68*0.014*0.001*J68) / (S68*0.00015*3600*3)</f>
        <v>2524.1656324282571</v>
      </c>
      <c r="AC68" s="35">
        <f>(Sheet3!$DC68*0.014*0.001*K68) / (T68*0.00015*3600*3)</f>
        <v>2366.8101955530665</v>
      </c>
      <c r="AD68" s="289">
        <f t="shared" si="75"/>
        <v>0.58714249035809463</v>
      </c>
      <c r="AE68" s="35">
        <f>_xlfn.FORECAST.LINEAR(Sheet3!CI68,$DA$3:$DA$12,$CZ$3:$CZ$12)/1000</f>
        <v>0.60787877564747084</v>
      </c>
      <c r="AF68" s="35">
        <f>_xlfn.FORECAST.LINEAR(Sheet3!CJ68,$DA$3:$DA$12,$CZ$3:$CZ$12)/1000</f>
        <v>0.60511618129005174</v>
      </c>
      <c r="AG68" s="35">
        <f>_xlfn.FORECAST.LINEAR(Sheet3!CK68,$DA$3:$DA$12,$CZ$3:$CZ$12)/1000</f>
        <v>0.60249407258346743</v>
      </c>
      <c r="AH68" s="35">
        <f>_xlfn.FORECAST.LINEAR(Sheet3!CL68,$DA$3:$DA$12,$CZ$3:$CZ$12)/1000</f>
        <v>0.59997192902829988</v>
      </c>
      <c r="AI68" s="35">
        <f>_xlfn.FORECAST.LINEAR(Sheet3!CM68,$DA$3:$DA$12,$CZ$3:$CZ$12)/1000</f>
        <v>0.59750923012513124</v>
      </c>
      <c r="AJ68" s="35">
        <f>_xlfn.FORECAST.LINEAR(Sheet3!CN68,$DA$3:$DA$12,$CZ$3:$CZ$12)/1000</f>
        <v>0.59506545537454336</v>
      </c>
      <c r="AK68" s="35">
        <f>_xlfn.FORECAST.LINEAR(Sheet3!CO68,$DA$3:$DA$12,$CZ$3:$CZ$12)/1000</f>
        <v>0.59260008427711841</v>
      </c>
      <c r="AL68" s="35">
        <f>_xlfn.FORECAST.LINEAR(Sheet3!CP68,$DA$3:$DA$12,$CZ$3:$CZ$12)/1000</f>
        <v>0.59007259633343812</v>
      </c>
      <c r="AM68" s="289">
        <f t="shared" si="76"/>
        <v>4189.1073764493331</v>
      </c>
      <c r="AN68" s="35">
        <f>_xlfn.FORECAST.LINEAR(Sheet3!CI68,$DP$3:$DP$14,$DJ$3:$DJ$14)*1000</f>
        <v>4190.9321981655776</v>
      </c>
      <c r="AO68" s="35">
        <f>_xlfn.FORECAST.LINEAR(Sheet3!CJ68,$DP$3:$DP$14,$DJ$3:$DJ$14)*1000</f>
        <v>4190.6890860504491</v>
      </c>
      <c r="AP68" s="35">
        <f>_xlfn.FORECAST.LINEAR(Sheet3!CK68,$DP$3:$DP$14,$DJ$3:$DJ$14)*1000</f>
        <v>4190.4583368664298</v>
      </c>
      <c r="AQ68" s="35">
        <f>_xlfn.FORECAST.LINEAR(Sheet3!CL68,$DP$3:$DP$14,$DJ$3:$DJ$14)*1000</f>
        <v>4190.2363847536608</v>
      </c>
      <c r="AR68" s="35">
        <f>_xlfn.FORECAST.LINEAR(Sheet3!CM68,$DP$3:$DP$14,$DJ$3:$DJ$14)*1000</f>
        <v>4190.0196638522866</v>
      </c>
      <c r="AS68" s="35">
        <f>_xlfn.FORECAST.LINEAR(Sheet3!CN68,$DP$3:$DP$14,$DJ$3:$DJ$14)*1000</f>
        <v>4189.8046083024492</v>
      </c>
      <c r="AT68" s="35">
        <f>_xlfn.FORECAST.LINEAR(Sheet3!CO68,$DP$3:$DP$14,$DJ$3:$DJ$14)*1000</f>
        <v>4189.5876522442932</v>
      </c>
      <c r="AU68" s="35">
        <f>_xlfn.FORECAST.LINEAR(Sheet3!CP68,$DP$3:$DP$14,$DJ$3:$DJ$14)*1000</f>
        <v>4189.3652298179613</v>
      </c>
      <c r="AV68" s="289">
        <f t="shared" si="77"/>
        <v>1.3982404960516562E-7</v>
      </c>
      <c r="AW68" s="35">
        <f t="shared" si="78"/>
        <v>1.4585926124181857E-7</v>
      </c>
      <c r="AX68" s="35">
        <f t="shared" si="79"/>
        <v>1.4504988502295271E-7</v>
      </c>
      <c r="AY68" s="35">
        <f t="shared" si="80"/>
        <v>1.4428319369415717E-7</v>
      </c>
      <c r="AZ68" s="35">
        <f t="shared" si="81"/>
        <v>1.4354712952234153E-7</v>
      </c>
      <c r="BA68" s="35">
        <f t="shared" si="82"/>
        <v>1.4282973244658163E-7</v>
      </c>
      <c r="BB68" s="35">
        <f t="shared" si="83"/>
        <v>1.4211913240529656E-7</v>
      </c>
      <c r="BC68" s="35">
        <f t="shared" si="84"/>
        <v>1.4140354528832179E-7</v>
      </c>
      <c r="BD68" s="35">
        <f t="shared" si="85"/>
        <v>1.4067127243972541E-7</v>
      </c>
      <c r="BE68" s="289">
        <f t="shared" si="74"/>
        <v>10.147263486583002</v>
      </c>
      <c r="BF68" s="35">
        <f t="shared" si="86"/>
        <v>5.9393020901612168</v>
      </c>
      <c r="BG68" s="35">
        <f t="shared" si="87"/>
        <v>6.3335310288761084</v>
      </c>
      <c r="BH68" s="35">
        <f t="shared" si="88"/>
        <v>6.7464032028825116</v>
      </c>
      <c r="BI68" s="35">
        <f t="shared" si="89"/>
        <v>7.1828582474935692</v>
      </c>
      <c r="BJ68" s="35">
        <f t="shared" si="90"/>
        <v>7.6498882953403378</v>
      </c>
      <c r="BK68" s="35">
        <f t="shared" si="91"/>
        <v>8.1569381497625724</v>
      </c>
      <c r="BL68" s="35">
        <f t="shared" si="92"/>
        <v>8.7164044606664532</v>
      </c>
      <c r="BM68" s="35">
        <f t="shared" si="93"/>
        <v>9.3442978811173578</v>
      </c>
      <c r="BN68" s="289">
        <f t="shared" si="94"/>
        <v>1.9261476221119746E-3</v>
      </c>
      <c r="BO68" s="35">
        <f t="shared" si="95"/>
        <v>2.0092857415964799E-3</v>
      </c>
      <c r="BP68" s="35">
        <f t="shared" si="96"/>
        <v>1.9981361712345523E-3</v>
      </c>
      <c r="BQ68" s="35">
        <f t="shared" si="97"/>
        <v>1.9875746070113481E-3</v>
      </c>
      <c r="BR68" s="35">
        <f t="shared" si="98"/>
        <v>1.9774349475016428E-3</v>
      </c>
      <c r="BS68" s="35">
        <f t="shared" si="99"/>
        <v>1.9675524367641344E-3</v>
      </c>
      <c r="BT68" s="35">
        <f t="shared" si="100"/>
        <v>1.9577635586443911E-3</v>
      </c>
      <c r="BU68" s="35">
        <f t="shared" si="101"/>
        <v>1.9479059810125954E-3</v>
      </c>
      <c r="BV68" s="35">
        <f t="shared" si="102"/>
        <v>1.9378185489145846E-3</v>
      </c>
      <c r="BW68" s="289">
        <f t="shared" si="103"/>
        <v>5.2754683862782432E-2</v>
      </c>
      <c r="BX68" s="35">
        <f t="shared" si="104"/>
        <v>4.6633249351984665E-2</v>
      </c>
      <c r="BY68" s="35">
        <f t="shared" si="105"/>
        <v>4.7322659566148416E-2</v>
      </c>
      <c r="BZ68" s="35">
        <f t="shared" si="106"/>
        <v>4.801205904386556E-2</v>
      </c>
      <c r="CA68" s="35">
        <f t="shared" si="107"/>
        <v>4.8708109476342132E-2</v>
      </c>
      <c r="CB68" s="35">
        <f t="shared" si="108"/>
        <v>4.9419318314424636E-2</v>
      </c>
      <c r="CC68" s="35">
        <f t="shared" si="109"/>
        <v>5.0156041222009153E-2</v>
      </c>
      <c r="CD68" s="35">
        <f t="shared" si="110"/>
        <v>5.0930476519184975E-2</v>
      </c>
      <c r="CE68" s="35">
        <f t="shared" si="111"/>
        <v>5.1756672120537459E-2</v>
      </c>
      <c r="CF68" s="289">
        <f t="shared" si="112"/>
        <v>11.717217966200382</v>
      </c>
      <c r="CG68" s="35">
        <f t="shared" si="113"/>
        <v>27.944291154015911</v>
      </c>
      <c r="CH68" s="35">
        <f t="shared" si="114"/>
        <v>26.555697362807205</v>
      </c>
      <c r="CI68" s="35">
        <f t="shared" si="115"/>
        <v>25.197395492229802</v>
      </c>
      <c r="CJ68" s="35">
        <f t="shared" si="116"/>
        <v>23.856163834497814</v>
      </c>
      <c r="CK68" s="35">
        <f t="shared" si="117"/>
        <v>11.715031356843637</v>
      </c>
      <c r="CL68" s="35">
        <f t="shared" si="118"/>
        <v>11.715548312484389</v>
      </c>
      <c r="CM68" s="35">
        <f t="shared" si="119"/>
        <v>11.716068896181371</v>
      </c>
      <c r="CN68" s="35">
        <f t="shared" si="120"/>
        <v>11.716601618609822</v>
      </c>
      <c r="CO68" s="289">
        <f t="shared" si="121"/>
        <v>491.40546691025008</v>
      </c>
      <c r="CP68" s="35">
        <f t="shared" si="122"/>
        <v>1213.3386780742601</v>
      </c>
      <c r="CQ68" s="35">
        <f t="shared" si="123"/>
        <v>1147.805869976871</v>
      </c>
      <c r="CR68" s="35">
        <f t="shared" si="124"/>
        <v>1084.3772449007026</v>
      </c>
      <c r="CS68" s="35">
        <f t="shared" si="125"/>
        <v>1022.3591882142013</v>
      </c>
      <c r="CT68" s="35">
        <f t="shared" si="126"/>
        <v>499.98852620852955</v>
      </c>
      <c r="CU68" s="35">
        <f t="shared" si="127"/>
        <v>497.96557796649898</v>
      </c>
      <c r="CV68" s="35">
        <f t="shared" si="128"/>
        <v>495.92452966240046</v>
      </c>
      <c r="CW68" s="35">
        <f t="shared" si="129"/>
        <v>493.83182409269006</v>
      </c>
    </row>
    <row r="69" spans="1:101" x14ac:dyDescent="0.3">
      <c r="A69" s="184" t="str">
        <f>'Su K. oro stendu'!B114</f>
        <v>2023.01.30-2</v>
      </c>
      <c r="B69" s="289">
        <f>Sheet3!DD69</f>
        <v>7.1</v>
      </c>
      <c r="C69" s="289">
        <f>_xlfn.FORECAST.LINEAR(Sheet3!DD69,$DW$3:$DW$24,$DU$3:$DU$24)</f>
        <v>1002.3978858358753</v>
      </c>
      <c r="D69" s="35">
        <f>_xlfn.FORECAST.LINEAR(Sheet3!CI69,'Cooling water'!$DW$3:$DW$24,'Cooling water'!$DU$3:$DU$24)</f>
        <v>994.21692289584223</v>
      </c>
      <c r="E69" s="35">
        <f>_xlfn.FORECAST.LINEAR(Sheet3!CJ69,'Cooling water'!$DW$3:$DW$24,'Cooling water'!$DU$3:$DU$24)</f>
        <v>995.35090401245338</v>
      </c>
      <c r="F69" s="35">
        <f>_xlfn.FORECAST.LINEAR(Sheet3!CK69,'Cooling water'!$DW$3:$DW$24,'Cooling water'!$DU$3:$DU$24)</f>
        <v>996.37477116624314</v>
      </c>
      <c r="G69" s="35">
        <f>_xlfn.FORECAST.LINEAR(Sheet3!CL69,'Cooling water'!$DW$3:$DW$24,'Cooling water'!$DU$3:$DU$24)</f>
        <v>997.32538612490384</v>
      </c>
      <c r="H69" s="35">
        <f>_xlfn.FORECAST.LINEAR(Sheet3!CM69,'Cooling water'!$DW$3:$DW$24,'Cooling water'!$DU$3:$DU$24)</f>
        <v>998.23961065612809</v>
      </c>
      <c r="I69" s="35">
        <f>_xlfn.FORECAST.LINEAR(Sheet3!CN69,'Cooling water'!$DW$3:$DW$24,'Cooling water'!$DU$3:$DU$24)</f>
        <v>999.15430652760847</v>
      </c>
      <c r="J69" s="35">
        <f>_xlfn.FORECAST.LINEAR(Sheet3!CO69,'Cooling water'!$DW$3:$DW$24,'Cooling water'!$DU$3:$DU$24)</f>
        <v>1000.1063355070372</v>
      </c>
      <c r="K69" s="35">
        <f>_xlfn.FORECAST.LINEAR(Sheet3!CP69,'Cooling water'!$DW$3:$DW$24,'Cooling water'!$DU$3:$DU$24)</f>
        <v>1001.1325593621069</v>
      </c>
      <c r="L69" s="289">
        <f t="shared" si="130"/>
        <v>1.422233668997519E-3</v>
      </c>
      <c r="M69" s="35">
        <f xml:space="preserve"> 0.0000000000330128*((Sheet3!CI69+273)^(4)) - 0.0000000448315*((Sheet3!CI69+273)^(3)) + 0.0000228887*((Sheet3!CI69+273)^(2)) - 0.00521331*((Sheet3!CI69+273)) + 0.447905</f>
        <v>8.5164360484890622E-4</v>
      </c>
      <c r="N69" s="35">
        <f xml:space="preserve"> 0.0000000000330128*((Sheet3!CJ69+273)^(4)) - 0.0000000448315*((Sheet3!CJ69+273)^(3)) + 0.0000228887*((Sheet3!CJ69+273)^(2)) - 0.00521331*((Sheet3!CJ69+273)) + 0.447905</f>
        <v>9.0739702220576923E-4</v>
      </c>
      <c r="O69" s="35">
        <f xml:space="preserve"> 0.0000000000330128*((Sheet3!CK69+273)^(4)) - 0.0000000448315*((Sheet3!CK69+273)^(3)) + 0.0000228887*((Sheet3!CK69+273)^(2)) - 0.00521331*((Sheet3!CK69+273)) + 0.447905</f>
        <v>9.6304193590701637E-4</v>
      </c>
      <c r="P69" s="35">
        <f xml:space="preserve"> 0.0000000000330128*((Sheet3!CL69+273)^(4)) - 0.0000000448315*((Sheet3!CL69+273)^(3)) + 0.0000228887*((Sheet3!CL69+273)^(2)) - 0.00521331*((Sheet3!CL69+273)) + 0.447905</f>
        <v>1.0196828060802243E-3</v>
      </c>
      <c r="Q69" s="35">
        <f xml:space="preserve"> 0.0000000000330128*((Sheet3!CM69+273)^(4)) - 0.0000000448315*((Sheet3!CM69+273)^(3)) + 0.0000228887*((Sheet3!CM69+273)^(2)) - 0.00521331*((Sheet3!CM69+273)) + 0.447905</f>
        <v>1.0790948059526961E-3</v>
      </c>
      <c r="R69" s="35">
        <f xml:space="preserve"> 0.0000000000330128*((Sheet3!CN69+273)^(4)) - 0.0000000448315*((Sheet3!CN69+273)^(3)) + 0.0000228887*((Sheet3!CN69+273)^(2)) - 0.00521331*((Sheet3!CN69+273)) + 0.447905</f>
        <v>1.1437991895599797E-3</v>
      </c>
      <c r="S69" s="35">
        <f xml:space="preserve"> 0.0000000000330128*((Sheet3!CO69+273)^(4)) - 0.0000000448315*((Sheet3!CO69+273)^(3)) + 0.0000228887*((Sheet3!CO69+273)^(2)) - 0.00521331*((Sheet3!CO69+273)) + 0.447905</f>
        <v>1.2171958259272753E-3</v>
      </c>
      <c r="T69" s="35">
        <f xml:space="preserve"> 0.0000000000330128*((Sheet3!CP69+273)^(4)) - 0.0000000448315*((Sheet3!CP69+273)^(3)) + 0.0000228887*((Sheet3!CP69+273)^(2)) - 0.00521331*((Sheet3!CP69+273)) + 0.447905</f>
        <v>1.3037987053068356E-3</v>
      </c>
      <c r="U69" s="289">
        <f>(Sheet3!DC69*0.014*0.001*C69) / (L69*0.00015*3600*3)</f>
        <v>2448.5459618908467</v>
      </c>
      <c r="V69" s="35">
        <f>(Sheet3!$DC69*0.014*0.001*D69) / (M69*0.00015*3600*3)</f>
        <v>4055.6674366749157</v>
      </c>
      <c r="W69" s="35">
        <f>(Sheet3!$DC69*0.014*0.001*E69) / (N69*0.00015*3600*3)</f>
        <v>3810.8156469701403</v>
      </c>
      <c r="X69" s="35">
        <f>(Sheet3!$DC69*0.014*0.001*F69) / (O69*0.00015*3600*3)</f>
        <v>3594.3188261163605</v>
      </c>
      <c r="Y69" s="35">
        <f>(Sheet3!$DC69*0.014*0.001*G69) / (P69*0.00015*3600*3)</f>
        <v>3397.9020207974845</v>
      </c>
      <c r="Z69" s="35">
        <f>(Sheet3!$DC69*0.014*0.001*H69) / (Q69*0.00015*3600*3)</f>
        <v>3213.7661417362769</v>
      </c>
      <c r="AA69" s="35">
        <f>(Sheet3!$DC69*0.014*0.001*I69) / (R69*0.00015*3600*3)</f>
        <v>3034.7425527048799</v>
      </c>
      <c r="AB69" s="35">
        <f>(Sheet3!$DC69*0.014*0.001*J69) / (S69*0.00015*3600*3)</f>
        <v>2854.465499711479</v>
      </c>
      <c r="AC69" s="35">
        <f>(Sheet3!$DC69*0.014*0.001*K69) / (T69*0.00015*3600*3)</f>
        <v>2667.5963513653028</v>
      </c>
      <c r="AD69" s="289">
        <f t="shared" si="75"/>
        <v>0.58714249035809463</v>
      </c>
      <c r="AE69" s="35">
        <f>_xlfn.FORECAST.LINEAR(Sheet3!CI69,$DA$3:$DA$12,$CZ$3:$CZ$12)/1000</f>
        <v>0.60842179688518694</v>
      </c>
      <c r="AF69" s="35">
        <f>_xlfn.FORECAST.LINEAR(Sheet3!CJ69,$DA$3:$DA$12,$CZ$3:$CZ$12)/1000</f>
        <v>0.60547222579518445</v>
      </c>
      <c r="AG69" s="35">
        <f>_xlfn.FORECAST.LINEAR(Sheet3!CK69,$DA$3:$DA$12,$CZ$3:$CZ$12)/1000</f>
        <v>0.60280906949338797</v>
      </c>
      <c r="AH69" s="35">
        <f>_xlfn.FORECAST.LINEAR(Sheet3!CL69,$DA$3:$DA$12,$CZ$3:$CZ$12)/1000</f>
        <v>0.60033644771978301</v>
      </c>
      <c r="AI69" s="35">
        <f>_xlfn.FORECAST.LINEAR(Sheet3!CM69,$DA$3:$DA$12,$CZ$3:$CZ$12)/1000</f>
        <v>0.59795848021435505</v>
      </c>
      <c r="AJ69" s="35">
        <f>_xlfn.FORECAST.LINEAR(Sheet3!CN69,$DA$3:$DA$12,$CZ$3:$CZ$12)/1000</f>
        <v>0.59557928671708971</v>
      </c>
      <c r="AK69" s="35">
        <f>_xlfn.FORECAST.LINEAR(Sheet3!CO69,$DA$3:$DA$12,$CZ$3:$CZ$12)/1000</f>
        <v>0.5931029869679727</v>
      </c>
      <c r="AL69" s="35">
        <f>_xlfn.FORECAST.LINEAR(Sheet3!CP69,$DA$3:$DA$12,$CZ$3:$CZ$12)/1000</f>
        <v>0.59043370070698942</v>
      </c>
      <c r="AM69" s="289">
        <f t="shared" si="76"/>
        <v>4189.1073764493331</v>
      </c>
      <c r="AN69" s="35">
        <f>_xlfn.FORECAST.LINEAR(Sheet3!CI69,$DP$3:$DP$14,$DJ$3:$DJ$14)*1000</f>
        <v>4190.9799847837266</v>
      </c>
      <c r="AO69" s="35">
        <f>_xlfn.FORECAST.LINEAR(Sheet3!CJ69,$DP$3:$DP$14,$DJ$3:$DJ$14)*1000</f>
        <v>4190.7204184581515</v>
      </c>
      <c r="AP69" s="35">
        <f>_xlfn.FORECAST.LINEAR(Sheet3!CK69,$DP$3:$DP$14,$DJ$3:$DJ$14)*1000</f>
        <v>4190.4860570291175</v>
      </c>
      <c r="AQ69" s="35">
        <f>_xlfn.FORECAST.LINEAR(Sheet3!CL69,$DP$3:$DP$14,$DJ$3:$DJ$14)*1000</f>
        <v>4190.2684629014539</v>
      </c>
      <c r="AR69" s="35">
        <f>_xlfn.FORECAST.LINEAR(Sheet3!CM69,$DP$3:$DP$14,$DJ$3:$DJ$14)*1000</f>
        <v>4190.0591984799876</v>
      </c>
      <c r="AS69" s="35">
        <f>_xlfn.FORECAST.LINEAR(Sheet3!CN69,$DP$3:$DP$14,$DJ$3:$DJ$14)*1000</f>
        <v>4189.8498261695495</v>
      </c>
      <c r="AT69" s="35">
        <f>_xlfn.FORECAST.LINEAR(Sheet3!CO69,$DP$3:$DP$14,$DJ$3:$DJ$14)*1000</f>
        <v>4189.6319083749659</v>
      </c>
      <c r="AU69" s="35">
        <f>_xlfn.FORECAST.LINEAR(Sheet3!CP69,$DP$3:$DP$14,$DJ$3:$DJ$14)*1000</f>
        <v>4189.3970075010648</v>
      </c>
      <c r="AV69" s="289">
        <f t="shared" si="77"/>
        <v>1.3982404960516562E-7</v>
      </c>
      <c r="AW69" s="35">
        <f t="shared" si="78"/>
        <v>1.4601854832902408E-7</v>
      </c>
      <c r="AX69" s="35">
        <f t="shared" si="79"/>
        <v>1.4515410512006061E-7</v>
      </c>
      <c r="AY69" s="35">
        <f t="shared" si="80"/>
        <v>1.4437521881529366E-7</v>
      </c>
      <c r="AZ69" s="35">
        <f t="shared" si="81"/>
        <v>1.4365342633804665E-7</v>
      </c>
      <c r="BA69" s="35">
        <f t="shared" si="82"/>
        <v>1.4296050435085299E-7</v>
      </c>
      <c r="BB69" s="35">
        <f t="shared" si="83"/>
        <v>1.4226843807775102E-7</v>
      </c>
      <c r="BC69" s="35">
        <f t="shared" si="84"/>
        <v>1.415494102432487E-7</v>
      </c>
      <c r="BD69" s="35">
        <f t="shared" si="85"/>
        <v>1.4077580972217178E-7</v>
      </c>
      <c r="BE69" s="289">
        <f t="shared" si="74"/>
        <v>10.147263486583002</v>
      </c>
      <c r="BF69" s="35">
        <f t="shared" si="86"/>
        <v>5.8663600159682678</v>
      </c>
      <c r="BG69" s="35">
        <f t="shared" si="87"/>
        <v>6.2804651751147027</v>
      </c>
      <c r="BH69" s="35">
        <f t="shared" si="88"/>
        <v>6.6946799724567621</v>
      </c>
      <c r="BI69" s="35">
        <f t="shared" si="89"/>
        <v>7.1172502031314231</v>
      </c>
      <c r="BJ69" s="35">
        <f t="shared" si="90"/>
        <v>7.5615134952065945</v>
      </c>
      <c r="BK69" s="35">
        <f t="shared" si="91"/>
        <v>8.0465303989445136</v>
      </c>
      <c r="BL69" s="35">
        <f t="shared" si="92"/>
        <v>8.5981736445395942</v>
      </c>
      <c r="BM69" s="35">
        <f t="shared" si="93"/>
        <v>9.2510478108817757</v>
      </c>
      <c r="BN69" s="289">
        <f t="shared" si="94"/>
        <v>1.724908318309231E-3</v>
      </c>
      <c r="BO69" s="35">
        <f t="shared" si="95"/>
        <v>1.8013253753656636E-3</v>
      </c>
      <c r="BP69" s="35">
        <f t="shared" si="96"/>
        <v>1.7906613638021486E-3</v>
      </c>
      <c r="BQ69" s="35">
        <f t="shared" si="97"/>
        <v>1.7810528059760561E-3</v>
      </c>
      <c r="BR69" s="35">
        <f t="shared" si="98"/>
        <v>1.7721485734666126E-3</v>
      </c>
      <c r="BS69" s="35">
        <f t="shared" si="99"/>
        <v>1.7636004953425362E-3</v>
      </c>
      <c r="BT69" s="35">
        <f t="shared" si="100"/>
        <v>1.7550629735452071E-3</v>
      </c>
      <c r="BU69" s="35">
        <f t="shared" si="101"/>
        <v>1.7461928464366648E-3</v>
      </c>
      <c r="BV69" s="35">
        <f t="shared" si="102"/>
        <v>1.7366494955065352E-3</v>
      </c>
      <c r="BW69" s="289">
        <f t="shared" si="103"/>
        <v>5.1319230615396109E-2</v>
      </c>
      <c r="BX69" s="35">
        <f t="shared" si="104"/>
        <v>4.5236773138656892E-2</v>
      </c>
      <c r="BY69" s="35">
        <f t="shared" si="105"/>
        <v>4.5946529899114977E-2</v>
      </c>
      <c r="BZ69" s="35">
        <f t="shared" si="106"/>
        <v>4.6623304599020109E-2</v>
      </c>
      <c r="CA69" s="35">
        <f t="shared" si="107"/>
        <v>4.7282941776260447E-2</v>
      </c>
      <c r="CB69" s="35">
        <f t="shared" si="108"/>
        <v>4.7946138343251024E-2</v>
      </c>
      <c r="CC69" s="35">
        <f t="shared" si="109"/>
        <v>4.8638115345115626E-2</v>
      </c>
      <c r="CD69" s="35">
        <f t="shared" si="110"/>
        <v>4.9388518891068753E-2</v>
      </c>
      <c r="CE69" s="35">
        <f t="shared" si="111"/>
        <v>5.0231618678861986E-2</v>
      </c>
      <c r="CF69" s="289">
        <f t="shared" si="112"/>
        <v>11.7278455163618</v>
      </c>
      <c r="CG69" s="35">
        <f t="shared" si="113"/>
        <v>32.164750281692164</v>
      </c>
      <c r="CH69" s="35">
        <f t="shared" si="114"/>
        <v>30.595676020021145</v>
      </c>
      <c r="CI69" s="35">
        <f t="shared" si="115"/>
        <v>29.133562054038133</v>
      </c>
      <c r="CJ69" s="35">
        <f t="shared" si="116"/>
        <v>27.740011772467799</v>
      </c>
      <c r="CK69" s="35">
        <f t="shared" si="117"/>
        <v>26.369735138670229</v>
      </c>
      <c r="CL69" s="35">
        <f t="shared" si="118"/>
        <v>24.972133653516622</v>
      </c>
      <c r="CM69" s="35">
        <f t="shared" si="119"/>
        <v>11.726721469587327</v>
      </c>
      <c r="CN69" s="35">
        <f t="shared" si="120"/>
        <v>11.727225458812104</v>
      </c>
      <c r="CO69" s="289">
        <f t="shared" si="121"/>
        <v>491.85117307226295</v>
      </c>
      <c r="CP69" s="35">
        <f t="shared" si="122"/>
        <v>1397.8382259107477</v>
      </c>
      <c r="CQ69" s="35">
        <f t="shared" si="123"/>
        <v>1323.2022899678964</v>
      </c>
      <c r="CR69" s="35">
        <f t="shared" si="124"/>
        <v>1254.4268166301858</v>
      </c>
      <c r="CS69" s="35">
        <f t="shared" si="125"/>
        <v>1189.5242947991628</v>
      </c>
      <c r="CT69" s="35">
        <f t="shared" si="126"/>
        <v>1126.2861962267375</v>
      </c>
      <c r="CU69" s="35">
        <f t="shared" si="127"/>
        <v>1062.3489677975185</v>
      </c>
      <c r="CV69" s="35">
        <f t="shared" si="128"/>
        <v>496.79668078240701</v>
      </c>
      <c r="CW69" s="35">
        <f t="shared" si="129"/>
        <v>494.58208047654659</v>
      </c>
    </row>
    <row r="70" spans="1:101" x14ac:dyDescent="0.3">
      <c r="A70" s="184" t="str">
        <f>'Su K. oro stendu'!B115</f>
        <v>01.31.2023</v>
      </c>
      <c r="B70" s="289">
        <f>Sheet3!DD70</f>
        <v>7.2</v>
      </c>
      <c r="C70" s="289">
        <f>_xlfn.FORECAST.LINEAR(Sheet3!DD70,$DW$3:$DW$24,$DU$3:$DU$24)</f>
        <v>1002.3564009395346</v>
      </c>
      <c r="D70" s="35">
        <f>_xlfn.FORECAST.LINEAR(Sheet3!CI70,'Cooling water'!$DW$3:$DW$24,'Cooling water'!$DU$3:$DU$24)</f>
        <v>993.20689614653452</v>
      </c>
      <c r="E70" s="35">
        <f>_xlfn.FORECAST.LINEAR(Sheet3!CJ70,'Cooling water'!$DW$3:$DW$24,'Cooling water'!$DU$3:$DU$24)</f>
        <v>994.52498111743034</v>
      </c>
      <c r="F70" s="35">
        <f>_xlfn.FORECAST.LINEAR(Sheet3!CK70,'Cooling water'!$DW$3:$DW$24,'Cooling water'!$DU$3:$DU$24)</f>
        <v>995.68483026389276</v>
      </c>
      <c r="G70" s="35">
        <f>_xlfn.FORECAST.LINEAR(Sheet3!CL70,'Cooling water'!$DW$3:$DW$24,'Cooling water'!$DU$3:$DU$24)</f>
        <v>996.73787877999666</v>
      </c>
      <c r="H70" s="35">
        <f>_xlfn.FORECAST.LINEAR(Sheet3!CM70,'Cooling water'!$DW$3:$DW$24,'Cooling water'!$DU$3:$DU$24)</f>
        <v>997.73556185981658</v>
      </c>
      <c r="I70" s="35">
        <f>_xlfn.FORECAST.LINEAR(Sheet3!CN70,'Cooling water'!$DW$3:$DW$24,'Cooling water'!$DU$3:$DU$24)</f>
        <v>998.72931469742764</v>
      </c>
      <c r="J70" s="35">
        <f>_xlfn.FORECAST.LINEAR(Sheet3!CO70,'Cooling water'!$DW$3:$DW$24,'Cooling water'!$DU$3:$DU$24)</f>
        <v>999.77057248690448</v>
      </c>
      <c r="K70" s="35">
        <f>_xlfn.FORECAST.LINEAR(Sheet3!CP70,'Cooling water'!$DW$3:$DW$24,'Cooling water'!$DU$3:$DU$24)</f>
        <v>1000.9107704223219</v>
      </c>
      <c r="L70" s="289">
        <f t="shared" si="130"/>
        <v>1.4181345121204725E-3</v>
      </c>
      <c r="M70" s="35">
        <f xml:space="preserve"> 0.0000000000330128*((Sheet3!CI70+273)^(4)) - 0.0000000448315*((Sheet3!CI70+273)^(3)) + 0.0000228887*((Sheet3!CI70+273)^(2)) - 0.00521331*((Sheet3!CI70+273)) + 0.447905</f>
        <v>8.0666370145321409E-4</v>
      </c>
      <c r="N70" s="35">
        <f xml:space="preserve"> 0.0000000000330128*((Sheet3!CJ70+273)^(4)) - 0.0000000448315*((Sheet3!CJ70+273)^(3)) + 0.0000228887*((Sheet3!CJ70+273)^(2)) - 0.00521331*((Sheet3!CJ70+273)) + 0.447905</f>
        <v>8.6621507828921196E-4</v>
      </c>
      <c r="O70" s="35">
        <f xml:space="preserve"> 0.0000000000330128*((Sheet3!CK70+273)^(4)) - 0.0000000448315*((Sheet3!CK70+273)^(3)) + 0.0000228887*((Sheet3!CK70+273)^(2)) - 0.00521331*((Sheet3!CK70+273)) + 0.447905</f>
        <v>9.2496532019725741E-4</v>
      </c>
      <c r="P70" s="35">
        <f xml:space="preserve"> 0.0000000000330128*((Sheet3!CL70+273)^(4)) - 0.0000000448315*((Sheet3!CL70+273)^(3)) + 0.0000228887*((Sheet3!CL70+273)^(2)) - 0.00521331*((Sheet3!CL70+273)) + 0.447905</f>
        <v>9.8408679444261793E-4</v>
      </c>
      <c r="Q70" s="35">
        <f xml:space="preserve"> 0.0000000000330128*((Sheet3!CM70+273)^(4)) - 0.0000000448315*((Sheet3!CM70+273)^(3)) + 0.0000228887*((Sheet3!CM70+273)^(2)) - 0.00521331*((Sheet3!CM70+273)) + 0.447905</f>
        <v>1.0457149202394156E-3</v>
      </c>
      <c r="R70" s="35">
        <f xml:space="preserve"> 0.0000000000330128*((Sheet3!CN70+273)^(4)) - 0.0000000448315*((Sheet3!CN70+273)^(3)) + 0.0000228887*((Sheet3!CN70+273)^(2)) - 0.00521331*((Sheet3!CN70+273)) + 0.447905</f>
        <v>1.1130543862052367E-3</v>
      </c>
      <c r="S70" s="35">
        <f xml:space="preserve"> 0.0000000000330128*((Sheet3!CO70+273)^(4)) - 0.0000000448315*((Sheet3!CO70+273)^(3)) + 0.0000228887*((Sheet3!CO70+273)^(2)) - 0.00521331*((Sheet3!CO70+273)) + 0.447905</f>
        <v>1.1905751666656528E-3</v>
      </c>
      <c r="T70" s="35">
        <f xml:space="preserve"> 0.0000000000330128*((Sheet3!CP70+273)^(4)) - 0.0000000448315*((Sheet3!CP70+273)^(3)) + 0.0000228887*((Sheet3!CP70+273)^(2)) - 0.00521331*((Sheet3!CP70+273)) + 0.447905</f>
        <v>1.2843925223433583E-3</v>
      </c>
      <c r="U70" s="289">
        <f>(Sheet3!DC70*0.014*0.001*C70) / (L70*0.00015*3600*3)</f>
        <v>2748.7185714786892</v>
      </c>
      <c r="V70" s="35">
        <f>(Sheet3!$DC70*0.014*0.001*D70) / (M70*0.00015*3600*3)</f>
        <v>4788.2051167466579</v>
      </c>
      <c r="W70" s="35">
        <f>(Sheet3!$DC70*0.014*0.001*E70) / (N70*0.00015*3600*3)</f>
        <v>4464.9386113533965</v>
      </c>
      <c r="X70" s="35">
        <f>(Sheet3!$DC70*0.014*0.001*F70) / (O70*0.00015*3600*3)</f>
        <v>4186.2192978464418</v>
      </c>
      <c r="Y70" s="35">
        <f>(Sheet3!$DC70*0.014*0.001*G70) / (P70*0.00015*3600*3)</f>
        <v>3938.8831186558832</v>
      </c>
      <c r="Z70" s="35">
        <f>(Sheet3!$DC70*0.014*0.001*H70) / (Q70*0.00015*3600*3)</f>
        <v>3710.4593856972147</v>
      </c>
      <c r="AA70" s="35">
        <f>(Sheet3!$DC70*0.014*0.001*I70) / (R70*0.00015*3600*3)</f>
        <v>3489.449736751927</v>
      </c>
      <c r="AB70" s="35">
        <f>(Sheet3!$DC70*0.014*0.001*J70) / (S70*0.00015*3600*3)</f>
        <v>3265.6456976766985</v>
      </c>
      <c r="AC70" s="35">
        <f>(Sheet3!$DC70*0.014*0.001*K70) / (T70*0.00015*3600*3)</f>
        <v>3030.5616905670654</v>
      </c>
      <c r="AD70" s="289">
        <f t="shared" si="75"/>
        <v>0.58725039572717508</v>
      </c>
      <c r="AE70" s="35">
        <f>_xlfn.FORECAST.LINEAR(Sheet3!CI70,$DA$3:$DA$12,$CZ$3:$CZ$12)/1000</f>
        <v>0.61104895324277275</v>
      </c>
      <c r="AF70" s="35">
        <f>_xlfn.FORECAST.LINEAR(Sheet3!CJ70,$DA$3:$DA$12,$CZ$3:$CZ$12)/1000</f>
        <v>0.60762051403212725</v>
      </c>
      <c r="AG70" s="35">
        <f>_xlfn.FORECAST.LINEAR(Sheet3!CK70,$DA$3:$DA$12,$CZ$3:$CZ$12)/1000</f>
        <v>0.60460365822998385</v>
      </c>
      <c r="AH70" s="35">
        <f>_xlfn.FORECAST.LINEAR(Sheet3!CL70,$DA$3:$DA$12,$CZ$3:$CZ$12)/1000</f>
        <v>0.60186459898642941</v>
      </c>
      <c r="AI70" s="35">
        <f>_xlfn.FORECAST.LINEAR(Sheet3!CM70,$DA$3:$DA$12,$CZ$3:$CZ$12)/1000</f>
        <v>0.59926954945155197</v>
      </c>
      <c r="AJ70" s="35">
        <f>_xlfn.FORECAST.LINEAR(Sheet3!CN70,$DA$3:$DA$12,$CZ$3:$CZ$12)/1000</f>
        <v>0.59668472277543849</v>
      </c>
      <c r="AK70" s="35">
        <f>_xlfn.FORECAST.LINEAR(Sheet3!CO70,$DA$3:$DA$12,$CZ$3:$CZ$12)/1000</f>
        <v>0.59397633210817669</v>
      </c>
      <c r="AL70" s="35">
        <f>_xlfn.FORECAST.LINEAR(Sheet3!CP70,$DA$3:$DA$12,$CZ$3:$CZ$12)/1000</f>
        <v>0.59101059059985406</v>
      </c>
      <c r="AM70" s="289">
        <f t="shared" si="76"/>
        <v>4189.1168722706943</v>
      </c>
      <c r="AN70" s="35">
        <f>_xlfn.FORECAST.LINEAR(Sheet3!CI70,$DP$3:$DP$14,$DJ$3:$DJ$14)*1000</f>
        <v>4191.2111781679996</v>
      </c>
      <c r="AO70" s="35">
        <f>_xlfn.FORECAST.LINEAR(Sheet3!CJ70,$DP$3:$DP$14,$DJ$3:$DJ$14)*1000</f>
        <v>4190.9094707870918</v>
      </c>
      <c r="AP70" s="35">
        <f>_xlfn.FORECAST.LINEAR(Sheet3!CK70,$DP$3:$DP$14,$DJ$3:$DJ$14)*1000</f>
        <v>4190.6439833140121</v>
      </c>
      <c r="AQ70" s="35">
        <f>_xlfn.FORECAST.LINEAR(Sheet3!CL70,$DP$3:$DP$14,$DJ$3:$DJ$14)*1000</f>
        <v>4190.4029423213769</v>
      </c>
      <c r="AR70" s="35">
        <f>_xlfn.FORECAST.LINEAR(Sheet3!CM70,$DP$3:$DP$14,$DJ$3:$DJ$14)*1000</f>
        <v>4190.1745743818028</v>
      </c>
      <c r="AS70" s="35">
        <f>_xlfn.FORECAST.LINEAR(Sheet3!CN70,$DP$3:$DP$14,$DJ$3:$DJ$14)*1000</f>
        <v>4189.9471060679034</v>
      </c>
      <c r="AT70" s="35">
        <f>_xlfn.FORECAST.LINEAR(Sheet3!CO70,$DP$3:$DP$14,$DJ$3:$DJ$14)*1000</f>
        <v>4189.7087639522961</v>
      </c>
      <c r="AU70" s="35">
        <f>_xlfn.FORECAST.LINEAR(Sheet3!CP70,$DP$3:$DP$14,$DJ$3:$DJ$14)*1000</f>
        <v>4189.4477746075981</v>
      </c>
      <c r="AV70" s="289">
        <f t="shared" si="77"/>
        <v>1.3985521753686097E-7</v>
      </c>
      <c r="AW70" s="35">
        <f t="shared" si="78"/>
        <v>1.4679008920613985E-7</v>
      </c>
      <c r="AX70" s="35">
        <f t="shared" si="79"/>
        <v>1.4578352653035139E-7</v>
      </c>
      <c r="AY70" s="35">
        <f t="shared" si="80"/>
        <v>1.4489990917497035E-7</v>
      </c>
      <c r="AZ70" s="35">
        <f t="shared" si="81"/>
        <v>1.4409935947497677E-7</v>
      </c>
      <c r="BA70" s="35">
        <f t="shared" si="82"/>
        <v>1.4334239002460459E-7</v>
      </c>
      <c r="BB70" s="35">
        <f t="shared" si="83"/>
        <v>1.42589839636685E-7</v>
      </c>
      <c r="BC70" s="35">
        <f t="shared" si="84"/>
        <v>1.4180284868601232E-7</v>
      </c>
      <c r="BD70" s="35">
        <f t="shared" si="85"/>
        <v>1.4094287295150398E-7</v>
      </c>
      <c r="BE70" s="289">
        <f t="shared" si="74"/>
        <v>10.116180857599945</v>
      </c>
      <c r="BF70" s="35">
        <f t="shared" si="86"/>
        <v>5.5329411900814396</v>
      </c>
      <c r="BG70" s="35">
        <f t="shared" si="87"/>
        <v>5.974500352614653</v>
      </c>
      <c r="BH70" s="35">
        <f t="shared" si="88"/>
        <v>6.4111427397025382</v>
      </c>
      <c r="BI70" s="35">
        <f t="shared" si="89"/>
        <v>6.8515745997962219</v>
      </c>
      <c r="BJ70" s="35">
        <f t="shared" si="90"/>
        <v>7.3117816095428605</v>
      </c>
      <c r="BK70" s="35">
        <f t="shared" si="91"/>
        <v>7.8159182334754904</v>
      </c>
      <c r="BL70" s="35">
        <f t="shared" si="92"/>
        <v>8.3979157759009695</v>
      </c>
      <c r="BM70" s="35">
        <f t="shared" si="93"/>
        <v>9.1045667878685741</v>
      </c>
      <c r="BN70" s="289">
        <f t="shared" si="94"/>
        <v>1.5412615810184676E-3</v>
      </c>
      <c r="BO70" s="35">
        <f t="shared" si="95"/>
        <v>1.6176866973737862E-3</v>
      </c>
      <c r="BP70" s="35">
        <f t="shared" si="96"/>
        <v>1.606593965844688E-3</v>
      </c>
      <c r="BQ70" s="35">
        <f t="shared" si="97"/>
        <v>1.5968561419282441E-3</v>
      </c>
      <c r="BR70" s="35">
        <f t="shared" si="98"/>
        <v>1.5880337574793353E-3</v>
      </c>
      <c r="BS70" s="35">
        <f t="shared" si="99"/>
        <v>1.5796916451691115E-3</v>
      </c>
      <c r="BT70" s="35">
        <f t="shared" si="100"/>
        <v>1.5713982327308139E-3</v>
      </c>
      <c r="BU70" s="35">
        <f t="shared" si="101"/>
        <v>1.5627252712336046E-3</v>
      </c>
      <c r="BV70" s="35">
        <f t="shared" si="102"/>
        <v>1.5532479876288194E-3</v>
      </c>
      <c r="BW70" s="289">
        <f t="shared" si="103"/>
        <v>4.9856826672743645E-2</v>
      </c>
      <c r="BX70" s="35">
        <f t="shared" si="104"/>
        <v>4.3397430398863727E-2</v>
      </c>
      <c r="BY70" s="35">
        <f t="shared" si="105"/>
        <v>4.4162467300235743E-2</v>
      </c>
      <c r="BZ70" s="35">
        <f t="shared" si="106"/>
        <v>4.4879882172641078E-2</v>
      </c>
      <c r="CA70" s="35">
        <f t="shared" si="107"/>
        <v>4.5568415587634539E-2</v>
      </c>
      <c r="CB70" s="35">
        <f t="shared" si="108"/>
        <v>4.6254104938150423E-2</v>
      </c>
      <c r="CC70" s="35">
        <f t="shared" si="109"/>
        <v>4.6969719342910186E-2</v>
      </c>
      <c r="CD70" s="35">
        <f t="shared" si="110"/>
        <v>4.7754569655046313E-2</v>
      </c>
      <c r="CE70" s="35">
        <f t="shared" si="111"/>
        <v>4.8654881555477869E-2</v>
      </c>
      <c r="CF70" s="289">
        <f t="shared" si="112"/>
        <v>11.737543994122641</v>
      </c>
      <c r="CG70" s="35">
        <f t="shared" si="113"/>
        <v>38.017465311549692</v>
      </c>
      <c r="CH70" s="35">
        <f t="shared" si="114"/>
        <v>36.126567018386623</v>
      </c>
      <c r="CI70" s="35">
        <f t="shared" si="115"/>
        <v>34.397466149328004</v>
      </c>
      <c r="CJ70" s="35">
        <f t="shared" si="116"/>
        <v>32.777851156519695</v>
      </c>
      <c r="CK70" s="35">
        <f t="shared" si="117"/>
        <v>31.203210825433612</v>
      </c>
      <c r="CL70" s="35">
        <f t="shared" si="118"/>
        <v>29.599789571786516</v>
      </c>
      <c r="CM70" s="35">
        <f t="shared" si="119"/>
        <v>27.886926472722035</v>
      </c>
      <c r="CN70" s="35">
        <f t="shared" si="120"/>
        <v>25.978973863770026</v>
      </c>
      <c r="CO70" s="289">
        <f t="shared" si="121"/>
        <v>492.34838252954631</v>
      </c>
      <c r="CP70" s="35">
        <f t="shared" si="122"/>
        <v>1659.3237416832758</v>
      </c>
      <c r="CQ70" s="35">
        <f t="shared" si="123"/>
        <v>1567.945944423441</v>
      </c>
      <c r="CR70" s="35">
        <f t="shared" si="124"/>
        <v>1485.4881334089821</v>
      </c>
      <c r="CS70" s="35">
        <f t="shared" si="125"/>
        <v>1409.1305887111141</v>
      </c>
      <c r="CT70" s="35">
        <f t="shared" si="126"/>
        <v>1335.6524351999565</v>
      </c>
      <c r="CU70" s="35">
        <f t="shared" si="127"/>
        <v>1261.5530167751965</v>
      </c>
      <c r="CV70" s="35">
        <f t="shared" si="128"/>
        <v>1183.1553071455605</v>
      </c>
      <c r="CW70" s="35">
        <f t="shared" si="129"/>
        <v>1096.7034776003495</v>
      </c>
    </row>
    <row r="71" spans="1:101" x14ac:dyDescent="0.3">
      <c r="A71" s="184" t="str">
        <f>'Su K. oro stendu'!B116</f>
        <v>2023.02.01-1</v>
      </c>
      <c r="B71" s="289">
        <f>Sheet3!DD71</f>
        <v>7</v>
      </c>
      <c r="C71" s="289">
        <f>_xlfn.FORECAST.LINEAR(Sheet3!DD71,$DW$3:$DW$24,$DU$3:$DU$24)</f>
        <v>1002.4393707322159</v>
      </c>
      <c r="D71" s="35">
        <f>_xlfn.FORECAST.LINEAR(Sheet3!CI71,'Cooling water'!$DW$3:$DW$24,'Cooling water'!$DU$3:$DU$24)</f>
        <v>997.28949399655392</v>
      </c>
      <c r="E71" s="35">
        <f>_xlfn.FORECAST.LINEAR(Sheet3!CJ71,'Cooling water'!$DW$3:$DW$24,'Cooling water'!$DU$3:$DU$24)</f>
        <v>997.96296558500796</v>
      </c>
      <c r="F71" s="35">
        <f>_xlfn.FORECAST.LINEAR(Sheet3!CK71,'Cooling water'!$DW$3:$DW$24,'Cooling water'!$DU$3:$DU$24)</f>
        <v>998.60194792460231</v>
      </c>
      <c r="G71" s="35">
        <f>_xlfn.FORECAST.LINEAR(Sheet3!CL71,'Cooling water'!$DW$3:$DW$24,'Cooling water'!$DU$3:$DU$24)</f>
        <v>999.21797479193685</v>
      </c>
      <c r="H71" s="35">
        <f>_xlfn.FORECAST.LINEAR(Sheet3!CM71,'Cooling water'!$DW$3:$DW$24,'Cooling water'!$DU$3:$DU$24)</f>
        <v>999.8225799636117</v>
      </c>
      <c r="I71" s="35">
        <f>_xlfn.FORECAST.LINEAR(Sheet3!CN71,'Cooling water'!$DW$3:$DW$24,'Cooling water'!$DU$3:$DU$24)</f>
        <v>1000.4272972162269</v>
      </c>
      <c r="J71" s="35">
        <f>_xlfn.FORECAST.LINEAR(Sheet3!CO71,'Cooling water'!$DW$3:$DW$24,'Cooling water'!$DU$3:$DU$24)</f>
        <v>1001.0436603263825</v>
      </c>
      <c r="K71" s="35">
        <f>_xlfn.FORECAST.LINEAR(Sheet3!CP71,'Cooling water'!$DW$3:$DW$24,'Cooling water'!$DU$3:$DU$24)</f>
        <v>1001.6832030706784</v>
      </c>
      <c r="L71" s="289">
        <f t="shared" si="130"/>
        <v>1.426347968000119E-3</v>
      </c>
      <c r="M71" s="35">
        <f xml:space="preserve"> 0.0000000000330128*((Sheet3!CI71+273)^(4)) - 0.0000000448315*((Sheet3!CI71+273)^(3)) + 0.0000228887*((Sheet3!CI71+273)^(2)) - 0.00521331*((Sheet3!CI71+273)) + 0.447905</f>
        <v>1.0174518310523961E-3</v>
      </c>
      <c r="N71" s="35">
        <f xml:space="preserve"> 0.0000000000330128*((Sheet3!CJ71+273)^(4)) - 0.0000000448315*((Sheet3!CJ71+273)^(3)) + 0.0000228887*((Sheet3!CJ71+273)^(2)) - 0.00521331*((Sheet3!CJ71+273)) + 0.447905</f>
        <v>1.0605810394703763E-3</v>
      </c>
      <c r="O71" s="35">
        <f xml:space="preserve"> 0.0000000000330128*((Sheet3!CK71+273)^(4)) - 0.0000000448315*((Sheet3!CK71+273)^(3)) + 0.0000228887*((Sheet3!CK71+273)^(2)) - 0.00521331*((Sheet3!CK71+273)) + 0.447905</f>
        <v>1.1040731353120226E-3</v>
      </c>
      <c r="P71" s="35">
        <f xml:space="preserve"> 0.0000000000330128*((Sheet3!CL71+273)^(4)) - 0.0000000448315*((Sheet3!CL71+273)^(3)) + 0.0000228887*((Sheet3!CL71+273)^(2)) - 0.00521331*((Sheet3!CL71+273)) + 0.447905</f>
        <v>1.1485098158026119E-3</v>
      </c>
      <c r="Q71" s="35">
        <f xml:space="preserve"> 0.0000000000330128*((Sheet3!CM71+273)^(4)) - 0.0000000448315*((Sheet3!CM71+273)^(3)) + 0.0000228887*((Sheet3!CM71+273)^(2)) - 0.00521331*((Sheet3!CM71+273)) + 0.447905</f>
        <v>1.1946451441540162E-3</v>
      </c>
      <c r="R71" s="35">
        <f xml:space="preserve"> 0.0000000000330128*((Sheet3!CN71+273)^(4)) - 0.0000000448315*((Sheet3!CN71+273)^(3)) + 0.0000228887*((Sheet3!CN71+273)^(2)) - 0.00521331*((Sheet3!CN71+273)) + 0.447905</f>
        <v>1.2434181753424589E-3</v>
      </c>
      <c r="S71" s="35">
        <f xml:space="preserve"> 0.0000000000330128*((Sheet3!CO71+273)^(4)) - 0.0000000448315*((Sheet3!CO71+273)^(3)) + 0.0000228887*((Sheet3!CO71+273)^(2)) - 0.00521331*((Sheet3!CO71+273)) + 0.447905</f>
        <v>1.2959733901192205E-3</v>
      </c>
      <c r="T71" s="35">
        <f xml:space="preserve"> 0.0000000000330128*((Sheet3!CP71+273)^(4)) - 0.0000000448315*((Sheet3!CP71+273)^(3)) + 0.0000228887*((Sheet3!CP71+273)^(2)) - 0.00521331*((Sheet3!CP71+273)) + 0.447905</f>
        <v>1.3536921650616485E-3</v>
      </c>
      <c r="U71" s="289">
        <f>(Sheet3!DC71*0.014*0.001*C71) / (L71*0.00015*3600*3)</f>
        <v>3571.2723774029873</v>
      </c>
      <c r="V71" s="35">
        <f>(Sheet3!$DC71*0.014*0.001*D71) / (M71*0.00015*3600*3)</f>
        <v>4980.7842894909018</v>
      </c>
      <c r="W71" s="35">
        <f>(Sheet3!$DC71*0.014*0.001*E71) / (N71*0.00015*3600*3)</f>
        <v>4781.4642541195499</v>
      </c>
      <c r="X71" s="35">
        <f>(Sheet3!$DC71*0.014*0.001*F71) / (O71*0.00015*3600*3)</f>
        <v>4596.0517862941479</v>
      </c>
      <c r="Y71" s="35">
        <f>(Sheet3!$DC71*0.014*0.001*G71) / (P71*0.00015*3600*3)</f>
        <v>4420.952755480238</v>
      </c>
      <c r="Z71" s="35">
        <f>(Sheet3!$DC71*0.014*0.001*H71) / (Q71*0.00015*3600*3)</f>
        <v>4252.7941872227884</v>
      </c>
      <c r="AA71" s="35">
        <f>(Sheet3!$DC71*0.014*0.001*I71) / (R71*0.00015*3600*3)</f>
        <v>4088.4497952369884</v>
      </c>
      <c r="AB71" s="35">
        <f>(Sheet3!$DC71*0.014*0.001*J71) / (S71*0.00015*3600*3)</f>
        <v>3925.0688794119483</v>
      </c>
      <c r="AC71" s="35">
        <f>(Sheet3!$DC71*0.014*0.001*K71) / (T71*0.00015*3600*3)</f>
        <v>3760.1123638644249</v>
      </c>
      <c r="AD71" s="289">
        <f t="shared" si="75"/>
        <v>0.58703458498901406</v>
      </c>
      <c r="AE71" s="35">
        <f>_xlfn.FORECAST.LINEAR(Sheet3!CI71,$DA$3:$DA$12,$CZ$3:$CZ$12)/1000</f>
        <v>0.60042980587415495</v>
      </c>
      <c r="AF71" s="35">
        <f>_xlfn.FORECAST.LINEAR(Sheet3!CJ71,$DA$3:$DA$12,$CZ$3:$CZ$12)/1000</f>
        <v>0.59867805507500715</v>
      </c>
      <c r="AG71" s="35">
        <f>_xlfn.FORECAST.LINEAR(Sheet3!CK71,$DA$3:$DA$12,$CZ$3:$CZ$12)/1000</f>
        <v>0.5970160134340301</v>
      </c>
      <c r="AH71" s="35">
        <f>_xlfn.FORECAST.LINEAR(Sheet3!CL71,$DA$3:$DA$12,$CZ$3:$CZ$12)/1000</f>
        <v>0.5954136807214846</v>
      </c>
      <c r="AI71" s="35">
        <f>_xlfn.FORECAST.LINEAR(Sheet3!CM71,$DA$3:$DA$12,$CZ$3:$CZ$12)/1000</f>
        <v>0.59384105670763199</v>
      </c>
      <c r="AJ71" s="35">
        <f>_xlfn.FORECAST.LINEAR(Sheet3!CN71,$DA$3:$DA$12,$CZ$3:$CZ$12)/1000</f>
        <v>0.59226814116273307</v>
      </c>
      <c r="AK71" s="35">
        <f>_xlfn.FORECAST.LINEAR(Sheet3!CO71,$DA$3:$DA$12,$CZ$3:$CZ$12)/1000</f>
        <v>0.59066493385704899</v>
      </c>
      <c r="AL71" s="35">
        <f>_xlfn.FORECAST.LINEAR(Sheet3!CP71,$DA$3:$DA$12,$CZ$3:$CZ$12)/1000</f>
        <v>0.58900143456084075</v>
      </c>
      <c r="AM71" s="289">
        <f t="shared" si="76"/>
        <v>4189.0978806279718</v>
      </c>
      <c r="AN71" s="35">
        <f>_xlfn.FORECAST.LINEAR(Sheet3!CI71,$DP$3:$DP$14,$DJ$3:$DJ$14)*1000</f>
        <v>4190.2766785478489</v>
      </c>
      <c r="AO71" s="35">
        <f>_xlfn.FORECAST.LINEAR(Sheet3!CJ71,$DP$3:$DP$14,$DJ$3:$DJ$14)*1000</f>
        <v>4190.1225220605556</v>
      </c>
      <c r="AP71" s="35">
        <f>_xlfn.FORECAST.LINEAR(Sheet3!CK71,$DP$3:$DP$14,$DJ$3:$DJ$14)*1000</f>
        <v>4189.9762601029561</v>
      </c>
      <c r="AQ71" s="35">
        <f>_xlfn.FORECAST.LINEAR(Sheet3!CL71,$DP$3:$DP$14,$DJ$3:$DJ$14)*1000</f>
        <v>4189.8352526134413</v>
      </c>
      <c r="AR71" s="35">
        <f>_xlfn.FORECAST.LINEAR(Sheet3!CM71,$DP$3:$DP$14,$DJ$3:$DJ$14)*1000</f>
        <v>4189.6968595304033</v>
      </c>
      <c r="AS71" s="35">
        <f>_xlfn.FORECAST.LINEAR(Sheet3!CN71,$DP$3:$DP$14,$DJ$3:$DJ$14)*1000</f>
        <v>4189.5584407922306</v>
      </c>
      <c r="AT71" s="35">
        <f>_xlfn.FORECAST.LINEAR(Sheet3!CO71,$DP$3:$DP$14,$DJ$3:$DJ$14)*1000</f>
        <v>4189.4173563373133</v>
      </c>
      <c r="AU71" s="35">
        <f>_xlfn.FORECAST.LINEAR(Sheet3!CP71,$DP$3:$DP$14,$DJ$3:$DJ$14)*1000</f>
        <v>4189.2709661040426</v>
      </c>
      <c r="AV71" s="289">
        <f t="shared" si="77"/>
        <v>1.3979288413811676E-7</v>
      </c>
      <c r="AW71" s="35">
        <f t="shared" si="78"/>
        <v>1.4368065497978447E-7</v>
      </c>
      <c r="AX71" s="35">
        <f t="shared" si="79"/>
        <v>1.4317005505427532E-7</v>
      </c>
      <c r="AY71" s="35">
        <f t="shared" si="80"/>
        <v>1.4268621212356168E-7</v>
      </c>
      <c r="AZ71" s="35">
        <f t="shared" si="81"/>
        <v>1.422203112343295E-7</v>
      </c>
      <c r="BA71" s="35">
        <f t="shared" si="82"/>
        <v>1.4176358209654859E-7</v>
      </c>
      <c r="BB71" s="35">
        <f t="shared" si="83"/>
        <v>1.4130729600579587E-7</v>
      </c>
      <c r="BC71" s="35">
        <f t="shared" si="84"/>
        <v>1.4084276471146895E-7</v>
      </c>
      <c r="BD71" s="35">
        <f t="shared" si="85"/>
        <v>1.4036134120562632E-7</v>
      </c>
      <c r="BE71" s="289">
        <f t="shared" si="74"/>
        <v>10.178465464516256</v>
      </c>
      <c r="BF71" s="35">
        <f t="shared" si="86"/>
        <v>7.1005880079481525</v>
      </c>
      <c r="BG71" s="35">
        <f t="shared" si="87"/>
        <v>7.4229620783384878</v>
      </c>
      <c r="BH71" s="35">
        <f t="shared" si="88"/>
        <v>7.7486032573328743</v>
      </c>
      <c r="BI71" s="35">
        <f t="shared" si="89"/>
        <v>8.081888391263357</v>
      </c>
      <c r="BJ71" s="35">
        <f t="shared" si="90"/>
        <v>8.4285196386809567</v>
      </c>
      <c r="BK71" s="35">
        <f t="shared" si="91"/>
        <v>8.7956328390608665</v>
      </c>
      <c r="BL71" s="35">
        <f t="shared" si="92"/>
        <v>9.1919684117066129</v>
      </c>
      <c r="BM71" s="35">
        <f t="shared" si="93"/>
        <v>9.6281315314003741</v>
      </c>
      <c r="BN71" s="289">
        <f t="shared" si="94"/>
        <v>1.1790112052465073E-3</v>
      </c>
      <c r="BO71" s="35">
        <f t="shared" si="95"/>
        <v>1.2118006094713181E-3</v>
      </c>
      <c r="BP71" s="35">
        <f t="shared" si="96"/>
        <v>1.2074942169300602E-3</v>
      </c>
      <c r="BQ71" s="35">
        <f t="shared" si="97"/>
        <v>1.2034134925040082E-3</v>
      </c>
      <c r="BR71" s="35">
        <f t="shared" si="98"/>
        <v>1.1994840910017376E-3</v>
      </c>
      <c r="BS71" s="35">
        <f t="shared" si="99"/>
        <v>1.1956320439213282E-3</v>
      </c>
      <c r="BT71" s="35">
        <f t="shared" si="100"/>
        <v>1.1917837334932807E-3</v>
      </c>
      <c r="BU71" s="35">
        <f t="shared" si="101"/>
        <v>1.187865883135046E-3</v>
      </c>
      <c r="BV71" s="35">
        <f t="shared" si="102"/>
        <v>1.1838055641040955E-3</v>
      </c>
      <c r="BW71" s="289">
        <f t="shared" si="103"/>
        <v>4.669834165547844E-2</v>
      </c>
      <c r="BX71" s="35">
        <f t="shared" si="104"/>
        <v>4.2971723096263834E-2</v>
      </c>
      <c r="BY71" s="35">
        <f t="shared" si="105"/>
        <v>4.341271764000617E-2</v>
      </c>
      <c r="BZ71" s="35">
        <f t="shared" si="106"/>
        <v>4.3844081213680268E-2</v>
      </c>
      <c r="CA71" s="35">
        <f t="shared" si="107"/>
        <v>4.427190740268247E-2</v>
      </c>
      <c r="CB71" s="35">
        <f t="shared" si="108"/>
        <v>4.4703199798041826E-2</v>
      </c>
      <c r="CC71" s="35">
        <f t="shared" si="109"/>
        <v>4.5145818850526154E-2</v>
      </c>
      <c r="CD71" s="35">
        <f t="shared" si="110"/>
        <v>4.5608457170693249E-2</v>
      </c>
      <c r="CE71" s="35">
        <f t="shared" si="111"/>
        <v>4.6100644406176026E-2</v>
      </c>
      <c r="CF71" s="289">
        <f t="shared" si="112"/>
        <v>33.306096795101858</v>
      </c>
      <c r="CG71" s="35">
        <f t="shared" si="113"/>
        <v>43.283385208955139</v>
      </c>
      <c r="CH71" s="35">
        <f t="shared" si="114"/>
        <v>42.026203734521872</v>
      </c>
      <c r="CI71" s="35">
        <f t="shared" si="115"/>
        <v>40.817025534141784</v>
      </c>
      <c r="CJ71" s="35">
        <f t="shared" si="116"/>
        <v>39.637578306668566</v>
      </c>
      <c r="CK71" s="35">
        <f t="shared" si="117"/>
        <v>38.468254703105799</v>
      </c>
      <c r="CL71" s="35">
        <f t="shared" si="118"/>
        <v>37.288422563642925</v>
      </c>
      <c r="CM71" s="35">
        <f t="shared" si="119"/>
        <v>36.076686497462383</v>
      </c>
      <c r="CN71" s="35">
        <f t="shared" si="120"/>
        <v>34.811122275274577</v>
      </c>
      <c r="CO71" s="289">
        <f t="shared" si="121"/>
        <v>1396.559336408325</v>
      </c>
      <c r="CP71" s="35">
        <f t="shared" si="122"/>
        <v>1856.3310413278002</v>
      </c>
      <c r="CQ71" s="35">
        <f t="shared" si="123"/>
        <v>1797.1547081406827</v>
      </c>
      <c r="CR71" s="35">
        <f t="shared" si="124"/>
        <v>1740.6012760448814</v>
      </c>
      <c r="CS71" s="35">
        <f t="shared" si="125"/>
        <v>1685.7683138899715</v>
      </c>
      <c r="CT71" s="35">
        <f t="shared" si="126"/>
        <v>1631.7163587564773</v>
      </c>
      <c r="CU71" s="35">
        <f t="shared" si="127"/>
        <v>1577.4817656185221</v>
      </c>
      <c r="CV71" s="35">
        <f t="shared" si="128"/>
        <v>1522.0881174146507</v>
      </c>
      <c r="CW71" s="35">
        <f t="shared" si="129"/>
        <v>1464.5572113435403</v>
      </c>
    </row>
    <row r="72" spans="1:101" x14ac:dyDescent="0.3">
      <c r="A72" s="184" t="str">
        <f>'Su K. oro stendu'!B117</f>
        <v>2023.02.01-2</v>
      </c>
      <c r="B72" s="289">
        <f>Sheet3!DD72</f>
        <v>7.1</v>
      </c>
      <c r="C72" s="289">
        <f>_xlfn.FORECAST.LINEAR(Sheet3!DD72,$DW$3:$DW$24,$DU$3:$DU$24)</f>
        <v>1002.3978858358753</v>
      </c>
      <c r="D72" s="35">
        <f>_xlfn.FORECAST.LINEAR(Sheet3!CI72,'Cooling water'!$DW$3:$DW$24,'Cooling water'!$DU$3:$DU$24)</f>
        <v>996.51369477580386</v>
      </c>
      <c r="E72" s="35">
        <f>_xlfn.FORECAST.LINEAR(Sheet3!CJ72,'Cooling water'!$DW$3:$DW$24,'Cooling water'!$DU$3:$DU$24)</f>
        <v>997.30349007582504</v>
      </c>
      <c r="F72" s="35">
        <f>_xlfn.FORECAST.LINEAR(Sheet3!CK72,'Cooling water'!$DW$3:$DW$24,'Cooling water'!$DU$3:$DU$24)</f>
        <v>998.03106138440819</v>
      </c>
      <c r="G72" s="35">
        <f>_xlfn.FORECAST.LINEAR(Sheet3!CL72,'Cooling water'!$DW$3:$DW$24,'Cooling water'!$DU$3:$DU$24)</f>
        <v>998.7189163459019</v>
      </c>
      <c r="H72" s="35">
        <f>_xlfn.FORECAST.LINEAR(Sheet3!CM72,'Cooling water'!$DW$3:$DW$24,'Cooling water'!$DU$3:$DU$24)</f>
        <v>999.3895626046542</v>
      </c>
      <c r="I72" s="35">
        <f>_xlfn.FORECAST.LINEAR(Sheet3!CN72,'Cooling water'!$DW$3:$DW$24,'Cooling water'!$DU$3:$DU$24)</f>
        <v>1000.0655078050133</v>
      </c>
      <c r="J72" s="35">
        <f>_xlfn.FORECAST.LINEAR(Sheet3!CO72,'Cooling water'!$DW$3:$DW$24,'Cooling water'!$DU$3:$DU$24)</f>
        <v>1000.7692595913276</v>
      </c>
      <c r="K72" s="35">
        <f>_xlfn.FORECAST.LINEAR(Sheet3!CP72,'Cooling water'!$DW$3:$DW$24,'Cooling water'!$DU$3:$DU$24)</f>
        <v>1001.5233256079451</v>
      </c>
      <c r="L72" s="289">
        <f t="shared" si="130"/>
        <v>1.422233668997519E-3</v>
      </c>
      <c r="M72" s="35">
        <f xml:space="preserve"> 0.0000000000330128*((Sheet3!CI72+273)^(4)) - 0.0000000448315*((Sheet3!CI72+273)^(3)) + 0.0000228887*((Sheet3!CI72+273)^(2)) - 0.00521331*((Sheet3!CI72+273)) + 0.447905</f>
        <v>9.7100957558904355E-4</v>
      </c>
      <c r="N72" s="35">
        <f xml:space="preserve"> 0.0000000000330128*((Sheet3!CJ72+273)^(4)) - 0.0000000448315*((Sheet3!CJ72+273)^(3)) + 0.0000228887*((Sheet3!CJ72+273)^(2)) - 0.00521331*((Sheet3!CJ72+273)) + 0.447905</f>
        <v>1.018320909266679E-3</v>
      </c>
      <c r="O72" s="35">
        <f xml:space="preserve"> 0.0000000000330128*((Sheet3!CK72+273)^(4)) - 0.0000000448315*((Sheet3!CK72+273)^(3)) + 0.0000228887*((Sheet3!CK72+273)^(2)) - 0.00521331*((Sheet3!CK72+273)) + 0.447905</f>
        <v>1.0650941505310207E-3</v>
      </c>
      <c r="P72" s="35">
        <f xml:space="preserve"> 0.0000000000330128*((Sheet3!CL72+273)^(4)) - 0.0000000448315*((Sheet3!CL72+273)^(3)) + 0.0000228887*((Sheet3!CL72+273)^(2)) - 0.00521331*((Sheet3!CL72+273)) + 0.447905</f>
        <v>1.1123171740010651E-3</v>
      </c>
      <c r="Q72" s="35">
        <f xml:space="preserve"> 0.0000000000330128*((Sheet3!CM72+273)^(4)) - 0.0000000448315*((Sheet3!CM72+273)^(3)) + 0.0000228887*((Sheet3!CM72+273)^(2)) - 0.00521331*((Sheet3!CM72+273)) + 0.447905</f>
        <v>1.1613435127901806E-3</v>
      </c>
      <c r="R72" s="35">
        <f xml:space="preserve"> 0.0000000000330128*((Sheet3!CN72+273)^(4)) - 0.0000000448315*((Sheet3!CN72+273)^(3)) + 0.0000228887*((Sheet3!CN72+273)^(2)) - 0.00521331*((Sheet3!CN72+273)) + 0.447905</f>
        <v>1.2139149882048894E-3</v>
      </c>
      <c r="S72" s="35">
        <f xml:space="preserve"> 0.0000000000330128*((Sheet3!CO72+273)^(4)) - 0.0000000448315*((Sheet3!CO72+273)^(3)) + 0.0000228887*((Sheet3!CO72+273)^(2)) - 0.00521331*((Sheet3!CO72+273)) + 0.447905</f>
        <v>1.2722127050708298E-3</v>
      </c>
      <c r="T72" s="35">
        <f xml:space="preserve"> 0.0000000000330128*((Sheet3!CP72+273)^(4)) - 0.0000000448315*((Sheet3!CP72+273)^(3)) + 0.0000228887*((Sheet3!CP72+273)^(2)) - 0.00521331*((Sheet3!CP72+273)) + 0.447905</f>
        <v>1.3389501435461248E-3</v>
      </c>
      <c r="U72" s="289">
        <f>(Sheet3!DC72*0.014*0.001*C72) / (L72*0.00015*3600*3)</f>
        <v>4038.2735640140081</v>
      </c>
      <c r="V72" s="35">
        <f>(Sheet3!$DC72*0.014*0.001*D72) / (M72*0.00015*3600*3)</f>
        <v>5880.1216130700832</v>
      </c>
      <c r="W72" s="35">
        <f>(Sheet3!$DC72*0.014*0.001*E72) / (N72*0.00015*3600*3)</f>
        <v>5611.374149811405</v>
      </c>
      <c r="X72" s="35">
        <f>(Sheet3!$DC72*0.014*0.001*F72) / (O72*0.00015*3600*3)</f>
        <v>5368.8665342381546</v>
      </c>
      <c r="Y72" s="35">
        <f>(Sheet3!$DC72*0.014*0.001*G72) / (P72*0.00015*3600*3)</f>
        <v>5144.4764393807654</v>
      </c>
      <c r="Z72" s="35">
        <f>(Sheet3!$DC72*0.014*0.001*H72) / (Q72*0.00015*3600*3)</f>
        <v>4930.6100963055542</v>
      </c>
      <c r="AA72" s="35">
        <f>(Sheet3!$DC72*0.014*0.001*I72) / (R72*0.00015*3600*3)</f>
        <v>4720.2687344388178</v>
      </c>
      <c r="AB72" s="35">
        <f>(Sheet3!$DC72*0.014*0.001*J72) / (S72*0.00015*3600*3)</f>
        <v>4507.1371943717049</v>
      </c>
      <c r="AC72" s="35">
        <f>(Sheet3!$DC72*0.014*0.001*K72) / (T72*0.00015*3600*3)</f>
        <v>4285.7142581655871</v>
      </c>
      <c r="AD72" s="289">
        <f t="shared" si="75"/>
        <v>0.58714249035809463</v>
      </c>
      <c r="AE72" s="35">
        <f>_xlfn.FORECAST.LINEAR(Sheet3!CI72,$DA$3:$DA$12,$CZ$3:$CZ$12)/1000</f>
        <v>0.60244771862389213</v>
      </c>
      <c r="AF72" s="35">
        <f>_xlfn.FORECAST.LINEAR(Sheet3!CJ72,$DA$3:$DA$12,$CZ$3:$CZ$12)/1000</f>
        <v>0.60039340100798344</v>
      </c>
      <c r="AG72" s="35">
        <f>_xlfn.FORECAST.LINEAR(Sheet3!CK72,$DA$3:$DA$12,$CZ$3:$CZ$12)/1000</f>
        <v>0.59850093272409732</v>
      </c>
      <c r="AH72" s="35">
        <f>_xlfn.FORECAST.LINEAR(Sheet3!CL72,$DA$3:$DA$12,$CZ$3:$CZ$12)/1000</f>
        <v>0.59671176967824369</v>
      </c>
      <c r="AI72" s="35">
        <f>_xlfn.FORECAST.LINEAR(Sheet3!CM72,$DA$3:$DA$12,$CZ$3:$CZ$12)/1000</f>
        <v>0.594967367776433</v>
      </c>
      <c r="AJ72" s="35">
        <f>_xlfn.FORECAST.LINEAR(Sheet3!CN72,$DA$3:$DA$12,$CZ$3:$CZ$12)/1000</f>
        <v>0.59320918292467506</v>
      </c>
      <c r="AK72" s="35">
        <f>_xlfn.FORECAST.LINEAR(Sheet3!CO72,$DA$3:$DA$12,$CZ$3:$CZ$12)/1000</f>
        <v>0.59137867102898023</v>
      </c>
      <c r="AL72" s="35">
        <f>_xlfn.FORECAST.LINEAR(Sheet3!CP72,$DA$3:$DA$12,$CZ$3:$CZ$12)/1000</f>
        <v>0.58941728799535842</v>
      </c>
      <c r="AM72" s="289">
        <f t="shared" si="76"/>
        <v>4189.1073764493331</v>
      </c>
      <c r="AN72" s="35">
        <f>_xlfn.FORECAST.LINEAR(Sheet3!CI72,$DP$3:$DP$14,$DJ$3:$DJ$14)*1000</f>
        <v>4190.4542576540307</v>
      </c>
      <c r="AO72" s="35">
        <f>_xlfn.FORECAST.LINEAR(Sheet3!CJ72,$DP$3:$DP$14,$DJ$3:$DJ$14)*1000</f>
        <v>4190.2734748693965</v>
      </c>
      <c r="AP72" s="35">
        <f>_xlfn.FORECAST.LINEAR(Sheet3!CK72,$DP$3:$DP$14,$DJ$3:$DJ$14)*1000</f>
        <v>4190.1069350492917</v>
      </c>
      <c r="AQ72" s="35">
        <f>_xlfn.FORECAST.LINEAR(Sheet3!CL72,$DP$3:$DP$14,$DJ$3:$DJ$14)*1000</f>
        <v>4189.9494862326683</v>
      </c>
      <c r="AR72" s="35">
        <f>_xlfn.FORECAST.LINEAR(Sheet3!CM72,$DP$3:$DP$14,$DJ$3:$DJ$14)*1000</f>
        <v>4189.7959764584793</v>
      </c>
      <c r="AS72" s="35">
        <f>_xlfn.FORECAST.LINEAR(Sheet3!CN72,$DP$3:$DP$14,$DJ$3:$DJ$14)*1000</f>
        <v>4189.6412537656788</v>
      </c>
      <c r="AT72" s="35">
        <f>_xlfn.FORECAST.LINEAR(Sheet3!CO72,$DP$3:$DP$14,$DJ$3:$DJ$14)*1000</f>
        <v>4189.4801661932188</v>
      </c>
      <c r="AU72" s="35">
        <f>_xlfn.FORECAST.LINEAR(Sheet3!CP72,$DP$3:$DP$14,$DJ$3:$DJ$14)*1000</f>
        <v>4189.3075617800523</v>
      </c>
      <c r="AV72" s="289">
        <f t="shared" si="77"/>
        <v>1.3982404960516562E-7</v>
      </c>
      <c r="AW72" s="35">
        <f t="shared" si="78"/>
        <v>1.4426965337002906E-7</v>
      </c>
      <c r="AX72" s="35">
        <f t="shared" si="79"/>
        <v>1.4367003699073014E-7</v>
      </c>
      <c r="AY72" s="35">
        <f t="shared" si="80"/>
        <v>1.4311846413829882E-7</v>
      </c>
      <c r="AZ72" s="35">
        <f t="shared" si="81"/>
        <v>1.4259770670281271E-7</v>
      </c>
      <c r="BA72" s="35">
        <f t="shared" si="82"/>
        <v>1.4209063717950534E-7</v>
      </c>
      <c r="BB72" s="35">
        <f t="shared" si="83"/>
        <v>1.4158021885656625E-7</v>
      </c>
      <c r="BC72" s="35">
        <f t="shared" si="84"/>
        <v>1.4104950341286883E-7</v>
      </c>
      <c r="BD72" s="35">
        <f t="shared" si="85"/>
        <v>1.4048163581751867E-7</v>
      </c>
      <c r="BE72" s="289">
        <f t="shared" si="74"/>
        <v>10.147263486583002</v>
      </c>
      <c r="BF72" s="35">
        <f t="shared" si="86"/>
        <v>6.754065264856945</v>
      </c>
      <c r="BG72" s="35">
        <f t="shared" si="87"/>
        <v>7.1070786051965804</v>
      </c>
      <c r="BH72" s="35">
        <f t="shared" si="88"/>
        <v>7.4567275380969127</v>
      </c>
      <c r="BI72" s="35">
        <f t="shared" si="89"/>
        <v>7.8103918986658831</v>
      </c>
      <c r="BJ72" s="35">
        <f t="shared" si="90"/>
        <v>8.1782508431669854</v>
      </c>
      <c r="BK72" s="35">
        <f t="shared" si="91"/>
        <v>8.5734821030130277</v>
      </c>
      <c r="BL72" s="35">
        <f t="shared" si="92"/>
        <v>9.0126853675655738</v>
      </c>
      <c r="BM72" s="35">
        <f t="shared" si="93"/>
        <v>9.5166430904694455</v>
      </c>
      <c r="BN72" s="289">
        <f t="shared" si="94"/>
        <v>1.0458720120065021E-3</v>
      </c>
      <c r="BO72" s="35">
        <f t="shared" si="95"/>
        <v>1.0791247504822563E-3</v>
      </c>
      <c r="BP72" s="35">
        <f t="shared" si="96"/>
        <v>1.0746396709067447E-3</v>
      </c>
      <c r="BQ72" s="35">
        <f t="shared" si="97"/>
        <v>1.0705139528305663E-3</v>
      </c>
      <c r="BR72" s="35">
        <f t="shared" si="98"/>
        <v>1.0666187314551507E-3</v>
      </c>
      <c r="BS72" s="35">
        <f t="shared" si="99"/>
        <v>1.0628258944999475E-3</v>
      </c>
      <c r="BT72" s="35">
        <f t="shared" si="100"/>
        <v>1.0590080088080031E-3</v>
      </c>
      <c r="BU72" s="35">
        <f t="shared" si="101"/>
        <v>1.0550383023771699E-3</v>
      </c>
      <c r="BV72" s="35">
        <f t="shared" si="102"/>
        <v>1.0507907010083117E-3</v>
      </c>
      <c r="BW72" s="289">
        <f t="shared" si="103"/>
        <v>4.5285406231397679E-2</v>
      </c>
      <c r="BX72" s="35">
        <f t="shared" si="104"/>
        <v>4.1224996252391753E-2</v>
      </c>
      <c r="BY72" s="35">
        <f t="shared" si="105"/>
        <v>4.1709971694387893E-2</v>
      </c>
      <c r="BZ72" s="35">
        <f t="shared" si="106"/>
        <v>4.2173199461986451E-2</v>
      </c>
      <c r="CA72" s="35">
        <f t="shared" si="107"/>
        <v>4.2625737513507345E-2</v>
      </c>
      <c r="CB72" s="35">
        <f t="shared" si="108"/>
        <v>4.3080629112738605E-2</v>
      </c>
      <c r="CC72" s="35">
        <f t="shared" si="109"/>
        <v>4.3552743822619457E-2</v>
      </c>
      <c r="CD72" s="35">
        <f t="shared" si="110"/>
        <v>4.4058733351815746E-2</v>
      </c>
      <c r="CE72" s="35">
        <f t="shared" si="111"/>
        <v>4.4617106176210349E-2</v>
      </c>
      <c r="CF72" s="289">
        <f t="shared" si="112"/>
        <v>38.584643388242291</v>
      </c>
      <c r="CG72" s="35">
        <f t="shared" si="113"/>
        <v>50.765056335088744</v>
      </c>
      <c r="CH72" s="35">
        <f t="shared" si="114"/>
        <v>49.203429062785666</v>
      </c>
      <c r="CI72" s="35">
        <f t="shared" si="115"/>
        <v>47.739693892990275</v>
      </c>
      <c r="CJ72" s="35">
        <f t="shared" si="116"/>
        <v>46.335776567143746</v>
      </c>
      <c r="CK72" s="35">
        <f t="shared" si="117"/>
        <v>44.950175017647169</v>
      </c>
      <c r="CL72" s="35">
        <f t="shared" si="118"/>
        <v>43.538865101031256</v>
      </c>
      <c r="CM72" s="35">
        <f t="shared" si="119"/>
        <v>42.056002083378601</v>
      </c>
      <c r="CN72" s="35">
        <f t="shared" si="120"/>
        <v>40.454531741704123</v>
      </c>
      <c r="CO72" s="289">
        <f t="shared" si="121"/>
        <v>1618.191686325112</v>
      </c>
      <c r="CP72" s="35">
        <f t="shared" si="122"/>
        <v>2184.5208839205411</v>
      </c>
      <c r="CQ72" s="35">
        <f t="shared" si="123"/>
        <v>2110.1010083043529</v>
      </c>
      <c r="CR72" s="35">
        <f t="shared" si="124"/>
        <v>2040.8750944941123</v>
      </c>
      <c r="CS72" s="35">
        <f t="shared" si="125"/>
        <v>1974.9359453425743</v>
      </c>
      <c r="CT72" s="35">
        <f t="shared" si="126"/>
        <v>1910.2776650956794</v>
      </c>
      <c r="CU72" s="35">
        <f t="shared" si="127"/>
        <v>1844.8324708607429</v>
      </c>
      <c r="CV72" s="35">
        <f t="shared" si="128"/>
        <v>1776.5016157757473</v>
      </c>
      <c r="CW72" s="35">
        <f t="shared" si="129"/>
        <v>1703.1857418798133</v>
      </c>
    </row>
    <row r="73" spans="1:101" x14ac:dyDescent="0.3">
      <c r="A73" s="184" t="str">
        <f>'Su K. oro stendu'!B118</f>
        <v>2023.02.02-1</v>
      </c>
      <c r="B73" s="289">
        <f>Sheet3!DD73</f>
        <v>6.8</v>
      </c>
      <c r="C73" s="289">
        <f>_xlfn.FORECAST.LINEAR(Sheet3!DD73,$DW$3:$DW$24,$DU$3:$DU$24)</f>
        <v>1002.5223405248973</v>
      </c>
      <c r="D73" s="35">
        <f>_xlfn.FORECAST.LINEAR(Sheet3!CI73,'Cooling water'!$DW$3:$DW$24,'Cooling water'!$DU$3:$DU$24)</f>
        <v>995.5127872251901</v>
      </c>
      <c r="E73" s="35">
        <f>_xlfn.FORECAST.LINEAR(Sheet3!CJ73,'Cooling water'!$DW$3:$DW$24,'Cooling water'!$DU$3:$DU$24)</f>
        <v>996.4533071132297</v>
      </c>
      <c r="F73" s="35">
        <f>_xlfn.FORECAST.LINEAR(Sheet3!CK73,'Cooling water'!$DW$3:$DW$24,'Cooling water'!$DU$3:$DU$24)</f>
        <v>997.31719976101328</v>
      </c>
      <c r="G73" s="35">
        <f>_xlfn.FORECAST.LINEAR(Sheet3!CL73,'Cooling water'!$DW$3:$DW$24,'Cooling water'!$DU$3:$DU$24)</f>
        <v>998.13132540312938</v>
      </c>
      <c r="H73" s="35">
        <f>_xlfn.FORECAST.LINEAR(Sheet3!CM73,'Cooling water'!$DW$3:$DW$24,'Cooling water'!$DU$3:$DU$24)</f>
        <v>998.92254427416663</v>
      </c>
      <c r="I73" s="35">
        <f>_xlfn.FORECAST.LINEAR(Sheet3!CN73,'Cooling water'!$DW$3:$DW$24,'Cooling water'!$DU$3:$DU$24)</f>
        <v>999.71771660871366</v>
      </c>
      <c r="J73" s="35">
        <f>_xlfn.FORECAST.LINEAR(Sheet3!CO73,'Cooling water'!$DW$3:$DW$24,'Cooling water'!$DU$3:$DU$24)</f>
        <v>1000.5437026413591</v>
      </c>
      <c r="K73" s="35">
        <f>_xlfn.FORECAST.LINEAR(Sheet3!CP73,'Cooling water'!$DW$3:$DW$24,'Cooling water'!$DU$3:$DU$24)</f>
        <v>1001.4273626066913</v>
      </c>
      <c r="L73" s="289">
        <f t="shared" si="130"/>
        <v>1.4346221808749782E-3</v>
      </c>
      <c r="M73" s="35">
        <f xml:space="preserve"> 0.0000000000330128*((Sheet3!CI73+273)^(4)) - 0.0000000448315*((Sheet3!CI73+273)^(3)) + 0.0000228887*((Sheet3!CI73+273)^(2)) - 0.00521331*((Sheet3!CI73+273)) + 0.447905</f>
        <v>9.1584573789460499E-4</v>
      </c>
      <c r="N73" s="35">
        <f xml:space="preserve"> 0.0000000000330128*((Sheet3!CJ73+273)^(4)) - 0.0000000448315*((Sheet3!CJ73+273)^(3)) + 0.0000228887*((Sheet3!CJ73+273)^(2)) - 0.00521331*((Sheet3!CJ73+273)) + 0.447905</f>
        <v>9.6753349687883627E-4</v>
      </c>
      <c r="O73" s="35">
        <f xml:space="preserve"> 0.0000000000330128*((Sheet3!CK73+273)^(4)) - 0.0000000448315*((Sheet3!CK73+273)^(3)) + 0.0000228887*((Sheet3!CK73+273)^(2)) - 0.00521331*((Sheet3!CK73+273)) + 0.447905</f>
        <v>1.019173303130172E-3</v>
      </c>
      <c r="P73" s="35">
        <f xml:space="preserve"> 0.0000000000330128*((Sheet3!CL73+273)^(4)) - 0.0000000448315*((Sheet3!CL73+273)^(3)) + 0.0000228887*((Sheet3!CL73+273)^(2)) - 0.00521331*((Sheet3!CL73+273)) + 0.447905</f>
        <v>1.0717914063946843E-3</v>
      </c>
      <c r="Q73" s="35">
        <f xml:space="preserve"> 0.0000000000330128*((Sheet3!CM73+273)^(4)) - 0.0000000448315*((Sheet3!CM73+273)^(3)) + 0.0000228887*((Sheet3!CM73+273)^(2)) - 0.00521331*((Sheet3!CM73+273)) + 0.447905</f>
        <v>1.126883523825617E-3</v>
      </c>
      <c r="R73" s="35">
        <f xml:space="preserve"> 0.0000000000330128*((Sheet3!CN73+273)^(4)) - 0.0000000448315*((Sheet3!CN73+273)^(3)) + 0.0000228887*((Sheet3!CN73+273)^(2)) - 0.00521331*((Sheet3!CN73+273)) + 0.447905</f>
        <v>1.1864586344343397E-3</v>
      </c>
      <c r="S73" s="35">
        <f xml:space="preserve"> 0.0000000000330128*((Sheet3!CO73+273)^(4)) - 0.0000000448315*((Sheet3!CO73+273)^(3)) + 0.0000228887*((Sheet3!CO73+273)^(2)) - 0.00521331*((Sheet3!CO73+273)) + 0.447905</f>
        <v>1.253119597584007E-3</v>
      </c>
      <c r="T73" s="35">
        <f xml:space="preserve"> 0.0000000000330128*((Sheet3!CP73+273)^(4)) - 0.0000000448315*((Sheet3!CP73+273)^(3)) + 0.0000228887*((Sheet3!CP73+273)^(2)) - 0.00521331*((Sheet3!CP73+273)) + 0.447905</f>
        <v>1.3302027847028608E-3</v>
      </c>
      <c r="U73" s="289">
        <f>(Sheet3!DC73*0.014*0.001*C73) / (L73*0.00015*3600*3)</f>
        <v>4529.2970313065698</v>
      </c>
      <c r="V73" s="35">
        <f>(Sheet3!$DC73*0.014*0.001*D73) / (M73*0.00015*3600*3)</f>
        <v>7045.2887729883432</v>
      </c>
      <c r="W73" s="35">
        <f>(Sheet3!$DC73*0.014*0.001*E73) / (N73*0.00015*3600*3)</f>
        <v>6675.2145306077946</v>
      </c>
      <c r="X73" s="35">
        <f>(Sheet3!$DC73*0.014*0.001*F73) / (O73*0.00015*3600*3)</f>
        <v>6342.4865443010549</v>
      </c>
      <c r="Y73" s="35">
        <f>(Sheet3!$DC73*0.014*0.001*G73) / (P73*0.00015*3600*3)</f>
        <v>6036.0343095572671</v>
      </c>
      <c r="Z73" s="35">
        <f>(Sheet3!$DC73*0.014*0.001*H73) / (Q73*0.00015*3600*3)</f>
        <v>5745.4899599271212</v>
      </c>
      <c r="AA73" s="35">
        <f>(Sheet3!$DC73*0.014*0.001*I73) / (R73*0.00015*3600*3)</f>
        <v>5461.3382033311191</v>
      </c>
      <c r="AB73" s="35">
        <f>(Sheet3!$DC73*0.014*0.001*J73) / (S73*0.00015*3600*3)</f>
        <v>5175.0890278835814</v>
      </c>
      <c r="AC73" s="35">
        <f>(Sheet3!$DC73*0.014*0.001*K73) / (T73*0.00015*3600*3)</f>
        <v>4879.5063282279953</v>
      </c>
      <c r="AD73" s="289">
        <f t="shared" si="75"/>
        <v>0.58681877425085327</v>
      </c>
      <c r="AE73" s="35">
        <f>_xlfn.FORECAST.LINEAR(Sheet3!CI73,$DA$3:$DA$12,$CZ$3:$CZ$12)/1000</f>
        <v>0.60505115525242981</v>
      </c>
      <c r="AF73" s="35">
        <f>_xlfn.FORECAST.LINEAR(Sheet3!CJ73,$DA$3:$DA$12,$CZ$3:$CZ$12)/1000</f>
        <v>0.60260479152494184</v>
      </c>
      <c r="AG73" s="35">
        <f>_xlfn.FORECAST.LINEAR(Sheet3!CK73,$DA$3:$DA$12,$CZ$3:$CZ$12)/1000</f>
        <v>0.60035774107459305</v>
      </c>
      <c r="AH73" s="35">
        <f>_xlfn.FORECAST.LINEAR(Sheet3!CL73,$DA$3:$DA$12,$CZ$3:$CZ$12)/1000</f>
        <v>0.5982401383892928</v>
      </c>
      <c r="AI73" s="35">
        <f>_xlfn.FORECAST.LINEAR(Sheet3!CM73,$DA$3:$DA$12,$CZ$3:$CZ$12)/1000</f>
        <v>0.59618211795695075</v>
      </c>
      <c r="AJ73" s="35">
        <f>_xlfn.FORECAST.LINEAR(Sheet3!CN73,$DA$3:$DA$12,$CZ$3:$CZ$12)/1000</f>
        <v>0.59411381426547571</v>
      </c>
      <c r="AK73" s="35">
        <f>_xlfn.FORECAST.LINEAR(Sheet3!CO73,$DA$3:$DA$12,$CZ$3:$CZ$12)/1000</f>
        <v>0.59196536180277748</v>
      </c>
      <c r="AL73" s="35">
        <f>_xlfn.FORECAST.LINEAR(Sheet3!CP73,$DA$3:$DA$12,$CZ$3:$CZ$12)/1000</f>
        <v>0.58966689505676517</v>
      </c>
      <c r="AM73" s="289">
        <f t="shared" si="76"/>
        <v>4189.0788889852502</v>
      </c>
      <c r="AN73" s="35">
        <f>_xlfn.FORECAST.LINEAR(Sheet3!CI73,$DP$3:$DP$14,$DJ$3:$DJ$14)*1000</f>
        <v>4190.6833636694191</v>
      </c>
      <c r="AO73" s="35">
        <f>_xlfn.FORECAST.LINEAR(Sheet3!CJ73,$DP$3:$DP$14,$DJ$3:$DJ$14)*1000</f>
        <v>4190.468080286043</v>
      </c>
      <c r="AP73" s="35">
        <f>_xlfn.FORECAST.LINEAR(Sheet3!CK73,$DP$3:$DP$14,$DJ$3:$DJ$14)*1000</f>
        <v>4190.2703367460572</v>
      </c>
      <c r="AQ73" s="35">
        <f>_xlfn.FORECAST.LINEAR(Sheet3!CL73,$DP$3:$DP$14,$DJ$3:$DJ$14)*1000</f>
        <v>4190.0839847879988</v>
      </c>
      <c r="AR73" s="35">
        <f>_xlfn.FORECAST.LINEAR(Sheet3!CM73,$DP$3:$DP$14,$DJ$3:$DJ$14)*1000</f>
        <v>4189.9028761504096</v>
      </c>
      <c r="AS73" s="35">
        <f>_xlfn.FORECAST.LINEAR(Sheet3!CN73,$DP$3:$DP$14,$DJ$3:$DJ$14)*1000</f>
        <v>4189.7208625718295</v>
      </c>
      <c r="AT73" s="35">
        <f>_xlfn.FORECAST.LINEAR(Sheet3!CO73,$DP$3:$DP$14,$DJ$3:$DJ$14)*1000</f>
        <v>4189.5317957907964</v>
      </c>
      <c r="AU73" s="35">
        <f>_xlfn.FORECAST.LINEAR(Sheet3!CP73,$DP$3:$DP$14,$DJ$3:$DJ$14)*1000</f>
        <v>4189.3295275458495</v>
      </c>
      <c r="AV73" s="289">
        <f t="shared" si="77"/>
        <v>1.3973056059673195E-7</v>
      </c>
      <c r="AW73" s="35">
        <f t="shared" si="78"/>
        <v>1.4503085378872941E-7</v>
      </c>
      <c r="AX73" s="35">
        <f t="shared" si="79"/>
        <v>1.4431553736488162E-7</v>
      </c>
      <c r="AY73" s="35">
        <f t="shared" si="80"/>
        <v>1.4365963654793734E-7</v>
      </c>
      <c r="AZ73" s="35">
        <f t="shared" si="81"/>
        <v>1.4304251409929058E-7</v>
      </c>
      <c r="BA73" s="35">
        <f t="shared" si="82"/>
        <v>1.4244367669036366E-7</v>
      </c>
      <c r="BB73" s="35">
        <f t="shared" si="83"/>
        <v>1.4184275983428217E-7</v>
      </c>
      <c r="BC73" s="35">
        <f t="shared" si="84"/>
        <v>1.412195234235241E-7</v>
      </c>
      <c r="BD73" s="35">
        <f t="shared" si="85"/>
        <v>1.4055385769070003E-7</v>
      </c>
      <c r="BE73" s="289">
        <f t="shared" si="74"/>
        <v>10.241229073227137</v>
      </c>
      <c r="BF73" s="35">
        <f t="shared" si="86"/>
        <v>6.3432975280928554</v>
      </c>
      <c r="BG73" s="35">
        <f t="shared" si="87"/>
        <v>6.7281546584092942</v>
      </c>
      <c r="BH73" s="35">
        <f t="shared" si="88"/>
        <v>7.113444814529748</v>
      </c>
      <c r="BI73" s="35">
        <f t="shared" si="89"/>
        <v>7.5068450255763546</v>
      </c>
      <c r="BJ73" s="35">
        <f t="shared" si="90"/>
        <v>7.9196144522811647</v>
      </c>
      <c r="BK73" s="35">
        <f t="shared" si="91"/>
        <v>8.3669666887207086</v>
      </c>
      <c r="BL73" s="35">
        <f t="shared" si="92"/>
        <v>8.8687358024098035</v>
      </c>
      <c r="BM73" s="35">
        <f t="shared" si="93"/>
        <v>9.4505183355137277</v>
      </c>
      <c r="BN73" s="289">
        <f t="shared" si="94"/>
        <v>9.2393268639471692E-4</v>
      </c>
      <c r="BO73" s="35">
        <f t="shared" si="95"/>
        <v>9.5897952301119012E-4</v>
      </c>
      <c r="BP73" s="35">
        <f t="shared" si="96"/>
        <v>9.542496756371762E-4</v>
      </c>
      <c r="BQ73" s="35">
        <f t="shared" si="97"/>
        <v>9.4991269880676931E-4</v>
      </c>
      <c r="BR73" s="35">
        <f t="shared" si="98"/>
        <v>9.4583213404428833E-4</v>
      </c>
      <c r="BS73" s="35">
        <f t="shared" si="99"/>
        <v>9.4187247444240459E-4</v>
      </c>
      <c r="BT73" s="35">
        <f t="shared" si="100"/>
        <v>9.3789906502668192E-4</v>
      </c>
      <c r="BU73" s="35">
        <f t="shared" si="101"/>
        <v>9.3377807324942466E-4</v>
      </c>
      <c r="BV73" s="35">
        <f t="shared" si="102"/>
        <v>9.2937652840381245E-4</v>
      </c>
      <c r="BW73" s="289">
        <f t="shared" si="103"/>
        <v>4.4004744247205213E-2</v>
      </c>
      <c r="BX73" s="35">
        <f t="shared" si="104"/>
        <v>3.9403291562706964E-2</v>
      </c>
      <c r="BY73" s="35">
        <f t="shared" si="105"/>
        <v>3.9938421394828956E-2</v>
      </c>
      <c r="BZ73" s="35">
        <f t="shared" si="106"/>
        <v>4.0452215601786488E-2</v>
      </c>
      <c r="CA73" s="35">
        <f t="shared" si="107"/>
        <v>4.0956164340938878E-2</v>
      </c>
      <c r="CB73" s="35">
        <f t="shared" si="108"/>
        <v>4.1464404675614665E-2</v>
      </c>
      <c r="CC73" s="35">
        <f t="shared" si="109"/>
        <v>4.1993534905332766E-2</v>
      </c>
      <c r="CD73" s="35">
        <f t="shared" si="110"/>
        <v>4.2562560398903736E-2</v>
      </c>
      <c r="CE73" s="35">
        <f t="shared" si="111"/>
        <v>4.3192986194606993E-2</v>
      </c>
      <c r="CF73" s="289">
        <f t="shared" si="112"/>
        <v>44.180477739898173</v>
      </c>
      <c r="CG73" s="35">
        <f t="shared" si="113"/>
        <v>59.71527099525683</v>
      </c>
      <c r="CH73" s="35">
        <f t="shared" si="114"/>
        <v>57.752585233286887</v>
      </c>
      <c r="CI73" s="35">
        <f t="shared" si="115"/>
        <v>55.907693485294644</v>
      </c>
      <c r="CJ73" s="35">
        <f t="shared" si="116"/>
        <v>54.135644765087015</v>
      </c>
      <c r="CK73" s="35">
        <f t="shared" si="117"/>
        <v>52.385786603121474</v>
      </c>
      <c r="CL73" s="35">
        <f t="shared" si="118"/>
        <v>50.603275220884314</v>
      </c>
      <c r="CM73" s="35">
        <f t="shared" si="119"/>
        <v>48.730309975288435</v>
      </c>
      <c r="CN73" s="35">
        <f t="shared" si="120"/>
        <v>46.707257061476241</v>
      </c>
      <c r="CO73" s="289">
        <f t="shared" si="121"/>
        <v>1851.852413796011</v>
      </c>
      <c r="CP73" s="35">
        <f t="shared" si="122"/>
        <v>2580.7709787065755</v>
      </c>
      <c r="CQ73" s="35">
        <f t="shared" si="123"/>
        <v>2485.856041752234</v>
      </c>
      <c r="CR73" s="35">
        <f t="shared" si="124"/>
        <v>2397.472612108731</v>
      </c>
      <c r="CS73" s="35">
        <f t="shared" si="125"/>
        <v>2313.2939725756605</v>
      </c>
      <c r="CT73" s="35">
        <f t="shared" si="126"/>
        <v>2230.8192291349869</v>
      </c>
      <c r="CU73" s="35">
        <f t="shared" si="127"/>
        <v>2147.4360611289435</v>
      </c>
      <c r="CV73" s="35">
        <f t="shared" si="128"/>
        <v>2060.4753982345082</v>
      </c>
      <c r="CW73" s="35">
        <f t="shared" si="129"/>
        <v>1967.2659462899189</v>
      </c>
    </row>
    <row r="74" spans="1:101" x14ac:dyDescent="0.3">
      <c r="A74" s="184" t="str">
        <f>'Su K. oro stendu'!B119</f>
        <v>2023.02.02-2</v>
      </c>
      <c r="B74" s="289">
        <f>Sheet3!DD74</f>
        <v>7.3</v>
      </c>
      <c r="C74" s="289">
        <f>_xlfn.FORECAST.LINEAR(Sheet3!DD74,$DW$3:$DW$24,$DU$3:$DU$24)</f>
        <v>1002.314916043194</v>
      </c>
      <c r="D74" s="35">
        <f>_xlfn.FORECAST.LINEAR(Sheet3!CI74,'Cooling water'!$DW$3:$DW$24,'Cooling water'!$DU$3:$DU$24)</f>
        <v>996.91887969718005</v>
      </c>
      <c r="E74" s="35">
        <f>_xlfn.FORECAST.LINEAR(Sheet3!CJ74,'Cooling water'!$DW$3:$DW$24,'Cooling water'!$DU$3:$DU$24)</f>
        <v>997.68906663887265</v>
      </c>
      <c r="F74" s="35">
        <f>_xlfn.FORECAST.LINEAR(Sheet3!CK74,'Cooling water'!$DW$3:$DW$24,'Cooling water'!$DU$3:$DU$24)</f>
        <v>998.36781955268032</v>
      </c>
      <c r="G74" s="35">
        <f>_xlfn.FORECAST.LINEAR(Sheet3!CL74,'Cooling water'!$DW$3:$DW$24,'Cooling water'!$DU$3:$DU$24)</f>
        <v>998.98537470641088</v>
      </c>
      <c r="H74" s="35">
        <f>_xlfn.FORECAST.LINEAR(Sheet3!CM74,'Cooling water'!$DW$3:$DW$24,'Cooling water'!$DU$3:$DU$24)</f>
        <v>999.57196836787239</v>
      </c>
      <c r="I74" s="35">
        <f>_xlfn.FORECAST.LINEAR(Sheet3!CN74,'Cooling water'!$DW$3:$DW$24,'Cooling water'!$DU$3:$DU$24)</f>
        <v>1000.1578368048728</v>
      </c>
      <c r="J74" s="35">
        <f>_xlfn.FORECAST.LINEAR(Sheet3!CO74,'Cooling water'!$DW$3:$DW$24,'Cooling water'!$DU$3:$DU$24)</f>
        <v>1000.77321628522</v>
      </c>
      <c r="K74" s="35">
        <f>_xlfn.FORECAST.LINEAR(Sheet3!CP74,'Cooling water'!$DW$3:$DW$24,'Cooling water'!$DU$3:$DU$24)</f>
        <v>1001.4483430767219</v>
      </c>
      <c r="L74" s="289">
        <f t="shared" si="130"/>
        <v>1.4140504503450391E-3</v>
      </c>
      <c r="M74" s="35">
        <f xml:space="preserve"> 0.0000000000330128*((Sheet3!CI74+273)^(4)) - 0.0000000448315*((Sheet3!CI74+273)^(3)) + 0.0000228887*((Sheet3!CI74+273)^(2)) - 0.00521331*((Sheet3!CI74+273)) + 0.447905</f>
        <v>9.9484630083868097E-4</v>
      </c>
      <c r="N74" s="35">
        <f xml:space="preserve"> 0.0000000000330128*((Sheet3!CJ74+273)^(4)) - 0.0000000448315*((Sheet3!CJ74+273)^(3)) + 0.0000228887*((Sheet3!CJ74+273)^(2)) - 0.00521331*((Sheet3!CJ74+273)) + 0.447905</f>
        <v>1.0427138882547204E-3</v>
      </c>
      <c r="O74" s="35">
        <f xml:space="preserve"> 0.0000000000330128*((Sheet3!CK74+273)^(4)) - 0.0000000448315*((Sheet3!CK74+273)^(3)) + 0.0000228887*((Sheet3!CK74+273)^(2)) - 0.00521331*((Sheet3!CK74+273)) + 0.447905</f>
        <v>1.0878373671254771E-3</v>
      </c>
      <c r="P74" s="35">
        <f xml:space="preserve"> 0.0000000000330128*((Sheet3!CL74+273)^(4)) - 0.0000000448315*((Sheet3!CL74+273)^(3)) + 0.0000228887*((Sheet3!CL74+273)^(2)) - 0.00521331*((Sheet3!CL74+273)) + 0.447905</f>
        <v>1.1314336489767207E-3</v>
      </c>
      <c r="Q74" s="35">
        <f xml:space="preserve"> 0.0000000000330128*((Sheet3!CM74+273)^(4)) - 0.0000000448315*((Sheet3!CM74+273)^(3)) + 0.0000228887*((Sheet3!CM74+273)^(2)) - 0.00521331*((Sheet3!CM74+273)) + 0.447905</f>
        <v>1.1752103385860302E-3</v>
      </c>
      <c r="R74" s="35">
        <f xml:space="preserve"> 0.0000000000330128*((Sheet3!CN74+273)^(4)) - 0.0000000448315*((Sheet3!CN74+273)^(3)) + 0.0000228887*((Sheet3!CN74+273)^(2)) - 0.00521331*((Sheet3!CN74+273)) + 0.447905</f>
        <v>1.2213518730370687E-3</v>
      </c>
      <c r="S74" s="35">
        <f xml:space="preserve"> 0.0000000000330128*((Sheet3!CO74+273)^(4)) - 0.0000000448315*((Sheet3!CO74+273)^(3)) + 0.0000228887*((Sheet3!CO74+273)^(2)) - 0.00521331*((Sheet3!CO74+273)) + 0.447905</f>
        <v>1.2725511371982634E-3</v>
      </c>
      <c r="T74" s="35">
        <f xml:space="preserve"> 0.0000000000330128*((Sheet3!CP74+273)^(4)) - 0.0000000448315*((Sheet3!CP74+273)^(3)) + 0.0000228887*((Sheet3!CP74+273)^(2)) - 0.00521331*((Sheet3!CP74+273)) + 0.447905</f>
        <v>1.3321087801283493E-3</v>
      </c>
      <c r="U74" s="289">
        <f>(Sheet3!DC74*0.014*0.001*C74) / (L74*0.00015*3600*3)</f>
        <v>9188.4777737052264</v>
      </c>
      <c r="V74" s="35">
        <f>(Sheet3!$DC74*0.014*0.001*D74) / (M74*0.00015*3600*3)</f>
        <v>12989.968906451817</v>
      </c>
      <c r="W74" s="35">
        <f>(Sheet3!$DC74*0.014*0.001*E74) / (N74*0.00015*3600*3)</f>
        <v>12403.216802875691</v>
      </c>
      <c r="X74" s="35">
        <f>(Sheet3!$DC74*0.014*0.001*F74) / (O74*0.00015*3600*3)</f>
        <v>11896.819744731853</v>
      </c>
      <c r="Y74" s="35">
        <f>(Sheet3!$DC74*0.014*0.001*G74) / (P74*0.00015*3600*3)</f>
        <v>11445.488142033617</v>
      </c>
      <c r="Z74" s="35">
        <f>(Sheet3!$DC74*0.014*0.001*H74) / (Q74*0.00015*3600*3)</f>
        <v>11025.613015248489</v>
      </c>
      <c r="AA74" s="35">
        <f>(Sheet3!$DC74*0.014*0.001*I74) / (R74*0.00015*3600*3)</f>
        <v>10615.293824685714</v>
      </c>
      <c r="AB74" s="35">
        <f>(Sheet3!$DC74*0.014*0.001*J74) / (S74*0.00015*3600*3)</f>
        <v>10194.471371573212</v>
      </c>
      <c r="AC74" s="35">
        <f>(Sheet3!$DC74*0.014*0.001*K74) / (T74*0.00015*3600*3)</f>
        <v>9745.2535215430216</v>
      </c>
      <c r="AD74" s="289">
        <f t="shared" si="75"/>
        <v>0.58735830109625553</v>
      </c>
      <c r="AE74" s="35">
        <f>_xlfn.FORECAST.LINEAR(Sheet3!CI74,$DA$3:$DA$12,$CZ$3:$CZ$12)/1000</f>
        <v>0.60139380184107327</v>
      </c>
      <c r="AF74" s="35">
        <f>_xlfn.FORECAST.LINEAR(Sheet3!CJ74,$DA$3:$DA$12,$CZ$3:$CZ$12)/1000</f>
        <v>0.59939048705581244</v>
      </c>
      <c r="AG74" s="35">
        <f>_xlfn.FORECAST.LINEAR(Sheet3!CK74,$DA$3:$DA$12,$CZ$3:$CZ$12)/1000</f>
        <v>0.59762499912793143</v>
      </c>
      <c r="AH74" s="35">
        <f>_xlfn.FORECAST.LINEAR(Sheet3!CL74,$DA$3:$DA$12,$CZ$3:$CZ$12)/1000</f>
        <v>0.59601869122628914</v>
      </c>
      <c r="AI74" s="35">
        <f>_xlfn.FORECAST.LINEAR(Sheet3!CM74,$DA$3:$DA$12,$CZ$3:$CZ$12)/1000</f>
        <v>0.59449291651974356</v>
      </c>
      <c r="AJ74" s="35">
        <f>_xlfn.FORECAST.LINEAR(Sheet3!CN74,$DA$3:$DA$12,$CZ$3:$CZ$12)/1000</f>
        <v>0.59296902817715313</v>
      </c>
      <c r="AK74" s="35">
        <f>_xlfn.FORECAST.LINEAR(Sheet3!CO74,$DA$3:$DA$12,$CZ$3:$CZ$12)/1000</f>
        <v>0.59136837936737652</v>
      </c>
      <c r="AL74" s="35">
        <f>_xlfn.FORECAST.LINEAR(Sheet3!CP74,$DA$3:$DA$12,$CZ$3:$CZ$12)/1000</f>
        <v>0.58961232325927204</v>
      </c>
      <c r="AM74" s="289">
        <f t="shared" si="76"/>
        <v>4189.1263680920547</v>
      </c>
      <c r="AN74" s="35">
        <f>_xlfn.FORECAST.LINEAR(Sheet3!CI74,$DP$3:$DP$14,$DJ$3:$DJ$14)*1000</f>
        <v>4190.3615115230068</v>
      </c>
      <c r="AO74" s="35">
        <f>_xlfn.FORECAST.LINEAR(Sheet3!CJ74,$DP$3:$DP$14,$DJ$3:$DJ$14)*1000</f>
        <v>4190.1852170578395</v>
      </c>
      <c r="AP74" s="35">
        <f>_xlfn.FORECAST.LINEAR(Sheet3!CK74,$DP$3:$DP$14,$DJ$3:$DJ$14)*1000</f>
        <v>4190.029851684264</v>
      </c>
      <c r="AQ74" s="35">
        <f>_xlfn.FORECAST.LINEAR(Sheet3!CL74,$DP$3:$DP$14,$DJ$3:$DJ$14)*1000</f>
        <v>4189.8884943726243</v>
      </c>
      <c r="AR74" s="35">
        <f>_xlfn.FORECAST.LINEAR(Sheet3!CM74,$DP$3:$DP$14,$DJ$3:$DJ$14)*1000</f>
        <v>4189.7542240932689</v>
      </c>
      <c r="AS74" s="35">
        <f>_xlfn.FORECAST.LINEAR(Sheet3!CN74,$DP$3:$DP$14,$DJ$3:$DJ$14)*1000</f>
        <v>4189.6201198165445</v>
      </c>
      <c r="AT74" s="35">
        <f>_xlfn.FORECAST.LINEAR(Sheet3!CO74,$DP$3:$DP$14,$DJ$3:$DJ$14)*1000</f>
        <v>4189.4792605127977</v>
      </c>
      <c r="AU74" s="35">
        <f>_xlfn.FORECAST.LINEAR(Sheet3!CP74,$DP$3:$DP$14,$DJ$3:$DJ$14)*1000</f>
        <v>4189.3247251523753</v>
      </c>
      <c r="AV74" s="289">
        <f t="shared" si="77"/>
        <v>1.3988638793350981E-7</v>
      </c>
      <c r="AW74" s="35">
        <f t="shared" si="78"/>
        <v>1.4396192158918882E-7</v>
      </c>
      <c r="AX74" s="35">
        <f t="shared" si="79"/>
        <v>1.4337763507210694E-7</v>
      </c>
      <c r="AY74" s="35">
        <f t="shared" si="80"/>
        <v>1.4286342743102498E-7</v>
      </c>
      <c r="AZ74" s="35">
        <f t="shared" si="81"/>
        <v>1.4239616206265106E-7</v>
      </c>
      <c r="BA74" s="35">
        <f t="shared" si="82"/>
        <v>1.4195283433030757E-7</v>
      </c>
      <c r="BB74" s="35">
        <f t="shared" si="83"/>
        <v>1.4151055075520837E-7</v>
      </c>
      <c r="BC74" s="35">
        <f t="shared" si="84"/>
        <v>1.4104652159512444E-7</v>
      </c>
      <c r="BD74" s="35">
        <f t="shared" si="85"/>
        <v>1.405380666334356E-7</v>
      </c>
      <c r="BE74" s="289">
        <f t="shared" si="74"/>
        <v>10.085217177141914</v>
      </c>
      <c r="BF74" s="35">
        <f t="shared" si="86"/>
        <v>6.9318400624572813</v>
      </c>
      <c r="BG74" s="35">
        <f t="shared" si="87"/>
        <v>7.2893454509881019</v>
      </c>
      <c r="BH74" s="35">
        <f t="shared" si="88"/>
        <v>7.6269751912731358</v>
      </c>
      <c r="BI74" s="35">
        <f t="shared" si="89"/>
        <v>7.9537452394991259</v>
      </c>
      <c r="BJ74" s="35">
        <f t="shared" si="90"/>
        <v>8.2824241357052006</v>
      </c>
      <c r="BK74" s="35">
        <f t="shared" si="91"/>
        <v>8.6294564091853214</v>
      </c>
      <c r="BL74" s="35">
        <f t="shared" si="92"/>
        <v>9.0152378504534703</v>
      </c>
      <c r="BM74" s="35">
        <f t="shared" si="93"/>
        <v>9.464924712454275</v>
      </c>
      <c r="BN74" s="289">
        <f t="shared" si="94"/>
        <v>4.6248152745364456E-4</v>
      </c>
      <c r="BO74" s="35">
        <f t="shared" si="95"/>
        <v>4.7595574076425681E-4</v>
      </c>
      <c r="BP74" s="35">
        <f t="shared" si="96"/>
        <v>4.7402401799349637E-4</v>
      </c>
      <c r="BQ74" s="35">
        <f t="shared" si="97"/>
        <v>4.7232398456787837E-4</v>
      </c>
      <c r="BR74" s="35">
        <f t="shared" si="98"/>
        <v>4.7077914804386666E-4</v>
      </c>
      <c r="BS74" s="35">
        <f t="shared" si="99"/>
        <v>4.693134522757106E-4</v>
      </c>
      <c r="BT74" s="35">
        <f t="shared" si="100"/>
        <v>4.6785120861926008E-4</v>
      </c>
      <c r="BU74" s="35">
        <f t="shared" si="101"/>
        <v>4.6631707139612567E-4</v>
      </c>
      <c r="BV74" s="35">
        <f t="shared" si="102"/>
        <v>4.6463605703299122E-4</v>
      </c>
      <c r="BW74" s="289">
        <f t="shared" si="103"/>
        <v>3.6871967271057571E-2</v>
      </c>
      <c r="BX74" s="35">
        <f t="shared" si="104"/>
        <v>3.3814671600584281E-2</v>
      </c>
      <c r="BY74" s="35">
        <f t="shared" si="105"/>
        <v>3.4207679784041503E-2</v>
      </c>
      <c r="BZ74" s="35">
        <f t="shared" si="106"/>
        <v>3.456602833011304E-2</v>
      </c>
      <c r="CA74" s="35">
        <f t="shared" si="107"/>
        <v>3.4901864005587951E-2</v>
      </c>
      <c r="CB74" s="35">
        <f t="shared" si="108"/>
        <v>3.5229502933391943E-2</v>
      </c>
      <c r="CC74" s="35">
        <f t="shared" si="109"/>
        <v>3.5565113334235857E-2</v>
      </c>
      <c r="CD74" s="35">
        <f t="shared" si="110"/>
        <v>3.5926592191232891E-2</v>
      </c>
      <c r="CE74" s="35">
        <f t="shared" si="111"/>
        <v>3.6333640641360181E-2</v>
      </c>
      <c r="CF74" s="289">
        <f t="shared" si="112"/>
        <v>91.441490150165322</v>
      </c>
      <c r="CG74" s="35">
        <f t="shared" si="113"/>
        <v>110.6086895189203</v>
      </c>
      <c r="CH74" s="35">
        <f t="shared" si="114"/>
        <v>107.97873285608068</v>
      </c>
      <c r="CI74" s="35">
        <f t="shared" si="115"/>
        <v>105.6235097943038</v>
      </c>
      <c r="CJ74" s="35">
        <f t="shared" si="116"/>
        <v>103.45344519456039</v>
      </c>
      <c r="CK74" s="35">
        <f t="shared" si="117"/>
        <v>101.37102056295225</v>
      </c>
      <c r="CL74" s="35">
        <f t="shared" si="118"/>
        <v>99.273326031199716</v>
      </c>
      <c r="CM74" s="35">
        <f t="shared" si="119"/>
        <v>97.053778250140411</v>
      </c>
      <c r="CN74" s="35">
        <f t="shared" si="120"/>
        <v>94.603437946081556</v>
      </c>
      <c r="CO74" s="289">
        <f t="shared" si="121"/>
        <v>3836.3513074507923</v>
      </c>
      <c r="CP74" s="35">
        <f t="shared" si="122"/>
        <v>4751.3843076030253</v>
      </c>
      <c r="CQ74" s="35">
        <f t="shared" si="123"/>
        <v>4622.9589484482613</v>
      </c>
      <c r="CR74" s="35">
        <f t="shared" si="124"/>
        <v>4508.8035677649905</v>
      </c>
      <c r="CS74" s="35">
        <f t="shared" si="125"/>
        <v>4404.2990719794652</v>
      </c>
      <c r="CT74" s="35">
        <f t="shared" si="126"/>
        <v>4304.5966903608842</v>
      </c>
      <c r="CU74" s="35">
        <f t="shared" si="127"/>
        <v>4204.7148329024412</v>
      </c>
      <c r="CV74" s="35">
        <f t="shared" si="128"/>
        <v>4099.6096825190198</v>
      </c>
      <c r="CW74" s="35">
        <f t="shared" si="129"/>
        <v>3984.2394882645372</v>
      </c>
    </row>
    <row r="75" spans="1:101" x14ac:dyDescent="0.3">
      <c r="A75" s="184">
        <f>'Su K. oro stendu'!B120</f>
        <v>44960</v>
      </c>
      <c r="B75" s="289">
        <f>Sheet3!DD75</f>
        <v>6.9</v>
      </c>
      <c r="C75" s="289">
        <f>_xlfn.FORECAST.LINEAR(Sheet3!DD75,$DW$3:$DW$24,$DU$3:$DU$24)</f>
        <v>1002.4808556285566</v>
      </c>
      <c r="D75" s="35">
        <f>_xlfn.FORECAST.LINEAR(Sheet3!CI75,'Cooling water'!$DW$3:$DW$24,'Cooling water'!$DU$3:$DU$24)</f>
        <v>997.80362764104996</v>
      </c>
      <c r="E75" s="35">
        <f>_xlfn.FORECAST.LINEAR(Sheet3!CJ75,'Cooling water'!$DW$3:$DW$24,'Cooling water'!$DU$3:$DU$24)</f>
        <v>998.44439683849737</v>
      </c>
      <c r="F75" s="35">
        <f>_xlfn.FORECAST.LINEAR(Sheet3!CK75,'Cooling water'!$DW$3:$DW$24,'Cooling water'!$DU$3:$DU$24)</f>
        <v>999.02118176622946</v>
      </c>
      <c r="G75" s="35">
        <f>_xlfn.FORECAST.LINEAR(Sheet3!CL75,'Cooling water'!$DW$3:$DW$24,'Cooling water'!$DU$3:$DU$24)</f>
        <v>999.55497583621207</v>
      </c>
      <c r="H75" s="35">
        <f>_xlfn.FORECAST.LINEAR(Sheet3!CM75,'Cooling water'!$DW$3:$DW$24,'Cooling water'!$DU$3:$DU$24)</f>
        <v>1000.066772460411</v>
      </c>
      <c r="I75" s="35">
        <f>_xlfn.FORECAST.LINEAR(Sheet3!CN75,'Cooling water'!$DW$3:$DW$24,'Cooling water'!$DU$3:$DU$24)</f>
        <v>1000.577565050792</v>
      </c>
      <c r="J75" s="35">
        <f>_xlfn.FORECAST.LINEAR(Sheet3!CO75,'Cooling water'!$DW$3:$DW$24,'Cooling water'!$DU$3:$DU$24)</f>
        <v>1001.1083470193211</v>
      </c>
      <c r="K75" s="35">
        <f>_xlfn.FORECAST.LINEAR(Sheet3!CP75,'Cooling water'!$DW$3:$DW$24,'Cooling water'!$DU$3:$DU$24)</f>
        <v>1001.6801117779639</v>
      </c>
      <c r="L75" s="289">
        <f t="shared" si="130"/>
        <v>1.4304774562317046E-3</v>
      </c>
      <c r="M75" s="35">
        <f xml:space="preserve"> 0.0000000000330128*((Sheet3!CI75+273)^(4)) - 0.0000000448315*((Sheet3!CI75+273)^(3)) + 0.0000228887*((Sheet3!CI75+273)^(2)) - 0.00521331*((Sheet3!CI75+273)) + 0.447905</f>
        <v>1.0501316927657989E-3</v>
      </c>
      <c r="N75" s="35">
        <f xml:space="preserve"> 0.0000000000330128*((Sheet3!CJ75+273)^(4)) - 0.0000000448315*((Sheet3!CJ75+273)^(3)) + 0.0000228887*((Sheet3!CJ75+273)^(2)) - 0.00521331*((Sheet3!CJ75+273)) + 0.447905</f>
        <v>1.0931089574079955E-3</v>
      </c>
      <c r="O75" s="35">
        <f xml:space="preserve"> 0.0000000000330128*((Sheet3!CK75+273)^(4)) - 0.0000000448315*((Sheet3!CK75+273)^(3)) + 0.0000228887*((Sheet3!CK75+273)^(2)) - 0.00521331*((Sheet3!CK75+273)) + 0.447905</f>
        <v>1.1340385962401722E-3</v>
      </c>
      <c r="P75" s="35">
        <f xml:space="preserve"> 0.0000000000330128*((Sheet3!CL75+273)^(4)) - 0.0000000448315*((Sheet3!CL75+273)^(3)) + 0.0000228887*((Sheet3!CL75+273)^(2)) - 0.00521331*((Sheet3!CL75+273)) + 0.447905</f>
        <v>1.1739086916913166E-3</v>
      </c>
      <c r="Q75" s="35">
        <f xml:space="preserve"> 0.0000000000330128*((Sheet3!CM75+273)^(4)) - 0.0000000448315*((Sheet3!CM75+273)^(3)) + 0.0000228887*((Sheet3!CM75+273)^(2)) - 0.00521331*((Sheet3!CM75+273)) + 0.447905</f>
        <v>1.2140164298699574E-3</v>
      </c>
      <c r="R75" s="35">
        <f xml:space="preserve"> 0.0000000000330128*((Sheet3!CN75+273)^(4)) - 0.0000000448315*((Sheet3!CN75+273)^(3)) + 0.0000228887*((Sheet3!CN75+273)^(2)) - 0.00521331*((Sheet3!CN75+273)) + 0.447905</f>
        <v>1.255961097078151E-3</v>
      </c>
      <c r="S75" s="35">
        <f xml:space="preserve"> 0.0000000000330128*((Sheet3!CO75+273)^(4)) - 0.0000000448315*((Sheet3!CO75+273)^(3)) + 0.0000228887*((Sheet3!CO75+273)^(2)) - 0.00521331*((Sheet3!CO75+273)) + 0.447905</f>
        <v>1.301661184665015E-3</v>
      </c>
      <c r="T75" s="35">
        <f xml:space="preserve"> 0.0000000000330128*((Sheet3!CP75+273)^(4)) - 0.0000000448315*((Sheet3!CP75+273)^(3)) + 0.0000228887*((Sheet3!CP75+273)^(2)) - 0.00521331*((Sheet3!CP75+273)) + 0.447905</f>
        <v>1.3534051111032674E-3</v>
      </c>
      <c r="U75" s="289">
        <f>(Sheet3!DC75*0.014*0.001*C75) / (L75*0.00015*3600*3)</f>
        <v>7267.5718983088891</v>
      </c>
      <c r="V75" s="35">
        <f>(Sheet3!$DC75*0.014*0.001*D75) / (M75*0.00015*3600*3)</f>
        <v>9853.6147864309278</v>
      </c>
      <c r="W75" s="35">
        <f>(Sheet3!$DC75*0.014*0.001*E75) / (N75*0.00015*3600*3)</f>
        <v>9472.2837273133991</v>
      </c>
      <c r="X75" s="35">
        <f>(Sheet3!$DC75*0.014*0.001*F75) / (O75*0.00015*3600*3)</f>
        <v>9135.685237794818</v>
      </c>
      <c r="Y75" s="35">
        <f>(Sheet3!$DC75*0.014*0.001*G75) / (P75*0.00015*3600*3)</f>
        <v>8830.1205863239647</v>
      </c>
      <c r="Z75" s="35">
        <f>(Sheet3!$DC75*0.014*0.001*H75) / (Q75*0.00015*3600*3)</f>
        <v>8542.7697437556908</v>
      </c>
      <c r="AA75" s="35">
        <f>(Sheet3!$DC75*0.014*0.001*I75) / (R75*0.00015*3600*3)</f>
        <v>8261.6889631370541</v>
      </c>
      <c r="AB75" s="35">
        <f>(Sheet3!$DC75*0.014*0.001*J75) / (S75*0.00015*3600*3)</f>
        <v>7975.8576669330605</v>
      </c>
      <c r="AC75" s="35">
        <f>(Sheet3!$DC75*0.014*0.001*K75) / (T75*0.00015*3600*3)</f>
        <v>7675.3025879321303</v>
      </c>
      <c r="AD75" s="289">
        <f t="shared" si="75"/>
        <v>0.58692667961993372</v>
      </c>
      <c r="AE75" s="35">
        <f>_xlfn.FORECAST.LINEAR(Sheet3!CI75,$DA$3:$DA$12,$CZ$3:$CZ$12)/1000</f>
        <v>0.5990925051801762</v>
      </c>
      <c r="AF75" s="35">
        <f>_xlfn.FORECAST.LINEAR(Sheet3!CJ75,$DA$3:$DA$12,$CZ$3:$CZ$12)/1000</f>
        <v>0.59742581578608545</v>
      </c>
      <c r="AG75" s="35">
        <f>_xlfn.FORECAST.LINEAR(Sheet3!CK75,$DA$3:$DA$12,$CZ$3:$CZ$12)/1000</f>
        <v>0.59592555434163386</v>
      </c>
      <c r="AH75" s="35">
        <f>_xlfn.FORECAST.LINEAR(Sheet3!CL75,$DA$3:$DA$12,$CZ$3:$CZ$12)/1000</f>
        <v>0.594537115386371</v>
      </c>
      <c r="AI75" s="35">
        <f>_xlfn.FORECAST.LINEAR(Sheet3!CM75,$DA$3:$DA$12,$CZ$3:$CZ$12)/1000</f>
        <v>0.59320589345984598</v>
      </c>
      <c r="AJ75" s="35">
        <f>_xlfn.FORECAST.LINEAR(Sheet3!CN75,$DA$3:$DA$12,$CZ$3:$CZ$12)/1000</f>
        <v>0.59187728310160836</v>
      </c>
      <c r="AK75" s="35">
        <f>_xlfn.FORECAST.LINEAR(Sheet3!CO75,$DA$3:$DA$12,$CZ$3:$CZ$12)/1000</f>
        <v>0.59049667885120727</v>
      </c>
      <c r="AL75" s="35">
        <f>_xlfn.FORECAST.LINEAR(Sheet3!CP75,$DA$3:$DA$12,$CZ$3:$CZ$12)/1000</f>
        <v>0.58900947524819247</v>
      </c>
      <c r="AM75" s="289">
        <f t="shared" si="76"/>
        <v>4189.0883848066114</v>
      </c>
      <c r="AN75" s="35">
        <f>_xlfn.FORECAST.LINEAR(Sheet3!CI75,$DP$3:$DP$14,$DJ$3:$DJ$14)*1000</f>
        <v>4190.1589942416449</v>
      </c>
      <c r="AO75" s="35">
        <f>_xlfn.FORECAST.LINEAR(Sheet3!CJ75,$DP$3:$DP$14,$DJ$3:$DJ$14)*1000</f>
        <v>4190.0123232753594</v>
      </c>
      <c r="AP75" s="35">
        <f>_xlfn.FORECAST.LINEAR(Sheet3!CK75,$DP$3:$DP$14,$DJ$3:$DJ$14)*1000</f>
        <v>4189.8802981982699</v>
      </c>
      <c r="AQ75" s="35">
        <f>_xlfn.FORECAST.LINEAR(Sheet3!CL75,$DP$3:$DP$14,$DJ$3:$DJ$14)*1000</f>
        <v>4189.758113654515</v>
      </c>
      <c r="AR75" s="35">
        <f>_xlfn.FORECAST.LINEAR(Sheet3!CM75,$DP$3:$DP$14,$DJ$3:$DJ$14)*1000</f>
        <v>4189.6409642882345</v>
      </c>
      <c r="AS75" s="35">
        <f>_xlfn.FORECAST.LINEAR(Sheet3!CN75,$DP$3:$DP$14,$DJ$3:$DJ$14)*1000</f>
        <v>4189.5240447435663</v>
      </c>
      <c r="AT75" s="35">
        <f>_xlfn.FORECAST.LINEAR(Sheet3!CO75,$DP$3:$DP$14,$DJ$3:$DJ$14)*1000</f>
        <v>4189.40254966465</v>
      </c>
      <c r="AU75" s="35">
        <f>_xlfn.FORECAST.LINEAR(Sheet3!CP75,$DP$3:$DP$14,$DJ$3:$DJ$14)*1000</f>
        <v>4189.2716736956236</v>
      </c>
      <c r="AV75" s="289">
        <f t="shared" si="77"/>
        <v>1.397617211354078E-7</v>
      </c>
      <c r="AW75" s="35">
        <f t="shared" si="78"/>
        <v>1.4329079937989329E-7</v>
      </c>
      <c r="AX75" s="35">
        <f t="shared" si="79"/>
        <v>1.4280545618301423E-7</v>
      </c>
      <c r="AY75" s="35">
        <f t="shared" si="80"/>
        <v>1.4236908603415718E-7</v>
      </c>
      <c r="AZ75" s="35">
        <f t="shared" si="81"/>
        <v>1.4196566971943705E-7</v>
      </c>
      <c r="BA75" s="35">
        <f t="shared" si="82"/>
        <v>1.4157926451061635E-7</v>
      </c>
      <c r="BB75" s="35">
        <f t="shared" si="83"/>
        <v>1.4119399398983885E-7</v>
      </c>
      <c r="BC75" s="35">
        <f t="shared" si="84"/>
        <v>1.4079404430760291E-7</v>
      </c>
      <c r="BD75" s="35">
        <f t="shared" si="85"/>
        <v>1.4036366680072407E-7</v>
      </c>
      <c r="BE75" s="289">
        <f t="shared" si="74"/>
        <v>10.209787192683654</v>
      </c>
      <c r="BF75" s="35">
        <f t="shared" si="86"/>
        <v>7.3448068863045721</v>
      </c>
      <c r="BG75" s="35">
        <f t="shared" si="87"/>
        <v>7.6664581295264087</v>
      </c>
      <c r="BH75" s="35">
        <f t="shared" si="88"/>
        <v>7.9732878329617245</v>
      </c>
      <c r="BI75" s="35">
        <f t="shared" si="89"/>
        <v>8.2726432688848046</v>
      </c>
      <c r="BJ75" s="35">
        <f t="shared" si="90"/>
        <v>8.5742455056145168</v>
      </c>
      <c r="BK75" s="35">
        <f t="shared" si="91"/>
        <v>8.8901523435696852</v>
      </c>
      <c r="BL75" s="35">
        <f t="shared" si="92"/>
        <v>9.2349083087886594</v>
      </c>
      <c r="BM75" s="35">
        <f t="shared" si="93"/>
        <v>9.6259600791493316</v>
      </c>
      <c r="BN75" s="289">
        <f t="shared" si="94"/>
        <v>5.7758670469224645E-4</v>
      </c>
      <c r="BO75" s="35">
        <f t="shared" si="95"/>
        <v>5.9217116070262022E-4</v>
      </c>
      <c r="BP75" s="35">
        <f t="shared" si="96"/>
        <v>5.9016540565429328E-4</v>
      </c>
      <c r="BQ75" s="35">
        <f t="shared" si="97"/>
        <v>5.8836203922279227E-4</v>
      </c>
      <c r="BR75" s="35">
        <f t="shared" si="98"/>
        <v>5.8669485955481623E-4</v>
      </c>
      <c r="BS75" s="35">
        <f t="shared" si="99"/>
        <v>5.8509798088571025E-4</v>
      </c>
      <c r="BT75" s="35">
        <f t="shared" si="100"/>
        <v>5.8350579148861977E-4</v>
      </c>
      <c r="BU75" s="35">
        <f t="shared" si="101"/>
        <v>5.8185293820999136E-4</v>
      </c>
      <c r="BV75" s="35">
        <f t="shared" si="102"/>
        <v>5.8007433728870649E-4</v>
      </c>
      <c r="BW75" s="289">
        <f t="shared" si="103"/>
        <v>3.9098479429140472E-2</v>
      </c>
      <c r="BX75" s="35">
        <f t="shared" si="104"/>
        <v>3.6233334794053974E-2</v>
      </c>
      <c r="BY75" s="35">
        <f t="shared" si="105"/>
        <v>3.6592621824256537E-2</v>
      </c>
      <c r="BZ75" s="35">
        <f t="shared" si="106"/>
        <v>3.6925120387838878E-2</v>
      </c>
      <c r="CA75" s="35">
        <f t="shared" si="107"/>
        <v>3.7240503430070883E-2</v>
      </c>
      <c r="CB75" s="35">
        <f t="shared" si="108"/>
        <v>3.7549791225621194E-2</v>
      </c>
      <c r="CC75" s="35">
        <f t="shared" si="109"/>
        <v>3.7865177042949325E-2</v>
      </c>
      <c r="CD75" s="35">
        <f t="shared" si="110"/>
        <v>3.8199955158649108E-2</v>
      </c>
      <c r="CE75" s="35">
        <f t="shared" si="111"/>
        <v>3.8568551218780944E-2</v>
      </c>
      <c r="CF75" s="289">
        <f t="shared" si="112"/>
        <v>72.889749966071562</v>
      </c>
      <c r="CG75" s="35">
        <f t="shared" si="113"/>
        <v>87.271639686492151</v>
      </c>
      <c r="CH75" s="35">
        <f t="shared" si="114"/>
        <v>85.35798087235284</v>
      </c>
      <c r="CI75" s="35">
        <f t="shared" si="115"/>
        <v>83.615555632738349</v>
      </c>
      <c r="CJ75" s="35">
        <f t="shared" si="116"/>
        <v>81.988091798753544</v>
      </c>
      <c r="CK75" s="35">
        <f t="shared" si="117"/>
        <v>80.415838299410268</v>
      </c>
      <c r="CL75" s="35">
        <f t="shared" si="118"/>
        <v>78.836631686135505</v>
      </c>
      <c r="CM75" s="35">
        <f t="shared" si="119"/>
        <v>77.186644334249834</v>
      </c>
      <c r="CN75" s="35">
        <f t="shared" si="120"/>
        <v>75.400974933810275</v>
      </c>
      <c r="CO75" s="289">
        <f t="shared" si="121"/>
        <v>3055.7813518509683</v>
      </c>
      <c r="CP75" s="35">
        <f t="shared" si="122"/>
        <v>3734.5560893544475</v>
      </c>
      <c r="CQ75" s="35">
        <f t="shared" si="123"/>
        <v>3642.504382608462</v>
      </c>
      <c r="CR75" s="35">
        <f t="shared" si="124"/>
        <v>3559.1890244302376</v>
      </c>
      <c r="CS75" s="35">
        <f t="shared" si="125"/>
        <v>3481.783113861708</v>
      </c>
      <c r="CT75" s="35">
        <f t="shared" si="126"/>
        <v>3407.3678004802978</v>
      </c>
      <c r="CU75" s="35">
        <f t="shared" si="127"/>
        <v>3332.9722408051466</v>
      </c>
      <c r="CV75" s="35">
        <f t="shared" si="128"/>
        <v>3255.6040807888489</v>
      </c>
      <c r="CW75" s="35">
        <f t="shared" si="129"/>
        <v>3172.2777627832643</v>
      </c>
    </row>
    <row r="76" spans="1:101" x14ac:dyDescent="0.3">
      <c r="A76" s="240" t="str">
        <f>'Su K. oro stendu'!B121</f>
        <v>2023.02.06-1</v>
      </c>
      <c r="B76" s="289">
        <f>Sheet3!DD76</f>
        <v>6.5</v>
      </c>
      <c r="C76" s="289">
        <f>_xlfn.FORECAST.LINEAR(Sheet3!DD76,$DW$3:$DW$24,$DU$3:$DU$24)</f>
        <v>1002.6467952139193</v>
      </c>
      <c r="D76" s="35">
        <f>_xlfn.FORECAST.LINEAR(Sheet3!CI76,'Cooling water'!$DW$3:$DW$24,'Cooling water'!$DU$3:$DU$24)</f>
        <v>998.15208679120099</v>
      </c>
      <c r="E76" s="35">
        <f>_xlfn.FORECAST.LINEAR(Sheet3!CJ76,'Cooling water'!$DW$3:$DW$24,'Cooling water'!$DU$3:$DU$24)</f>
        <v>998.74118538205278</v>
      </c>
      <c r="F76" s="35">
        <f>_xlfn.FORECAST.LINEAR(Sheet3!CK76,'Cooling water'!$DW$3:$DW$24,'Cooling water'!$DU$3:$DU$24)</f>
        <v>999.27913849197466</v>
      </c>
      <c r="G76" s="35">
        <f>_xlfn.FORECAST.LINEAR(Sheet3!CL76,'Cooling water'!$DW$3:$DW$24,'Cooling water'!$DU$3:$DU$24)</f>
        <v>999.78300401488468</v>
      </c>
      <c r="H76" s="35">
        <f>_xlfn.FORECAST.LINEAR(Sheet3!CM76,'Cooling water'!$DW$3:$DW$24,'Cooling water'!$DU$3:$DU$24)</f>
        <v>1000.2698398447009</v>
      </c>
      <c r="I76" s="35">
        <f>_xlfn.FORECAST.LINEAR(Sheet3!CN76,'Cooling water'!$DW$3:$DW$24,'Cooling water'!$DU$3:$DU$24)</f>
        <v>1000.7567038753415</v>
      </c>
      <c r="J76" s="35">
        <f>_xlfn.FORECAST.LINEAR(Sheet3!CO76,'Cooling water'!$DW$3:$DW$24,'Cooling water'!$DU$3:$DU$24)</f>
        <v>1001.2606540007245</v>
      </c>
      <c r="K76" s="35">
        <f>_xlfn.FORECAST.LINEAR(Sheet3!CP76,'Cooling water'!$DW$3:$DW$24,'Cooling water'!$DU$3:$DU$24)</f>
        <v>1001.798748114768</v>
      </c>
      <c r="L76" s="289">
        <f t="shared" si="130"/>
        <v>1.4471482462889984E-3</v>
      </c>
      <c r="M76" s="35">
        <f xml:space="preserve"> 0.0000000000330128*((Sheet3!CI76+273)^(4)) - 0.0000000448315*((Sheet3!CI76+273)^(3)) + 0.0000228887*((Sheet3!CI76+273)^(2)) - 0.00521331*((Sheet3!CI76+273)) + 0.447905</f>
        <v>1.0731859963861723E-3</v>
      </c>
      <c r="N76" s="35">
        <f xml:space="preserve"> 0.0000000000330128*((Sheet3!CJ76+273)^(4)) - 0.0000000448315*((Sheet3!CJ76+273)^(3)) + 0.0000228887*((Sheet3!CJ76+273)^(2)) - 0.00521331*((Sheet3!CJ76+273)) + 0.447905</f>
        <v>1.1138968495683077E-3</v>
      </c>
      <c r="O76" s="35">
        <f xml:space="preserve"> 0.0000000000330128*((Sheet3!CK76+273)^(4)) - 0.0000000448315*((Sheet3!CK76+273)^(3)) + 0.0000228887*((Sheet3!CK76+273)^(2)) - 0.00521331*((Sheet3!CK76+273)) + 0.447905</f>
        <v>1.1530612377994576E-3</v>
      </c>
      <c r="P76" s="35">
        <f xml:space="preserve"> 0.0000000000330128*((Sheet3!CL76+273)^(4)) - 0.0000000448315*((Sheet3!CL76+273)^(3)) + 0.0000228887*((Sheet3!CL76+273)^(2)) - 0.00521331*((Sheet3!CL76+273)) + 0.447905</f>
        <v>1.1915462633786955E-3</v>
      </c>
      <c r="Q76" s="35">
        <f xml:space="preserve"> 0.0000000000330128*((Sheet3!CM76+273)^(4)) - 0.0000000448315*((Sheet3!CM76+273)^(3)) + 0.0000228887*((Sheet3!CM76+273)^(2)) - 0.00521331*((Sheet3!CM76+273)) + 0.447905</f>
        <v>1.2304580518784913E-3</v>
      </c>
      <c r="R76" s="35">
        <f xml:space="preserve"> 0.0000000000330128*((Sheet3!CN76+273)^(4)) - 0.0000000448315*((Sheet3!CN76+273)^(3)) + 0.0000228887*((Sheet3!CN76+273)^(2)) - 0.00521331*((Sheet3!CN76+273)) + 0.447905</f>
        <v>1.2711395678706161E-3</v>
      </c>
      <c r="S76" s="35">
        <f xml:space="preserve"> 0.0000000000330128*((Sheet3!CO76+273)^(4)) - 0.0000000448315*((Sheet3!CO76+273)^(3)) + 0.0000228887*((Sheet3!CO76+273)^(2)) - 0.00521331*((Sheet3!CO76+273)) + 0.447905</f>
        <v>1.3151853026671656E-3</v>
      </c>
      <c r="T76" s="35">
        <f xml:space="preserve"> 0.0000000000330128*((Sheet3!CP76+273)^(4)) - 0.0000000448315*((Sheet3!CP76+273)^(3)) + 0.0000228887*((Sheet3!CP76+273)^(2)) - 0.00521331*((Sheet3!CP76+273)) + 0.447905</f>
        <v>1.3644788340601011E-3</v>
      </c>
      <c r="U76" s="289">
        <f>(Sheet3!DC76*0.014*0.001*C76) / (L76*0.00015*3600*3)</f>
        <v>7185.0404018364652</v>
      </c>
      <c r="V76" s="35">
        <f>(Sheet3!$DC76*0.014*0.001*D76) / (M76*0.00015*3600*3)</f>
        <v>9645.3055302988469</v>
      </c>
      <c r="W76" s="35">
        <f>(Sheet3!$DC76*0.014*0.001*E76) / (N76*0.00015*3600*3)</f>
        <v>9298.2720981468046</v>
      </c>
      <c r="X76" s="35">
        <f>(Sheet3!$DC76*0.014*0.001*F76) / (O76*0.00015*3600*3)</f>
        <v>8987.2891654248288</v>
      </c>
      <c r="Y76" s="35">
        <f>(Sheet3!$DC76*0.014*0.001*G76) / (P76*0.00015*3600*3)</f>
        <v>8701.3994842604479</v>
      </c>
      <c r="Z76" s="35">
        <f>(Sheet3!$DC76*0.014*0.001*H76) / (Q76*0.00015*3600*3)</f>
        <v>8430.3310410820577</v>
      </c>
      <c r="AA76" s="35">
        <f>(Sheet3!$DC76*0.014*0.001*I76) / (R76*0.00015*3600*3)</f>
        <v>8164.4989520731469</v>
      </c>
      <c r="AB76" s="35">
        <f>(Sheet3!$DC76*0.014*0.001*J76) / (S76*0.00015*3600*3)</f>
        <v>7895.0424690797472</v>
      </c>
      <c r="AC76" s="35">
        <f>(Sheet3!$DC76*0.014*0.001*K76) / (T76*0.00015*3600*3)</f>
        <v>7613.9136754582423</v>
      </c>
      <c r="AD76" s="289">
        <f t="shared" si="75"/>
        <v>0.58649505814361191</v>
      </c>
      <c r="AE76" s="35">
        <f>_xlfn.FORECAST.LINEAR(Sheet3!CI76,$DA$3:$DA$12,$CZ$3:$CZ$12)/1000</f>
        <v>0.59818613644062979</v>
      </c>
      <c r="AF76" s="35">
        <f>_xlfn.FORECAST.LINEAR(Sheet3!CJ76,$DA$3:$DA$12,$CZ$3:$CZ$12)/1000</f>
        <v>0.59665384622231432</v>
      </c>
      <c r="AG76" s="35">
        <f>_xlfn.FORECAST.LINEAR(Sheet3!CK76,$DA$3:$DA$12,$CZ$3:$CZ$12)/1000</f>
        <v>0.59525458928799757</v>
      </c>
      <c r="AH76" s="35">
        <f>_xlfn.FORECAST.LINEAR(Sheet3!CL76,$DA$3:$DA$12,$CZ$3:$CZ$12)/1000</f>
        <v>0.59394399675885046</v>
      </c>
      <c r="AI76" s="35">
        <f>_xlfn.FORECAST.LINEAR(Sheet3!CM76,$DA$3:$DA$12,$CZ$3:$CZ$12)/1000</f>
        <v>0.59267769975604434</v>
      </c>
      <c r="AJ76" s="35">
        <f>_xlfn.FORECAST.LINEAR(Sheet3!CN76,$DA$3:$DA$12,$CZ$3:$CZ$12)/1000</f>
        <v>0.59141132940075036</v>
      </c>
      <c r="AK76" s="35">
        <f>_xlfn.FORECAST.LINEAR(Sheet3!CO76,$DA$3:$DA$12,$CZ$3:$CZ$12)/1000</f>
        <v>0.59010051681413966</v>
      </c>
      <c r="AL76" s="35">
        <f>_xlfn.FORECAST.LINEAR(Sheet3!CP76,$DA$3:$DA$12,$CZ$3:$CZ$12)/1000</f>
        <v>0.58870089311738305</v>
      </c>
      <c r="AM76" s="289">
        <f t="shared" si="76"/>
        <v>4189.0504015211673</v>
      </c>
      <c r="AN76" s="35">
        <f>_xlfn.FORECAST.LINEAR(Sheet3!CI76,$DP$3:$DP$14,$DJ$3:$DJ$14)*1000</f>
        <v>4190.079232542008</v>
      </c>
      <c r="AO76" s="35">
        <f>_xlfn.FORECAST.LINEAR(Sheet3!CJ76,$DP$3:$DP$14,$DJ$3:$DJ$14)*1000</f>
        <v>4189.9443888886271</v>
      </c>
      <c r="AP76" s="35">
        <f>_xlfn.FORECAST.LINEAR(Sheet3!CK76,$DP$3:$DP$14,$DJ$3:$DJ$14)*1000</f>
        <v>4189.8212523477887</v>
      </c>
      <c r="AQ76" s="35">
        <f>_xlfn.FORECAST.LINEAR(Sheet3!CL76,$DP$3:$DP$14,$DJ$3:$DJ$14)*1000</f>
        <v>4189.7059183969413</v>
      </c>
      <c r="AR76" s="35">
        <f>_xlfn.FORECAST.LINEAR(Sheet3!CM76,$DP$3:$DP$14,$DJ$3:$DJ$14)*1000</f>
        <v>4189.5944825135284</v>
      </c>
      <c r="AS76" s="35">
        <f>_xlfn.FORECAST.LINEAR(Sheet3!CN76,$DP$3:$DP$14,$DJ$3:$DJ$14)*1000</f>
        <v>4189.4830401749941</v>
      </c>
      <c r="AT76" s="35">
        <f>_xlfn.FORECAST.LINEAR(Sheet3!CO76,$DP$3:$DP$14,$DJ$3:$DJ$14)*1000</f>
        <v>4189.3676868587854</v>
      </c>
      <c r="AU76" s="35">
        <f>_xlfn.FORECAST.LINEAR(Sheet3!CP76,$DP$3:$DP$14,$DJ$3:$DJ$14)*1000</f>
        <v>4189.2445180423483</v>
      </c>
      <c r="AV76" s="289">
        <f t="shared" si="77"/>
        <v>1.3963709376183677E-7</v>
      </c>
      <c r="AW76" s="35">
        <f t="shared" si="78"/>
        <v>1.4302678916111218E-7</v>
      </c>
      <c r="AX76" s="35">
        <f t="shared" si="79"/>
        <v>1.4258085884096974E-7</v>
      </c>
      <c r="AY76" s="35">
        <f t="shared" si="80"/>
        <v>1.4217408311085101E-7</v>
      </c>
      <c r="AZ76" s="35">
        <f t="shared" si="81"/>
        <v>1.4179346230154925E-7</v>
      </c>
      <c r="BA76" s="35">
        <f t="shared" si="82"/>
        <v>1.414260538374174E-7</v>
      </c>
      <c r="BB76" s="35">
        <f t="shared" si="83"/>
        <v>1.4105896571852521E-7</v>
      </c>
      <c r="BC76" s="35">
        <f t="shared" si="84"/>
        <v>1.4067935424266514E-7</v>
      </c>
      <c r="BD76" s="35">
        <f t="shared" si="85"/>
        <v>1.4027442592179076E-7</v>
      </c>
      <c r="BE76" s="289">
        <f t="shared" si="74"/>
        <v>10.336279663405397</v>
      </c>
      <c r="BF76" s="35">
        <f t="shared" si="86"/>
        <v>7.5172828024223275</v>
      </c>
      <c r="BG76" s="35">
        <f t="shared" si="87"/>
        <v>7.8222337527854551</v>
      </c>
      <c r="BH76" s="35">
        <f t="shared" si="88"/>
        <v>8.1160575093915153</v>
      </c>
      <c r="BI76" s="35">
        <f t="shared" si="89"/>
        <v>8.4052174261614709</v>
      </c>
      <c r="BJ76" s="35">
        <f t="shared" si="90"/>
        <v>8.6980162527397304</v>
      </c>
      <c r="BK76" s="35">
        <f t="shared" si="91"/>
        <v>9.0045918915441057</v>
      </c>
      <c r="BL76" s="35">
        <f t="shared" si="92"/>
        <v>9.3370445411095968</v>
      </c>
      <c r="BM76" s="35">
        <f t="shared" si="93"/>
        <v>9.7097448677240816</v>
      </c>
      <c r="BN76" s="289">
        <f t="shared" si="94"/>
        <v>5.7707166299534565E-4</v>
      </c>
      <c r="BO76" s="35">
        <f t="shared" si="95"/>
        <v>5.9108009806377998E-4</v>
      </c>
      <c r="BP76" s="35">
        <f t="shared" si="96"/>
        <v>5.8923722276115029E-4</v>
      </c>
      <c r="BQ76" s="35">
        <f t="shared" si="97"/>
        <v>5.875561597948433E-4</v>
      </c>
      <c r="BR76" s="35">
        <f t="shared" si="98"/>
        <v>5.8598318604211649E-4</v>
      </c>
      <c r="BS76" s="35">
        <f t="shared" si="99"/>
        <v>5.8446481432810249E-4</v>
      </c>
      <c r="BT76" s="35">
        <f t="shared" si="100"/>
        <v>5.8294776648982344E-4</v>
      </c>
      <c r="BU76" s="35">
        <f t="shared" si="101"/>
        <v>5.8137896396203445E-4</v>
      </c>
      <c r="BV76" s="35">
        <f t="shared" si="102"/>
        <v>5.7970553569719637E-4</v>
      </c>
      <c r="BW76" s="289">
        <f t="shared" si="103"/>
        <v>3.9210275907392997E-2</v>
      </c>
      <c r="BX76" s="35">
        <f t="shared" si="104"/>
        <v>3.6427402513636374E-2</v>
      </c>
      <c r="BY76" s="35">
        <f t="shared" si="105"/>
        <v>3.676263557878863E-2</v>
      </c>
      <c r="BZ76" s="35">
        <f t="shared" si="106"/>
        <v>3.7076610370234957E-2</v>
      </c>
      <c r="CA76" s="35">
        <f t="shared" si="107"/>
        <v>3.7377472013064135E-2</v>
      </c>
      <c r="CB76" s="35">
        <f t="shared" si="108"/>
        <v>3.7674373994119936E-2</v>
      </c>
      <c r="CC76" s="35">
        <f t="shared" si="109"/>
        <v>3.7977364028850151E-2</v>
      </c>
      <c r="CD76" s="35">
        <f t="shared" si="110"/>
        <v>3.8297337693623416E-2</v>
      </c>
      <c r="CE76" s="35">
        <f t="shared" si="111"/>
        <v>3.8646059194987148E-2</v>
      </c>
      <c r="CF76" s="289">
        <f t="shared" si="112"/>
        <v>72.368288676346893</v>
      </c>
      <c r="CG76" s="35">
        <f t="shared" si="113"/>
        <v>86.233998986430464</v>
      </c>
      <c r="CH76" s="35">
        <f t="shared" si="114"/>
        <v>84.463617034878354</v>
      </c>
      <c r="CI76" s="35">
        <f t="shared" si="115"/>
        <v>82.830762623079877</v>
      </c>
      <c r="CJ76" s="35">
        <f t="shared" si="116"/>
        <v>81.288924092423244</v>
      </c>
      <c r="CK76" s="35">
        <f t="shared" si="117"/>
        <v>79.789134815685969</v>
      </c>
      <c r="CL76" s="35">
        <f t="shared" si="118"/>
        <v>78.280700870309957</v>
      </c>
      <c r="CM76" s="35">
        <f t="shared" si="119"/>
        <v>76.711732323031924</v>
      </c>
      <c r="CN76" s="35">
        <f t="shared" si="120"/>
        <v>75.029579587670796</v>
      </c>
      <c r="CO76" s="289">
        <f t="shared" si="121"/>
        <v>3031.688833927697</v>
      </c>
      <c r="CP76" s="35">
        <f t="shared" si="122"/>
        <v>3684.5701916798589</v>
      </c>
      <c r="CQ76" s="35">
        <f t="shared" si="123"/>
        <v>3599.6815692649111</v>
      </c>
      <c r="CR76" s="35">
        <f t="shared" si="124"/>
        <v>3521.813684686645</v>
      </c>
      <c r="CS76" s="35">
        <f t="shared" si="125"/>
        <v>3448.6477476914761</v>
      </c>
      <c r="CT76" s="35">
        <f t="shared" si="126"/>
        <v>3377.8029205775479</v>
      </c>
      <c r="CU76" s="35">
        <f t="shared" si="127"/>
        <v>3306.8638120094633</v>
      </c>
      <c r="CV76" s="35">
        <f t="shared" si="128"/>
        <v>3233.4023492520773</v>
      </c>
      <c r="CW76" s="35">
        <f t="shared" si="129"/>
        <v>3154.9986081059692</v>
      </c>
    </row>
    <row r="77" spans="1:101" x14ac:dyDescent="0.3">
      <c r="A77" s="184" t="str">
        <f>'Su K. oro stendu'!B122</f>
        <v>2023.02.06-2</v>
      </c>
      <c r="B77" s="289">
        <f>Sheet3!DD77</f>
        <v>7</v>
      </c>
      <c r="C77" s="289">
        <f>_xlfn.FORECAST.LINEAR(Sheet3!DD77,$DW$3:$DW$24,$DU$3:$DU$24)</f>
        <v>1002.4393707322159</v>
      </c>
      <c r="D77" s="35">
        <f>_xlfn.FORECAST.LINEAR(Sheet3!CI77,'Cooling water'!$DW$3:$DW$24,'Cooling water'!$DU$3:$DU$24)</f>
        <v>997.27642441040621</v>
      </c>
      <c r="E77" s="35">
        <f>_xlfn.FORECAST.LINEAR(Sheet3!CJ77,'Cooling water'!$DW$3:$DW$24,'Cooling water'!$DU$3:$DU$24)</f>
        <v>997.95675029397557</v>
      </c>
      <c r="F77" s="35">
        <f>_xlfn.FORECAST.LINEAR(Sheet3!CK77,'Cooling water'!$DW$3:$DW$24,'Cooling water'!$DU$3:$DU$24)</f>
        <v>998.58707726052126</v>
      </c>
      <c r="G77" s="35">
        <f>_xlfn.FORECAST.LINEAR(Sheet3!CL77,'Cooling water'!$DW$3:$DW$24,'Cooling water'!$DU$3:$DU$24)</f>
        <v>999.18533251142628</v>
      </c>
      <c r="H77" s="35">
        <f>_xlfn.FORECAST.LINEAR(Sheet3!CM77,'Cooling water'!$DW$3:$DW$24,'Cooling water'!$DU$3:$DU$24)</f>
        <v>999.76944324807334</v>
      </c>
      <c r="I77" s="35">
        <f>_xlfn.FORECAST.LINEAR(Sheet3!CN77,'Cooling water'!$DW$3:$DW$24,'Cooling water'!$DU$3:$DU$24)</f>
        <v>1000.3573366718449</v>
      </c>
      <c r="J77" s="35">
        <f>_xlfn.FORECAST.LINEAR(Sheet3!CO77,'Cooling water'!$DW$3:$DW$24,'Cooling water'!$DU$3:$DU$24)</f>
        <v>1000.966939984124</v>
      </c>
      <c r="K77" s="35">
        <f>_xlfn.FORECAST.LINEAR(Sheet3!CP77,'Cooling water'!$DW$3:$DW$24,'Cooling water'!$DU$3:$DU$24)</f>
        <v>1001.6161803862932</v>
      </c>
      <c r="L77" s="289">
        <f t="shared" si="130"/>
        <v>1.426347968000119E-3</v>
      </c>
      <c r="M77" s="35">
        <f xml:space="preserve"> 0.0000000000330128*((Sheet3!CI77+273)^(4)) - 0.0000000448315*((Sheet3!CI77+273)^(3)) + 0.0000228887*((Sheet3!CI77+273)^(2)) - 0.00521331*((Sheet3!CI77+273)) + 0.447905</f>
        <v>1.0166413052150602E-3</v>
      </c>
      <c r="N77" s="35">
        <f xml:space="preserve"> 0.0000000000330128*((Sheet3!CJ77+273)^(4)) - 0.0000000448315*((Sheet3!CJ77+273)^(3)) + 0.0000228887*((Sheet3!CJ77+273)^(2)) - 0.00521331*((Sheet3!CJ77+273)) + 0.447905</f>
        <v>1.0601705354518209E-3</v>
      </c>
      <c r="O77" s="35">
        <f xml:space="preserve"> 0.0000000000330128*((Sheet3!CK77+273)^(4)) - 0.0000000448315*((Sheet3!CK77+273)^(3)) + 0.0000228887*((Sheet3!CK77+273)^(2)) - 0.00521331*((Sheet3!CK77+273)) + 0.447905</f>
        <v>1.1030314171356359E-3</v>
      </c>
      <c r="P77" s="35">
        <f xml:space="preserve"> 0.0000000000330128*((Sheet3!CL77+273)^(4)) - 0.0000000448315*((Sheet3!CL77+273)^(3)) + 0.0000228887*((Sheet3!CL77+273)^(2)) - 0.00521331*((Sheet3!CL77+273)) + 0.447905</f>
        <v>1.1460912571283899E-3</v>
      </c>
      <c r="Q77" s="35">
        <f xml:space="preserve"> 0.0000000000330128*((Sheet3!CM77+273)^(4)) - 0.0000000448315*((Sheet3!CM77+273)^(3)) + 0.0000228887*((Sheet3!CM77+273)^(2)) - 0.00521331*((Sheet3!CM77+273)) + 0.447905</f>
        <v>1.1904870102861231E-3</v>
      </c>
      <c r="R77" s="35">
        <f xml:space="preserve"> 0.0000000000330128*((Sheet3!CN77+273)^(4)) - 0.0000000448315*((Sheet3!CN77+273)^(3)) + 0.0000228887*((Sheet3!CN77+273)^(2)) - 0.00521331*((Sheet3!CN77+273)) + 0.447905</f>
        <v>1.2376368367741364E-3</v>
      </c>
      <c r="S77" s="35">
        <f xml:space="preserve"> 0.0000000000330128*((Sheet3!CO77+273)^(4)) - 0.0000000448315*((Sheet3!CO77+273)^(3)) + 0.0000228887*((Sheet3!CO77+273)^(2)) - 0.00521331*((Sheet3!CO77+273)) + 0.447905</f>
        <v>1.2892705001035232E-3</v>
      </c>
      <c r="T77" s="35">
        <f xml:space="preserve"> 0.0000000000330128*((Sheet3!CP77+273)^(4)) - 0.0000000448315*((Sheet3!CP77+273)^(3)) + 0.0000228887*((Sheet3!CP77+273)^(2)) - 0.00521331*((Sheet3!CP77+273)) + 0.447905</f>
        <v>1.3474863374409729E-3</v>
      </c>
      <c r="U77" s="289">
        <f>(Sheet3!DC77*0.014*0.001*C77) / (L77*0.00015*3600*3)</f>
        <v>8199.3498460782885</v>
      </c>
      <c r="V77" s="35">
        <f>(Sheet3!$DC77*0.014*0.001*D77) / (M77*0.00015*3600*3)</f>
        <v>11444.441179438567</v>
      </c>
      <c r="W77" s="35">
        <f>(Sheet3!$DC77*0.014*0.001*E77) / (N77*0.00015*3600*3)</f>
        <v>10982.033893695987</v>
      </c>
      <c r="X77" s="35">
        <f>(Sheet3!$DC77*0.014*0.001*F77) / (O77*0.00015*3600*3)</f>
        <v>10561.968033777983</v>
      </c>
      <c r="Y77" s="35">
        <f>(Sheet3!$DC77*0.014*0.001*G77) / (P77*0.00015*3600*3)</f>
        <v>10171.233870015838</v>
      </c>
      <c r="Z77" s="35">
        <f>(Sheet3!$DC77*0.014*0.001*H77) / (Q77*0.00015*3600*3)</f>
        <v>9797.651496500459</v>
      </c>
      <c r="AA77" s="35">
        <f>(Sheet3!$DC77*0.014*0.001*I77) / (R77*0.00015*3600*3)</f>
        <v>9429.9355414505517</v>
      </c>
      <c r="AB77" s="35">
        <f>(Sheet3!$DC77*0.014*0.001*J77) / (S77*0.00015*3600*3)</f>
        <v>9057.7948011766548</v>
      </c>
      <c r="AC77" s="35">
        <f>(Sheet3!$DC77*0.014*0.001*K77) / (T77*0.00015*3600*3)</f>
        <v>8672.089489752354</v>
      </c>
      <c r="AD77" s="289">
        <f t="shared" si="75"/>
        <v>0.58703458498901406</v>
      </c>
      <c r="AE77" s="35">
        <f>_xlfn.FORECAST.LINEAR(Sheet3!CI77,$DA$3:$DA$12,$CZ$3:$CZ$12)/1000</f>
        <v>0.60046380086128026</v>
      </c>
      <c r="AF77" s="35">
        <f>_xlfn.FORECAST.LINEAR(Sheet3!CJ77,$DA$3:$DA$12,$CZ$3:$CZ$12)/1000</f>
        <v>0.59869422151947149</v>
      </c>
      <c r="AG77" s="35">
        <f>_xlfn.FORECAST.LINEAR(Sheet3!CK77,$DA$3:$DA$12,$CZ$3:$CZ$12)/1000</f>
        <v>0.5970546931617785</v>
      </c>
      <c r="AH77" s="35">
        <f>_xlfn.FORECAST.LINEAR(Sheet3!CL77,$DA$3:$DA$12,$CZ$3:$CZ$12)/1000</f>
        <v>0.59549858577457171</v>
      </c>
      <c r="AI77" s="35">
        <f>_xlfn.FORECAST.LINEAR(Sheet3!CM77,$DA$3:$DA$12,$CZ$3:$CZ$12)/1000</f>
        <v>0.59397926934422174</v>
      </c>
      <c r="AJ77" s="35">
        <f>_xlfn.FORECAST.LINEAR(Sheet3!CN77,$DA$3:$DA$12,$CZ$3:$CZ$12)/1000</f>
        <v>0.592450113857099</v>
      </c>
      <c r="AK77" s="35">
        <f>_xlfn.FORECAST.LINEAR(Sheet3!CO77,$DA$3:$DA$12,$CZ$3:$CZ$12)/1000</f>
        <v>0.59086448929957414</v>
      </c>
      <c r="AL77" s="35">
        <f>_xlfn.FORECAST.LINEAR(Sheet3!CP77,$DA$3:$DA$12,$CZ$3:$CZ$12)/1000</f>
        <v>0.58917576565801777</v>
      </c>
      <c r="AM77" s="289">
        <f t="shared" si="76"/>
        <v>4189.0978806279718</v>
      </c>
      <c r="AN77" s="35">
        <f>_xlfn.FORECAST.LINEAR(Sheet3!CI77,$DP$3:$DP$14,$DJ$3:$DJ$14)*1000</f>
        <v>4190.2796701536199</v>
      </c>
      <c r="AO77" s="35">
        <f>_xlfn.FORECAST.LINEAR(Sheet3!CJ77,$DP$3:$DP$14,$DJ$3:$DJ$14)*1000</f>
        <v>4190.1239447299731</v>
      </c>
      <c r="AP77" s="35">
        <f>_xlfn.FORECAST.LINEAR(Sheet3!CK77,$DP$3:$DP$14,$DJ$3:$DJ$14)*1000</f>
        <v>4189.9796639723663</v>
      </c>
      <c r="AQ77" s="35">
        <f>_xlfn.FORECAST.LINEAR(Sheet3!CL77,$DP$3:$DP$14,$DJ$3:$DJ$14)*1000</f>
        <v>4189.8427243752603</v>
      </c>
      <c r="AR77" s="35">
        <f>_xlfn.FORECAST.LINEAR(Sheet3!CM77,$DP$3:$DP$14,$DJ$3:$DJ$14)*1000</f>
        <v>4189.7090224331214</v>
      </c>
      <c r="AS77" s="35">
        <f>_xlfn.FORECAST.LINEAR(Sheet3!CN77,$DP$3:$DP$14,$DJ$3:$DJ$14)*1000</f>
        <v>4189.5744546404103</v>
      </c>
      <c r="AT77" s="35">
        <f>_xlfn.FORECAST.LINEAR(Sheet3!CO77,$DP$3:$DP$14,$DJ$3:$DJ$14)*1000</f>
        <v>4189.4349174915915</v>
      </c>
      <c r="AU77" s="35">
        <f>_xlfn.FORECAST.LINEAR(Sheet3!CP77,$DP$3:$DP$14,$DJ$3:$DJ$14)*1000</f>
        <v>4189.2863074811266</v>
      </c>
      <c r="AV77" s="289">
        <f t="shared" si="77"/>
        <v>1.3979288413811676E-7</v>
      </c>
      <c r="AW77" s="35">
        <f t="shared" si="78"/>
        <v>1.436905703510818E-7</v>
      </c>
      <c r="AX77" s="35">
        <f t="shared" si="79"/>
        <v>1.4317476423430975E-7</v>
      </c>
      <c r="AY77" s="35">
        <f t="shared" si="80"/>
        <v>1.4269746559214484E-7</v>
      </c>
      <c r="AZ77" s="35">
        <f t="shared" si="81"/>
        <v>1.422449848031837E-7</v>
      </c>
      <c r="BA77" s="35">
        <f t="shared" si="82"/>
        <v>1.4180370132514314E-7</v>
      </c>
      <c r="BB77" s="35">
        <f t="shared" si="83"/>
        <v>1.4136005738526614E-7</v>
      </c>
      <c r="BC77" s="35">
        <f t="shared" si="84"/>
        <v>1.4090055635993731E-7</v>
      </c>
      <c r="BD77" s="35">
        <f t="shared" si="85"/>
        <v>1.4041176578405207E-7</v>
      </c>
      <c r="BE77" s="289">
        <f t="shared" si="74"/>
        <v>10.178465464516256</v>
      </c>
      <c r="BF77" s="35">
        <f t="shared" si="86"/>
        <v>7.0945349028046749</v>
      </c>
      <c r="BG77" s="35">
        <f t="shared" si="87"/>
        <v>7.4198911337736959</v>
      </c>
      <c r="BH77" s="35">
        <f t="shared" si="88"/>
        <v>7.740797048334465</v>
      </c>
      <c r="BI77" s="35">
        <f t="shared" si="89"/>
        <v>8.0637338691636682</v>
      </c>
      <c r="BJ77" s="35">
        <f t="shared" si="90"/>
        <v>8.3972529438475831</v>
      </c>
      <c r="BK77" s="35">
        <f t="shared" si="91"/>
        <v>8.7520814903945929</v>
      </c>
      <c r="BL77" s="35">
        <f t="shared" si="92"/>
        <v>9.1413766591869532</v>
      </c>
      <c r="BM77" s="35">
        <f t="shared" si="93"/>
        <v>9.5811918819416579</v>
      </c>
      <c r="BN77" s="289">
        <f t="shared" si="94"/>
        <v>5.1352488050736755E-4</v>
      </c>
      <c r="BO77" s="35">
        <f t="shared" si="95"/>
        <v>5.2784291149376972E-4</v>
      </c>
      <c r="BP77" s="35">
        <f t="shared" si="96"/>
        <v>5.2594811351379064E-4</v>
      </c>
      <c r="BQ77" s="35">
        <f t="shared" si="97"/>
        <v>5.24194771562981E-4</v>
      </c>
      <c r="BR77" s="35">
        <f t="shared" si="98"/>
        <v>5.2253259723618491E-4</v>
      </c>
      <c r="BS77" s="35">
        <f t="shared" si="99"/>
        <v>5.2091155588828071E-4</v>
      </c>
      <c r="BT77" s="35">
        <f t="shared" si="100"/>
        <v>5.1928184345607941E-4</v>
      </c>
      <c r="BU77" s="35">
        <f t="shared" si="101"/>
        <v>5.1759388050589194E-4</v>
      </c>
      <c r="BV77" s="35">
        <f t="shared" si="102"/>
        <v>5.1579832328835446E-4</v>
      </c>
      <c r="BW77" s="289">
        <f t="shared" si="103"/>
        <v>3.793694436202906E-2</v>
      </c>
      <c r="BX77" s="35">
        <f t="shared" si="104"/>
        <v>3.4902662202984359E-2</v>
      </c>
      <c r="BY77" s="35">
        <f t="shared" si="105"/>
        <v>3.5264400646103658E-2</v>
      </c>
      <c r="BZ77" s="35">
        <f t="shared" si="106"/>
        <v>3.5609919320665512E-2</v>
      </c>
      <c r="CA77" s="35">
        <f t="shared" si="107"/>
        <v>3.5947094373248743E-2</v>
      </c>
      <c r="CB77" s="35">
        <f t="shared" si="108"/>
        <v>3.6284964710003767E-2</v>
      </c>
      <c r="CC77" s="35">
        <f t="shared" si="109"/>
        <v>3.6633635580082577E-2</v>
      </c>
      <c r="CD77" s="35">
        <f t="shared" si="110"/>
        <v>3.7004247961982373E-2</v>
      </c>
      <c r="CE77" s="35">
        <f t="shared" si="111"/>
        <v>3.7409014230260079E-2</v>
      </c>
      <c r="CF77" s="289">
        <f t="shared" si="112"/>
        <v>82.092858006926903</v>
      </c>
      <c r="CG77" s="35">
        <f t="shared" si="113"/>
        <v>99.215521165737684</v>
      </c>
      <c r="CH77" s="35">
        <f t="shared" si="114"/>
        <v>97.038330076668771</v>
      </c>
      <c r="CI77" s="35">
        <f t="shared" si="115"/>
        <v>94.99339502189855</v>
      </c>
      <c r="CJ77" s="35">
        <f t="shared" si="116"/>
        <v>93.03047158294973</v>
      </c>
      <c r="CK77" s="35">
        <f t="shared" si="117"/>
        <v>91.09573940346479</v>
      </c>
      <c r="CL77" s="35">
        <f t="shared" si="118"/>
        <v>89.132811181409039</v>
      </c>
      <c r="CM77" s="35">
        <f t="shared" si="119"/>
        <v>87.083529787635413</v>
      </c>
      <c r="CN77" s="35">
        <f t="shared" si="120"/>
        <v>84.888683147249324</v>
      </c>
      <c r="CO77" s="289">
        <f t="shared" si="121"/>
        <v>3442.2390593327427</v>
      </c>
      <c r="CP77" s="35">
        <f t="shared" si="122"/>
        <v>4255.3806388294033</v>
      </c>
      <c r="CQ77" s="35">
        <f t="shared" si="123"/>
        <v>4149.7348202000521</v>
      </c>
      <c r="CR77" s="35">
        <f t="shared" si="124"/>
        <v>4051.160879799661</v>
      </c>
      <c r="CS77" s="35">
        <f t="shared" si="125"/>
        <v>3957.108161542003</v>
      </c>
      <c r="CT77" s="35">
        <f t="shared" si="126"/>
        <v>3864.9271950886887</v>
      </c>
      <c r="CU77" s="35">
        <f t="shared" si="127"/>
        <v>3771.910295202078</v>
      </c>
      <c r="CV77" s="35">
        <f t="shared" si="128"/>
        <v>3675.3260967411034</v>
      </c>
      <c r="CW77" s="35">
        <f t="shared" si="129"/>
        <v>3572.4539206415348</v>
      </c>
    </row>
    <row r="78" spans="1:101" x14ac:dyDescent="0.3">
      <c r="A78" s="184" t="str">
        <f>'Su K. oro stendu'!B123</f>
        <v>2023.02.08</v>
      </c>
      <c r="B78" s="289">
        <f>Sheet3!DD78</f>
        <v>8.11</v>
      </c>
      <c r="C78" s="289">
        <f>_xlfn.FORECAST.LINEAR(Sheet3!DD78,$DW$3:$DW$24,$DU$3:$DU$24)</f>
        <v>1001.9788883828345</v>
      </c>
      <c r="D78" s="35">
        <f>_xlfn.FORECAST.LINEAR(Sheet3!CI78,'Cooling water'!$DW$3:$DW$24,'Cooling water'!$DU$3:$DU$24)</f>
        <v>990.63452988508493</v>
      </c>
      <c r="E78" s="35">
        <f>_xlfn.FORECAST.LINEAR(Sheet3!CJ78,'Cooling water'!$DW$3:$DW$24,'Cooling water'!$DU$3:$DU$24)</f>
        <v>992.13896734409377</v>
      </c>
      <c r="F78" s="35">
        <f>_xlfn.FORECAST.LINEAR(Sheet3!CK78,'Cooling water'!$DW$3:$DW$24,'Cooling water'!$DU$3:$DU$24)</f>
        <v>993.51768773842787</v>
      </c>
      <c r="G78" s="35">
        <f>_xlfn.FORECAST.LINEAR(Sheet3!CL78,'Cooling water'!$DW$3:$DW$24,'Cooling water'!$DU$3:$DU$24)</f>
        <v>994.81150014336299</v>
      </c>
      <c r="H78" s="35">
        <f>_xlfn.FORECAST.LINEAR(Sheet3!CM78,'Cooling water'!$DW$3:$DW$24,'Cooling water'!$DU$3:$DU$24)</f>
        <v>996.06121363417492</v>
      </c>
      <c r="I78" s="35">
        <f>_xlfn.FORECAST.LINEAR(Sheet3!CN78,'Cooling water'!$DW$3:$DW$24,'Cooling water'!$DU$3:$DU$24)</f>
        <v>997.3076372861392</v>
      </c>
      <c r="J78" s="35">
        <f>_xlfn.FORECAST.LINEAR(Sheet3!CO78,'Cooling water'!$DW$3:$DW$24,'Cooling water'!$DU$3:$DU$24)</f>
        <v>998.59158017453171</v>
      </c>
      <c r="K78" s="35">
        <f>_xlfn.FORECAST.LINEAR(Sheet3!CP78,'Cooling water'!$DW$3:$DW$24,'Cooling water'!$DU$3:$DU$24)</f>
        <v>999.95385137462824</v>
      </c>
      <c r="L78" s="289">
        <f t="shared" si="130"/>
        <v>1.3815200725246779E-3</v>
      </c>
      <c r="M78" s="35">
        <f xml:space="preserve"> 0.0000000000330128*((Sheet3!CI78+273)^(4)) - 0.0000000448315*((Sheet3!CI78+273)^(3)) + 0.0000228887*((Sheet3!CI78+273)^(2)) - 0.00521331*((Sheet3!CI78+273)) + 0.447905</f>
        <v>7.0899727550077785E-4</v>
      </c>
      <c r="N78" s="35">
        <f xml:space="preserve"> 0.0000000000330128*((Sheet3!CJ78+273)^(4)) - 0.0000000448315*((Sheet3!CJ78+273)^(3)) + 0.0000228887*((Sheet3!CJ78+273)^(2)) - 0.00521331*((Sheet3!CJ78+273)) + 0.447905</f>
        <v>7.6339262148139575E-4</v>
      </c>
      <c r="O78" s="35">
        <f xml:space="preserve"> 0.0000000000330128*((Sheet3!CK78+273)^(4)) - 0.0000000448315*((Sheet3!CK78+273)^(3)) + 0.0000228887*((Sheet3!CK78+273)^(2)) - 0.00521331*((Sheet3!CK78+273)) + 0.447905</f>
        <v>8.2006371300669123E-4</v>
      </c>
      <c r="P78" s="35">
        <f xml:space="preserve"> 0.0000000000330128*((Sheet3!CL78+273)^(4)) - 0.0000000448315*((Sheet3!CL78+273)^(3)) + 0.0000228887*((Sheet3!CL78+273)^(2)) - 0.00521331*((Sheet3!CL78+273)) + 0.447905</f>
        <v>8.8014546482617639E-4</v>
      </c>
      <c r="Q78" s="35">
        <f xml:space="preserve"> 0.0000000000330128*((Sheet3!CM78+273)^(4)) - 0.0000000448315*((Sheet3!CM78+273)^(3)) + 0.0000228887*((Sheet3!CM78+273)^(2)) - 0.00521331*((Sheet3!CM78+273)) + 0.447905</f>
        <v>9.4543344912989546E-4</v>
      </c>
      <c r="R78" s="35">
        <f xml:space="preserve"> 0.0000000000330128*((Sheet3!CN78+273)^(4)) - 0.0000000448315*((Sheet3!CN78+273)^(3)) + 0.0000228887*((Sheet3!CN78+273)^(2)) - 0.00521331*((Sheet3!CN78+273)) + 0.447905</f>
        <v>1.0185786454912638E-3</v>
      </c>
      <c r="S78" s="35">
        <f xml:space="preserve"> 0.0000000000330128*((Sheet3!CO78+273)^(4)) - 0.0000000448315*((Sheet3!CO78+273)^(3)) + 0.0000228887*((Sheet3!CO78+273)^(2)) - 0.00521331*((Sheet3!CO78+273)) + 0.447905</f>
        <v>1.1033467034302635E-3</v>
      </c>
      <c r="T78" s="35">
        <f xml:space="preserve"> 0.0000000000330128*((Sheet3!CP78+273)^(4)) - 0.0000000448315*((Sheet3!CP78+273)^(3)) + 0.0000228887*((Sheet3!CP78+273)^(2)) - 0.00521331*((Sheet3!CP78+273)) + 0.447905</f>
        <v>1.2050047980116663E-3</v>
      </c>
      <c r="U78" s="289">
        <f>(Sheet3!DC78*0.014*0.001*C78) / (L78*0.00015*3600*3)</f>
        <v>864.95493187861985</v>
      </c>
      <c r="V78" s="35">
        <f>(Sheet3!$DC78*0.014*0.001*D78) / (M78*0.00015*3600*3)</f>
        <v>1666.329960820987</v>
      </c>
      <c r="W78" s="35">
        <f>(Sheet3!$DC78*0.014*0.001*E78) / (N78*0.00015*3600*3)</f>
        <v>1549.9463185548564</v>
      </c>
      <c r="X78" s="35">
        <f>(Sheet3!$DC78*0.014*0.001*F78) / (O78*0.00015*3600*3)</f>
        <v>1444.8411949144518</v>
      </c>
      <c r="Y78" s="35">
        <f>(Sheet3!$DC78*0.014*0.001*G78) / (P78*0.00015*3600*3)</f>
        <v>1347.9644825883502</v>
      </c>
      <c r="Z78" s="35">
        <f>(Sheet3!$DC78*0.014*0.001*H78) / (Q78*0.00015*3600*3)</f>
        <v>1256.4556778080496</v>
      </c>
      <c r="AA78" s="35">
        <f>(Sheet3!$DC78*0.014*0.001*I78) / (R78*0.00015*3600*3)</f>
        <v>1167.6876459449304</v>
      </c>
      <c r="AB78" s="35">
        <f>(Sheet3!$DC78*0.014*0.001*J78) / (S78*0.00015*3600*3)</f>
        <v>1079.3641906383325</v>
      </c>
      <c r="AC78" s="35">
        <f>(Sheet3!$DC78*0.014*0.001*K78) / (T78*0.00015*3600*3)</f>
        <v>989.65378233479066</v>
      </c>
      <c r="AD78" s="289">
        <f t="shared" si="75"/>
        <v>0.58823233458580715</v>
      </c>
      <c r="AE78" s="35">
        <f>_xlfn.FORECAST.LINEAR(Sheet3!CI78,$DA$3:$DA$12,$CZ$3:$CZ$12)/1000</f>
        <v>0.61773987344111259</v>
      </c>
      <c r="AF78" s="35">
        <f>_xlfn.FORECAST.LINEAR(Sheet3!CJ78,$DA$3:$DA$12,$CZ$3:$CZ$12)/1000</f>
        <v>0.61382671724229476</v>
      </c>
      <c r="AG78" s="35">
        <f>_xlfn.FORECAST.LINEAR(Sheet3!CK78,$DA$3:$DA$12,$CZ$3:$CZ$12)/1000</f>
        <v>0.61024056068575738</v>
      </c>
      <c r="AH78" s="35">
        <f>_xlfn.FORECAST.LINEAR(Sheet3!CL78,$DA$3:$DA$12,$CZ$3:$CZ$12)/1000</f>
        <v>0.60687525626438599</v>
      </c>
      <c r="AI78" s="35">
        <f>_xlfn.FORECAST.LINEAR(Sheet3!CM78,$DA$3:$DA$12,$CZ$3:$CZ$12)/1000</f>
        <v>0.60362465647106611</v>
      </c>
      <c r="AJ78" s="35">
        <f>_xlfn.FORECAST.LINEAR(Sheet3!CN78,$DA$3:$DA$12,$CZ$3:$CZ$12)/1000</f>
        <v>0.60038261379868352</v>
      </c>
      <c r="AK78" s="35">
        <f>_xlfn.FORECAST.LINEAR(Sheet3!CO78,$DA$3:$DA$12,$CZ$3:$CZ$12)/1000</f>
        <v>0.59704298074012396</v>
      </c>
      <c r="AL78" s="35">
        <f>_xlfn.FORECAST.LINEAR(Sheet3!CP78,$DA$3:$DA$12,$CZ$3:$CZ$12)/1000</f>
        <v>0.59349960978827299</v>
      </c>
      <c r="AM78" s="289">
        <f t="shared" si="76"/>
        <v>4189.2032842450781</v>
      </c>
      <c r="AN78" s="35">
        <f>_xlfn.FORECAST.LINEAR(Sheet3!CI78,$DP$3:$DP$14,$DJ$3:$DJ$14)*1000</f>
        <v>4191.7999883772145</v>
      </c>
      <c r="AO78" s="35">
        <f>_xlfn.FORECAST.LINEAR(Sheet3!CJ78,$DP$3:$DP$14,$DJ$3:$DJ$14)*1000</f>
        <v>4191.4556252325619</v>
      </c>
      <c r="AP78" s="35">
        <f>_xlfn.FORECAST.LINEAR(Sheet3!CK78,$DP$3:$DP$14,$DJ$3:$DJ$14)*1000</f>
        <v>4191.1400385076067</v>
      </c>
      <c r="AQ78" s="35">
        <f>_xlfn.FORECAST.LINEAR(Sheet3!CL78,$DP$3:$DP$14,$DJ$3:$DJ$14)*1000</f>
        <v>4190.8438870752652</v>
      </c>
      <c r="AR78" s="35">
        <f>_xlfn.FORECAST.LINEAR(Sheet3!CM78,$DP$3:$DP$14,$DJ$3:$DJ$14)*1000</f>
        <v>4190.5578298084547</v>
      </c>
      <c r="AS78" s="35">
        <f>_xlfn.FORECAST.LINEAR(Sheet3!CN78,$DP$3:$DP$14,$DJ$3:$DJ$14)*1000</f>
        <v>4190.2725255800942</v>
      </c>
      <c r="AT78" s="35">
        <f>_xlfn.FORECAST.LINEAR(Sheet3!CO78,$DP$3:$DP$14,$DJ$3:$DJ$14)*1000</f>
        <v>4189.9786332631002</v>
      </c>
      <c r="AU78" s="35">
        <f>_xlfn.FORECAST.LINEAR(Sheet3!CP78,$DP$3:$DP$14,$DJ$3:$DJ$14)*1000</f>
        <v>4189.6668117303907</v>
      </c>
      <c r="AV78" s="289">
        <f t="shared" si="77"/>
        <v>1.4013895903030903E-7</v>
      </c>
      <c r="AW78" s="35">
        <f t="shared" si="78"/>
        <v>1.4876186720764659E-7</v>
      </c>
      <c r="AX78" s="35">
        <f t="shared" si="79"/>
        <v>1.4760749412878186E-7</v>
      </c>
      <c r="AY78" s="35">
        <f t="shared" si="80"/>
        <v>1.465525214510611E-7</v>
      </c>
      <c r="AZ78" s="35">
        <f t="shared" si="81"/>
        <v>1.455650621915622E-7</v>
      </c>
      <c r="BA78" s="35">
        <f t="shared" si="82"/>
        <v>1.44613588771991E-7</v>
      </c>
      <c r="BB78" s="35">
        <f t="shared" si="83"/>
        <v>1.4366689080477856E-7</v>
      </c>
      <c r="BC78" s="35">
        <f t="shared" si="84"/>
        <v>1.4269405794982962E-7</v>
      </c>
      <c r="BD78" s="35">
        <f t="shared" si="85"/>
        <v>1.4166448715723061E-7</v>
      </c>
      <c r="BE78" s="289">
        <f t="shared" si="74"/>
        <v>9.8387458233590941</v>
      </c>
      <c r="BF78" s="35">
        <f t="shared" si="86"/>
        <v>4.8110457151620913</v>
      </c>
      <c r="BG78" s="35">
        <f t="shared" si="87"/>
        <v>5.2127517549976661</v>
      </c>
      <c r="BH78" s="35">
        <f t="shared" si="88"/>
        <v>5.6322081538585804</v>
      </c>
      <c r="BI78" s="35">
        <f t="shared" si="89"/>
        <v>6.0779413939343021</v>
      </c>
      <c r="BJ78" s="35">
        <f t="shared" si="90"/>
        <v>6.5635051523181183</v>
      </c>
      <c r="BK78" s="35">
        <f t="shared" si="91"/>
        <v>7.1090035175065696</v>
      </c>
      <c r="BL78" s="35">
        <f t="shared" si="92"/>
        <v>7.7431596410750609</v>
      </c>
      <c r="BM78" s="35">
        <f t="shared" si="93"/>
        <v>8.5064396453544493</v>
      </c>
      <c r="BN78" s="289">
        <f t="shared" si="94"/>
        <v>5.0360495481166934E-3</v>
      </c>
      <c r="BO78" s="35">
        <f t="shared" si="95"/>
        <v>5.3459233557317529E-3</v>
      </c>
      <c r="BP78" s="35">
        <f t="shared" si="96"/>
        <v>5.3044396736607498E-3</v>
      </c>
      <c r="BQ78" s="35">
        <f t="shared" si="97"/>
        <v>5.2665280556947408E-3</v>
      </c>
      <c r="BR78" s="35">
        <f t="shared" si="98"/>
        <v>5.2310426075938485E-3</v>
      </c>
      <c r="BS78" s="35">
        <f t="shared" si="99"/>
        <v>5.196850350723722E-3</v>
      </c>
      <c r="BT78" s="35">
        <f t="shared" si="100"/>
        <v>5.162829705051936E-3</v>
      </c>
      <c r="BU78" s="35">
        <f t="shared" si="101"/>
        <v>5.1278698730861565E-3</v>
      </c>
      <c r="BV78" s="35">
        <f t="shared" si="102"/>
        <v>5.0908711001489259E-3</v>
      </c>
      <c r="BW78" s="289">
        <f t="shared" si="103"/>
        <v>6.6566976578769047E-2</v>
      </c>
      <c r="BX78" s="35">
        <f t="shared" si="104"/>
        <v>5.6502407260487296E-2</v>
      </c>
      <c r="BY78" s="35">
        <f t="shared" si="105"/>
        <v>5.7534459520283396E-2</v>
      </c>
      <c r="BZ78" s="35">
        <f t="shared" si="106"/>
        <v>5.8553407392428723E-2</v>
      </c>
      <c r="CA78" s="35">
        <f t="shared" si="107"/>
        <v>5.957822903009611E-2</v>
      </c>
      <c r="CB78" s="35">
        <f t="shared" si="108"/>
        <v>6.0634584876961425E-2</v>
      </c>
      <c r="CC78" s="35">
        <f t="shared" si="109"/>
        <v>6.1755484108069601E-2</v>
      </c>
      <c r="CD78" s="35">
        <f t="shared" si="110"/>
        <v>6.2981819144572807E-2</v>
      </c>
      <c r="CE78" s="35">
        <f t="shared" si="111"/>
        <v>6.436301497755223E-2</v>
      </c>
      <c r="CF78" s="289">
        <f t="shared" si="112"/>
        <v>11.552982461052254</v>
      </c>
      <c r="CG78" s="35">
        <f t="shared" si="113"/>
        <v>11.536617867397299</v>
      </c>
      <c r="CH78" s="35">
        <f t="shared" si="114"/>
        <v>11.538808641782614</v>
      </c>
      <c r="CI78" s="35">
        <f t="shared" si="115"/>
        <v>11.540810773642647</v>
      </c>
      <c r="CJ78" s="35">
        <f t="shared" si="116"/>
        <v>11.542684778236016</v>
      </c>
      <c r="CK78" s="35">
        <f t="shared" si="117"/>
        <v>11.54449048874163</v>
      </c>
      <c r="CL78" s="35">
        <f t="shared" si="118"/>
        <v>11.546287136372429</v>
      </c>
      <c r="CM78" s="35">
        <f t="shared" si="119"/>
        <v>11.54813338290991</v>
      </c>
      <c r="CN78" s="35">
        <f t="shared" si="120"/>
        <v>11.550087306958895</v>
      </c>
      <c r="CO78" s="289">
        <f t="shared" si="121"/>
        <v>485.41698889240365</v>
      </c>
      <c r="CP78" s="35">
        <f t="shared" si="122"/>
        <v>509.04491866746326</v>
      </c>
      <c r="CQ78" s="35">
        <f t="shared" si="123"/>
        <v>505.91635924803171</v>
      </c>
      <c r="CR78" s="35">
        <f t="shared" si="124"/>
        <v>503.04791694827986</v>
      </c>
      <c r="CS78" s="35">
        <f t="shared" si="125"/>
        <v>500.35498448364348</v>
      </c>
      <c r="CT78" s="35">
        <f t="shared" si="126"/>
        <v>497.75279324286834</v>
      </c>
      <c r="CU78" s="35">
        <f t="shared" si="127"/>
        <v>495.15643218609966</v>
      </c>
      <c r="CV78" s="35">
        <f t="shared" si="128"/>
        <v>492.48085549407597</v>
      </c>
      <c r="CW78" s="35">
        <f t="shared" si="129"/>
        <v>489.64087926432774</v>
      </c>
    </row>
    <row r="79" spans="1:101" x14ac:dyDescent="0.3">
      <c r="A79" s="184" t="str">
        <f>'Su K. oro stendu'!B124</f>
        <v>2023.02.09-1</v>
      </c>
      <c r="B79" s="289">
        <f>Sheet3!DD79</f>
        <v>7.89</v>
      </c>
      <c r="C79" s="289">
        <f>_xlfn.FORECAST.LINEAR(Sheet3!DD79,$DW$3:$DW$24,$DU$3:$DU$24)</f>
        <v>1002.0701551547839</v>
      </c>
      <c r="D79" s="35">
        <f>_xlfn.FORECAST.LINEAR(Sheet3!CI79,'Cooling water'!$DW$3:$DW$24,'Cooling water'!$DU$3:$DU$24)</f>
        <v>989.60547632258715</v>
      </c>
      <c r="E79" s="35">
        <f>_xlfn.FORECAST.LINEAR(Sheet3!CJ79,'Cooling water'!$DW$3:$DW$24,'Cooling water'!$DU$3:$DU$24)</f>
        <v>991.39898586452716</v>
      </c>
      <c r="F79" s="35">
        <f>_xlfn.FORECAST.LINEAR(Sheet3!CK79,'Cooling water'!$DW$3:$DW$24,'Cooling water'!$DU$3:$DU$24)</f>
        <v>992.99025033191731</v>
      </c>
      <c r="G79" s="35">
        <f>_xlfn.FORECAST.LINEAR(Sheet3!CL79,'Cooling water'!$DW$3:$DW$24,'Cooling water'!$DU$3:$DU$24)</f>
        <v>994.44007793865035</v>
      </c>
      <c r="H79" s="35">
        <f>_xlfn.FORECAST.LINEAR(Sheet3!CM79,'Cooling water'!$DW$3:$DW$24,'Cooling water'!$DU$3:$DU$24)</f>
        <v>995.80927689861915</v>
      </c>
      <c r="I79" s="35">
        <f>_xlfn.FORECAST.LINEAR(Sheet3!CN79,'Cooling water'!$DW$3:$DW$24,'Cooling water'!$DU$3:$DU$24)</f>
        <v>997.15865542571657</v>
      </c>
      <c r="J79" s="35">
        <f>_xlfn.FORECAST.LINEAR(Sheet3!CO79,'Cooling water'!$DW$3:$DW$24,'Cooling water'!$DU$3:$DU$24)</f>
        <v>998.54902173383539</v>
      </c>
      <c r="K79" s="35">
        <f>_xlfn.FORECAST.LINEAR(Sheet3!CP79,'Cooling water'!$DW$3:$DW$24,'Cooling water'!$DU$3:$DU$24)</f>
        <v>1000.0411840368683</v>
      </c>
      <c r="L79" s="289">
        <f t="shared" si="130"/>
        <v>1.3902592355452548E-3</v>
      </c>
      <c r="M79" s="35">
        <f xml:space="preserve"> 0.0000000000330128*((Sheet3!CI79+273)^(4)) - 0.0000000448315*((Sheet3!CI79+273)^(3)) + 0.0000228887*((Sheet3!CI79+273)^(2)) - 0.00521331*((Sheet3!CI79+273)) + 0.447905</f>
        <v>6.7564015390453314E-4</v>
      </c>
      <c r="N79" s="35">
        <f xml:space="preserve"> 0.0000000000330128*((Sheet3!CJ79+273)^(4)) - 0.0000000448315*((Sheet3!CJ79+273)^(3)) + 0.0000228887*((Sheet3!CJ79+273)^(2)) - 0.00521331*((Sheet3!CJ79+273)) + 0.447905</f>
        <v>7.3574239074192249E-4</v>
      </c>
      <c r="O79" s="35">
        <f xml:space="preserve"> 0.0000000000330128*((Sheet3!CK79+273)^(4)) - 0.0000000448315*((Sheet3!CK79+273)^(3)) + 0.0000228887*((Sheet3!CK79+273)^(2)) - 0.00521331*((Sheet3!CK79+273)) + 0.447905</f>
        <v>7.9754469232162783E-4</v>
      </c>
      <c r="P79" s="35">
        <f xml:space="preserve"> 0.0000000000330128*((Sheet3!CL79+273)^(4)) - 0.0000000448315*((Sheet3!CL79+273)^(3)) + 0.0000228887*((Sheet3!CL79+273)^(2)) - 0.00521331*((Sheet3!CL79+273)) + 0.447905</f>
        <v>8.6215758434193823E-4</v>
      </c>
      <c r="Q79" s="35">
        <f xml:space="preserve"> 0.0000000000330128*((Sheet3!CM79+273)^(4)) - 0.0000000448315*((Sheet3!CM79+273)^(3)) + 0.0000228887*((Sheet3!CM79+273)^(2)) - 0.00521331*((Sheet3!CM79+273)) + 0.447905</f>
        <v>9.3165359339497655E-4</v>
      </c>
      <c r="R79" s="35">
        <f xml:space="preserve"> 0.0000000000330128*((Sheet3!CN79+273)^(4)) - 0.0000000448315*((Sheet3!CN79+273)^(3)) + 0.0000228887*((Sheet3!CN79+273)^(2)) - 0.00521331*((Sheet3!CN79+273)) + 0.447905</f>
        <v>1.0093820611982718E-3</v>
      </c>
      <c r="S79" s="35">
        <f xml:space="preserve"> 0.0000000000330128*((Sheet3!CO79+273)^(4)) - 0.0000000448315*((Sheet3!CO79+273)^(3)) + 0.0000228887*((Sheet3!CO79+273)^(2)) - 0.00521331*((Sheet3!CO79+273)) + 0.447905</f>
        <v>1.1003720775148995E-3</v>
      </c>
      <c r="T79" s="35">
        <f xml:space="preserve"> 0.0000000000330128*((Sheet3!CP79+273)^(4)) - 0.0000000448315*((Sheet3!CP79+273)^(3)) + 0.0000228887*((Sheet3!CP79+273)^(2)) - 0.00521331*((Sheet3!CP79+273)) + 0.447905</f>
        <v>1.2119661893046363E-3</v>
      </c>
      <c r="U79" s="289">
        <f>(Sheet3!DC79*0.014*0.001*C79) / (L79*0.00015*3600*3)</f>
        <v>896.96986406774465</v>
      </c>
      <c r="V79" s="35">
        <f>(Sheet3!$DC79*0.014*0.001*D79) / (M79*0.00015*3600*3)</f>
        <v>1822.7291999809886</v>
      </c>
      <c r="W79" s="35">
        <f>(Sheet3!$DC79*0.014*0.001*E79) / (N79*0.00015*3600*3)</f>
        <v>1676.8654024989144</v>
      </c>
      <c r="X79" s="35">
        <f>(Sheet3!$DC79*0.014*0.001*F79) / (O79*0.00015*3600*3)</f>
        <v>1549.4068386511442</v>
      </c>
      <c r="Y79" s="35">
        <f>(Sheet3!$DC79*0.014*0.001*G79) / (P79*0.00015*3600*3)</f>
        <v>1435.3819450167264</v>
      </c>
      <c r="Z79" s="35">
        <f>(Sheet3!$DC79*0.014*0.001*H79) / (Q79*0.00015*3600*3)</f>
        <v>1330.1395831544355</v>
      </c>
      <c r="AA79" s="35">
        <f>(Sheet3!$DC79*0.014*0.001*I79) / (R79*0.00015*3600*3)</f>
        <v>1229.3744823452682</v>
      </c>
      <c r="AB79" s="35">
        <f>(Sheet3!$DC79*0.014*0.001*J79) / (S79*0.00015*3600*3)</f>
        <v>1129.2896357462148</v>
      </c>
      <c r="AC79" s="35">
        <f>(Sheet3!$DC79*0.014*0.001*K79) / (T79*0.00015*3600*3)</f>
        <v>1026.8402754736521</v>
      </c>
      <c r="AD79" s="289">
        <f t="shared" si="75"/>
        <v>0.58799494277383024</v>
      </c>
      <c r="AE79" s="35">
        <f>_xlfn.FORECAST.LINEAR(Sheet3!CI79,$DA$3:$DA$12,$CZ$3:$CZ$12)/1000</f>
        <v>0.62041651998623171</v>
      </c>
      <c r="AF79" s="35">
        <f>_xlfn.FORECAST.LINEAR(Sheet3!CJ79,$DA$3:$DA$12,$CZ$3:$CZ$12)/1000</f>
        <v>0.615751465324335</v>
      </c>
      <c r="AG79" s="35">
        <f>_xlfn.FORECAST.LINEAR(Sheet3!CK79,$DA$3:$DA$12,$CZ$3:$CZ$12)/1000</f>
        <v>0.6116124654760936</v>
      </c>
      <c r="AH79" s="35">
        <f>_xlfn.FORECAST.LINEAR(Sheet3!CL79,$DA$3:$DA$12,$CZ$3:$CZ$12)/1000</f>
        <v>0.60784135365450775</v>
      </c>
      <c r="AI79" s="35">
        <f>_xlfn.FORECAST.LINEAR(Sheet3!CM79,$DA$3:$DA$12,$CZ$3:$CZ$12)/1000</f>
        <v>0.60427996307257759</v>
      </c>
      <c r="AJ79" s="35">
        <f>_xlfn.FORECAST.LINEAR(Sheet3!CN79,$DA$3:$DA$12,$CZ$3:$CZ$12)/1000</f>
        <v>0.60077012694330334</v>
      </c>
      <c r="AK79" s="35">
        <f>_xlfn.FORECAST.LINEAR(Sheet3!CO79,$DA$3:$DA$12,$CZ$3:$CZ$12)/1000</f>
        <v>0.59715367847968492</v>
      </c>
      <c r="AL79" s="35">
        <f>_xlfn.FORECAST.LINEAR(Sheet3!CP79,$DA$3:$DA$12,$CZ$3:$CZ$12)/1000</f>
        <v>0.59327245089472258</v>
      </c>
      <c r="AM79" s="289">
        <f t="shared" si="76"/>
        <v>4189.1823934380845</v>
      </c>
      <c r="AN79" s="35">
        <f>_xlfn.FORECAST.LINEAR(Sheet3!CI79,$DP$3:$DP$14,$DJ$3:$DJ$14)*1000</f>
        <v>4192.0355369662739</v>
      </c>
      <c r="AO79" s="35">
        <f>_xlfn.FORECAST.LINEAR(Sheet3!CJ79,$DP$3:$DP$14,$DJ$3:$DJ$14)*1000</f>
        <v>4191.6250057194429</v>
      </c>
      <c r="AP79" s="35">
        <f>_xlfn.FORECAST.LINEAR(Sheet3!CK79,$DP$3:$DP$14,$DJ$3:$DJ$14)*1000</f>
        <v>4191.2607680220344</v>
      </c>
      <c r="AQ79" s="35">
        <f>_xlfn.FORECAST.LINEAR(Sheet3!CL79,$DP$3:$DP$14,$DJ$3:$DJ$14)*1000</f>
        <v>4190.9289049785639</v>
      </c>
      <c r="AR79" s="35">
        <f>_xlfn.FORECAST.LINEAR(Sheet3!CM79,$DP$3:$DP$14,$DJ$3:$DJ$14)*1000</f>
        <v>4190.6154976935441</v>
      </c>
      <c r="AS79" s="35">
        <f>_xlfn.FORECAST.LINEAR(Sheet3!CN79,$DP$3:$DP$14,$DJ$3:$DJ$14)*1000</f>
        <v>4190.3066272714905</v>
      </c>
      <c r="AT79" s="35">
        <f>_xlfn.FORECAST.LINEAR(Sheet3!CO79,$DP$3:$DP$14,$DJ$3:$DJ$14)*1000</f>
        <v>4189.9883748169168</v>
      </c>
      <c r="AU79" s="35">
        <f>_xlfn.FORECAST.LINEAR(Sheet3!CP79,$DP$3:$DP$14,$DJ$3:$DJ$14)*1000</f>
        <v>4189.6468214343367</v>
      </c>
      <c r="AV79" s="289">
        <f t="shared" si="77"/>
        <v>1.4007034346431594E-7</v>
      </c>
      <c r="AW79" s="35">
        <f t="shared" si="78"/>
        <v>1.4955340582518749E-7</v>
      </c>
      <c r="AX79" s="35">
        <f t="shared" si="79"/>
        <v>1.4817487214235792E-7</v>
      </c>
      <c r="AY79" s="35">
        <f t="shared" si="80"/>
        <v>1.4695577644595079E-7</v>
      </c>
      <c r="AZ79" s="35">
        <f t="shared" si="81"/>
        <v>1.4584828642005653E-7</v>
      </c>
      <c r="BA79" s="35">
        <f t="shared" si="82"/>
        <v>1.448052178802918E-7</v>
      </c>
      <c r="BB79" s="35">
        <f t="shared" si="83"/>
        <v>1.4377992816655737E-7</v>
      </c>
      <c r="BC79" s="35">
        <f t="shared" si="84"/>
        <v>1.4272626581021818E-7</v>
      </c>
      <c r="BD79" s="35">
        <f t="shared" si="85"/>
        <v>1.4159857473221447E-7</v>
      </c>
      <c r="BE79" s="289">
        <f t="shared" si="74"/>
        <v>9.9049312981949722</v>
      </c>
      <c r="BF79" s="35">
        <f t="shared" si="86"/>
        <v>4.5651710490107842</v>
      </c>
      <c r="BG79" s="35">
        <f t="shared" si="87"/>
        <v>5.0084431405733385</v>
      </c>
      <c r="BH79" s="35">
        <f t="shared" si="88"/>
        <v>5.4654180029993213</v>
      </c>
      <c r="BI79" s="35">
        <f t="shared" si="89"/>
        <v>5.9443819002134903</v>
      </c>
      <c r="BJ79" s="35">
        <f t="shared" si="90"/>
        <v>6.4609158429003717</v>
      </c>
      <c r="BK79" s="35">
        <f t="shared" si="91"/>
        <v>7.0403306536032852</v>
      </c>
      <c r="BL79" s="35">
        <f t="shared" si="92"/>
        <v>7.7208704876418484</v>
      </c>
      <c r="BM79" s="35">
        <f t="shared" si="93"/>
        <v>8.5588169230650912</v>
      </c>
      <c r="BN79" s="289">
        <f t="shared" si="94"/>
        <v>4.8238511142047547E-3</v>
      </c>
      <c r="BO79" s="35">
        <f t="shared" si="95"/>
        <v>5.1504361700000804E-3</v>
      </c>
      <c r="BP79" s="35">
        <f t="shared" si="96"/>
        <v>5.1029611579638551E-3</v>
      </c>
      <c r="BQ79" s="35">
        <f t="shared" si="97"/>
        <v>5.0609769949498343E-3</v>
      </c>
      <c r="BR79" s="35">
        <f t="shared" si="98"/>
        <v>5.0228363945682732E-3</v>
      </c>
      <c r="BS79" s="35">
        <f t="shared" si="99"/>
        <v>4.9869143912855598E-3</v>
      </c>
      <c r="BT79" s="35">
        <f t="shared" si="100"/>
        <v>4.951604669001337E-3</v>
      </c>
      <c r="BU79" s="35">
        <f t="shared" si="101"/>
        <v>4.915317827647819E-3</v>
      </c>
      <c r="BV79" s="35">
        <f t="shared" si="102"/>
        <v>4.8764815277675894E-3</v>
      </c>
      <c r="BW79" s="289">
        <f t="shared" si="103"/>
        <v>6.5964874251884173E-2</v>
      </c>
      <c r="BX79" s="35">
        <f t="shared" si="104"/>
        <v>5.5249285269325689E-2</v>
      </c>
      <c r="BY79" s="35">
        <f t="shared" si="105"/>
        <v>5.6413448795714388E-2</v>
      </c>
      <c r="BZ79" s="35">
        <f t="shared" si="106"/>
        <v>5.7539467022514501E-2</v>
      </c>
      <c r="CA79" s="35">
        <f t="shared" si="107"/>
        <v>5.8649637491048442E-2</v>
      </c>
      <c r="CB79" s="35">
        <f t="shared" si="108"/>
        <v>5.9776832348590506E-2</v>
      </c>
      <c r="CC79" s="35">
        <f t="shared" si="109"/>
        <v>6.0965782631183164E-2</v>
      </c>
      <c r="CD79" s="35">
        <f t="shared" si="110"/>
        <v>6.2273871519380346E-2</v>
      </c>
      <c r="CE79" s="35">
        <f t="shared" si="111"/>
        <v>6.3772211574482096E-2</v>
      </c>
      <c r="CF79" s="289">
        <f t="shared" si="112"/>
        <v>11.564188768458205</v>
      </c>
      <c r="CG79" s="35">
        <f t="shared" si="113"/>
        <v>11.546941645272787</v>
      </c>
      <c r="CH79" s="35">
        <f t="shared" si="114"/>
        <v>11.549448824846035</v>
      </c>
      <c r="CI79" s="35">
        <f t="shared" si="115"/>
        <v>11.551666029884936</v>
      </c>
      <c r="CJ79" s="35">
        <f t="shared" si="116"/>
        <v>11.553680254422996</v>
      </c>
      <c r="CK79" s="35">
        <f t="shared" si="117"/>
        <v>11.555577313717933</v>
      </c>
      <c r="CL79" s="35">
        <f t="shared" si="118"/>
        <v>11.557442038141394</v>
      </c>
      <c r="CM79" s="35">
        <f t="shared" si="119"/>
        <v>11.55935836472073</v>
      </c>
      <c r="CN79" s="35">
        <f t="shared" si="120"/>
        <v>11.561409329503759</v>
      </c>
      <c r="CO79" s="289">
        <f t="shared" si="121"/>
        <v>485.69175093823947</v>
      </c>
      <c r="CP79" s="35">
        <f t="shared" si="122"/>
        <v>511.70809657458824</v>
      </c>
      <c r="CQ79" s="35">
        <f t="shared" si="123"/>
        <v>507.97071697052604</v>
      </c>
      <c r="CR79" s="35">
        <f t="shared" si="124"/>
        <v>504.65306720674027</v>
      </c>
      <c r="CS79" s="35">
        <f t="shared" si="125"/>
        <v>501.62890325284513</v>
      </c>
      <c r="CT79" s="35">
        <f t="shared" si="126"/>
        <v>498.77170231541339</v>
      </c>
      <c r="CU79" s="35">
        <f t="shared" si="127"/>
        <v>495.9547085995768</v>
      </c>
      <c r="CV79" s="35">
        <f t="shared" si="128"/>
        <v>493.05095488270706</v>
      </c>
      <c r="CW79" s="35">
        <f t="shared" si="129"/>
        <v>489.93326062227186</v>
      </c>
    </row>
    <row r="80" spans="1:101" x14ac:dyDescent="0.3">
      <c r="A80" s="184" t="str">
        <f>'Su K. oro stendu'!B125</f>
        <v>2023.02.09-2</v>
      </c>
      <c r="B80" s="289">
        <f>Sheet3!DD80</f>
        <v>7.97</v>
      </c>
      <c r="C80" s="289">
        <f>_xlfn.FORECAST.LINEAR(Sheet3!DD80,$DW$3:$DW$24,$DU$3:$DU$24)</f>
        <v>1002.0369672377115</v>
      </c>
      <c r="D80" s="35">
        <f>_xlfn.FORECAST.LINEAR(Sheet3!CI80,'Cooling water'!$DW$3:$DW$24,'Cooling water'!$DU$3:$DU$24)</f>
        <v>987.71205422404296</v>
      </c>
      <c r="E80" s="35">
        <f>_xlfn.FORECAST.LINEAR(Sheet3!CJ80,'Cooling water'!$DW$3:$DW$24,'Cooling water'!$DU$3:$DU$24)</f>
        <v>989.68096894487348</v>
      </c>
      <c r="F80" s="35">
        <f>_xlfn.FORECAST.LINEAR(Sheet3!CK80,'Cooling water'!$DW$3:$DW$24,'Cooling water'!$DU$3:$DU$24)</f>
        <v>991.49609126424104</v>
      </c>
      <c r="G80" s="35">
        <f>_xlfn.FORECAST.LINEAR(Sheet3!CL80,'Cooling water'!$DW$3:$DW$24,'Cooling water'!$DU$3:$DU$24)</f>
        <v>993.20041978353811</v>
      </c>
      <c r="H80" s="35">
        <f>_xlfn.FORECAST.LINEAR(Sheet3!CM80,'Cooling water'!$DW$3:$DW$24,'Cooling water'!$DU$3:$DU$24)</f>
        <v>994.83695310415737</v>
      </c>
      <c r="I80" s="35">
        <f>_xlfn.FORECAST.LINEAR(Sheet3!CN80,'Cooling water'!$DW$3:$DW$24,'Cooling water'!$DU$3:$DU$24)</f>
        <v>996.44868982749153</v>
      </c>
      <c r="J80" s="35">
        <f>_xlfn.FORECAST.LINEAR(Sheet3!CO80,'Cooling water'!$DW$3:$DW$24,'Cooling water'!$DU$3:$DU$24)</f>
        <v>998.07862855493318</v>
      </c>
      <c r="K80" s="35">
        <f>_xlfn.FORECAST.LINEAR(Sheet3!CP80,'Cooling water'!$DW$3:$DW$24,'Cooling water'!$DU$3:$DU$24)</f>
        <v>999.76976788787499</v>
      </c>
      <c r="L80" s="289">
        <f t="shared" si="130"/>
        <v>1.3870731113003743E-3</v>
      </c>
      <c r="M80" s="35">
        <f xml:space="preserve"> 0.0000000000330128*((Sheet3!CI80+273)^(4)) - 0.0000000448315*((Sheet3!CI80+273)^(3)) + 0.0000228887*((Sheet3!CI80+273)^(2)) - 0.00521331*((Sheet3!CI80+273)) + 0.447905</f>
        <v>6.2109587418435197E-4</v>
      </c>
      <c r="N80" s="35">
        <f xml:space="preserve"> 0.0000000000330128*((Sheet3!CJ80+273)^(4)) - 0.0000000448315*((Sheet3!CJ80+273)^(3)) + 0.0000228887*((Sheet3!CJ80+273)^(2)) - 0.00521331*((Sheet3!CJ80+273)) + 0.447905</f>
        <v>6.7799103431487318E-4</v>
      </c>
      <c r="O80" s="35">
        <f xml:space="preserve"> 0.0000000000330128*((Sheet3!CK80+273)^(4)) - 0.0000000448315*((Sheet3!CK80+273)^(3)) + 0.0000228887*((Sheet3!CK80+273)^(2)) - 0.00521331*((Sheet3!CK80+273)) + 0.447905</f>
        <v>7.3926879538155355E-4</v>
      </c>
      <c r="P80" s="35">
        <f xml:space="preserve"> 0.0000000000330128*((Sheet3!CL80+273)^(4)) - 0.0000000448315*((Sheet3!CL80+273)^(3)) + 0.0000228887*((Sheet3!CL80+273)^(2)) - 0.00521331*((Sheet3!CL80+273)) + 0.447905</f>
        <v>8.0638848707326183E-4</v>
      </c>
      <c r="Q80" s="35">
        <f xml:space="preserve"> 0.0000000000330128*((Sheet3!CM80+273)^(4)) - 0.0000000448315*((Sheet3!CM80+273)^(3)) + 0.0000228887*((Sheet3!CM80+273)^(2)) - 0.00521331*((Sheet3!CM80+273)) + 0.447905</f>
        <v>8.8140094946975722E-4</v>
      </c>
      <c r="R80" s="35">
        <f xml:space="preserve"> 0.0000000000330128*((Sheet3!CN80+273)^(4)) - 0.0000000448315*((Sheet3!CN80+273)^(3)) + 0.0000228887*((Sheet3!CN80+273)^(2)) - 0.00521331*((Sheet3!CN80+273)) + 0.447905</f>
        <v>9.6726851796380409E-4</v>
      </c>
      <c r="S80" s="35">
        <f xml:space="preserve"> 0.0000000000330128*((Sheet3!CO80+273)^(4)) - 0.0000000448315*((Sheet3!CO80+273)^(3)) + 0.0000228887*((Sheet3!CO80+273)^(2)) - 0.00521331*((Sheet3!CO80+273)) + 0.447905</f>
        <v>1.0682636842824778E-3</v>
      </c>
      <c r="T80" s="35">
        <f xml:space="preserve"> 0.0000000000330128*((Sheet3!CP80+273)^(4)) - 0.0000000448315*((Sheet3!CP80+273)^(3)) + 0.0000228887*((Sheet3!CP80+273)^(2)) - 0.00521331*((Sheet3!CP80+273)) + 0.447905</f>
        <v>1.1905123530329131E-3</v>
      </c>
      <c r="U80" s="289">
        <f>(Sheet3!DC80*0.014*0.001*C80) / (L80*0.00015*3600*3)</f>
        <v>973.91714304882669</v>
      </c>
      <c r="V80" s="35">
        <f>(Sheet3!$DC80*0.014*0.001*D80) / (M80*0.00015*3600*3)</f>
        <v>2143.9237195939095</v>
      </c>
      <c r="W80" s="35">
        <f>(Sheet3!$DC80*0.014*0.001*E80) / (N80*0.00015*3600*3)</f>
        <v>1967.9265624637285</v>
      </c>
      <c r="X80" s="35">
        <f>(Sheet3!$DC80*0.014*0.001*F80) / (O80*0.00015*3600*3)</f>
        <v>1808.1158405233659</v>
      </c>
      <c r="Y80" s="35">
        <f>(Sheet3!$DC80*0.014*0.001*G80) / (P80*0.00015*3600*3)</f>
        <v>1660.4667950194728</v>
      </c>
      <c r="Z80" s="35">
        <f>(Sheet3!$DC80*0.014*0.001*H80) / (Q80*0.00015*3600*3)</f>
        <v>1521.6543581483115</v>
      </c>
      <c r="AA80" s="35">
        <f>(Sheet3!$DC80*0.014*0.001*I80) / (R80*0.00015*3600*3)</f>
        <v>1388.8185451786317</v>
      </c>
      <c r="AB80" s="35">
        <f>(Sheet3!$DC80*0.014*0.001*J80) / (S80*0.00015*3600*3)</f>
        <v>1259.5746486471173</v>
      </c>
      <c r="AC80" s="35">
        <f>(Sheet3!$DC80*0.014*0.001*K80) / (T80*0.00015*3600*3)</f>
        <v>1132.1493285801128</v>
      </c>
      <c r="AD80" s="289">
        <f t="shared" si="75"/>
        <v>0.58808126706909458</v>
      </c>
      <c r="AE80" s="35">
        <f>_xlfn.FORECAST.LINEAR(Sheet3!CI80,$DA$3:$DA$12,$CZ$3:$CZ$12)/1000</f>
        <v>0.62534145480324854</v>
      </c>
      <c r="AF80" s="35">
        <f>_xlfn.FORECAST.LINEAR(Sheet3!CJ80,$DA$3:$DA$12,$CZ$3:$CZ$12)/1000</f>
        <v>0.62022015793668561</v>
      </c>
      <c r="AG80" s="35">
        <f>_xlfn.FORECAST.LINEAR(Sheet3!CK80,$DA$3:$DA$12,$CZ$3:$CZ$12)/1000</f>
        <v>0.61549888679768783</v>
      </c>
      <c r="AH80" s="35">
        <f>_xlfn.FORECAST.LINEAR(Sheet3!CL80,$DA$3:$DA$12,$CZ$3:$CZ$12)/1000</f>
        <v>0.61106579875526223</v>
      </c>
      <c r="AI80" s="35">
        <f>_xlfn.FORECAST.LINEAR(Sheet3!CM80,$DA$3:$DA$12,$CZ$3:$CZ$12)/1000</f>
        <v>0.60680905117841544</v>
      </c>
      <c r="AJ80" s="35">
        <f>_xlfn.FORECAST.LINEAR(Sheet3!CN80,$DA$3:$DA$12,$CZ$3:$CZ$12)/1000</f>
        <v>0.60261680143615459</v>
      </c>
      <c r="AK80" s="35">
        <f>_xlfn.FORECAST.LINEAR(Sheet3!CO80,$DA$3:$DA$12,$CZ$3:$CZ$12)/1000</f>
        <v>0.59837720689748652</v>
      </c>
      <c r="AL80" s="35">
        <f>_xlfn.FORECAST.LINEAR(Sheet3!CP80,$DA$3:$DA$12,$CZ$3:$CZ$12)/1000</f>
        <v>0.59397842493141817</v>
      </c>
      <c r="AM80" s="289">
        <f t="shared" si="76"/>
        <v>4189.189990095173</v>
      </c>
      <c r="AN80" s="35">
        <f>_xlfn.FORECAST.LINEAR(Sheet3!CI80,$DP$3:$DP$14,$DJ$3:$DJ$14)*1000</f>
        <v>4192.468938025324</v>
      </c>
      <c r="AO80" s="35">
        <f>_xlfn.FORECAST.LINEAR(Sheet3!CJ80,$DP$3:$DP$14,$DJ$3:$DJ$14)*1000</f>
        <v>4192.0182568349846</v>
      </c>
      <c r="AP80" s="35">
        <f>_xlfn.FORECAST.LINEAR(Sheet3!CK80,$DP$3:$DP$14,$DJ$3:$DJ$14)*1000</f>
        <v>4191.602778460604</v>
      </c>
      <c r="AQ80" s="35">
        <f>_xlfn.FORECAST.LINEAR(Sheet3!CL80,$DP$3:$DP$14,$DJ$3:$DJ$14)*1000</f>
        <v>4191.2126605963404</v>
      </c>
      <c r="AR80" s="35">
        <f>_xlfn.FORECAST.LINEAR(Sheet3!CM80,$DP$3:$DP$14,$DJ$3:$DJ$14)*1000</f>
        <v>4190.838060936353</v>
      </c>
      <c r="AS80" s="35">
        <f>_xlfn.FORECAST.LINEAR(Sheet3!CN80,$DP$3:$DP$14,$DJ$3:$DJ$14)*1000</f>
        <v>4190.4691371748004</v>
      </c>
      <c r="AT80" s="35">
        <f>_xlfn.FORECAST.LINEAR(Sheet3!CO80,$DP$3:$DP$14,$DJ$3:$DJ$14)*1000</f>
        <v>4190.0960470058399</v>
      </c>
      <c r="AU80" s="35">
        <f>_xlfn.FORECAST.LINEAR(Sheet3!CP80,$DP$3:$DP$14,$DJ$3:$DJ$14)*1000</f>
        <v>4189.7089481236299</v>
      </c>
      <c r="AV80" s="289">
        <f t="shared" si="77"/>
        <v>1.4009529319749027E-7</v>
      </c>
      <c r="AW80" s="35">
        <f t="shared" si="78"/>
        <v>1.5101393076702824E-7</v>
      </c>
      <c r="AX80" s="35">
        <f t="shared" si="79"/>
        <v>1.4949528407191866E-7</v>
      </c>
      <c r="AY80" s="35">
        <f t="shared" si="80"/>
        <v>1.4810037077280954E-7</v>
      </c>
      <c r="AZ80" s="35">
        <f t="shared" si="81"/>
        <v>1.4679504122230597E-7</v>
      </c>
      <c r="BA80" s="35">
        <f t="shared" si="82"/>
        <v>1.4554566069797602E-7</v>
      </c>
      <c r="BB80" s="35">
        <f t="shared" si="83"/>
        <v>1.4431904590815155E-7</v>
      </c>
      <c r="BC80" s="35">
        <f t="shared" si="84"/>
        <v>1.4308243016702056E-7</v>
      </c>
      <c r="BD80" s="35">
        <f t="shared" si="85"/>
        <v>1.4180345620355891E-7</v>
      </c>
      <c r="BE80" s="289">
        <f t="shared" si="74"/>
        <v>9.8807989962839375</v>
      </c>
      <c r="BF80" s="35">
        <f t="shared" si="86"/>
        <v>4.1640053446846164</v>
      </c>
      <c r="BG80" s="35">
        <f t="shared" si="87"/>
        <v>4.5824869724865023</v>
      </c>
      <c r="BH80" s="35">
        <f t="shared" si="88"/>
        <v>5.0344869880635246</v>
      </c>
      <c r="BI80" s="35">
        <f t="shared" si="89"/>
        <v>5.5309029621116199</v>
      </c>
      <c r="BJ80" s="35">
        <f t="shared" si="90"/>
        <v>6.0872668903174212</v>
      </c>
      <c r="BK80" s="35">
        <f t="shared" si="91"/>
        <v>6.7261796588284568</v>
      </c>
      <c r="BL80" s="35">
        <f t="shared" si="92"/>
        <v>7.4804444238109999</v>
      </c>
      <c r="BM80" s="35">
        <f t="shared" si="93"/>
        <v>8.3974434912002511</v>
      </c>
      <c r="BN80" s="289">
        <f t="shared" si="94"/>
        <v>4.4535787868903876E-3</v>
      </c>
      <c r="BO80" s="35">
        <f t="shared" si="95"/>
        <v>4.8006783328607876E-3</v>
      </c>
      <c r="BP80" s="35">
        <f t="shared" si="96"/>
        <v>4.7524011027572262E-3</v>
      </c>
      <c r="BQ80" s="35">
        <f t="shared" si="97"/>
        <v>4.7080573126364088E-3</v>
      </c>
      <c r="BR80" s="35">
        <f t="shared" si="98"/>
        <v>4.6665613575379832E-3</v>
      </c>
      <c r="BS80" s="35">
        <f t="shared" si="99"/>
        <v>4.6268440017802424E-3</v>
      </c>
      <c r="BT80" s="35">
        <f t="shared" si="100"/>
        <v>4.5878503605024613E-3</v>
      </c>
      <c r="BU80" s="35">
        <f t="shared" si="101"/>
        <v>4.5485387925936665E-3</v>
      </c>
      <c r="BV80" s="35">
        <f t="shared" si="102"/>
        <v>4.5078806720911567E-3</v>
      </c>
      <c r="BW80" s="289">
        <f t="shared" si="103"/>
        <v>6.4621450096509506E-2</v>
      </c>
      <c r="BX80" s="35">
        <f t="shared" si="104"/>
        <v>5.3052379744829029E-2</v>
      </c>
      <c r="BY80" s="35">
        <f t="shared" si="105"/>
        <v>5.4200710545715292E-2</v>
      </c>
      <c r="BZ80" s="35">
        <f t="shared" si="106"/>
        <v>5.5360580980067096E-2</v>
      </c>
      <c r="CA80" s="35">
        <f t="shared" si="107"/>
        <v>5.6552219340427916E-2</v>
      </c>
      <c r="CB80" s="35">
        <f t="shared" si="108"/>
        <v>5.7800047903649128E-2</v>
      </c>
      <c r="CC80" s="35">
        <f t="shared" si="109"/>
        <v>5.9135166662165235E-2</v>
      </c>
      <c r="CD80" s="35">
        <f t="shared" si="110"/>
        <v>6.0597013986098958E-2</v>
      </c>
      <c r="CE80" s="35">
        <f t="shared" si="111"/>
        <v>6.2234509866296764E-2</v>
      </c>
      <c r="CF80" s="289">
        <f t="shared" si="112"/>
        <v>11.583743038710379</v>
      </c>
      <c r="CG80" s="35">
        <f t="shared" si="113"/>
        <v>11.565412534847072</v>
      </c>
      <c r="CH80" s="35">
        <f t="shared" si="114"/>
        <v>11.56796207996517</v>
      </c>
      <c r="CI80" s="35">
        <f t="shared" si="115"/>
        <v>11.570303898113767</v>
      </c>
      <c r="CJ80" s="35">
        <f t="shared" si="116"/>
        <v>11.572495320643915</v>
      </c>
      <c r="CK80" s="35">
        <f t="shared" si="117"/>
        <v>11.574592814436718</v>
      </c>
      <c r="CL80" s="35">
        <f t="shared" si="118"/>
        <v>11.576652088499115</v>
      </c>
      <c r="CM80" s="35">
        <f t="shared" si="119"/>
        <v>11.578728152428873</v>
      </c>
      <c r="CN80" s="35">
        <f t="shared" si="120"/>
        <v>11.580875328487149</v>
      </c>
      <c r="CO80" s="289">
        <f t="shared" si="121"/>
        <v>486.58444882911454</v>
      </c>
      <c r="CP80" s="35">
        <f t="shared" si="122"/>
        <v>516.59513571007096</v>
      </c>
      <c r="CQ80" s="35">
        <f t="shared" si="123"/>
        <v>512.47737630297058</v>
      </c>
      <c r="CR80" s="35">
        <f t="shared" si="124"/>
        <v>508.67922637142658</v>
      </c>
      <c r="CS80" s="35">
        <f t="shared" si="125"/>
        <v>505.11114976434345</v>
      </c>
      <c r="CT80" s="35">
        <f t="shared" si="126"/>
        <v>501.68340596463213</v>
      </c>
      <c r="CU80" s="35">
        <f t="shared" si="127"/>
        <v>498.30607520789397</v>
      </c>
      <c r="CV80" s="35">
        <f t="shared" si="128"/>
        <v>494.8890722339774</v>
      </c>
      <c r="CW80" s="35">
        <f t="shared" si="129"/>
        <v>491.34214906727976</v>
      </c>
    </row>
    <row r="81" spans="1:101" x14ac:dyDescent="0.3">
      <c r="A81" s="184" t="str">
        <f>'Su K. oro stendu'!B126</f>
        <v>2023.02.10</v>
      </c>
      <c r="B81" s="289">
        <f>Sheet3!DD81</f>
        <v>7.16</v>
      </c>
      <c r="C81" s="289">
        <f>_xlfn.FORECAST.LINEAR(Sheet3!DD81,$DW$3:$DW$24,$DU$3:$DU$24)</f>
        <v>1002.3729948980709</v>
      </c>
      <c r="D81" s="35">
        <f>_xlfn.FORECAST.LINEAR(Sheet3!CI81,'Cooling water'!$DW$3:$DW$24,'Cooling water'!$DU$3:$DU$24)</f>
        <v>993.18352043598748</v>
      </c>
      <c r="E81" s="35">
        <f>_xlfn.FORECAST.LINEAR(Sheet3!CJ81,'Cooling water'!$DW$3:$DW$24,'Cooling water'!$DU$3:$DU$24)</f>
        <v>994.28876803992455</v>
      </c>
      <c r="F81" s="35">
        <f>_xlfn.FORECAST.LINEAR(Sheet3!CK81,'Cooling water'!$DW$3:$DW$24,'Cooling water'!$DU$3:$DU$24)</f>
        <v>995.33795652089384</v>
      </c>
      <c r="G81" s="35">
        <f>_xlfn.FORECAST.LINEAR(Sheet3!CL81,'Cooling water'!$DW$3:$DW$24,'Cooling water'!$DU$3:$DU$24)</f>
        <v>996.3587082136055</v>
      </c>
      <c r="H81" s="35">
        <f>_xlfn.FORECAST.LINEAR(Sheet3!CM81,'Cooling water'!$DW$3:$DW$24,'Cooling water'!$DU$3:$DU$24)</f>
        <v>997.37864545276932</v>
      </c>
      <c r="I81" s="35">
        <f>_xlfn.FORECAST.LINEAR(Sheet3!CN81,'Cooling water'!$DW$3:$DW$24,'Cooling water'!$DU$3:$DU$24)</f>
        <v>998.42539057309523</v>
      </c>
      <c r="J81" s="35">
        <f>_xlfn.FORECAST.LINEAR(Sheet3!CO81,'Cooling water'!$DW$3:$DW$24,'Cooling water'!$DU$3:$DU$24)</f>
        <v>999.52656590929325</v>
      </c>
      <c r="K81" s="35">
        <f>_xlfn.FORECAST.LINEAR(Sheet3!CP81,'Cooling water'!$DW$3:$DW$24,'Cooling water'!$DU$3:$DU$24)</f>
        <v>1000.7097937960734</v>
      </c>
      <c r="L81" s="289">
        <f t="shared" si="130"/>
        <v>1.4197723608273538E-3</v>
      </c>
      <c r="M81" s="35">
        <f xml:space="preserve"> 0.0000000000330128*((Sheet3!CI81+273)^(4)) - 0.0000000448315*((Sheet3!CI81+273)^(3)) + 0.0000228887*((Sheet3!CI81+273)^(2)) - 0.00521331*((Sheet3!CI81+273)) + 0.447905</f>
        <v>8.056711093245017E-4</v>
      </c>
      <c r="N81" s="35">
        <f xml:space="preserve"> 0.0000000000330128*((Sheet3!CJ81+273)^(4)) - 0.0000000448315*((Sheet3!CJ81+273)^(3)) + 0.0000228887*((Sheet3!CJ81+273)^(2)) - 0.00521331*((Sheet3!CJ81+273)) + 0.447905</f>
        <v>8.5500498560309168E-4</v>
      </c>
      <c r="O81" s="35">
        <f xml:space="preserve"> 0.0000000000330128*((Sheet3!CK81+273)^(4)) - 0.0000000448315*((Sheet3!CK81+273)^(3)) + 0.0000228887*((Sheet3!CK81+273)^(2)) - 0.00521331*((Sheet3!CK81+273)) + 0.447905</f>
        <v>9.0672676894576476E-4</v>
      </c>
      <c r="P81" s="35">
        <f xml:space="preserve"> 0.0000000000330128*((Sheet3!CL81+273)^(4)) - 0.0000000448315*((Sheet3!CL81+273)^(3)) + 0.0000228887*((Sheet3!CL81+273)^(2)) - 0.00521331*((Sheet3!CL81+273)) + 0.447905</f>
        <v>9.6212732194023154E-4</v>
      </c>
      <c r="Q81" s="35">
        <f xml:space="preserve"> 0.0000000000330128*((Sheet3!CM81+273)^(4)) - 0.0000000448315*((Sheet3!CM81+273)^(3)) + 0.0000228887*((Sheet3!CM81+273)^(2)) - 0.00521331*((Sheet3!CM81+273)) + 0.447905</f>
        <v>1.023007061716541E-3</v>
      </c>
      <c r="R81" s="35">
        <f xml:space="preserve"> 0.0000000000330128*((Sheet3!CN81+273)^(4)) - 0.0000000448315*((Sheet3!CN81+273)^(3)) + 0.0000228887*((Sheet3!CN81+273)^(2)) - 0.00521331*((Sheet3!CN81+273)) + 0.447905</f>
        <v>1.0917970710444536E-3</v>
      </c>
      <c r="S81" s="35">
        <f xml:space="preserve"> 0.0000000000330128*((Sheet3!CO81+273)^(4)) - 0.0000000448315*((Sheet3!CO81+273)^(3)) + 0.0000228887*((Sheet3!CO81+273)^(2)) - 0.00521331*((Sheet3!CO81+273)) + 0.447905</f>
        <v>1.1717369936972144E-3</v>
      </c>
      <c r="T81" s="35">
        <f xml:space="preserve"> 0.0000000000330128*((Sheet3!CP81+273)^(4)) - 0.0000000448315*((Sheet3!CP81+273)^(3)) + 0.0000228887*((Sheet3!CP81+273)^(2)) - 0.00521331*((Sheet3!CP81+273)) + 0.447905</f>
        <v>1.2671409661362265E-3</v>
      </c>
      <c r="U81" s="289">
        <f>(Sheet3!DC81*0.014*0.001*C81) / (L81*0.00015*3600*3)</f>
        <v>1281.2767816181777</v>
      </c>
      <c r="V81" s="35">
        <f>(Sheet3!$DC81*0.014*0.001*D81) / (M81*0.00015*3600*3)</f>
        <v>2237.1959796701472</v>
      </c>
      <c r="W81" s="35">
        <f>(Sheet3!$DC81*0.014*0.001*E81) / (N81*0.00015*3600*3)</f>
        <v>2110.4555140927368</v>
      </c>
      <c r="X81" s="35">
        <f>(Sheet3!$DC81*0.014*0.001*F81) / (O81*0.00015*3600*3)</f>
        <v>1992.1702227252406</v>
      </c>
      <c r="Y81" s="35">
        <f>(Sheet3!$DC81*0.014*0.001*G81) / (P81*0.00015*3600*3)</f>
        <v>1879.383843802879</v>
      </c>
      <c r="Z81" s="35">
        <f>(Sheet3!$DC81*0.014*0.001*H81) / (Q81*0.00015*3600*3)</f>
        <v>1769.3499971646888</v>
      </c>
      <c r="AA81" s="35">
        <f>(Sheet3!$DC81*0.014*0.001*I81) / (R81*0.00015*3600*3)</f>
        <v>1659.6098655640608</v>
      </c>
      <c r="AB81" s="35">
        <f>(Sheet3!$DC81*0.014*0.001*J81) / (S81*0.00015*3600*3)</f>
        <v>1548.0911069382023</v>
      </c>
      <c r="AC81" s="35">
        <f>(Sheet3!$DC81*0.014*0.001*K81) / (T81*0.00015*3600*3)</f>
        <v>1433.2288258733076</v>
      </c>
      <c r="AD81" s="289">
        <f t="shared" si="75"/>
        <v>0.58720723357954285</v>
      </c>
      <c r="AE81" s="35">
        <f>_xlfn.FORECAST.LINEAR(Sheet3!CI81,$DA$3:$DA$12,$CZ$3:$CZ$12)/1000</f>
        <v>0.61110975524293643</v>
      </c>
      <c r="AF81" s="35">
        <f>_xlfn.FORECAST.LINEAR(Sheet3!CJ81,$DA$3:$DA$12,$CZ$3:$CZ$12)/1000</f>
        <v>0.60823492220373232</v>
      </c>
      <c r="AG81" s="35">
        <f>_xlfn.FORECAST.LINEAR(Sheet3!CK81,$DA$3:$DA$12,$CZ$3:$CZ$12)/1000</f>
        <v>0.6055059032050043</v>
      </c>
      <c r="AH81" s="35">
        <f>_xlfn.FORECAST.LINEAR(Sheet3!CL81,$DA$3:$DA$12,$CZ$3:$CZ$12)/1000</f>
        <v>0.60285085045431053</v>
      </c>
      <c r="AI81" s="35">
        <f>_xlfn.FORECAST.LINEAR(Sheet3!CM81,$DA$3:$DA$12,$CZ$3:$CZ$12)/1000</f>
        <v>0.60019791615920959</v>
      </c>
      <c r="AJ81" s="35">
        <f>_xlfn.FORECAST.LINEAR(Sheet3!CN81,$DA$3:$DA$12,$CZ$3:$CZ$12)/1000</f>
        <v>0.59747525252726019</v>
      </c>
      <c r="AK81" s="35">
        <f>_xlfn.FORECAST.LINEAR(Sheet3!CO81,$DA$3:$DA$12,$CZ$3:$CZ$12)/1000</f>
        <v>0.5946110117660206</v>
      </c>
      <c r="AL81" s="35">
        <f>_xlfn.FORECAST.LINEAR(Sheet3!CP81,$DA$3:$DA$12,$CZ$3:$CZ$12)/1000</f>
        <v>0.59153334608304953</v>
      </c>
      <c r="AM81" s="289">
        <f t="shared" si="76"/>
        <v>4189.1130739421487</v>
      </c>
      <c r="AN81" s="35">
        <f>_xlfn.FORECAST.LINEAR(Sheet3!CI81,$DP$3:$DP$14,$DJ$3:$DJ$14)*1000</f>
        <v>4191.2165288279048</v>
      </c>
      <c r="AO81" s="35">
        <f>_xlfn.FORECAST.LINEAR(Sheet3!CJ81,$DP$3:$DP$14,$DJ$3:$DJ$14)*1000</f>
        <v>4190.9635395539199</v>
      </c>
      <c r="AP81" s="35">
        <f>_xlfn.FORECAST.LINEAR(Sheet3!CK81,$DP$3:$DP$14,$DJ$3:$DJ$14)*1000</f>
        <v>4190.7233821166819</v>
      </c>
      <c r="AQ81" s="35">
        <f>_xlfn.FORECAST.LINEAR(Sheet3!CL81,$DP$3:$DP$14,$DJ$3:$DJ$14)*1000</f>
        <v>4190.489733811326</v>
      </c>
      <c r="AR81" s="35">
        <f>_xlfn.FORECAST.LINEAR(Sheet3!CM81,$DP$3:$DP$14,$DJ$3:$DJ$14)*1000</f>
        <v>4190.2562719329853</v>
      </c>
      <c r="AS81" s="35">
        <f>_xlfn.FORECAST.LINEAR(Sheet3!CN81,$DP$3:$DP$14,$DJ$3:$DJ$14)*1000</f>
        <v>4190.0166737767922</v>
      </c>
      <c r="AT81" s="35">
        <f>_xlfn.FORECAST.LINEAR(Sheet3!CO81,$DP$3:$DP$14,$DJ$3:$DJ$14)*1000</f>
        <v>4189.7646166378836</v>
      </c>
      <c r="AU81" s="35">
        <f>_xlfn.FORECAST.LINEAR(Sheet3!CP81,$DP$3:$DP$14,$DJ$3:$DJ$14)*1000</f>
        <v>4189.4937778113881</v>
      </c>
      <c r="AV81" s="289">
        <f t="shared" si="77"/>
        <v>1.3984275006840562E-7</v>
      </c>
      <c r="AW81" s="35">
        <f t="shared" si="78"/>
        <v>1.4680796324748701E-7</v>
      </c>
      <c r="AX81" s="35">
        <f t="shared" si="79"/>
        <v>1.4596372424300711E-7</v>
      </c>
      <c r="AY81" s="35">
        <f t="shared" si="80"/>
        <v>1.4516396447189494E-7</v>
      </c>
      <c r="AZ81" s="35">
        <f t="shared" si="81"/>
        <v>1.4438742656675209E-7</v>
      </c>
      <c r="BA81" s="35">
        <f t="shared" si="82"/>
        <v>1.4361302596838777E-7</v>
      </c>
      <c r="BB81" s="35">
        <f t="shared" si="83"/>
        <v>1.4281984368958669E-7</v>
      </c>
      <c r="BC81" s="35">
        <f t="shared" si="84"/>
        <v>1.4198713022361165E-7</v>
      </c>
      <c r="BD81" s="35">
        <f t="shared" si="85"/>
        <v>1.4109432035008925E-7</v>
      </c>
      <c r="BE81" s="289">
        <f t="shared" si="74"/>
        <v>10.128599612964269</v>
      </c>
      <c r="BF81" s="35">
        <f t="shared" si="86"/>
        <v>5.5255901926448523</v>
      </c>
      <c r="BG81" s="35">
        <f t="shared" si="87"/>
        <v>5.8913005320650322</v>
      </c>
      <c r="BH81" s="35">
        <f t="shared" si="88"/>
        <v>6.2754814638456562</v>
      </c>
      <c r="BI81" s="35">
        <f t="shared" si="89"/>
        <v>6.6878642738441147</v>
      </c>
      <c r="BJ81" s="35">
        <f t="shared" si="90"/>
        <v>7.1420803724556468</v>
      </c>
      <c r="BK81" s="35">
        <f t="shared" si="91"/>
        <v>7.656631655799341</v>
      </c>
      <c r="BL81" s="35">
        <f t="shared" si="92"/>
        <v>8.2563257306947513</v>
      </c>
      <c r="BM81" s="35">
        <f t="shared" si="93"/>
        <v>8.9744377529856258</v>
      </c>
      <c r="BN81" s="289">
        <f t="shared" si="94"/>
        <v>3.3024089666299872E-3</v>
      </c>
      <c r="BO81" s="35">
        <f t="shared" si="95"/>
        <v>3.4668935927249108E-3</v>
      </c>
      <c r="BP81" s="35">
        <f t="shared" si="96"/>
        <v>3.4469567532605175E-3</v>
      </c>
      <c r="BQ81" s="35">
        <f t="shared" si="97"/>
        <v>3.4280702980243414E-3</v>
      </c>
      <c r="BR81" s="35">
        <f t="shared" si="98"/>
        <v>3.4097322308766533E-3</v>
      </c>
      <c r="BS81" s="35">
        <f t="shared" si="99"/>
        <v>3.3914446365712562E-3</v>
      </c>
      <c r="BT81" s="35">
        <f t="shared" si="100"/>
        <v>3.3727135098707058E-3</v>
      </c>
      <c r="BU81" s="35">
        <f t="shared" si="101"/>
        <v>3.3530488478462224E-3</v>
      </c>
      <c r="BV81" s="35">
        <f t="shared" si="102"/>
        <v>3.3319649995210581E-3</v>
      </c>
      <c r="BW81" s="289">
        <f t="shared" si="103"/>
        <v>6.0338771384712865E-2</v>
      </c>
      <c r="BX81" s="35">
        <f t="shared" si="104"/>
        <v>5.2490558580100467E-2</v>
      </c>
      <c r="BY81" s="35">
        <f t="shared" si="105"/>
        <v>5.3261470331320129E-2</v>
      </c>
      <c r="BZ81" s="35">
        <f t="shared" si="106"/>
        <v>5.4035054124752992E-2</v>
      </c>
      <c r="CA81" s="35">
        <f t="shared" si="107"/>
        <v>5.4828116844190387E-2</v>
      </c>
      <c r="CB81" s="35">
        <f t="shared" si="108"/>
        <v>5.5661353724151208E-2</v>
      </c>
      <c r="CC81" s="35">
        <f t="shared" si="109"/>
        <v>5.6559518025927458E-2</v>
      </c>
      <c r="CD81" s="35">
        <f t="shared" si="110"/>
        <v>5.7551688910546281E-2</v>
      </c>
      <c r="CE81" s="35">
        <f t="shared" si="111"/>
        <v>5.8671652220429305E-2</v>
      </c>
      <c r="CF81" s="289">
        <f t="shared" si="112"/>
        <v>11.644536903417436</v>
      </c>
      <c r="CG81" s="35">
        <f t="shared" si="113"/>
        <v>11.635850386511578</v>
      </c>
      <c r="CH81" s="35">
        <f t="shared" si="114"/>
        <v>11.636903261161132</v>
      </c>
      <c r="CI81" s="35">
        <f t="shared" si="115"/>
        <v>11.637900664484444</v>
      </c>
      <c r="CJ81" s="35">
        <f t="shared" si="116"/>
        <v>11.638869107153409</v>
      </c>
      <c r="CK81" s="35">
        <f t="shared" si="117"/>
        <v>11.639834884325857</v>
      </c>
      <c r="CL81" s="35">
        <f t="shared" si="118"/>
        <v>11.640824084670067</v>
      </c>
      <c r="CM81" s="35">
        <f t="shared" si="119"/>
        <v>11.641862585490351</v>
      </c>
      <c r="CN81" s="35">
        <f t="shared" si="120"/>
        <v>11.642976034262222</v>
      </c>
      <c r="CO81" s="289">
        <f t="shared" si="121"/>
        <v>488.4111643836178</v>
      </c>
      <c r="CP81" s="35">
        <f t="shared" si="122"/>
        <v>507.91297726746558</v>
      </c>
      <c r="CQ81" s="35">
        <f t="shared" si="123"/>
        <v>505.56935355319285</v>
      </c>
      <c r="CR81" s="35">
        <f t="shared" si="124"/>
        <v>503.34411094705519</v>
      </c>
      <c r="CS81" s="35">
        <f t="shared" si="125"/>
        <v>501.17872425527389</v>
      </c>
      <c r="CT81" s="35">
        <f t="shared" si="126"/>
        <v>499.01461728640385</v>
      </c>
      <c r="CU81" s="35">
        <f t="shared" si="127"/>
        <v>496.79316497240433</v>
      </c>
      <c r="CV81" s="35">
        <f t="shared" si="128"/>
        <v>494.45569219995701</v>
      </c>
      <c r="CW81" s="35">
        <f t="shared" si="129"/>
        <v>491.94346942227764</v>
      </c>
    </row>
    <row r="82" spans="1:101" x14ac:dyDescent="0.3">
      <c r="A82" s="184" t="str">
        <f>'Su K. oro stendu'!B127</f>
        <v>2023.02.13-1</v>
      </c>
      <c r="B82" s="289">
        <f>Sheet3!DD82</f>
        <v>7.01</v>
      </c>
      <c r="C82" s="289">
        <f>_xlfn.FORECAST.LINEAR(Sheet3!DD82,$DW$3:$DW$24,$DU$3:$DU$24)</f>
        <v>1002.4352222425819</v>
      </c>
      <c r="D82" s="35">
        <f>_xlfn.FORECAST.LINEAR(Sheet3!CI82,'Cooling water'!$DW$3:$DW$24,'Cooling water'!$DU$3:$DU$24)</f>
        <v>992.18550942723175</v>
      </c>
      <c r="E82" s="35">
        <f>_xlfn.FORECAST.LINEAR(Sheet3!CJ82,'Cooling water'!$DW$3:$DW$24,'Cooling water'!$DU$3:$DU$24)</f>
        <v>993.30218234484391</v>
      </c>
      <c r="F82" s="35">
        <f>_xlfn.FORECAST.LINEAR(Sheet3!CK82,'Cooling water'!$DW$3:$DW$24,'Cooling water'!$DU$3:$DU$24)</f>
        <v>994.38081358191278</v>
      </c>
      <c r="G82" s="35">
        <f>_xlfn.FORECAST.LINEAR(Sheet3!CL82,'Cooling water'!$DW$3:$DW$24,'Cooling water'!$DU$3:$DU$24)</f>
        <v>995.45833430757568</v>
      </c>
      <c r="H82" s="35">
        <f>_xlfn.FORECAST.LINEAR(Sheet3!CM82,'Cooling water'!$DW$3:$DW$24,'Cooling water'!$DU$3:$DU$24)</f>
        <v>996.57167569096987</v>
      </c>
      <c r="I82" s="35">
        <f>_xlfn.FORECAST.LINEAR(Sheet3!CN82,'Cooling water'!$DW$3:$DW$24,'Cooling water'!$DU$3:$DU$24)</f>
        <v>997.75776890123257</v>
      </c>
      <c r="J82" s="35">
        <f>_xlfn.FORECAST.LINEAR(Sheet3!CO82,'Cooling water'!$DW$3:$DW$24,'Cooling water'!$DU$3:$DU$24)</f>
        <v>999.05354510750112</v>
      </c>
      <c r="K82" s="35">
        <f>_xlfn.FORECAST.LINEAR(Sheet3!CP82,'Cooling water'!$DW$3:$DW$24,'Cooling water'!$DU$3:$DU$24)</f>
        <v>1000.4959354789129</v>
      </c>
      <c r="L82" s="289">
        <f t="shared" si="130"/>
        <v>1.4259358553623258E-3</v>
      </c>
      <c r="M82" s="35">
        <f xml:space="preserve"> 0.0000000000330128*((Sheet3!CI82+273)^(4)) - 0.0000000448315*((Sheet3!CI82+273)^(3)) + 0.0000228887*((Sheet3!CI82+273)^(2)) - 0.00521331*((Sheet3!CI82+273)) + 0.447905</f>
        <v>7.6519313812672962E-4</v>
      </c>
      <c r="N82" s="35">
        <f xml:space="preserve"> 0.0000000000330128*((Sheet3!CJ82+273)^(4)) - 0.0000000448315*((Sheet3!CJ82+273)^(3)) + 0.0000228887*((Sheet3!CJ82+273)^(2)) - 0.00521331*((Sheet3!CJ82+273)) + 0.447905</f>
        <v>8.1073172860146592E-4</v>
      </c>
      <c r="O82" s="35">
        <f xml:space="preserve"> 0.0000000000330128*((Sheet3!CK82+273)^(4)) - 0.0000000448315*((Sheet3!CK82+273)^(3)) + 0.0000228887*((Sheet3!CK82+273)^(2)) - 0.00521331*((Sheet3!CK82+273)) + 0.447905</f>
        <v>8.593441727877682E-4</v>
      </c>
      <c r="P82" s="35">
        <f xml:space="preserve"> 0.0000000000330128*((Sheet3!CL82+273)^(4)) - 0.0000000448315*((Sheet3!CL82+273)^(3)) + 0.0000228887*((Sheet3!CL82+273)^(2)) - 0.00521331*((Sheet3!CL82+273)) + 0.447905</f>
        <v>9.1298961542474188E-4</v>
      </c>
      <c r="Q82" s="35">
        <f xml:space="preserve"> 0.0000000000330128*((Sheet3!CM82+273)^(4)) - 0.0000000448315*((Sheet3!CM82+273)^(3)) + 0.0000228887*((Sheet3!CM82+273)^(2)) - 0.00521331*((Sheet3!CM82+273)) + 0.447905</f>
        <v>9.7436558507935089E-4</v>
      </c>
      <c r="R82" s="35">
        <f xml:space="preserve"> 0.0000000000330128*((Sheet3!CN82+273)^(4)) - 0.0000000448315*((Sheet3!CN82+273)^(3)) + 0.0000228887*((Sheet3!CN82+273)^(2)) - 0.00521331*((Sheet3!CN82+273)) + 0.447905</f>
        <v>1.0471528585265233E-3</v>
      </c>
      <c r="S82" s="35">
        <f xml:space="preserve"> 0.0000000000330128*((Sheet3!CO82+273)^(4)) - 0.0000000448315*((Sheet3!CO82+273)^(3)) + 0.0000228887*((Sheet3!CO82+273)^(2)) - 0.00521331*((Sheet3!CO82+273)) + 0.447905</f>
        <v>1.1364004323055621E-3</v>
      </c>
      <c r="T82" s="35">
        <f xml:space="preserve"> 0.0000000000330128*((Sheet3!CP82+273)^(4)) - 0.0000000448315*((Sheet3!CP82+273)^(3)) + 0.0000228887*((Sheet3!CP82+273)^(2)) - 0.00521331*((Sheet3!CP82+273)) + 0.447905</f>
        <v>1.2491261619913541E-3</v>
      </c>
      <c r="U82" s="289">
        <f>(Sheet3!DC82*0.014*0.001*C82) / (L82*0.00015*3600*3)</f>
        <v>1458.077442665696</v>
      </c>
      <c r="V82" s="35">
        <f>(Sheet3!$DC82*0.014*0.001*D82) / (M82*0.00015*3600*3)</f>
        <v>2689.3422578420718</v>
      </c>
      <c r="W82" s="35">
        <f>(Sheet3!$DC82*0.014*0.001*E82) / (N82*0.00015*3600*3)</f>
        <v>2541.139357746008</v>
      </c>
      <c r="X82" s="35">
        <f>(Sheet3!$DC82*0.014*0.001*F82) / (O82*0.00015*3600*3)</f>
        <v>2399.9923785091923</v>
      </c>
      <c r="Y82" s="35">
        <f>(Sheet3!$DC82*0.014*0.001*G82) / (P82*0.00015*3600*3)</f>
        <v>2261.4214752571802</v>
      </c>
      <c r="Z82" s="35">
        <f>(Sheet3!$DC82*0.014*0.001*H82) / (Q82*0.00015*3600*3)</f>
        <v>2121.3428585317556</v>
      </c>
      <c r="AA82" s="35">
        <f>(Sheet3!$DC82*0.014*0.001*I82) / (R82*0.00015*3600*3)</f>
        <v>1976.2382386044187</v>
      </c>
      <c r="AB82" s="35">
        <f>(Sheet3!$DC82*0.014*0.001*J82) / (S82*0.00015*3600*3)</f>
        <v>1823.39868730541</v>
      </c>
      <c r="AC82" s="35">
        <f>(Sheet3!$DC82*0.014*0.001*K82) / (T82*0.00015*3600*3)</f>
        <v>1661.2434709438614</v>
      </c>
      <c r="AD82" s="289">
        <f t="shared" si="75"/>
        <v>0.58704537552592218</v>
      </c>
      <c r="AE82" s="35">
        <f>_xlfn.FORECAST.LINEAR(Sheet3!CI82,$DA$3:$DA$12,$CZ$3:$CZ$12)/1000</f>
        <v>0.61370565774590524</v>
      </c>
      <c r="AF82" s="35">
        <f>_xlfn.FORECAST.LINEAR(Sheet3!CJ82,$DA$3:$DA$12,$CZ$3:$CZ$12)/1000</f>
        <v>0.61080110659727538</v>
      </c>
      <c r="AG82" s="35">
        <f>_xlfn.FORECAST.LINEAR(Sheet3!CK82,$DA$3:$DA$12,$CZ$3:$CZ$12)/1000</f>
        <v>0.60799550475168218</v>
      </c>
      <c r="AH82" s="35">
        <f>_xlfn.FORECAST.LINEAR(Sheet3!CL82,$DA$3:$DA$12,$CZ$3:$CZ$12)/1000</f>
        <v>0.60519279143067761</v>
      </c>
      <c r="AI82" s="35">
        <f>_xlfn.FORECAST.LINEAR(Sheet3!CM82,$DA$3:$DA$12,$CZ$3:$CZ$12)/1000</f>
        <v>0.60229690585581319</v>
      </c>
      <c r="AJ82" s="35">
        <f>_xlfn.FORECAST.LINEAR(Sheet3!CN82,$DA$3:$DA$12,$CZ$3:$CZ$12)/1000</f>
        <v>0.59921178724864077</v>
      </c>
      <c r="AK82" s="35">
        <f>_xlfn.FORECAST.LINEAR(Sheet3!CO82,$DA$3:$DA$12,$CZ$3:$CZ$12)/1000</f>
        <v>0.59584137483071209</v>
      </c>
      <c r="AL82" s="35">
        <f>_xlfn.FORECAST.LINEAR(Sheet3!CP82,$DA$3:$DA$12,$CZ$3:$CZ$12)/1000</f>
        <v>0.59208960782357878</v>
      </c>
      <c r="AM82" s="289">
        <f t="shared" si="76"/>
        <v>4189.0988302101086</v>
      </c>
      <c r="AN82" s="35">
        <f>_xlfn.FORECAST.LINEAR(Sheet3!CI82,$DP$3:$DP$14,$DJ$3:$DJ$14)*1000</f>
        <v>4191.4449718298492</v>
      </c>
      <c r="AO82" s="35">
        <f>_xlfn.FORECAST.LINEAR(Sheet3!CJ82,$DP$3:$DP$14,$DJ$3:$DJ$14)*1000</f>
        <v>4191.1893673212307</v>
      </c>
      <c r="AP82" s="35">
        <f>_xlfn.FORECAST.LINEAR(Sheet3!CK82,$DP$3:$DP$14,$DJ$3:$DJ$14)*1000</f>
        <v>4190.9424704878038</v>
      </c>
      <c r="AQ82" s="35">
        <f>_xlfn.FORECAST.LINEAR(Sheet3!CL82,$DP$3:$DP$14,$DJ$3:$DJ$14)*1000</f>
        <v>4190.6958278485263</v>
      </c>
      <c r="AR82" s="35">
        <f>_xlfn.FORECAST.LINEAR(Sheet3!CM82,$DP$3:$DP$14,$DJ$3:$DJ$14)*1000</f>
        <v>4190.440985922356</v>
      </c>
      <c r="AS82" s="35">
        <f>_xlfn.FORECAST.LINEAR(Sheet3!CN82,$DP$3:$DP$14,$DJ$3:$DJ$14)*1000</f>
        <v>4190.1694912282492</v>
      </c>
      <c r="AT82" s="35">
        <f>_xlfn.FORECAST.LINEAR(Sheet3!CO82,$DP$3:$DP$14,$DJ$3:$DJ$14)*1000</f>
        <v>4189.8728902851626</v>
      </c>
      <c r="AU82" s="35">
        <f>_xlfn.FORECAST.LINEAR(Sheet3!CP82,$DP$3:$DP$14,$DJ$3:$DJ$14)*1000</f>
        <v>4189.5427296120542</v>
      </c>
      <c r="AV82" s="289">
        <f t="shared" si="77"/>
        <v>1.397960005739213E-7</v>
      </c>
      <c r="AW82" s="35">
        <f t="shared" si="78"/>
        <v>1.475718352164886E-7</v>
      </c>
      <c r="AX82" s="35">
        <f t="shared" si="79"/>
        <v>1.467172377355408E-7</v>
      </c>
      <c r="AY82" s="35">
        <f t="shared" si="80"/>
        <v>1.4589349656745558E-7</v>
      </c>
      <c r="AZ82" s="35">
        <f t="shared" si="81"/>
        <v>1.4507230776053002E-7</v>
      </c>
      <c r="BA82" s="35">
        <f t="shared" si="82"/>
        <v>1.4422560308175628E-7</v>
      </c>
      <c r="BB82" s="35">
        <f t="shared" si="83"/>
        <v>1.4332555739748832E-7</v>
      </c>
      <c r="BC82" s="35">
        <f t="shared" si="84"/>
        <v>1.4234461561936328E-7</v>
      </c>
      <c r="BD82" s="35">
        <f t="shared" si="85"/>
        <v>1.4125553868944561E-7</v>
      </c>
      <c r="BE82" s="289">
        <f t="shared" si="74"/>
        <v>10.175339884589897</v>
      </c>
      <c r="BF82" s="35">
        <f t="shared" si="86"/>
        <v>5.2260638154453831</v>
      </c>
      <c r="BG82" s="35">
        <f t="shared" si="87"/>
        <v>5.5630714547883287</v>
      </c>
      <c r="BH82" s="35">
        <f t="shared" si="88"/>
        <v>5.9235010166290269</v>
      </c>
      <c r="BI82" s="35">
        <f t="shared" si="89"/>
        <v>6.3220544368756855</v>
      </c>
      <c r="BJ82" s="35">
        <f t="shared" si="90"/>
        <v>6.7790842743697954</v>
      </c>
      <c r="BK82" s="35">
        <f t="shared" si="91"/>
        <v>7.3225327902797233</v>
      </c>
      <c r="BL82" s="35">
        <f t="shared" si="92"/>
        <v>7.9910082866907244</v>
      </c>
      <c r="BM82" s="35">
        <f t="shared" si="93"/>
        <v>8.838640910411673</v>
      </c>
      <c r="BN82" s="289">
        <f t="shared" si="94"/>
        <v>2.8886418485937807E-3</v>
      </c>
      <c r="BO82" s="35">
        <f t="shared" si="95"/>
        <v>3.0493159827896877E-3</v>
      </c>
      <c r="BP82" s="35">
        <f t="shared" si="96"/>
        <v>3.0316572083109177E-3</v>
      </c>
      <c r="BQ82" s="35">
        <f t="shared" si="97"/>
        <v>3.0146360260111991E-3</v>
      </c>
      <c r="BR82" s="35">
        <f t="shared" si="98"/>
        <v>2.9976675838272776E-3</v>
      </c>
      <c r="BS82" s="35">
        <f t="shared" si="99"/>
        <v>2.9801719004138414E-3</v>
      </c>
      <c r="BT82" s="35">
        <f t="shared" si="100"/>
        <v>2.9615740176521807E-3</v>
      </c>
      <c r="BU82" s="35">
        <f t="shared" si="101"/>
        <v>2.9413045574409229E-3</v>
      </c>
      <c r="BV82" s="35">
        <f t="shared" si="102"/>
        <v>2.9188006718992581E-3</v>
      </c>
      <c r="BW82" s="289">
        <f t="shared" si="103"/>
        <v>5.8420067455454465E-2</v>
      </c>
      <c r="BX82" s="35">
        <f t="shared" si="104"/>
        <v>5.012976663719345E-2</v>
      </c>
      <c r="BY82" s="35">
        <f t="shared" si="105"/>
        <v>5.0845214196205607E-2</v>
      </c>
      <c r="BZ82" s="35">
        <f t="shared" si="106"/>
        <v>5.1576840703238896E-2</v>
      </c>
      <c r="CA82" s="35">
        <f t="shared" si="107"/>
        <v>5.2349413921026329E-2</v>
      </c>
      <c r="CB82" s="35">
        <f t="shared" si="108"/>
        <v>5.3193000098222074E-2</v>
      </c>
      <c r="CC82" s="35">
        <f t="shared" si="109"/>
        <v>5.4143631013427937E-2</v>
      </c>
      <c r="CD82" s="35">
        <f t="shared" si="110"/>
        <v>5.5244213176429705E-2</v>
      </c>
      <c r="CE82" s="35">
        <f t="shared" si="111"/>
        <v>5.6545608261024068E-2</v>
      </c>
      <c r="CF82" s="289">
        <f t="shared" si="112"/>
        <v>11.666388155727397</v>
      </c>
      <c r="CG82" s="35">
        <f t="shared" si="113"/>
        <v>11.657902872840097</v>
      </c>
      <c r="CH82" s="35">
        <f t="shared" si="114"/>
        <v>11.65883544171713</v>
      </c>
      <c r="CI82" s="35">
        <f t="shared" si="115"/>
        <v>11.659734339026347</v>
      </c>
      <c r="CJ82" s="35">
        <f t="shared" si="116"/>
        <v>11.660630451103179</v>
      </c>
      <c r="CK82" s="35">
        <f t="shared" si="117"/>
        <v>11.66155440705796</v>
      </c>
      <c r="CL82" s="35">
        <f t="shared" si="118"/>
        <v>11.662536570721871</v>
      </c>
      <c r="CM82" s="35">
        <f t="shared" si="119"/>
        <v>11.663607011242531</v>
      </c>
      <c r="CN82" s="35">
        <f t="shared" si="120"/>
        <v>11.664795452903288</v>
      </c>
      <c r="CO82" s="289">
        <f t="shared" si="121"/>
        <v>489.19280113643998</v>
      </c>
      <c r="CP82" s="35">
        <f t="shared" si="122"/>
        <v>511.03721075101498</v>
      </c>
      <c r="CQ82" s="35">
        <f t="shared" si="123"/>
        <v>508.65925638831123</v>
      </c>
      <c r="CR82" s="35">
        <f t="shared" si="124"/>
        <v>506.36186176620322</v>
      </c>
      <c r="CS82" s="35">
        <f t="shared" si="125"/>
        <v>504.06639232462101</v>
      </c>
      <c r="CT82" s="35">
        <f t="shared" si="126"/>
        <v>501.69415263144509</v>
      </c>
      <c r="CU82" s="35">
        <f t="shared" si="127"/>
        <v>499.16638445677756</v>
      </c>
      <c r="CV82" s="35">
        <f t="shared" si="128"/>
        <v>496.40425979027737</v>
      </c>
      <c r="CW82" s="35">
        <f t="shared" si="129"/>
        <v>493.32886893226947</v>
      </c>
    </row>
    <row r="83" spans="1:101" x14ac:dyDescent="0.3">
      <c r="A83" s="184" t="str">
        <f>'Su K. oro stendu'!B128</f>
        <v>2023.02.13-2</v>
      </c>
      <c r="B83" s="289">
        <f>Sheet3!DD83</f>
        <v>6.69</v>
      </c>
      <c r="C83" s="289">
        <f>_xlfn.FORECAST.LINEAR(Sheet3!DD83,$DW$3:$DW$24,$DU$3:$DU$24)</f>
        <v>1002.5679739108721</v>
      </c>
      <c r="D83" s="35">
        <f>_xlfn.FORECAST.LINEAR(Sheet3!CI83,'Cooling water'!$DW$3:$DW$24,'Cooling water'!$DU$3:$DU$24)</f>
        <v>990.45335569581266</v>
      </c>
      <c r="E83" s="35">
        <f>_xlfn.FORECAST.LINEAR(Sheet3!CJ83,'Cooling water'!$DW$3:$DW$24,'Cooling water'!$DU$3:$DU$24)</f>
        <v>991.73529832632903</v>
      </c>
      <c r="F83" s="35">
        <f>_xlfn.FORECAST.LINEAR(Sheet3!CK83,'Cooling water'!$DW$3:$DW$24,'Cooling water'!$DU$3:$DU$24)</f>
        <v>992.9689139177832</v>
      </c>
      <c r="G83" s="35">
        <f>_xlfn.FORECAST.LINEAR(Sheet3!CL83,'Cooling water'!$DW$3:$DW$24,'Cooling water'!$DU$3:$DU$24)</f>
        <v>994.20310249055728</v>
      </c>
      <c r="H83" s="35">
        <f>_xlfn.FORECAST.LINEAR(Sheet3!CM83,'Cooling water'!$DW$3:$DW$24,'Cooling water'!$DU$3:$DU$24)</f>
        <v>995.48676406503319</v>
      </c>
      <c r="I83" s="35">
        <f>_xlfn.FORECAST.LINEAR(Sheet3!CN83,'Cooling water'!$DW$3:$DW$24,'Cooling water'!$DU$3:$DU$24)</f>
        <v>996.8687986615929</v>
      </c>
      <c r="J83" s="35">
        <f>_xlfn.FORECAST.LINEAR(Sheet3!CO83,'Cooling water'!$DW$3:$DW$24,'Cooling water'!$DU$3:$DU$24)</f>
        <v>998.39810630061834</v>
      </c>
      <c r="K83" s="35">
        <f>_xlfn.FORECAST.LINEAR(Sheet3!CP83,'Cooling water'!$DW$3:$DW$24,'Cooling water'!$DU$3:$DU$24)</f>
        <v>1000.1235870024916</v>
      </c>
      <c r="L83" s="289">
        <f t="shared" si="130"/>
        <v>1.4391990324473802E-3</v>
      </c>
      <c r="M83" s="35">
        <f xml:space="preserve"> 0.0000000000330128*((Sheet3!CI83+273)^(4)) - 0.0000000448315*((Sheet3!CI83+273)^(3)) + 0.0000228887*((Sheet3!CI83+273)^(2)) - 0.00521331*((Sheet3!CI83+273)) + 0.447905</f>
        <v>7.0291256050336592E-4</v>
      </c>
      <c r="N83" s="35">
        <f xml:space="preserve"> 0.0000000000330128*((Sheet3!CJ83+273)^(4)) - 0.0000000448315*((Sheet3!CJ83+273)^(3)) + 0.0000228887*((Sheet3!CJ83+273)^(2)) - 0.00521331*((Sheet3!CJ83+273)) + 0.447905</f>
        <v>7.4808514207136412E-4</v>
      </c>
      <c r="O83" s="35">
        <f xml:space="preserve"> 0.0000000000330128*((Sheet3!CK83+273)^(4)) - 0.0000000448315*((Sheet3!CK83+273)^(3)) + 0.0000228887*((Sheet3!CK83+273)^(2)) - 0.00521331*((Sheet3!CK83+273)) + 0.447905</f>
        <v>7.96656270811269E-4</v>
      </c>
      <c r="P83" s="35">
        <f xml:space="preserve"> 0.0000000000330128*((Sheet3!CL83+273)^(4)) - 0.0000000448315*((Sheet3!CL83+273)^(3)) + 0.0000228887*((Sheet3!CL83+273)^(2)) - 0.00521331*((Sheet3!CL83+273)) + 0.447905</f>
        <v>8.5099954781031606E-4</v>
      </c>
      <c r="Q83" s="35">
        <f xml:space="preserve"> 0.0000000000330128*((Sheet3!CM83+273)^(4)) - 0.0000000448315*((Sheet3!CM83+273)^(3)) + 0.0000228887*((Sheet3!CM83+273)^(2)) - 0.00521331*((Sheet3!CM83+273)) + 0.447905</f>
        <v>9.1447898554508633E-4</v>
      </c>
      <c r="R83" s="35">
        <f xml:space="preserve"> 0.0000000000330128*((Sheet3!CN83+273)^(4)) - 0.0000000448315*((Sheet3!CN83+273)^(3)) + 0.0000228887*((Sheet3!CN83+273)^(2)) - 0.00521331*((Sheet3!CN83+273)) + 0.447905</f>
        <v>9.9185106868615591E-4</v>
      </c>
      <c r="S83" s="35">
        <f xml:space="preserve"> 0.0000000000330128*((Sheet3!CO83+273)^(4)) - 0.0000000448315*((Sheet3!CO83+273)^(3)) + 0.0000228887*((Sheet3!CO83+273)^(2)) - 0.00521331*((Sheet3!CO83+273)) + 0.447905</f>
        <v>1.0899178393153353E-3</v>
      </c>
      <c r="T83" s="35">
        <f xml:space="preserve"> 0.0000000000330128*((Sheet3!CP83+273)^(4)) - 0.0000000448315*((Sheet3!CP83+273)^(3)) + 0.0000228887*((Sheet3!CP83+273)^(2)) - 0.00521331*((Sheet3!CP83+273)) + 0.447905</f>
        <v>1.218585807701178E-3</v>
      </c>
      <c r="U83" s="289">
        <f>(Sheet3!DC83*0.014*0.001*C83) / (L83*0.00015*3600*3)</f>
        <v>1571.2543660700551</v>
      </c>
      <c r="V83" s="35">
        <f>(Sheet3!$DC83*0.014*0.001*D83) / (M83*0.00015*3600*3)</f>
        <v>3178.2368028229812</v>
      </c>
      <c r="W83" s="35">
        <f>(Sheet3!$DC83*0.014*0.001*E83) / (N83*0.00015*3600*3)</f>
        <v>2990.1864587054001</v>
      </c>
      <c r="X83" s="35">
        <f>(Sheet3!$DC83*0.014*0.001*F83) / (O83*0.00015*3600*3)</f>
        <v>2811.3712680632561</v>
      </c>
      <c r="Y83" s="35">
        <f>(Sheet3!$DC83*0.014*0.001*G83) / (P83*0.00015*3600*3)</f>
        <v>2635.1134227312009</v>
      </c>
      <c r="Z83" s="35">
        <f>(Sheet3!$DC83*0.014*0.001*H83) / (Q83*0.00015*3600*3)</f>
        <v>2455.3606333889948</v>
      </c>
      <c r="AA83" s="35">
        <f>(Sheet3!$DC83*0.014*0.001*I83) / (R83*0.00015*3600*3)</f>
        <v>2266.9663097299367</v>
      </c>
      <c r="AB83" s="35">
        <f>(Sheet3!$DC83*0.014*0.001*J83) / (S83*0.00015*3600*3)</f>
        <v>2066.1579378654187</v>
      </c>
      <c r="AC83" s="35">
        <f>(Sheet3!$DC83*0.014*0.001*K83) / (T83*0.00015*3600*3)</f>
        <v>1851.1903705502507</v>
      </c>
      <c r="AD83" s="289">
        <f t="shared" si="75"/>
        <v>0.58670007834486482</v>
      </c>
      <c r="AE83" s="35">
        <f>_xlfn.FORECAST.LINEAR(Sheet3!CI83,$DA$3:$DA$12,$CZ$3:$CZ$12)/1000</f>
        <v>0.61821112128034383</v>
      </c>
      <c r="AF83" s="35">
        <f>_xlfn.FORECAST.LINEAR(Sheet3!CJ83,$DA$3:$DA$12,$CZ$3:$CZ$12)/1000</f>
        <v>0.61487669104458076</v>
      </c>
      <c r="AG83" s="35">
        <f>_xlfn.FORECAST.LINEAR(Sheet3!CK83,$DA$3:$DA$12,$CZ$3:$CZ$12)/1000</f>
        <v>0.61166796311125893</v>
      </c>
      <c r="AH83" s="35">
        <f>_xlfn.FORECAST.LINEAR(Sheet3!CL83,$DA$3:$DA$12,$CZ$3:$CZ$12)/1000</f>
        <v>0.60845774480996595</v>
      </c>
      <c r="AI83" s="35">
        <f>_xlfn.FORECAST.LINEAR(Sheet3!CM83,$DA$3:$DA$12,$CZ$3:$CZ$12)/1000</f>
        <v>0.60511884347028899</v>
      </c>
      <c r="AJ83" s="35">
        <f>_xlfn.FORECAST.LINEAR(Sheet3!CN83,$DA$3:$DA$12,$CZ$3:$CZ$12)/1000</f>
        <v>0.60152406642181588</v>
      </c>
      <c r="AK83" s="35">
        <f>_xlfn.FORECAST.LINEAR(Sheet3!CO83,$DA$3:$DA$12,$CZ$3:$CZ$12)/1000</f>
        <v>0.59754622099413368</v>
      </c>
      <c r="AL83" s="35">
        <f>_xlfn.FORECAST.LINEAR(Sheet3!CP83,$DA$3:$DA$12,$CZ$3:$CZ$12)/1000</f>
        <v>0.59305811451683021</v>
      </c>
      <c r="AM83" s="289">
        <f t="shared" si="76"/>
        <v>4189.0684435817529</v>
      </c>
      <c r="AN83" s="35">
        <f>_xlfn.FORECAST.LINEAR(Sheet3!CI83,$DP$3:$DP$14,$DJ$3:$DJ$14)*1000</f>
        <v>4191.8414588372689</v>
      </c>
      <c r="AO83" s="35">
        <f>_xlfn.FORECAST.LINEAR(Sheet3!CJ83,$DP$3:$DP$14,$DJ$3:$DJ$14)*1000</f>
        <v>4191.5480243758593</v>
      </c>
      <c r="AP83" s="35">
        <f>_xlfn.FORECAST.LINEAR(Sheet3!CK83,$DP$3:$DP$14,$DJ$3:$DJ$14)*1000</f>
        <v>4191.2656518905023</v>
      </c>
      <c r="AQ83" s="35">
        <f>_xlfn.FORECAST.LINEAR(Sheet3!CL83,$DP$3:$DP$14,$DJ$3:$DJ$14)*1000</f>
        <v>4190.9831482507061</v>
      </c>
      <c r="AR83" s="35">
        <f>_xlfn.FORECAST.LINEAR(Sheet3!CM83,$DP$3:$DP$14,$DJ$3:$DJ$14)*1000</f>
        <v>4190.6893203259833</v>
      </c>
      <c r="AS83" s="35">
        <f>_xlfn.FORECAST.LINEAR(Sheet3!CN83,$DP$3:$DP$14,$DJ$3:$DJ$14)*1000</f>
        <v>4190.372974985843</v>
      </c>
      <c r="AT83" s="35">
        <f>_xlfn.FORECAST.LINEAR(Sheet3!CO83,$DP$3:$DP$14,$DJ$3:$DJ$14)*1000</f>
        <v>4190.0229190997961</v>
      </c>
      <c r="AU83" s="35">
        <f>_xlfn.FORECAST.LINEAR(Sheet3!CP83,$DP$3:$DP$14,$DJ$3:$DJ$14)*1000</f>
        <v>4189.6279595373526</v>
      </c>
      <c r="AV83" s="289">
        <f t="shared" si="77"/>
        <v>1.3969628684978076E-7</v>
      </c>
      <c r="AW83" s="35">
        <f t="shared" si="78"/>
        <v>1.4890111063157568E-7</v>
      </c>
      <c r="AX83" s="35">
        <f t="shared" si="79"/>
        <v>1.4791690544739151E-7</v>
      </c>
      <c r="AY83" s="35">
        <f t="shared" si="80"/>
        <v>1.4697209793256965E-7</v>
      </c>
      <c r="AZ83" s="35">
        <f t="shared" si="81"/>
        <v>1.460290953676755E-7</v>
      </c>
      <c r="BA83" s="35">
        <f t="shared" si="82"/>
        <v>1.4505066418532659E-7</v>
      </c>
      <c r="BB83" s="35">
        <f t="shared" si="83"/>
        <v>1.4399994442164548E-7</v>
      </c>
      <c r="BC83" s="35">
        <f t="shared" si="84"/>
        <v>1.4284049845982992E-7</v>
      </c>
      <c r="BD83" s="35">
        <f t="shared" si="85"/>
        <v>1.4153639297479188E-7</v>
      </c>
      <c r="BE83" s="289">
        <f t="shared" si="74"/>
        <v>10.275954398824704</v>
      </c>
      <c r="BF83" s="35">
        <f t="shared" si="86"/>
        <v>4.766167918417799</v>
      </c>
      <c r="BG83" s="35">
        <f t="shared" si="87"/>
        <v>5.099615654623693</v>
      </c>
      <c r="BH83" s="35">
        <f t="shared" si="88"/>
        <v>5.4588408508933224</v>
      </c>
      <c r="BI83" s="35">
        <f t="shared" si="89"/>
        <v>5.8615816701550996</v>
      </c>
      <c r="BJ83" s="35">
        <f t="shared" si="90"/>
        <v>6.3331316810571217</v>
      </c>
      <c r="BK83" s="35">
        <f t="shared" si="91"/>
        <v>6.9094923136770419</v>
      </c>
      <c r="BL83" s="35">
        <f t="shared" si="92"/>
        <v>7.6425564520670237</v>
      </c>
      <c r="BM83" s="35">
        <f t="shared" si="93"/>
        <v>8.6086355553868366</v>
      </c>
      <c r="BN83" s="289">
        <f t="shared" si="94"/>
        <v>2.6543277585813372E-3</v>
      </c>
      <c r="BO83" s="35">
        <f t="shared" si="95"/>
        <v>2.8292258881439428E-3</v>
      </c>
      <c r="BP83" s="35">
        <f t="shared" si="96"/>
        <v>2.8105252970299578E-3</v>
      </c>
      <c r="BQ83" s="35">
        <f t="shared" si="97"/>
        <v>2.7925732893591699E-3</v>
      </c>
      <c r="BR83" s="35">
        <f t="shared" si="98"/>
        <v>2.7746555770072042E-3</v>
      </c>
      <c r="BS83" s="35">
        <f t="shared" si="99"/>
        <v>2.7560646959914263E-3</v>
      </c>
      <c r="BT83" s="35">
        <f t="shared" si="100"/>
        <v>2.7361002810587097E-3</v>
      </c>
      <c r="BU83" s="35">
        <f t="shared" si="101"/>
        <v>2.7140699918475771E-3</v>
      </c>
      <c r="BV83" s="35">
        <f t="shared" si="102"/>
        <v>2.6892910698940041E-3</v>
      </c>
      <c r="BW83" s="289">
        <f t="shared" si="103"/>
        <v>5.7338400994417192E-2</v>
      </c>
      <c r="BX83" s="35">
        <f t="shared" si="104"/>
        <v>4.8079577077473304E-2</v>
      </c>
      <c r="BY83" s="35">
        <f t="shared" si="105"/>
        <v>4.881829802119185E-2</v>
      </c>
      <c r="BZ83" s="35">
        <f t="shared" si="106"/>
        <v>4.9576704128511881E-2</v>
      </c>
      <c r="CA83" s="35">
        <f t="shared" si="107"/>
        <v>5.0385708943013863E-2</v>
      </c>
      <c r="CB83" s="35">
        <f t="shared" si="108"/>
        <v>5.1283585314363653E-2</v>
      </c>
      <c r="CC83" s="35">
        <f t="shared" si="109"/>
        <v>5.2317373804752675E-2</v>
      </c>
      <c r="CD83" s="35">
        <f t="shared" si="110"/>
        <v>5.3544679439823051E-2</v>
      </c>
      <c r="CE83" s="35">
        <f t="shared" si="111"/>
        <v>5.5035691969560388E-2</v>
      </c>
      <c r="CF83" s="289">
        <f t="shared" si="112"/>
        <v>11.678762402199521</v>
      </c>
      <c r="CG83" s="35">
        <f t="shared" si="113"/>
        <v>22.253271654813155</v>
      </c>
      <c r="CH83" s="35">
        <f t="shared" si="114"/>
        <v>11.670513530614377</v>
      </c>
      <c r="CI83" s="35">
        <f t="shared" si="115"/>
        <v>11.671461585285677</v>
      </c>
      <c r="CJ83" s="35">
        <f t="shared" si="116"/>
        <v>11.672407828803719</v>
      </c>
      <c r="CK83" s="35">
        <f t="shared" si="117"/>
        <v>11.673389622701862</v>
      </c>
      <c r="CL83" s="35">
        <f t="shared" si="118"/>
        <v>11.674443953625948</v>
      </c>
      <c r="CM83" s="35">
        <f t="shared" si="119"/>
        <v>11.6756073844232</v>
      </c>
      <c r="CN83" s="35">
        <f t="shared" si="120"/>
        <v>11.676915971915957</v>
      </c>
      <c r="CO83" s="289">
        <f t="shared" si="121"/>
        <v>489.42362973868001</v>
      </c>
      <c r="CP83" s="35">
        <f t="shared" si="122"/>
        <v>982.65857299129516</v>
      </c>
      <c r="CQ83" s="35">
        <f t="shared" si="123"/>
        <v>512.56619589251261</v>
      </c>
      <c r="CR83" s="35">
        <f t="shared" si="124"/>
        <v>509.93279531449963</v>
      </c>
      <c r="CS83" s="35">
        <f t="shared" si="125"/>
        <v>507.297638858293</v>
      </c>
      <c r="CT83" s="35">
        <f t="shared" si="126"/>
        <v>504.55628770481599</v>
      </c>
      <c r="CU83" s="35">
        <f t="shared" si="127"/>
        <v>501.60421429990441</v>
      </c>
      <c r="CV83" s="35">
        <f t="shared" si="128"/>
        <v>498.33679074094886</v>
      </c>
      <c r="CW83" s="35">
        <f t="shared" si="129"/>
        <v>494.64926926256692</v>
      </c>
    </row>
    <row r="84" spans="1:101" x14ac:dyDescent="0.3">
      <c r="A84" s="184" t="str">
        <f>'Su K. oro stendu'!B129</f>
        <v>2023.02.14-1</v>
      </c>
      <c r="B84" s="289">
        <f>Sheet3!DD84</f>
        <v>6.46</v>
      </c>
      <c r="C84" s="289">
        <f>_xlfn.FORECAST.LINEAR(Sheet3!DD84,$DW$3:$DW$24,$DU$3:$DU$24)</f>
        <v>1002.6633891724556</v>
      </c>
      <c r="D84" s="35">
        <f>_xlfn.FORECAST.LINEAR(Sheet3!CI84,'Cooling water'!$DW$3:$DW$24,'Cooling water'!$DU$3:$DU$24)</f>
        <v>996.42276157817651</v>
      </c>
      <c r="E84" s="35">
        <f>_xlfn.FORECAST.LINEAR(Sheet3!CJ84,'Cooling water'!$DW$3:$DW$24,'Cooling water'!$DU$3:$DU$24)</f>
        <v>997.07697278722594</v>
      </c>
      <c r="F84" s="35">
        <f>_xlfn.FORECAST.LINEAR(Sheet3!CK84,'Cooling water'!$DW$3:$DW$24,'Cooling water'!$DU$3:$DU$24)</f>
        <v>997.73118724504138</v>
      </c>
      <c r="G84" s="35">
        <f>_xlfn.FORECAST.LINEAR(Sheet3!CL84,'Cooling water'!$DW$3:$DW$24,'Cooling water'!$DU$3:$DU$24)</f>
        <v>998.40072066852122</v>
      </c>
      <c r="H84" s="35">
        <f>_xlfn.FORECAST.LINEAR(Sheet3!CM84,'Cooling water'!$DW$3:$DW$24,'Cooling water'!$DU$3:$DU$24)</f>
        <v>999.10088877456326</v>
      </c>
      <c r="I84" s="35">
        <f>_xlfn.FORECAST.LINEAR(Sheet3!CN84,'Cooling water'!$DW$3:$DW$24,'Cooling water'!$DU$3:$DU$24)</f>
        <v>999.8470072800659</v>
      </c>
      <c r="J84" s="35">
        <f>_xlfn.FORECAST.LINEAR(Sheet3!CO84,'Cooling water'!$DW$3:$DW$24,'Cooling water'!$DU$3:$DU$24)</f>
        <v>1000.6543919019269</v>
      </c>
      <c r="K84" s="35">
        <f>_xlfn.FORECAST.LINEAR(Sheet3!CP84,'Cooling water'!$DW$3:$DW$24,'Cooling water'!$DU$3:$DU$24)</f>
        <v>1001.5383583570447</v>
      </c>
      <c r="L84" s="289">
        <f t="shared" si="130"/>
        <v>1.4488288499945323E-3</v>
      </c>
      <c r="M84" s="35">
        <f xml:space="preserve"> 0.0000000000330128*((Sheet3!CI84+273)^(4)) - 0.0000000448315*((Sheet3!CI84+273)^(3)) + 0.0000228887*((Sheet3!CI84+273)^(2)) - 0.00521331*((Sheet3!CI84+273)) + 0.447905</f>
        <v>9.6578265291213938E-4</v>
      </c>
      <c r="N84" s="35">
        <f xml:space="preserve"> 0.0000000000330128*((Sheet3!CJ84+273)^(4)) - 0.0000000448315*((Sheet3!CJ84+273)^(3)) + 0.0000228887*((Sheet3!CJ84+273)^(2)) - 0.00521331*((Sheet3!CJ84+273)) + 0.447905</f>
        <v>1.0043937479859988E-3</v>
      </c>
      <c r="O84" s="35">
        <f xml:space="preserve"> 0.0000000000330128*((Sheet3!CK84+273)^(4)) - 0.0000000448315*((Sheet3!CK84+273)^(3)) + 0.0000228887*((Sheet3!CK84+273)^(2)) - 0.00521331*((Sheet3!CK84+273)) + 0.447905</f>
        <v>1.0454320075159451E-3</v>
      </c>
      <c r="P84" s="35">
        <f xml:space="preserve"> 0.0000000000330128*((Sheet3!CL84+273)^(4)) - 0.0000000448315*((Sheet3!CL84+273)^(3)) + 0.0000228887*((Sheet3!CL84+273)^(2)) - 0.00521331*((Sheet3!CL84+273)) + 0.447905</f>
        <v>1.0900977007515245E-3</v>
      </c>
      <c r="Q84" s="35">
        <f xml:space="preserve"> 0.0000000000330128*((Sheet3!CM84+273)^(4)) - 0.0000000448315*((Sheet3!CM84+273)^(3)) + 0.0000228887*((Sheet3!CM84+273)^(2)) - 0.00521331*((Sheet3!CM84+273)) + 0.447905</f>
        <v>1.1398682427947726E-3</v>
      </c>
      <c r="R84" s="35">
        <f xml:space="preserve"> 0.0000000000330128*((Sheet3!CN84+273)^(4)) - 0.0000000448315*((Sheet3!CN84+273)^(3)) + 0.0000228887*((Sheet3!CN84+273)^(2)) - 0.00521331*((Sheet3!CN84+273)) + 0.447905</f>
        <v>1.1965634726998076E-3</v>
      </c>
      <c r="S84" s="35">
        <f xml:space="preserve"> 0.0000000000330128*((Sheet3!CO84+273)^(4)) - 0.0000000448315*((Sheet3!CO84+273)^(3)) + 0.0000228887*((Sheet3!CO84+273)^(2)) - 0.00521331*((Sheet3!CO84+273)) + 0.447905</f>
        <v>1.2624404099021991E-3</v>
      </c>
      <c r="T84" s="35">
        <f xml:space="preserve"> 0.0000000000330128*((Sheet3!CP84+273)^(4)) - 0.0000000448315*((Sheet3!CP84+273)^(3)) + 0.0000228887*((Sheet3!CP84+273)^(2)) - 0.00521331*((Sheet3!CP84+273)) + 0.447905</f>
        <v>1.3403272842171798E-3</v>
      </c>
      <c r="U84" s="289">
        <f>(Sheet3!DC84*0.014*0.001*C84) / (L84*0.00015*3600*3)</f>
        <v>2601.5989602091704</v>
      </c>
      <c r="V84" s="35">
        <f>(Sheet3!$DC84*0.014*0.001*D84) / (M84*0.00015*3600*3)</f>
        <v>3878.5243049299324</v>
      </c>
      <c r="W84" s="35">
        <f>(Sheet3!$DC84*0.014*0.001*E84) / (N84*0.00015*3600*3)</f>
        <v>3731.8739285868414</v>
      </c>
      <c r="X84" s="35">
        <f>(Sheet3!$DC84*0.014*0.001*F84) / (O84*0.00015*3600*3)</f>
        <v>3587.732322080687</v>
      </c>
      <c r="Y84" s="35">
        <f>(Sheet3!$DC84*0.014*0.001*G84) / (P84*0.00015*3600*3)</f>
        <v>3443.0374002593794</v>
      </c>
      <c r="Z84" s="35">
        <f>(Sheet3!$DC84*0.014*0.001*H84) / (Q84*0.00015*3600*3)</f>
        <v>3295.0117619305929</v>
      </c>
      <c r="AA84" s="35">
        <f>(Sheet3!$DC84*0.014*0.001*I84) / (R84*0.00015*3600*3)</f>
        <v>3141.2325427915034</v>
      </c>
      <c r="AB84" s="35">
        <f>(Sheet3!$DC84*0.014*0.001*J84) / (S84*0.00015*3600*3)</f>
        <v>2979.7202771473239</v>
      </c>
      <c r="AC84" s="35">
        <f>(Sheet3!$DC84*0.014*0.001*K84) / (T84*0.00015*3600*3)</f>
        <v>2809.0470077657319</v>
      </c>
      <c r="AD84" s="289">
        <f t="shared" si="75"/>
        <v>0.58645189599597969</v>
      </c>
      <c r="AE84" s="35">
        <f>_xlfn.FORECAST.LINEAR(Sheet3!CI84,$DA$3:$DA$12,$CZ$3:$CZ$12)/1000</f>
        <v>0.60268424278369881</v>
      </c>
      <c r="AF84" s="35">
        <f>_xlfn.FORECAST.LINEAR(Sheet3!CJ84,$DA$3:$DA$12,$CZ$3:$CZ$12)/1000</f>
        <v>0.6009825896955644</v>
      </c>
      <c r="AG84" s="35">
        <f>_xlfn.FORECAST.LINEAR(Sheet3!CK84,$DA$3:$DA$12,$CZ$3:$CZ$12)/1000</f>
        <v>0.59928092815714207</v>
      </c>
      <c r="AH84" s="35">
        <f>_xlfn.FORECAST.LINEAR(Sheet3!CL84,$DA$3:$DA$12,$CZ$3:$CZ$12)/1000</f>
        <v>0.59753942082447331</v>
      </c>
      <c r="AI84" s="35">
        <f>_xlfn.FORECAST.LINEAR(Sheet3!CM84,$DA$3:$DA$12,$CZ$3:$CZ$12)/1000</f>
        <v>0.59571823035359894</v>
      </c>
      <c r="AJ84" s="35">
        <f>_xlfn.FORECAST.LINEAR(Sheet3!CN84,$DA$3:$DA$12,$CZ$3:$CZ$12)/1000</f>
        <v>0.59377751940056034</v>
      </c>
      <c r="AK84" s="35">
        <f>_xlfn.FORECAST.LINEAR(Sheet3!CO84,$DA$3:$DA$12,$CZ$3:$CZ$12)/1000</f>
        <v>0.59167745062139865</v>
      </c>
      <c r="AL84" s="35">
        <f>_xlfn.FORECAST.LINEAR(Sheet3!CP84,$DA$3:$DA$12,$CZ$3:$CZ$12)/1000</f>
        <v>0.5893781866721548</v>
      </c>
      <c r="AM84" s="289">
        <f t="shared" si="76"/>
        <v>4189.0466031926235</v>
      </c>
      <c r="AN84" s="35">
        <f>_xlfn.FORECAST.LINEAR(Sheet3!CI84,$DP$3:$DP$14,$DJ$3:$DJ$14)*1000</f>
        <v>4190.4750721064356</v>
      </c>
      <c r="AO84" s="35">
        <f>_xlfn.FORECAST.LINEAR(Sheet3!CJ84,$DP$3:$DP$14,$DJ$3:$DJ$14)*1000</f>
        <v>4190.3253242868332</v>
      </c>
      <c r="AP84" s="35">
        <f>_xlfn.FORECAST.LINEAR(Sheet3!CK84,$DP$3:$DP$14,$DJ$3:$DJ$14)*1000</f>
        <v>4190.1755757235942</v>
      </c>
      <c r="AQ84" s="35">
        <f>_xlfn.FORECAST.LINEAR(Sheet3!CL84,$DP$3:$DP$14,$DJ$3:$DJ$14)*1000</f>
        <v>4190.0223206754836</v>
      </c>
      <c r="AR84" s="35">
        <f>_xlfn.FORECAST.LINEAR(Sheet3!CM84,$DP$3:$DP$14,$DJ$3:$DJ$14)*1000</f>
        <v>4189.8620534012689</v>
      </c>
      <c r="AS84" s="35">
        <f>_xlfn.FORECAST.LINEAR(Sheet3!CN84,$DP$3:$DP$14,$DJ$3:$DJ$14)*1000</f>
        <v>4189.6912681597159</v>
      </c>
      <c r="AT84" s="35">
        <f>_xlfn.FORECAST.LINEAR(Sheet3!CO84,$DP$3:$DP$14,$DJ$3:$DJ$14)*1000</f>
        <v>4189.5064592095914</v>
      </c>
      <c r="AU84" s="35">
        <f>_xlfn.FORECAST.LINEAR(Sheet3!CP84,$DP$3:$DP$14,$DJ$3:$DJ$14)*1000</f>
        <v>4189.3041208096602</v>
      </c>
      <c r="AV84" s="289">
        <f t="shared" si="77"/>
        <v>1.396246331920733E-7</v>
      </c>
      <c r="AW84" s="35">
        <f t="shared" si="78"/>
        <v>1.4433874862001556E-7</v>
      </c>
      <c r="AX84" s="35">
        <f t="shared" si="79"/>
        <v>1.4384191713413523E-7</v>
      </c>
      <c r="AY84" s="35">
        <f t="shared" si="80"/>
        <v>1.4334570600592196E-7</v>
      </c>
      <c r="AZ84" s="35">
        <f t="shared" si="81"/>
        <v>1.4283851928139756E-7</v>
      </c>
      <c r="BA84" s="35">
        <f t="shared" si="82"/>
        <v>1.4230882108165593E-7</v>
      </c>
      <c r="BB84" s="35">
        <f t="shared" si="83"/>
        <v>1.4174514037634146E-7</v>
      </c>
      <c r="BC84" s="35">
        <f t="shared" si="84"/>
        <v>1.4113607907130881E-7</v>
      </c>
      <c r="BD84" s="35">
        <f t="shared" si="85"/>
        <v>1.4047032335001465E-7</v>
      </c>
      <c r="BE84" s="289">
        <f t="shared" si="74"/>
        <v>10.349035639776799</v>
      </c>
      <c r="BF84" s="35">
        <f t="shared" si="86"/>
        <v>6.7151052654177779</v>
      </c>
      <c r="BG84" s="35">
        <f t="shared" si="87"/>
        <v>7.0030923189856269</v>
      </c>
      <c r="BH84" s="35">
        <f t="shared" si="88"/>
        <v>7.3096663987683952</v>
      </c>
      <c r="BI84" s="35">
        <f t="shared" si="89"/>
        <v>7.6439035462525915</v>
      </c>
      <c r="BJ84" s="35">
        <f t="shared" si="90"/>
        <v>8.0170296173883902</v>
      </c>
      <c r="BK84" s="35">
        <f t="shared" si="91"/>
        <v>8.4429460017790614</v>
      </c>
      <c r="BL84" s="35">
        <f t="shared" si="92"/>
        <v>8.9389958094529156</v>
      </c>
      <c r="BM84" s="35">
        <f t="shared" si="93"/>
        <v>9.5270553644158724</v>
      </c>
      <c r="BN84" s="289">
        <f t="shared" si="94"/>
        <v>1.5917797731960504E-3</v>
      </c>
      <c r="BO84" s="35">
        <f t="shared" si="95"/>
        <v>1.6455226795526049E-3</v>
      </c>
      <c r="BP84" s="35">
        <f t="shared" si="96"/>
        <v>1.6398585908325061E-3</v>
      </c>
      <c r="BQ84" s="35">
        <f t="shared" si="97"/>
        <v>1.6342015744517492E-3</v>
      </c>
      <c r="BR84" s="35">
        <f t="shared" si="98"/>
        <v>1.6284194316387335E-3</v>
      </c>
      <c r="BS84" s="35">
        <f t="shared" si="99"/>
        <v>1.6223806485030441E-3</v>
      </c>
      <c r="BT84" s="35">
        <f t="shared" si="100"/>
        <v>1.6159544504551243E-3</v>
      </c>
      <c r="BU84" s="35">
        <f t="shared" si="101"/>
        <v>1.6090108944090103E-3</v>
      </c>
      <c r="BV84" s="35">
        <f t="shared" si="102"/>
        <v>1.6014209980789848E-3</v>
      </c>
      <c r="BW84" s="289">
        <f t="shared" si="103"/>
        <v>5.0547201272922233E-2</v>
      </c>
      <c r="BX84" s="35">
        <f t="shared" si="104"/>
        <v>4.5744677754077985E-2</v>
      </c>
      <c r="BY84" s="35">
        <f t="shared" si="105"/>
        <v>4.6187606904492341E-2</v>
      </c>
      <c r="BZ84" s="35">
        <f t="shared" si="106"/>
        <v>4.6644688120218401E-2</v>
      </c>
      <c r="CA84" s="35">
        <f t="shared" si="107"/>
        <v>4.7127214034981178E-2</v>
      </c>
      <c r="CB84" s="35">
        <f t="shared" si="108"/>
        <v>4.7647811680764485E-2</v>
      </c>
      <c r="CC84" s="35">
        <f t="shared" si="109"/>
        <v>4.8220552253384195E-2</v>
      </c>
      <c r="CD84" s="35">
        <f t="shared" si="110"/>
        <v>4.8861109887642626E-2</v>
      </c>
      <c r="CE84" s="35">
        <f t="shared" si="111"/>
        <v>4.9586956131098904E-2</v>
      </c>
      <c r="CF84" s="289">
        <f t="shared" si="112"/>
        <v>11.734876102655685</v>
      </c>
      <c r="CG84" s="35">
        <f t="shared" si="113"/>
        <v>31.964426908150337</v>
      </c>
      <c r="CH84" s="35">
        <f t="shared" si="114"/>
        <v>30.963797825300176</v>
      </c>
      <c r="CI84" s="35">
        <f t="shared" si="115"/>
        <v>29.947156466446053</v>
      </c>
      <c r="CJ84" s="35">
        <f t="shared" si="116"/>
        <v>28.891260753143523</v>
      </c>
      <c r="CK84" s="35">
        <f t="shared" si="117"/>
        <v>27.77168288190169</v>
      </c>
      <c r="CL84" s="35">
        <f t="shared" si="118"/>
        <v>26.563014888932006</v>
      </c>
      <c r="CM84" s="35">
        <f t="shared" si="119"/>
        <v>11.733966118365501</v>
      </c>
      <c r="CN84" s="35">
        <f t="shared" si="120"/>
        <v>11.734366944657596</v>
      </c>
      <c r="CO84" s="289">
        <f t="shared" si="121"/>
        <v>491.56716712002424</v>
      </c>
      <c r="CP84" s="35">
        <f t="shared" si="122"/>
        <v>1376.0326019395338</v>
      </c>
      <c r="CQ84" s="35">
        <f t="shared" si="123"/>
        <v>1329.1931002756276</v>
      </c>
      <c r="CR84" s="35">
        <f t="shared" si="124"/>
        <v>1281.9114087770677</v>
      </c>
      <c r="CS84" s="35">
        <f t="shared" si="125"/>
        <v>1233.119086951587</v>
      </c>
      <c r="CT84" s="35">
        <f t="shared" si="126"/>
        <v>1181.7212700248438</v>
      </c>
      <c r="CU84" s="35">
        <f t="shared" si="127"/>
        <v>1126.608649182157</v>
      </c>
      <c r="CV84" s="35">
        <f t="shared" si="128"/>
        <v>495.90879704231202</v>
      </c>
      <c r="CW84" s="35">
        <f t="shared" si="129"/>
        <v>493.99856511342625</v>
      </c>
    </row>
    <row r="85" spans="1:101" x14ac:dyDescent="0.3">
      <c r="A85" s="184" t="str">
        <f>'Su K. oro stendu'!B130</f>
        <v>2023.02.14-2</v>
      </c>
      <c r="B85" s="289">
        <f>Sheet3!DD85</f>
        <v>6.65</v>
      </c>
      <c r="C85" s="289">
        <f>_xlfn.FORECAST.LINEAR(Sheet3!DD85,$DW$3:$DW$24,$DU$3:$DU$24)</f>
        <v>1002.5845678694083</v>
      </c>
      <c r="D85" s="35">
        <f>_xlfn.FORECAST.LINEAR(Sheet3!CI85,'Cooling water'!$DW$3:$DW$24,'Cooling water'!$DU$3:$DU$24)</f>
        <v>995.48180821415917</v>
      </c>
      <c r="E85" s="35">
        <f>_xlfn.FORECAST.LINEAR(Sheet3!CJ85,'Cooling water'!$DW$3:$DW$24,'Cooling water'!$DU$3:$DU$24)</f>
        <v>996.33195447542914</v>
      </c>
      <c r="F85" s="35">
        <f>_xlfn.FORECAST.LINEAR(Sheet3!CK85,'Cooling water'!$DW$3:$DW$24,'Cooling water'!$DU$3:$DU$24)</f>
        <v>997.13035277406357</v>
      </c>
      <c r="G85" s="35">
        <f>_xlfn.FORECAST.LINEAR(Sheet3!CL85,'Cooling water'!$DW$3:$DW$24,'Cooling water'!$DU$3:$DU$24)</f>
        <v>997.90544440704139</v>
      </c>
      <c r="H85" s="35">
        <f>_xlfn.FORECAST.LINEAR(Sheet3!CM85,'Cooling water'!$DW$3:$DW$24,'Cooling water'!$DU$3:$DU$24)</f>
        <v>998.6856706713412</v>
      </c>
      <c r="I85" s="35">
        <f>_xlfn.FORECAST.LINEAR(Sheet3!CN85,'Cooling water'!$DW$3:$DW$24,'Cooling water'!$DU$3:$DU$24)</f>
        <v>999.49947286394172</v>
      </c>
      <c r="J85" s="35">
        <f>_xlfn.FORECAST.LINEAR(Sheet3!CO85,'Cooling water'!$DW$3:$DW$24,'Cooling water'!$DU$3:$DU$24)</f>
        <v>1000.3752922818215</v>
      </c>
      <c r="K85" s="35">
        <f>_xlfn.FORECAST.LINEAR(Sheet3!CP85,'Cooling water'!$DW$3:$DW$24,'Cooling water'!$DU$3:$DU$24)</f>
        <v>1001.3415702219596</v>
      </c>
      <c r="L85" s="289">
        <f t="shared" si="130"/>
        <v>1.4408679395188084E-3</v>
      </c>
      <c r="M85" s="35">
        <f xml:space="preserve"> 0.0000000000330128*((Sheet3!CI85+273)^(4)) - 0.0000000448315*((Sheet3!CI85+273)^(3)) + 0.0000228887*((Sheet3!CI85+273)^(2)) - 0.00521331*((Sheet3!CI85+273)) + 0.447905</f>
        <v>9.1421907619282372E-4</v>
      </c>
      <c r="N85" s="35">
        <f xml:space="preserve"> 0.0000000000330128*((Sheet3!CJ85+273)^(4)) - 0.0000000448315*((Sheet3!CJ85+273)^(3)) + 0.0000228887*((Sheet3!CJ85+273)^(2)) - 0.00521331*((Sheet3!CJ85+273)) + 0.447905</f>
        <v>9.6060701925981817E-4</v>
      </c>
      <c r="O85" s="35">
        <f xml:space="preserve"> 0.0000000000330128*((Sheet3!CK85+273)^(4)) - 0.0000000448315*((Sheet3!CK85+273)^(3)) + 0.0000228887*((Sheet3!CK85+273)^(2)) - 0.00521331*((Sheet3!CK85+273)) + 0.447905</f>
        <v>1.0076493336295123E-3</v>
      </c>
      <c r="P85" s="35">
        <f xml:space="preserve"> 0.0000000000330128*((Sheet3!CL85+273)^(4)) - 0.0000000448315*((Sheet3!CL85+273)^(3)) + 0.0000228887*((Sheet3!CL85+273)^(2)) - 0.00521331*((Sheet3!CL85+273)) + 0.447905</f>
        <v>1.0567909535945663E-3</v>
      </c>
      <c r="Q85" s="35">
        <f xml:space="preserve"> 0.0000000000330128*((Sheet3!CM85+273)^(4)) - 0.0000000448315*((Sheet3!CM85+273)^(3)) + 0.0000228887*((Sheet3!CM85+273)^(2)) - 0.00521331*((Sheet3!CM85+273)) + 0.447905</f>
        <v>1.1099649065093864E-3</v>
      </c>
      <c r="R85" s="35">
        <f xml:space="preserve"> 0.0000000000330128*((Sheet3!CN85+273)^(4)) - 0.0000000448315*((Sheet3!CN85+273)^(3)) + 0.0000228887*((Sheet3!CN85+273)^(2)) - 0.00521331*((Sheet3!CN85+273)) + 0.447905</f>
        <v>1.1696712354312133E-3</v>
      </c>
      <c r="S85" s="35">
        <f xml:space="preserve"> 0.0000000000330128*((Sheet3!CO85+273)^(4)) - 0.0000000448315*((Sheet3!CO85+273)^(3)) + 0.0000228887*((Sheet3!CO85+273)^(2)) - 0.00521331*((Sheet3!CO85+273)) + 0.447905</f>
        <v>1.2391171226731057E-3</v>
      </c>
      <c r="T85" s="35">
        <f xml:space="preserve"> 0.0000000000330128*((Sheet3!CP85+273)^(4)) - 0.0000000448315*((Sheet3!CP85+273)^(3)) + 0.0000228887*((Sheet3!CP85+273)^(2)) - 0.00521331*((Sheet3!CP85+273)) + 0.447905</f>
        <v>1.3224462379421986E-3</v>
      </c>
      <c r="U85" s="289">
        <f>(Sheet3!DC85*0.014*0.001*C85) / (L85*0.00015*3600*3)</f>
        <v>2940.4833032148035</v>
      </c>
      <c r="V85" s="35">
        <f>(Sheet3!$DC85*0.014*0.001*D85) / (M85*0.00015*3600*3)</f>
        <v>4601.5583044260893</v>
      </c>
      <c r="W85" s="35">
        <f>(Sheet3!$DC85*0.014*0.001*E85) / (N85*0.00015*3600*3)</f>
        <v>4383.0879358870889</v>
      </c>
      <c r="X85" s="35">
        <f>(Sheet3!$DC85*0.014*0.001*F85) / (O85*0.00015*3600*3)</f>
        <v>4181.8109422428206</v>
      </c>
      <c r="Y85" s="35">
        <f>(Sheet3!$DC85*0.014*0.001*G85) / (P85*0.00015*3600*3)</f>
        <v>3990.4528656291031</v>
      </c>
      <c r="Z85" s="35">
        <f>(Sheet3!$DC85*0.014*0.001*H85) / (Q85*0.00015*3600*3)</f>
        <v>3802.2568486538489</v>
      </c>
      <c r="AA85" s="35">
        <f>(Sheet3!$DC85*0.014*0.001*I85) / (R85*0.00015*3600*3)</f>
        <v>3611.1093505414538</v>
      </c>
      <c r="AB85" s="35">
        <f>(Sheet3!$DC85*0.014*0.001*J85) / (S85*0.00015*3600*3)</f>
        <v>3411.7129090990256</v>
      </c>
      <c r="AC85" s="35">
        <f>(Sheet3!$DC85*0.014*0.001*K85) / (T85*0.00015*3600*3)</f>
        <v>3199.8240691379319</v>
      </c>
      <c r="AD85" s="289">
        <f t="shared" si="75"/>
        <v>0.58665691619723259</v>
      </c>
      <c r="AE85" s="35">
        <f>_xlfn.FORECAST.LINEAR(Sheet3!CI85,$DA$3:$DA$12,$CZ$3:$CZ$12)/1000</f>
        <v>0.60513173401515807</v>
      </c>
      <c r="AF85" s="35">
        <f>_xlfn.FORECAST.LINEAR(Sheet3!CJ85,$DA$3:$DA$12,$CZ$3:$CZ$12)/1000</f>
        <v>0.60292043896113701</v>
      </c>
      <c r="AG85" s="35">
        <f>_xlfn.FORECAST.LINEAR(Sheet3!CK85,$DA$3:$DA$12,$CZ$3:$CZ$12)/1000</f>
        <v>0.60084374429183163</v>
      </c>
      <c r="AH85" s="35">
        <f>_xlfn.FORECAST.LINEAR(Sheet3!CL85,$DA$3:$DA$12,$CZ$3:$CZ$12)/1000</f>
        <v>0.59882767203168119</v>
      </c>
      <c r="AI85" s="35">
        <f>_xlfn.FORECAST.LINEAR(Sheet3!CM85,$DA$3:$DA$12,$CZ$3:$CZ$12)/1000</f>
        <v>0.59679824420512562</v>
      </c>
      <c r="AJ85" s="35">
        <f>_xlfn.FORECAST.LINEAR(Sheet3!CN85,$DA$3:$DA$12,$CZ$3:$CZ$12)/1000</f>
        <v>0.59468148283660438</v>
      </c>
      <c r="AK85" s="35">
        <f>_xlfn.FORECAST.LINEAR(Sheet3!CO85,$DA$3:$DA$12,$CZ$3:$CZ$12)/1000</f>
        <v>0.59240340995055718</v>
      </c>
      <c r="AL85" s="35">
        <f>_xlfn.FORECAST.LINEAR(Sheet3!CP85,$DA$3:$DA$12,$CZ$3:$CZ$12)/1000</f>
        <v>0.58989004757142383</v>
      </c>
      <c r="AM85" s="289">
        <f t="shared" si="76"/>
        <v>4189.0646452532083</v>
      </c>
      <c r="AN85" s="35">
        <f>_xlfn.FORECAST.LINEAR(Sheet3!CI85,$DP$3:$DP$14,$DJ$3:$DJ$14)*1000</f>
        <v>4190.6904547117174</v>
      </c>
      <c r="AO85" s="35">
        <f>_xlfn.FORECAST.LINEAR(Sheet3!CJ85,$DP$3:$DP$14,$DJ$3:$DJ$14)*1000</f>
        <v>4190.4958576959416</v>
      </c>
      <c r="AP85" s="35">
        <f>_xlfn.FORECAST.LINEAR(Sheet3!CK85,$DP$3:$DP$14,$DJ$3:$DJ$14)*1000</f>
        <v>4190.3131056997345</v>
      </c>
      <c r="AQ85" s="35">
        <f>_xlfn.FORECAST.LINEAR(Sheet3!CL85,$DP$3:$DP$14,$DJ$3:$DJ$14)*1000</f>
        <v>4190.1356885591758</v>
      </c>
      <c r="AR85" s="35">
        <f>_xlfn.FORECAST.LINEAR(Sheet3!CM85,$DP$3:$DP$14,$DJ$3:$DJ$14)*1000</f>
        <v>4189.9570961103464</v>
      </c>
      <c r="AS85" s="35">
        <f>_xlfn.FORECAST.LINEAR(Sheet3!CN85,$DP$3:$DP$14,$DJ$3:$DJ$14)*1000</f>
        <v>4189.7708181893258</v>
      </c>
      <c r="AT85" s="35">
        <f>_xlfn.FORECAST.LINEAR(Sheet3!CO85,$DP$3:$DP$14,$DJ$3:$DJ$14)*1000</f>
        <v>4189.5703446321959</v>
      </c>
      <c r="AU85" s="35">
        <f>_xlfn.FORECAST.LINEAR(Sheet3!CP85,$DP$3:$DP$14,$DJ$3:$DJ$14)*1000</f>
        <v>4189.3491652750336</v>
      </c>
      <c r="AV85" s="289">
        <f t="shared" si="77"/>
        <v>1.3968382440810949E-7</v>
      </c>
      <c r="AW85" s="35">
        <f t="shared" si="78"/>
        <v>1.4505443698969036E-7</v>
      </c>
      <c r="AX85" s="35">
        <f t="shared" si="79"/>
        <v>1.4440776008892076E-7</v>
      </c>
      <c r="AY85" s="35">
        <f t="shared" si="80"/>
        <v>1.4380140595436482E-7</v>
      </c>
      <c r="AZ85" s="35">
        <f t="shared" si="81"/>
        <v>1.432136396415019E-7</v>
      </c>
      <c r="BA85" s="35">
        <f t="shared" si="82"/>
        <v>1.4262286038641213E-7</v>
      </c>
      <c r="BB85" s="35">
        <f t="shared" si="83"/>
        <v>1.4200759705797629E-7</v>
      </c>
      <c r="BC85" s="35">
        <f t="shared" si="84"/>
        <v>1.4134651532636006E-7</v>
      </c>
      <c r="BD85" s="35">
        <f t="shared" si="85"/>
        <v>1.4061843634336195E-7</v>
      </c>
      <c r="BE85" s="289">
        <f t="shared" si="74"/>
        <v>10.288618061544897</v>
      </c>
      <c r="BF85" s="35">
        <f t="shared" si="86"/>
        <v>6.3311985486133207</v>
      </c>
      <c r="BG85" s="35">
        <f t="shared" si="87"/>
        <v>6.6765355343035306</v>
      </c>
      <c r="BH85" s="35">
        <f t="shared" si="88"/>
        <v>7.0273948073370187</v>
      </c>
      <c r="BI85" s="35">
        <f t="shared" si="89"/>
        <v>7.3946106648338166</v>
      </c>
      <c r="BJ85" s="35">
        <f t="shared" si="90"/>
        <v>7.7927597502514878</v>
      </c>
      <c r="BK85" s="35">
        <f t="shared" si="91"/>
        <v>8.2408054572495679</v>
      </c>
      <c r="BL85" s="35">
        <f t="shared" si="92"/>
        <v>8.7632317158851212</v>
      </c>
      <c r="BM85" s="35">
        <f t="shared" si="93"/>
        <v>9.391901195575695</v>
      </c>
      <c r="BN85" s="289">
        <f t="shared" si="94"/>
        <v>1.4166006982667919E-3</v>
      </c>
      <c r="BO85" s="35">
        <f t="shared" si="95"/>
        <v>1.4710666578396042E-3</v>
      </c>
      <c r="BP85" s="35">
        <f t="shared" si="96"/>
        <v>1.4645083970455215E-3</v>
      </c>
      <c r="BQ85" s="35">
        <f t="shared" si="97"/>
        <v>1.4583590687747023E-3</v>
      </c>
      <c r="BR85" s="35">
        <f t="shared" si="98"/>
        <v>1.4523982485240576E-3</v>
      </c>
      <c r="BS85" s="35">
        <f t="shared" si="99"/>
        <v>1.4464068725803651E-3</v>
      </c>
      <c r="BT85" s="35">
        <f t="shared" si="100"/>
        <v>1.4401671918988449E-3</v>
      </c>
      <c r="BU85" s="35">
        <f t="shared" si="101"/>
        <v>1.433462844802199E-3</v>
      </c>
      <c r="BV85" s="35">
        <f t="shared" si="102"/>
        <v>1.4260790464269832E-3</v>
      </c>
      <c r="BW85" s="289">
        <f t="shared" si="103"/>
        <v>4.9023297750790937E-2</v>
      </c>
      <c r="BX85" s="35">
        <f t="shared" si="104"/>
        <v>4.3830958667547652E-2</v>
      </c>
      <c r="BY85" s="35">
        <f t="shared" si="105"/>
        <v>4.4367213746947132E-2</v>
      </c>
      <c r="BZ85" s="35">
        <f t="shared" si="106"/>
        <v>4.4891705298981559E-2</v>
      </c>
      <c r="CA85" s="35">
        <f t="shared" si="107"/>
        <v>4.5420473313169014E-2</v>
      </c>
      <c r="CB85" s="35">
        <f t="shared" si="108"/>
        <v>4.5972364264536401E-2</v>
      </c>
      <c r="CC85" s="35">
        <f t="shared" si="109"/>
        <v>4.6569013912988365E-2</v>
      </c>
      <c r="CD85" s="35">
        <f t="shared" si="110"/>
        <v>4.7235017676590149E-2</v>
      </c>
      <c r="CE85" s="35">
        <f t="shared" si="111"/>
        <v>4.7998280200625076E-2</v>
      </c>
      <c r="CF85" s="289">
        <f t="shared" si="112"/>
        <v>11.744127398853102</v>
      </c>
      <c r="CG85" s="35">
        <f t="shared" si="113"/>
        <v>38.121971190120824</v>
      </c>
      <c r="CH85" s="35">
        <f t="shared" si="114"/>
        <v>36.760400458848281</v>
      </c>
      <c r="CI85" s="35">
        <f t="shared" si="115"/>
        <v>35.453762641309922</v>
      </c>
      <c r="CJ85" s="35">
        <f t="shared" si="116"/>
        <v>34.161274199213999</v>
      </c>
      <c r="CK85" s="35">
        <f t="shared" si="117"/>
        <v>32.838424040246537</v>
      </c>
      <c r="CL85" s="35">
        <f t="shared" si="118"/>
        <v>31.437772078888912</v>
      </c>
      <c r="CM85" s="35">
        <f t="shared" si="119"/>
        <v>29.909625278616279</v>
      </c>
      <c r="CN85" s="35">
        <f t="shared" si="120"/>
        <v>28.202762753087327</v>
      </c>
      <c r="CO85" s="289">
        <f t="shared" si="121"/>
        <v>492.12668308847049</v>
      </c>
      <c r="CP85" s="35">
        <f t="shared" si="122"/>
        <v>1647.7724664538366</v>
      </c>
      <c r="CQ85" s="35">
        <f t="shared" si="123"/>
        <v>1583.1140557882848</v>
      </c>
      <c r="CR85" s="35">
        <f t="shared" si="124"/>
        <v>1521.583678188465</v>
      </c>
      <c r="CS85" s="35">
        <f t="shared" si="125"/>
        <v>1461.194021596518</v>
      </c>
      <c r="CT85" s="35">
        <f t="shared" si="126"/>
        <v>1399.8509864058942</v>
      </c>
      <c r="CU85" s="35">
        <f t="shared" si="127"/>
        <v>1335.3900654966326</v>
      </c>
      <c r="CV85" s="35">
        <f t="shared" si="128"/>
        <v>1265.611714671119</v>
      </c>
      <c r="CW85" s="35">
        <f t="shared" si="129"/>
        <v>1188.3235044331616</v>
      </c>
    </row>
    <row r="86" spans="1:101" x14ac:dyDescent="0.3">
      <c r="A86" s="184" t="str">
        <f>'Su K. oro stendu'!B131</f>
        <v>2023.02.15-1</v>
      </c>
      <c r="B86" s="289">
        <f>Sheet3!DD86</f>
        <v>6.34</v>
      </c>
      <c r="C86" s="289">
        <f>_xlfn.FORECAST.LINEAR(Sheet3!DD86,$DW$3:$DW$24,$DU$3:$DU$24)</f>
        <v>1002.7131710480644</v>
      </c>
      <c r="D86" s="35">
        <f>_xlfn.FORECAST.LINEAR(Sheet3!CI86,'Cooling water'!$DW$3:$DW$24,'Cooling water'!$DU$3:$DU$24)</f>
        <v>994.04541274587973</v>
      </c>
      <c r="E86" s="35">
        <f>_xlfn.FORECAST.LINEAR(Sheet3!CJ86,'Cooling water'!$DW$3:$DW$24,'Cooling water'!$DU$3:$DU$24)</f>
        <v>995.02539225650298</v>
      </c>
      <c r="F86" s="35">
        <f>_xlfn.FORECAST.LINEAR(Sheet3!CK86,'Cooling water'!$DW$3:$DW$24,'Cooling water'!$DU$3:$DU$24)</f>
        <v>995.94987003873212</v>
      </c>
      <c r="G86" s="35">
        <f>_xlfn.FORECAST.LINEAR(Sheet3!CL86,'Cooling water'!$DW$3:$DW$24,'Cooling water'!$DU$3:$DU$24)</f>
        <v>996.85761006923519</v>
      </c>
      <c r="H86" s="35">
        <f>_xlfn.FORECAST.LINEAR(Sheet3!CM86,'Cooling water'!$DW$3:$DW$24,'Cooling water'!$DU$3:$DU$24)</f>
        <v>997.78737632468017</v>
      </c>
      <c r="I86" s="35">
        <f>_xlfn.FORECAST.LINEAR(Sheet3!CN86,'Cooling water'!$DW$3:$DW$24,'Cooling water'!$DU$3:$DU$24)</f>
        <v>998.77793278173533</v>
      </c>
      <c r="J86" s="35">
        <f>_xlfn.FORECAST.LINEAR(Sheet3!CO86,'Cooling water'!$DW$3:$DW$24,'Cooling water'!$DU$3:$DU$24)</f>
        <v>999.86804341706863</v>
      </c>
      <c r="K86" s="35">
        <f>_xlfn.FORECAST.LINEAR(Sheet3!CP86,'Cooling water'!$DW$3:$DW$24,'Cooling water'!$DU$3:$DU$24)</f>
        <v>1001.0964722073481</v>
      </c>
      <c r="L86" s="289">
        <f t="shared" si="130"/>
        <v>1.4538855004473383E-3</v>
      </c>
      <c r="M86" s="35">
        <f xml:space="preserve"> 0.0000000000330128*((Sheet3!CI86+273)^(4)) - 0.0000000448315*((Sheet3!CI86+273)^(3)) + 0.0000228887*((Sheet3!CI86+273)^(2)) - 0.00521331*((Sheet3!CI86+273)) + 0.447905</f>
        <v>8.4370869829575312E-4</v>
      </c>
      <c r="N86" s="35">
        <f xml:space="preserve"> 0.0000000000330128*((Sheet3!CJ86+273)^(4)) - 0.0000000448315*((Sheet3!CJ86+273)^(3)) + 0.0000228887*((Sheet3!CJ86+273)^(2)) - 0.00521331*((Sheet3!CJ86+273)) + 0.447905</f>
        <v>8.9078861931080056E-4</v>
      </c>
      <c r="O86" s="35">
        <f xml:space="preserve"> 0.0000000000330128*((Sheet3!CK86+273)^(4)) - 0.0000000448315*((Sheet3!CK86+273)^(3)) + 0.0000228887*((Sheet3!CK86+273)^(2)) - 0.00521331*((Sheet3!CK86+273)) + 0.447905</f>
        <v>9.393035205811362E-4</v>
      </c>
      <c r="P86" s="35">
        <f xml:space="preserve"> 0.0000000000330128*((Sheet3!CL86+273)^(4)) - 0.0000000448315*((Sheet3!CL86+273)^(3)) + 0.0000228887*((Sheet3!CL86+273)^(2)) - 0.00521331*((Sheet3!CL86+273)) + 0.447905</f>
        <v>9.9118381348461959E-4</v>
      </c>
      <c r="Q86" s="35">
        <f xml:space="preserve"> 0.0000000000330128*((Sheet3!CM86+273)^(4)) - 0.0000000448315*((Sheet3!CM86+273)^(3)) + 0.0000228887*((Sheet3!CM86+273)^(2)) - 0.00521331*((Sheet3!CM86+273)) + 0.447905</f>
        <v>1.04907460685566E-3</v>
      </c>
      <c r="R86" s="35">
        <f xml:space="preserve"> 0.0000000000330128*((Sheet3!CN86+273)^(4)) - 0.0000000448315*((Sheet3!CN86+273)^(3)) + 0.0000228887*((Sheet3!CN86+273)^(2)) - 0.00521331*((Sheet3!CN86+273)) + 0.447905</f>
        <v>1.116510685489347E-3</v>
      </c>
      <c r="S86" s="35">
        <f xml:space="preserve"> 0.0000000000330128*((Sheet3!CO86+273)^(4)) - 0.0000000448315*((Sheet3!CO86+273)^(3)) + 0.0000228887*((Sheet3!CO86+273)^(2)) - 0.00521331*((Sheet3!CO86+273)) + 0.447905</f>
        <v>1.1982189293140433E-3</v>
      </c>
      <c r="T86" s="35">
        <f xml:space="preserve"> 0.0000000000330128*((Sheet3!CP86+273)^(4)) - 0.0000000448315*((Sheet3!CP86+273)^(3)) + 0.0000228887*((Sheet3!CP86+273)^(2)) - 0.00521331*((Sheet3!CP86+273)) + 0.447905</f>
        <v>1.3006145576512917E-3</v>
      </c>
      <c r="U86" s="289">
        <f>(Sheet3!DC86*0.014*0.001*C86) / (L86*0.00015*3600*3)</f>
        <v>3129.0956496712834</v>
      </c>
      <c r="V86" s="35">
        <f>(Sheet3!$DC86*0.014*0.001*D86) / (M86*0.00015*3600*3)</f>
        <v>5345.4715629160037</v>
      </c>
      <c r="W86" s="35">
        <f>(Sheet3!$DC86*0.014*0.001*E86) / (N86*0.00015*3600*3)</f>
        <v>5067.944245799732</v>
      </c>
      <c r="X86" s="35">
        <f>(Sheet3!$DC86*0.014*0.001*F86) / (O86*0.00015*3600*3)</f>
        <v>4810.6510285432651</v>
      </c>
      <c r="Y86" s="35">
        <f>(Sheet3!$DC86*0.014*0.001*G86) / (P86*0.00015*3600*3)</f>
        <v>4563.0082291557992</v>
      </c>
      <c r="Z86" s="35">
        <f>(Sheet3!$DC86*0.014*0.001*H86) / (Q86*0.00015*3600*3)</f>
        <v>4315.2300626564938</v>
      </c>
      <c r="AA86" s="35">
        <f>(Sheet3!$DC86*0.014*0.001*I86) / (R86*0.00015*3600*3)</f>
        <v>4058.6198875651153</v>
      </c>
      <c r="AB86" s="35">
        <f>(Sheet3!$DC86*0.014*0.001*J86) / (S86*0.00015*3600*3)</f>
        <v>3785.9845426828792</v>
      </c>
      <c r="AC86" s="35">
        <f>(Sheet3!$DC86*0.014*0.001*K86) / (T86*0.00015*3600*3)</f>
        <v>3492.2043162841633</v>
      </c>
      <c r="AD86" s="289">
        <f t="shared" si="75"/>
        <v>0.58632240955308312</v>
      </c>
      <c r="AE86" s="35">
        <f>_xlfn.FORECAST.LINEAR(Sheet3!CI86,$DA$3:$DA$12,$CZ$3:$CZ$12)/1000</f>
        <v>0.60886790782350952</v>
      </c>
      <c r="AF86" s="35">
        <f>_xlfn.FORECAST.LINEAR(Sheet3!CJ86,$DA$3:$DA$12,$CZ$3:$CZ$12)/1000</f>
        <v>0.60631890661794507</v>
      </c>
      <c r="AG86" s="35">
        <f>_xlfn.FORECAST.LINEAR(Sheet3!CK86,$DA$3:$DA$12,$CZ$3:$CZ$12)/1000</f>
        <v>0.6039142696271973</v>
      </c>
      <c r="AH86" s="35">
        <f>_xlfn.FORECAST.LINEAR(Sheet3!CL86,$DA$3:$DA$12,$CZ$3:$CZ$12)/1000</f>
        <v>0.60155316880109966</v>
      </c>
      <c r="AI86" s="35">
        <f>_xlfn.FORECAST.LINEAR(Sheet3!CM86,$DA$3:$DA$12,$CZ$3:$CZ$12)/1000</f>
        <v>0.5991347760894854</v>
      </c>
      <c r="AJ86" s="35">
        <f>_xlfn.FORECAST.LINEAR(Sheet3!CN86,$DA$3:$DA$12,$CZ$3:$CZ$12)/1000</f>
        <v>0.59655826344218787</v>
      </c>
      <c r="AK86" s="35">
        <f>_xlfn.FORECAST.LINEAR(Sheet3!CO86,$DA$3:$DA$12,$CZ$3:$CZ$12)/1000</f>
        <v>0.59372280280904066</v>
      </c>
      <c r="AL86" s="35">
        <f>_xlfn.FORECAST.LINEAR(Sheet3!CP86,$DA$3:$DA$12,$CZ$3:$CZ$12)/1000</f>
        <v>0.590527566139877</v>
      </c>
      <c r="AM86" s="289">
        <f t="shared" si="76"/>
        <v>4189.0352082069903</v>
      </c>
      <c r="AN86" s="35">
        <f>_xlfn.FORECAST.LINEAR(Sheet3!CI86,$DP$3:$DP$14,$DJ$3:$DJ$14)*1000</f>
        <v>4191.0192431618188</v>
      </c>
      <c r="AO86" s="35">
        <f>_xlfn.FORECAST.LINEAR(Sheet3!CJ86,$DP$3:$DP$14,$DJ$3:$DJ$14)*1000</f>
        <v>4190.7949275387582</v>
      </c>
      <c r="AP86" s="35">
        <f>_xlfn.FORECAST.LINEAR(Sheet3!CK86,$DP$3:$DP$14,$DJ$3:$DJ$14)*1000</f>
        <v>4190.5833161657874</v>
      </c>
      <c r="AQ86" s="35">
        <f>_xlfn.FORECAST.LINEAR(Sheet3!CL86,$DP$3:$DP$14,$DJ$3:$DJ$14)*1000</f>
        <v>4190.3755360353734</v>
      </c>
      <c r="AR86" s="35">
        <f>_xlfn.FORECAST.LINEAR(Sheet3!CM86,$DP$3:$DP$14,$DJ$3:$DJ$14)*1000</f>
        <v>4190.1627141399877</v>
      </c>
      <c r="AS86" s="35">
        <f>_xlfn.FORECAST.LINEAR(Sheet3!CN86,$DP$3:$DP$14,$DJ$3:$DJ$14)*1000</f>
        <v>4189.9359774720951</v>
      </c>
      <c r="AT86" s="35">
        <f>_xlfn.FORECAST.LINEAR(Sheet3!CO86,$DP$3:$DP$14,$DJ$3:$DJ$14)*1000</f>
        <v>4189.6864530241673</v>
      </c>
      <c r="AU86" s="35">
        <f>_xlfn.FORECAST.LINEAR(Sheet3!CP86,$DP$3:$DP$14,$DJ$3:$DJ$14)*1000</f>
        <v>4189.4052677886702</v>
      </c>
      <c r="AV86" s="289">
        <f t="shared" si="77"/>
        <v>1.3958725384688139E-7</v>
      </c>
      <c r="AW86" s="35">
        <f t="shared" si="78"/>
        <v>1.4614945610762933E-7</v>
      </c>
      <c r="AX86" s="35">
        <f t="shared" si="79"/>
        <v>1.4540205266580553E-7</v>
      </c>
      <c r="AY86" s="35">
        <f t="shared" si="80"/>
        <v>1.4469826794521966E-7</v>
      </c>
      <c r="AZ86" s="35">
        <f t="shared" si="81"/>
        <v>1.4400843959276695E-7</v>
      </c>
      <c r="BA86" s="35">
        <f t="shared" si="82"/>
        <v>1.4330311649810894E-7</v>
      </c>
      <c r="BB86" s="35">
        <f t="shared" si="83"/>
        <v>1.4255305879855216E-7</v>
      </c>
      <c r="BC86" s="35">
        <f t="shared" si="84"/>
        <v>1.4172925956124498E-7</v>
      </c>
      <c r="BD86" s="35">
        <f t="shared" si="85"/>
        <v>1.4080298766899364E-7</v>
      </c>
      <c r="BE86" s="289">
        <f t="shared" si="74"/>
        <v>10.387420727646848</v>
      </c>
      <c r="BF86" s="35">
        <f t="shared" si="86"/>
        <v>5.8074983830572959</v>
      </c>
      <c r="BG86" s="35">
        <f t="shared" si="87"/>
        <v>6.157011411932225</v>
      </c>
      <c r="BH86" s="35">
        <f t="shared" si="88"/>
        <v>6.5178616570742287</v>
      </c>
      <c r="BI86" s="35">
        <f t="shared" si="89"/>
        <v>6.9045142127968884</v>
      </c>
      <c r="BJ86" s="35">
        <f t="shared" si="90"/>
        <v>7.3369022754591491</v>
      </c>
      <c r="BK86" s="35">
        <f t="shared" si="91"/>
        <v>7.8418296703674759</v>
      </c>
      <c r="BL86" s="35">
        <f t="shared" si="92"/>
        <v>8.4553963434663739</v>
      </c>
      <c r="BM86" s="35">
        <f t="shared" si="93"/>
        <v>9.2270061409737938</v>
      </c>
      <c r="BN86" s="289">
        <f t="shared" si="94"/>
        <v>1.3185501529559638E-3</v>
      </c>
      <c r="BO86" s="35">
        <f t="shared" si="95"/>
        <v>1.380537136410259E-3</v>
      </c>
      <c r="BP86" s="35">
        <f t="shared" si="96"/>
        <v>1.3734771155603789E-3</v>
      </c>
      <c r="BQ86" s="35">
        <f t="shared" si="97"/>
        <v>1.3668291199490131E-3</v>
      </c>
      <c r="BR86" s="35">
        <f t="shared" si="98"/>
        <v>1.3603129570861946E-3</v>
      </c>
      <c r="BS86" s="35">
        <f t="shared" si="99"/>
        <v>1.3536504298946731E-3</v>
      </c>
      <c r="BT86" s="35">
        <f t="shared" si="100"/>
        <v>1.3465653367560023E-3</v>
      </c>
      <c r="BU86" s="35">
        <f t="shared" si="101"/>
        <v>1.338783676321964E-3</v>
      </c>
      <c r="BV86" s="35">
        <f t="shared" si="102"/>
        <v>1.3300340526167321E-3</v>
      </c>
      <c r="BW86" s="289">
        <f t="shared" si="103"/>
        <v>4.8267242928603779E-2</v>
      </c>
      <c r="BX86" s="35">
        <f t="shared" si="104"/>
        <v>4.2219267690200429E-2</v>
      </c>
      <c r="BY86" s="35">
        <f t="shared" si="105"/>
        <v>4.2785759415827761E-2</v>
      </c>
      <c r="BZ86" s="35">
        <f t="shared" si="106"/>
        <v>4.3346719802676188E-2</v>
      </c>
      <c r="CA86" s="35">
        <f t="shared" si="107"/>
        <v>4.3923242076077236E-2</v>
      </c>
      <c r="CB86" s="35">
        <f t="shared" si="108"/>
        <v>4.4540615401900123E-2</v>
      </c>
      <c r="CC86" s="35">
        <f t="shared" si="109"/>
        <v>4.5228543998915703E-2</v>
      </c>
      <c r="CD86" s="35">
        <f t="shared" si="110"/>
        <v>4.6021682589820784E-2</v>
      </c>
      <c r="CE86" s="35">
        <f t="shared" si="111"/>
        <v>4.6960454412826702E-2</v>
      </c>
      <c r="CF86" s="289">
        <f t="shared" si="112"/>
        <v>28.330839467872142</v>
      </c>
      <c r="CG86" s="35">
        <f t="shared" si="113"/>
        <v>43.548570663613781</v>
      </c>
      <c r="CH86" s="35">
        <f t="shared" si="114"/>
        <v>41.97548917148454</v>
      </c>
      <c r="CI86" s="35">
        <f t="shared" si="115"/>
        <v>40.448917846250787</v>
      </c>
      <c r="CJ86" s="35">
        <f t="shared" si="116"/>
        <v>38.912174251121684</v>
      </c>
      <c r="CK86" s="35">
        <f t="shared" si="117"/>
        <v>37.302360418394237</v>
      </c>
      <c r="CL86" s="35">
        <f t="shared" si="118"/>
        <v>35.551529036792324</v>
      </c>
      <c r="CM86" s="35">
        <f t="shared" si="119"/>
        <v>33.587846200156903</v>
      </c>
      <c r="CN86" s="35">
        <f t="shared" si="120"/>
        <v>31.337184255644004</v>
      </c>
      <c r="CO86" s="289">
        <f t="shared" si="121"/>
        <v>1186.5004329617414</v>
      </c>
      <c r="CP86" s="35">
        <f t="shared" si="122"/>
        <v>1893.9519363327706</v>
      </c>
      <c r="CQ86" s="35">
        <f t="shared" si="123"/>
        <v>1817.895192800564</v>
      </c>
      <c r="CR86" s="35">
        <f t="shared" si="124"/>
        <v>1744.8341913092179</v>
      </c>
      <c r="CS86" s="35">
        <f t="shared" si="125"/>
        <v>1671.9815518359146</v>
      </c>
      <c r="CT86" s="35">
        <f t="shared" si="126"/>
        <v>1596.3672397774226</v>
      </c>
      <c r="CU86" s="35">
        <f t="shared" si="127"/>
        <v>1514.8970303502392</v>
      </c>
      <c r="CV86" s="35">
        <f t="shared" si="128"/>
        <v>1424.4192990197246</v>
      </c>
      <c r="CW86" s="35">
        <f t="shared" si="129"/>
        <v>1321.8193677258805</v>
      </c>
    </row>
    <row r="87" spans="1:101" x14ac:dyDescent="0.3">
      <c r="A87" s="184" t="str">
        <f>'Su K. oro stendu'!B132</f>
        <v>2023.02.20-1</v>
      </c>
      <c r="B87" s="289">
        <f>Sheet3!DD87</f>
        <v>6.09</v>
      </c>
      <c r="C87" s="289">
        <f>_xlfn.FORECAST.LINEAR(Sheet3!DD87,$DW$3:$DW$24,$DU$3:$DU$24)</f>
        <v>1002.8168832889161</v>
      </c>
      <c r="D87" s="35">
        <f>_xlfn.FORECAST.LINEAR(Sheet3!CI87,'Cooling water'!$DW$3:$DW$24,'Cooling water'!$DU$3:$DU$24)</f>
        <v>999.34802076204221</v>
      </c>
      <c r="E87" s="35">
        <f>_xlfn.FORECAST.LINEAR(Sheet3!CJ87,'Cooling water'!$DW$3:$DW$24,'Cooling water'!$DU$3:$DU$24)</f>
        <v>999.85454926412422</v>
      </c>
      <c r="F87" s="35">
        <f>_xlfn.FORECAST.LINEAR(Sheet3!CK87,'Cooling water'!$DW$3:$DW$24,'Cooling water'!$DU$3:$DU$24)</f>
        <v>1000.3065367784654</v>
      </c>
      <c r="G87" s="35">
        <f>_xlfn.FORECAST.LINEAR(Sheet3!CL87,'Cooling water'!$DW$3:$DW$24,'Cooling water'!$DU$3:$DU$24)</f>
        <v>1000.7197147678975</v>
      </c>
      <c r="H87" s="35">
        <f>_xlfn.FORECAST.LINEAR(Sheet3!CM87,'Cooling water'!$DW$3:$DW$24,'Cooling water'!$DU$3:$DU$24)</f>
        <v>1001.1098146952513</v>
      </c>
      <c r="I87" s="35">
        <f>_xlfn.FORECAST.LINEAR(Sheet3!CN87,'Cooling water'!$DW$3:$DW$24,'Cooling water'!$DU$3:$DU$24)</f>
        <v>1001.4925680233582</v>
      </c>
      <c r="J87" s="35">
        <f>_xlfn.FORECAST.LINEAR(Sheet3!CO87,'Cooling water'!$DW$3:$DW$24,'Cooling water'!$DU$3:$DU$24)</f>
        <v>1001.8837062150495</v>
      </c>
      <c r="K87" s="35">
        <f>_xlfn.FORECAST.LINEAR(Sheet3!CP87,'Cooling water'!$DW$3:$DW$24,'Cooling water'!$DU$3:$DU$24)</f>
        <v>1002.2989607331564</v>
      </c>
      <c r="L87" s="289">
        <f t="shared" si="130"/>
        <v>1.4644919817390356E-3</v>
      </c>
      <c r="M87" s="35">
        <f xml:space="preserve"> 0.0000000000330128*((Sheet3!CI87+273)^(4)) - 0.0000000448315*((Sheet3!CI87+273)^(3)) + 0.0000228887*((Sheet3!CI87+273)^(2)) - 0.00521331*((Sheet3!CI87+273)) + 0.447905</f>
        <v>1.1582178166908985E-3</v>
      </c>
      <c r="N87" s="35">
        <f xml:space="preserve"> 0.0000000000330128*((Sheet3!CJ87+273)^(4)) - 0.0000000448315*((Sheet3!CJ87+273)^(3)) + 0.0000228887*((Sheet3!CJ87+273)^(2)) - 0.00521331*((Sheet3!CJ87+273)) + 0.447905</f>
        <v>1.1971566286521629E-3</v>
      </c>
      <c r="O87" s="35">
        <f xml:space="preserve"> 0.0000000000330128*((Sheet3!CK87+273)^(4)) - 0.0000000448315*((Sheet3!CK87+273)^(3)) + 0.0000228887*((Sheet3!CK87+273)^(2)) - 0.00521331*((Sheet3!CK87+273)) + 0.447905</f>
        <v>1.233461923771273E-3</v>
      </c>
      <c r="P87" s="35">
        <f xml:space="preserve"> 0.0000000000330128*((Sheet3!CL87+273)^(4)) - 0.0000000448315*((Sheet3!CL87+273)^(3)) + 0.0000228887*((Sheet3!CL87+273)^(2)) - 0.00521331*((Sheet3!CL87+273)) + 0.447905</f>
        <v>1.2679852076096232E-3</v>
      </c>
      <c r="Q87" s="35">
        <f xml:space="preserve"> 0.0000000000330128*((Sheet3!CM87+273)^(4)) - 0.0000000448315*((Sheet3!CM87+273)^(3)) + 0.0000228887*((Sheet3!CM87+273)^(2)) - 0.00521331*((Sheet3!CM87+273)) + 0.447905</f>
        <v>1.3017906213044217E-3</v>
      </c>
      <c r="R87" s="35">
        <f xml:space="preserve"> 0.0000000000330128*((Sheet3!CN87+273)^(4)) - 0.0000000448315*((Sheet3!CN87+273)^(3)) + 0.0000228887*((Sheet3!CN87+273)^(2)) - 0.00521331*((Sheet3!CN87+273)) + 0.447905</f>
        <v>1.3361382553627177E-3</v>
      </c>
      <c r="S87" s="35">
        <f xml:space="preserve"> 0.0000000000330128*((Sheet3!CO87+273)^(4)) - 0.0000000448315*((Sheet3!CO87+273)^(3)) + 0.0000228887*((Sheet3!CO87+273)^(2)) - 0.00521331*((Sheet3!CO87+273)) + 0.447905</f>
        <v>1.3724816286020403E-3</v>
      </c>
      <c r="T87" s="35">
        <f xml:space="preserve"> 0.0000000000330128*((Sheet3!CP87+273)^(4)) - 0.0000000448315*((Sheet3!CP87+273)^(3)) + 0.0000228887*((Sheet3!CP87+273)^(2)) - 0.00521331*((Sheet3!CP87+273)) + 0.447905</f>
        <v>1.4124837079678709E-3</v>
      </c>
      <c r="U87" s="289">
        <f>(Sheet3!DC87*0.014*0.001*C87) / (L87*0.00015*3600*3)</f>
        <v>3284.2835352847324</v>
      </c>
      <c r="V87" s="35">
        <f>(Sheet3!$DC87*0.014*0.001*D87) / (M87*0.00015*3600*3)</f>
        <v>4138.4005163954434</v>
      </c>
      <c r="W87" s="35">
        <f>(Sheet3!$DC87*0.014*0.001*E87) / (N87*0.00015*3600*3)</f>
        <v>4005.8239303822102</v>
      </c>
      <c r="X87" s="35">
        <f>(Sheet3!$DC87*0.014*0.001*F87) / (O87*0.00015*3600*3)</f>
        <v>3889.6754290091917</v>
      </c>
      <c r="Y87" s="35">
        <f>(Sheet3!$DC87*0.014*0.001*G87) / (P87*0.00015*3600*3)</f>
        <v>3785.3345865290735</v>
      </c>
      <c r="Z87" s="35">
        <f>(Sheet3!$DC87*0.014*0.001*H87) / (Q87*0.00015*3600*3)</f>
        <v>3688.4727987956944</v>
      </c>
      <c r="AA87" s="35">
        <f>(Sheet3!$DC87*0.014*0.001*I87) / (R87*0.00015*3600*3)</f>
        <v>3595.0284901278574</v>
      </c>
      <c r="AB87" s="35">
        <f>(Sheet3!$DC87*0.014*0.001*J87) / (S87*0.00015*3600*3)</f>
        <v>3501.1988570902658</v>
      </c>
      <c r="AC87" s="35">
        <f>(Sheet3!$DC87*0.014*0.001*K87) / (T87*0.00015*3600*3)</f>
        <v>3403.4536228827178</v>
      </c>
      <c r="AD87" s="289">
        <f t="shared" si="75"/>
        <v>0.58605264613038199</v>
      </c>
      <c r="AE87" s="35">
        <f>_xlfn.FORECAST.LINEAR(Sheet3!CI87,$DA$3:$DA$12,$CZ$3:$CZ$12)/1000</f>
        <v>0.59507542126709401</v>
      </c>
      <c r="AF87" s="35">
        <f>_xlfn.FORECAST.LINEAR(Sheet3!CJ87,$DA$3:$DA$12,$CZ$3:$CZ$12)/1000</f>
        <v>0.59375790212668</v>
      </c>
      <c r="AG87" s="35">
        <f>_xlfn.FORECAST.LINEAR(Sheet3!CK87,$DA$3:$DA$12,$CZ$3:$CZ$12)/1000</f>
        <v>0.59258224824160721</v>
      </c>
      <c r="AH87" s="35">
        <f>_xlfn.FORECAST.LINEAR(Sheet3!CL87,$DA$3:$DA$12,$CZ$3:$CZ$12)/1000</f>
        <v>0.59150754088113899</v>
      </c>
      <c r="AI87" s="35">
        <f>_xlfn.FORECAST.LINEAR(Sheet3!CM87,$DA$3:$DA$12,$CZ$3:$CZ$12)/1000</f>
        <v>0.5904928613145396</v>
      </c>
      <c r="AJ87" s="35">
        <f>_xlfn.FORECAST.LINEAR(Sheet3!CN87,$DA$3:$DA$12,$CZ$3:$CZ$12)/1000</f>
        <v>0.58949729081107272</v>
      </c>
      <c r="AK87" s="35">
        <f>_xlfn.FORECAST.LINEAR(Sheet3!CO87,$DA$3:$DA$12,$CZ$3:$CZ$12)/1000</f>
        <v>0.58847991064000238</v>
      </c>
      <c r="AL87" s="35">
        <f>_xlfn.FORECAST.LINEAR(Sheet3!CP87,$DA$3:$DA$12,$CZ$3:$CZ$12)/1000</f>
        <v>0.58739980207059217</v>
      </c>
      <c r="AM87" s="289">
        <f t="shared" si="76"/>
        <v>4189.0114686535881</v>
      </c>
      <c r="AN87" s="35">
        <f>_xlfn.FORECAST.LINEAR(Sheet3!CI87,$DP$3:$DP$14,$DJ$3:$DJ$14)*1000</f>
        <v>4189.8054853147441</v>
      </c>
      <c r="AO87" s="35">
        <f>_xlfn.FORECAST.LINEAR(Sheet3!CJ87,$DP$3:$DP$14,$DJ$3:$DJ$14)*1000</f>
        <v>4189.6895418125468</v>
      </c>
      <c r="AP87" s="35">
        <f>_xlfn.FORECAST.LINEAR(Sheet3!CK87,$DP$3:$DP$14,$DJ$3:$DJ$14)*1000</f>
        <v>4189.5860826485587</v>
      </c>
      <c r="AQ87" s="35">
        <f>_xlfn.FORECAST.LINEAR(Sheet3!CL87,$DP$3:$DP$14,$DJ$3:$DJ$14)*1000</f>
        <v>4189.4915069180161</v>
      </c>
      <c r="AR87" s="35">
        <f>_xlfn.FORECAST.LINEAR(Sheet3!CM87,$DP$3:$DP$14,$DJ$3:$DJ$14)*1000</f>
        <v>4189.4022137161564</v>
      </c>
      <c r="AS87" s="35">
        <f>_xlfn.FORECAST.LINEAR(Sheet3!CN87,$DP$3:$DP$14,$DJ$3:$DJ$14)*1000</f>
        <v>4189.3146021382181</v>
      </c>
      <c r="AT87" s="35">
        <f>_xlfn.FORECAST.LINEAR(Sheet3!CO87,$DP$3:$DP$14,$DJ$3:$DJ$14)*1000</f>
        <v>4189.2250712794394</v>
      </c>
      <c r="AU87" s="35">
        <f>_xlfn.FORECAST.LINEAR(Sheet3!CP87,$DP$3:$DP$14,$DJ$3:$DJ$14)*1000</f>
        <v>4189.1300202350567</v>
      </c>
      <c r="AV87" s="289">
        <f t="shared" si="77"/>
        <v>1.3950939159866465E-7</v>
      </c>
      <c r="AW87" s="35">
        <f t="shared" si="78"/>
        <v>1.4212202769119863E-7</v>
      </c>
      <c r="AX87" s="35">
        <f t="shared" si="79"/>
        <v>1.4173944663138143E-7</v>
      </c>
      <c r="AY87" s="35">
        <f t="shared" si="80"/>
        <v>1.4139837300551671E-7</v>
      </c>
      <c r="AZ87" s="35">
        <f t="shared" si="81"/>
        <v>1.4108684296575132E-7</v>
      </c>
      <c r="BA87" s="35">
        <f t="shared" si="82"/>
        <v>1.407929389604933E-7</v>
      </c>
      <c r="BB87" s="35">
        <f t="shared" si="83"/>
        <v>1.4050478257359587E-7</v>
      </c>
      <c r="BC87" s="35">
        <f t="shared" si="84"/>
        <v>1.4021053096620543E-7</v>
      </c>
      <c r="BD87" s="35">
        <f t="shared" si="85"/>
        <v>1.3989837688893041E-7</v>
      </c>
      <c r="BE87" s="289">
        <f t="shared" si="74"/>
        <v>10.467956672089162</v>
      </c>
      <c r="BF87" s="35">
        <f t="shared" si="86"/>
        <v>8.1547770049516153</v>
      </c>
      <c r="BG87" s="35">
        <f t="shared" si="87"/>
        <v>8.4474069128353531</v>
      </c>
      <c r="BH87" s="35">
        <f t="shared" si="88"/>
        <v>8.7206373877100578</v>
      </c>
      <c r="BI87" s="35">
        <f t="shared" si="89"/>
        <v>8.9808039475960975</v>
      </c>
      <c r="BJ87" s="35">
        <f t="shared" si="90"/>
        <v>9.235885593175059</v>
      </c>
      <c r="BK87" s="35">
        <f t="shared" si="91"/>
        <v>9.4953846114628764</v>
      </c>
      <c r="BL87" s="35">
        <f t="shared" si="92"/>
        <v>9.7703155952376992</v>
      </c>
      <c r="BM87" s="35">
        <f t="shared" si="93"/>
        <v>10.073339969273665</v>
      </c>
      <c r="BN87" s="289">
        <f t="shared" si="94"/>
        <v>1.2465814362373788E-3</v>
      </c>
      <c r="BO87" s="35">
        <f t="shared" si="95"/>
        <v>1.2699265574172187E-3</v>
      </c>
      <c r="BP87" s="35">
        <f t="shared" si="96"/>
        <v>1.2665080173350127E-3</v>
      </c>
      <c r="BQ87" s="35">
        <f t="shared" si="97"/>
        <v>1.2634603655208884E-3</v>
      </c>
      <c r="BR87" s="35">
        <f t="shared" si="98"/>
        <v>1.2606766994181855E-3</v>
      </c>
      <c r="BS87" s="35">
        <f t="shared" si="99"/>
        <v>1.2580505301489197E-3</v>
      </c>
      <c r="BT87" s="35">
        <f t="shared" si="100"/>
        <v>1.2554757185285451E-3</v>
      </c>
      <c r="BU87" s="35">
        <f t="shared" si="101"/>
        <v>1.2528464432722158E-3</v>
      </c>
      <c r="BV87" s="35">
        <f t="shared" si="102"/>
        <v>1.2500572011035149E-3</v>
      </c>
      <c r="BW87" s="289">
        <f t="shared" si="103"/>
        <v>4.7686674916985174E-2</v>
      </c>
      <c r="BX87" s="35">
        <f t="shared" si="104"/>
        <v>4.5008969740109053E-2</v>
      </c>
      <c r="BY87" s="35">
        <f t="shared" si="105"/>
        <v>4.5376838850159397E-2</v>
      </c>
      <c r="BZ87" s="35">
        <f t="shared" si="106"/>
        <v>4.5711856641897593E-2</v>
      </c>
      <c r="CA87" s="35">
        <f t="shared" si="107"/>
        <v>4.6023657986533489E-2</v>
      </c>
      <c r="CB87" s="35">
        <f t="shared" si="108"/>
        <v>4.6322880320108527E-2</v>
      </c>
      <c r="CC87" s="35">
        <f t="shared" si="109"/>
        <v>4.6621003551127228E-2</v>
      </c>
      <c r="CD87" s="35">
        <f t="shared" si="110"/>
        <v>4.693026509285185E-2</v>
      </c>
      <c r="CE87" s="35">
        <f t="shared" si="111"/>
        <v>4.7263648374186847E-2</v>
      </c>
      <c r="CF87" s="289">
        <f t="shared" si="112"/>
        <v>30.252037751075523</v>
      </c>
      <c r="CG87" s="35">
        <f t="shared" si="113"/>
        <v>36.856256797266994</v>
      </c>
      <c r="CH87" s="35">
        <f t="shared" si="114"/>
        <v>35.908855824044672</v>
      </c>
      <c r="CI87" s="35">
        <f t="shared" si="115"/>
        <v>35.05751109070281</v>
      </c>
      <c r="CJ87" s="35">
        <f t="shared" si="116"/>
        <v>34.274829118185856</v>
      </c>
      <c r="CK87" s="35">
        <f t="shared" si="117"/>
        <v>33.532359256483382</v>
      </c>
      <c r="CL87" s="35">
        <f t="shared" si="118"/>
        <v>32.800907181288778</v>
      </c>
      <c r="CM87" s="35">
        <f t="shared" si="119"/>
        <v>32.050740856288478</v>
      </c>
      <c r="CN87" s="35">
        <f t="shared" si="120"/>
        <v>31.251729717324867</v>
      </c>
      <c r="CO87" s="289">
        <f t="shared" si="121"/>
        <v>1266.3776267752871</v>
      </c>
      <c r="CP87" s="35">
        <f t="shared" si="122"/>
        <v>1566.5894671401325</v>
      </c>
      <c r="CQ87" s="35">
        <f t="shared" si="123"/>
        <v>1522.9404929895843</v>
      </c>
      <c r="CR87" s="35">
        <f t="shared" si="124"/>
        <v>1483.8899099916964</v>
      </c>
      <c r="CS87" s="35">
        <f t="shared" si="125"/>
        <v>1448.129991844241</v>
      </c>
      <c r="CT87" s="35">
        <f t="shared" si="126"/>
        <v>1414.3299117134256</v>
      </c>
      <c r="CU87" s="35">
        <f t="shared" si="127"/>
        <v>1381.146137108228</v>
      </c>
      <c r="CV87" s="35">
        <f t="shared" si="128"/>
        <v>1347.2297939324653</v>
      </c>
      <c r="CW87" s="35">
        <f t="shared" si="129"/>
        <v>1311.232846451448</v>
      </c>
    </row>
    <row r="88" spans="1:101" x14ac:dyDescent="0.3">
      <c r="A88" s="184" t="str">
        <f>'Su K. oro stendu'!B133</f>
        <v>2023.02.20-2</v>
      </c>
      <c r="B88" s="289">
        <f>Sheet3!DD88</f>
        <v>6.48</v>
      </c>
      <c r="C88" s="289">
        <f>_xlfn.FORECAST.LINEAR(Sheet3!DD88,$DW$3:$DW$24,$DU$3:$DU$24)</f>
        <v>1002.6550921931874</v>
      </c>
      <c r="D88" s="35">
        <f>_xlfn.FORECAST.LINEAR(Sheet3!CI88,'Cooling water'!$DW$3:$DW$24,'Cooling water'!$DU$3:$DU$24)</f>
        <v>998.59334267879865</v>
      </c>
      <c r="E88" s="35">
        <f>_xlfn.FORECAST.LINEAR(Sheet3!CJ88,'Cooling water'!$DW$3:$DW$24,'Cooling water'!$DU$3:$DU$24)</f>
        <v>999.14552588476454</v>
      </c>
      <c r="F88" s="35">
        <f>_xlfn.FORECAST.LINEAR(Sheet3!CK88,'Cooling water'!$DW$3:$DW$24,'Cooling water'!$DU$3:$DU$24)</f>
        <v>999.66074396954264</v>
      </c>
      <c r="G88" s="35">
        <f>_xlfn.FORECAST.LINEAR(Sheet3!CL88,'Cooling water'!$DW$3:$DW$24,'Cooling water'!$DU$3:$DU$24)</f>
        <v>1000.1498612440068</v>
      </c>
      <c r="H88" s="35">
        <f>_xlfn.FORECAST.LINEAR(Sheet3!CM88,'Cooling water'!$DW$3:$DW$24,'Cooling water'!$DU$3:$DU$24)</f>
        <v>1000.6237420190309</v>
      </c>
      <c r="I88" s="35">
        <f>_xlfn.FORECAST.LINEAR(Sheet3!CN88,'Cooling water'!$DW$3:$DW$24,'Cooling water'!$DU$3:$DU$24)</f>
        <v>1001.0932506054888</v>
      </c>
      <c r="J88" s="35">
        <f>_xlfn.FORECAST.LINEAR(Sheet3!CO88,'Cooling water'!$DW$3:$DW$24,'Cooling water'!$DU$3:$DU$24)</f>
        <v>1001.5692513142544</v>
      </c>
      <c r="K88" s="35">
        <f>_xlfn.FORECAST.LINEAR(Sheet3!CP88,'Cooling water'!$DW$3:$DW$24,'Cooling water'!$DU$3:$DU$24)</f>
        <v>1002.0626084562015</v>
      </c>
      <c r="L88" s="289">
        <f t="shared" si="130"/>
        <v>1.447988239432707E-3</v>
      </c>
      <c r="M88" s="35">
        <f xml:space="preserve"> 0.0000000000330128*((Sheet3!CI88+273)^(4)) - 0.0000000448315*((Sheet3!CI88+273)^(3)) + 0.0000228887*((Sheet3!CI88+273)^(2)) - 0.00521331*((Sheet3!CI88+273)) + 0.447905</f>
        <v>1.103470146740726E-3</v>
      </c>
      <c r="N88" s="35">
        <f xml:space="preserve"> 0.0000000000330128*((Sheet3!CJ88+273)^(4)) - 0.0000000448315*((Sheet3!CJ88+273)^(3)) + 0.0000228887*((Sheet3!CJ88+273)^(2)) - 0.00521331*((Sheet3!CJ88+273)) + 0.447905</f>
        <v>1.1431517023705595E-3</v>
      </c>
      <c r="O88" s="35">
        <f xml:space="preserve"> 0.0000000000330128*((Sheet3!CK88+273)^(4)) - 0.0000000448315*((Sheet3!CK88+273)^(3)) + 0.0000228887*((Sheet3!CK88+273)^(2)) - 0.00521331*((Sheet3!CK88+273)) + 0.447905</f>
        <v>1.1820437773129022E-3</v>
      </c>
      <c r="P88" s="35">
        <f xml:space="preserve"> 0.0000000000330128*((Sheet3!CL88+273)^(4)) - 0.0000000448315*((Sheet3!CL88+273)^(3)) + 0.0000228887*((Sheet3!CL88+273)^(2)) - 0.00521331*((Sheet3!CL88+273)) + 0.447905</f>
        <v>1.2207069814975657E-3</v>
      </c>
      <c r="Q88" s="35">
        <f xml:space="preserve"> 0.0000000000330128*((Sheet3!CM88+273)^(4)) - 0.0000000448315*((Sheet3!CM88+273)^(3)) + 0.0000228887*((Sheet3!CM88+273)^(2)) - 0.00521331*((Sheet3!CM88+273)) + 0.447905</f>
        <v>1.2598500777722954E-3</v>
      </c>
      <c r="R88" s="35">
        <f xml:space="preserve"> 0.0000000000330128*((Sheet3!CN88+273)^(4)) - 0.0000000448315*((Sheet3!CN88+273)^(3)) + 0.0000228887*((Sheet3!CN88+273)^(2)) - 0.00521331*((Sheet3!CN88+273)) + 0.447905</f>
        <v>1.3003308044827744E-3</v>
      </c>
      <c r="S88" s="35">
        <f xml:space="preserve"> 0.0000000000330128*((Sheet3!CO88+273)^(4)) - 0.0000000448315*((Sheet3!CO88+273)^(3)) + 0.0000228887*((Sheet3!CO88+273)^(2)) - 0.00521331*((Sheet3!CO88+273)) + 0.447905</f>
        <v>1.3431632175571195E-3</v>
      </c>
      <c r="T88" s="35">
        <f xml:space="preserve"> 0.0000000000330128*((Sheet3!CP88+273)^(4)) - 0.0000000448315*((Sheet3!CP88+273)^(3)) + 0.0000228887*((Sheet3!CP88+273)^(2)) - 0.00521331*((Sheet3!CP88+273)) + 0.447905</f>
        <v>1.3895339036711363E-3</v>
      </c>
      <c r="U88" s="289">
        <f>(Sheet3!DC88*0.014*0.001*C88) / (L88*0.00015*3600*3)</f>
        <v>3446.847219318819</v>
      </c>
      <c r="V88" s="35">
        <f>(Sheet3!$DC88*0.014*0.001*D88) / (M88*0.00015*3600*3)</f>
        <v>4504.6762387775761</v>
      </c>
      <c r="W88" s="35">
        <f>(Sheet3!$DC88*0.014*0.001*E88) / (N88*0.00015*3600*3)</f>
        <v>4350.7124952896893</v>
      </c>
      <c r="X88" s="35">
        <f>(Sheet3!$DC88*0.014*0.001*F88) / (O88*0.00015*3600*3)</f>
        <v>4209.7332875101765</v>
      </c>
      <c r="Y88" s="35">
        <f>(Sheet3!$DC88*0.014*0.001*G88) / (P88*0.00015*3600*3)</f>
        <v>4078.393774434126</v>
      </c>
      <c r="Z88" s="35">
        <f>(Sheet3!$DC88*0.014*0.001*H88) / (Q88*0.00015*3600*3)</f>
        <v>3953.5518668590489</v>
      </c>
      <c r="AA88" s="35">
        <f>(Sheet3!$DC88*0.014*0.001*I88) / (R88*0.00015*3600*3)</f>
        <v>3832.2707723051071</v>
      </c>
      <c r="AB88" s="35">
        <f>(Sheet3!$DC88*0.014*0.001*J88) / (S88*0.00015*3600*3)</f>
        <v>3711.8267511562535</v>
      </c>
      <c r="AC88" s="35">
        <f>(Sheet3!$DC88*0.014*0.001*K88) / (T88*0.00015*3600*3)</f>
        <v>3589.7252820797994</v>
      </c>
      <c r="AD88" s="289">
        <f t="shared" si="75"/>
        <v>0.5864734770697958</v>
      </c>
      <c r="AE88" s="35">
        <f>_xlfn.FORECAST.LINEAR(Sheet3!CI88,$DA$3:$DA$12,$CZ$3:$CZ$12)/1000</f>
        <v>0.59703839633253963</v>
      </c>
      <c r="AF88" s="35">
        <f>_xlfn.FORECAST.LINEAR(Sheet3!CJ88,$DA$3:$DA$12,$CZ$3:$CZ$12)/1000</f>
        <v>0.59560212583663463</v>
      </c>
      <c r="AG88" s="35">
        <f>_xlfn.FORECAST.LINEAR(Sheet3!CK88,$DA$3:$DA$12,$CZ$3:$CZ$12)/1000</f>
        <v>0.59426200443104249</v>
      </c>
      <c r="AH88" s="35">
        <f>_xlfn.FORECAST.LINEAR(Sheet3!CL88,$DA$3:$DA$12,$CZ$3:$CZ$12)/1000</f>
        <v>0.59298977321727075</v>
      </c>
      <c r="AI88" s="35">
        <f>_xlfn.FORECAST.LINEAR(Sheet3!CM88,$DA$3:$DA$12,$CZ$3:$CZ$12)/1000</f>
        <v>0.59175717329682753</v>
      </c>
      <c r="AJ88" s="35">
        <f>_xlfn.FORECAST.LINEAR(Sheet3!CN88,$DA$3:$DA$12,$CZ$3:$CZ$12)/1000</f>
        <v>0.59053594577122048</v>
      </c>
      <c r="AK88" s="35">
        <f>_xlfn.FORECAST.LINEAR(Sheet3!CO88,$DA$3:$DA$12,$CZ$3:$CZ$12)/1000</f>
        <v>0.58929783174195749</v>
      </c>
      <c r="AL88" s="35">
        <f>_xlfn.FORECAST.LINEAR(Sheet3!CP88,$DA$3:$DA$12,$CZ$3:$CZ$12)/1000</f>
        <v>0.58801457231054632</v>
      </c>
      <c r="AM88" s="289">
        <f t="shared" si="76"/>
        <v>4189.0485023568954</v>
      </c>
      <c r="AN88" s="35">
        <f>_xlfn.FORECAST.LINEAR(Sheet3!CI88,$DP$3:$DP$14,$DJ$3:$DJ$14)*1000</f>
        <v>4189.9782298289083</v>
      </c>
      <c r="AO88" s="35">
        <f>_xlfn.FORECAST.LINEAR(Sheet3!CJ88,$DP$3:$DP$14,$DJ$3:$DJ$14)*1000</f>
        <v>4189.851836043581</v>
      </c>
      <c r="AP88" s="35">
        <f>_xlfn.FORECAST.LINEAR(Sheet3!CK88,$DP$3:$DP$14,$DJ$3:$DJ$14)*1000</f>
        <v>4189.7339035108635</v>
      </c>
      <c r="AQ88" s="35">
        <f>_xlfn.FORECAST.LINEAR(Sheet3!CL88,$DP$3:$DP$14,$DJ$3:$DJ$14)*1000</f>
        <v>4189.6219454086977</v>
      </c>
      <c r="AR88" s="35">
        <f>_xlfn.FORECAST.LINEAR(Sheet3!CM88,$DP$3:$DP$14,$DJ$3:$DJ$14)*1000</f>
        <v>4189.5134749150257</v>
      </c>
      <c r="AS88" s="35">
        <f>_xlfn.FORECAST.LINEAR(Sheet3!CN88,$DP$3:$DP$14,$DJ$3:$DJ$14)*1000</f>
        <v>4189.4060052077893</v>
      </c>
      <c r="AT88" s="35">
        <f>_xlfn.FORECAST.LINEAR(Sheet3!CO88,$DP$3:$DP$14,$DJ$3:$DJ$14)*1000</f>
        <v>4189.2970494649335</v>
      </c>
      <c r="AU88" s="35">
        <f>_xlfn.FORECAST.LINEAR(Sheet3!CP88,$DP$3:$DP$14,$DJ$3:$DJ$14)*1000</f>
        <v>4189.1841208643991</v>
      </c>
      <c r="AV88" s="289">
        <f t="shared" si="77"/>
        <v>1.3963086342770012E-7</v>
      </c>
      <c r="AW88" s="35">
        <f t="shared" si="78"/>
        <v>1.4269272415840228E-7</v>
      </c>
      <c r="AX88" s="35">
        <f t="shared" si="79"/>
        <v>1.4227507582596173E-7</v>
      </c>
      <c r="AY88" s="35">
        <f t="shared" si="80"/>
        <v>1.4188578404016719E-7</v>
      </c>
      <c r="AZ88" s="35">
        <f t="shared" si="81"/>
        <v>1.415165683379905E-7</v>
      </c>
      <c r="BA88" s="35">
        <f t="shared" si="82"/>
        <v>1.4115918306643486E-7</v>
      </c>
      <c r="BB88" s="35">
        <f t="shared" si="83"/>
        <v>1.4080541401181957E-7</v>
      </c>
      <c r="BC88" s="35">
        <f t="shared" si="84"/>
        <v>1.4044707675280709E-7</v>
      </c>
      <c r="BD88" s="35">
        <f t="shared" si="85"/>
        <v>1.4007601671920304E-7</v>
      </c>
      <c r="BE88" s="289">
        <f t="shared" si="74"/>
        <v>10.342655214575212</v>
      </c>
      <c r="BF88" s="35">
        <f t="shared" si="86"/>
        <v>7.7440846694465151</v>
      </c>
      <c r="BG88" s="35">
        <f t="shared" si="87"/>
        <v>8.041670859259769</v>
      </c>
      <c r="BH88" s="35">
        <f t="shared" si="88"/>
        <v>8.3337801379098408</v>
      </c>
      <c r="BI88" s="35">
        <f t="shared" si="89"/>
        <v>8.6246019570424135</v>
      </c>
      <c r="BJ88" s="35">
        <f t="shared" si="90"/>
        <v>8.9194675035265369</v>
      </c>
      <c r="BK88" s="35">
        <f t="shared" si="91"/>
        <v>9.2248638208507465</v>
      </c>
      <c r="BL88" s="35">
        <f t="shared" si="92"/>
        <v>9.548498910353679</v>
      </c>
      <c r="BM88" s="35">
        <f t="shared" si="93"/>
        <v>9.8994372567821518</v>
      </c>
      <c r="BN88" s="289">
        <f t="shared" si="94"/>
        <v>1.2021789899706321E-3</v>
      </c>
      <c r="BO88" s="35">
        <f t="shared" si="95"/>
        <v>1.2285406735576725E-3</v>
      </c>
      <c r="BP88" s="35">
        <f t="shared" si="96"/>
        <v>1.2249448492668894E-3</v>
      </c>
      <c r="BQ88" s="35">
        <f t="shared" si="97"/>
        <v>1.2215931661621535E-3</v>
      </c>
      <c r="BR88" s="35">
        <f t="shared" si="98"/>
        <v>1.218414331991627E-3</v>
      </c>
      <c r="BS88" s="35">
        <f t="shared" si="99"/>
        <v>1.2153373542071876E-3</v>
      </c>
      <c r="BT88" s="35">
        <f t="shared" si="100"/>
        <v>1.2122915109435994E-3</v>
      </c>
      <c r="BU88" s="35">
        <f t="shared" si="101"/>
        <v>1.2092063368385813E-3</v>
      </c>
      <c r="BV88" s="35">
        <f t="shared" si="102"/>
        <v>1.2060116235390566E-3</v>
      </c>
      <c r="BW88" s="289">
        <f t="shared" si="103"/>
        <v>4.7114186142036871E-2</v>
      </c>
      <c r="BX88" s="35">
        <f t="shared" si="104"/>
        <v>4.406474956555901E-2</v>
      </c>
      <c r="BY88" s="35">
        <f t="shared" si="105"/>
        <v>4.4449523085184267E-2</v>
      </c>
      <c r="BZ88" s="35">
        <f t="shared" si="106"/>
        <v>4.4817079929892388E-2</v>
      </c>
      <c r="CA88" s="35">
        <f t="shared" si="107"/>
        <v>4.517362196069602E-2</v>
      </c>
      <c r="CB88" s="35">
        <f t="shared" si="108"/>
        <v>4.5526088859782751E-2</v>
      </c>
      <c r="CC88" s="35">
        <f t="shared" si="109"/>
        <v>4.58820860603215E-2</v>
      </c>
      <c r="CD88" s="35">
        <f t="shared" si="110"/>
        <v>4.6249844569296705E-2</v>
      </c>
      <c r="CE88" s="35">
        <f t="shared" si="111"/>
        <v>4.6638212669417894E-2</v>
      </c>
      <c r="CF88" s="289">
        <f t="shared" si="112"/>
        <v>32.038235787332077</v>
      </c>
      <c r="CG88" s="35">
        <f t="shared" si="113"/>
        <v>39.898591821535334</v>
      </c>
      <c r="CH88" s="35">
        <f t="shared" si="114"/>
        <v>38.855237043954858</v>
      </c>
      <c r="CI88" s="35">
        <f t="shared" si="115"/>
        <v>37.872922045021895</v>
      </c>
      <c r="CJ88" s="35">
        <f t="shared" si="116"/>
        <v>36.93325793888814</v>
      </c>
      <c r="CK88" s="35">
        <f t="shared" si="117"/>
        <v>36.016933869797363</v>
      </c>
      <c r="CL88" s="35">
        <f t="shared" si="118"/>
        <v>35.103948695706656</v>
      </c>
      <c r="CM88" s="35">
        <f t="shared" si="119"/>
        <v>34.173788220641441</v>
      </c>
      <c r="CN88" s="35">
        <f t="shared" si="120"/>
        <v>33.205568161903535</v>
      </c>
      <c r="CO88" s="289">
        <f t="shared" si="121"/>
        <v>1342.1125386699007</v>
      </c>
      <c r="CP88" s="35">
        <f t="shared" si="122"/>
        <v>1701.499376932574</v>
      </c>
      <c r="CQ88" s="35">
        <f t="shared" si="123"/>
        <v>1653.0186988047049</v>
      </c>
      <c r="CR88" s="35">
        <f t="shared" si="124"/>
        <v>1607.6027548668089</v>
      </c>
      <c r="CS88" s="35">
        <f t="shared" si="125"/>
        <v>1564.3603035254459</v>
      </c>
      <c r="CT88" s="35">
        <f t="shared" si="126"/>
        <v>1522.3770698292894</v>
      </c>
      <c r="CU88" s="35">
        <f t="shared" si="127"/>
        <v>1480.7245388088236</v>
      </c>
      <c r="CV88" s="35">
        <f t="shared" si="128"/>
        <v>1438.4670929166321</v>
      </c>
      <c r="CW88" s="35">
        <f t="shared" si="129"/>
        <v>1394.6684257893141</v>
      </c>
    </row>
    <row r="89" spans="1:101" x14ac:dyDescent="0.3">
      <c r="A89" s="184" t="str">
        <f>'Su K. oro stendu'!B134</f>
        <v>2023.02.21-1</v>
      </c>
      <c r="B89" s="289">
        <f>Sheet3!DD89</f>
        <v>6.21</v>
      </c>
      <c r="C89" s="289">
        <f>_xlfn.FORECAST.LINEAR(Sheet3!DD89,$DW$3:$DW$24,$DU$3:$DU$24)</f>
        <v>1002.7671014133073</v>
      </c>
      <c r="D89" s="35">
        <f>_xlfn.FORECAST.LINEAR(Sheet3!CI89,'Cooling water'!$DW$3:$DW$24,'Cooling water'!$DU$3:$DU$24)</f>
        <v>998.30911052414842</v>
      </c>
      <c r="E89" s="35">
        <f>_xlfn.FORECAST.LINEAR(Sheet3!CJ89,'Cooling water'!$DW$3:$DW$24,'Cooling water'!$DU$3:$DU$24)</f>
        <v>998.95403119522985</v>
      </c>
      <c r="F89" s="35">
        <f>_xlfn.FORECAST.LINEAR(Sheet3!CK89,'Cooling water'!$DW$3:$DW$24,'Cooling water'!$DU$3:$DU$24)</f>
        <v>999.53314899139662</v>
      </c>
      <c r="G89" s="35">
        <f>_xlfn.FORECAST.LINEAR(Sheet3!CL89,'Cooling water'!$DW$3:$DW$24,'Cooling water'!$DU$3:$DU$24)</f>
        <v>1000.0655555213388</v>
      </c>
      <c r="H89" s="35">
        <f>_xlfn.FORECAST.LINEAR(Sheet3!CM89,'Cooling water'!$DW$3:$DW$24,'Cooling water'!$DU$3:$DU$24)</f>
        <v>1000.5703423937467</v>
      </c>
      <c r="I89" s="35">
        <f>_xlfn.FORECAST.LINEAR(Sheet3!CN89,'Cooling water'!$DW$3:$DW$24,'Cooling water'!$DU$3:$DU$24)</f>
        <v>1001.066601217311</v>
      </c>
      <c r="J89" s="35">
        <f>_xlfn.FORECAST.LINEAR(Sheet3!CO89,'Cooling water'!$DW$3:$DW$24,'Cooling water'!$DU$3:$DU$24)</f>
        <v>1001.5734236007218</v>
      </c>
      <c r="K89" s="35">
        <f>_xlfn.FORECAST.LINEAR(Sheet3!CP89,'Cooling water'!$DW$3:$DW$24,'Cooling water'!$DU$3:$DU$24)</f>
        <v>1002.1099011526693</v>
      </c>
      <c r="L89" s="289">
        <f t="shared" si="130"/>
        <v>1.4593887319360732E-3</v>
      </c>
      <c r="M89" s="35">
        <f xml:space="preserve"> 0.0000000000330128*((Sheet3!CI89+273)^(4)) - 0.0000000448315*((Sheet3!CI89+273)^(3)) + 0.0000228887*((Sheet3!CI89+273)^(2)) - 0.00521331*((Sheet3!CI89+273)) + 0.447905</f>
        <v>1.0838210966528372E-3</v>
      </c>
      <c r="N89" s="35">
        <f xml:space="preserve"> 0.0000000000330128*((Sheet3!CJ89+273)^(4)) - 0.0000000448315*((Sheet3!CJ89+273)^(3)) + 0.0000228887*((Sheet3!CJ89+273)^(2)) - 0.00521331*((Sheet3!CJ89+273)) + 0.447905</f>
        <v>1.1291604795331533E-3</v>
      </c>
      <c r="O89" s="35">
        <f xml:space="preserve"> 0.0000000000330128*((Sheet3!CK89+273)^(4)) - 0.0000000448315*((Sheet3!CK89+273)^(3)) + 0.0000228887*((Sheet3!CK89+273)^(2)) - 0.00521331*((Sheet3!CK89+273)) + 0.447905</f>
        <v>1.1722397099560578E-3</v>
      </c>
      <c r="P89" s="35">
        <f xml:space="preserve"> 0.0000000000330128*((Sheet3!CL89+273)^(4)) - 0.0000000448315*((Sheet3!CL89+273)^(3)) + 0.0000228887*((Sheet3!CL89+273)^(2)) - 0.00521331*((Sheet3!CL89+273)) + 0.447905</f>
        <v>1.2139188154562941E-3</v>
      </c>
      <c r="Q89" s="35">
        <f xml:space="preserve"> 0.0000000000330128*((Sheet3!CM89+273)^(4)) - 0.0000000448315*((Sheet3!CM89+273)^(3)) + 0.0000228887*((Sheet3!CM89+273)^(2)) - 0.00521331*((Sheet3!CM89+273)) + 0.447905</f>
        <v>1.255354287116317E-3</v>
      </c>
      <c r="R89" s="35">
        <f xml:space="preserve"> 0.0000000000330128*((Sheet3!CN89+273)^(4)) - 0.0000000448315*((Sheet3!CN89+273)^(3)) + 0.0000228887*((Sheet3!CN89+273)^(2)) - 0.00521331*((Sheet3!CN89+273)) + 0.447905</f>
        <v>1.2979867388560606E-3</v>
      </c>
      <c r="S89" s="35">
        <f xml:space="preserve"> 0.0000000000330128*((Sheet3!CO89+273)^(4)) - 0.0000000448315*((Sheet3!CO89+273)^(3)) + 0.0000228887*((Sheet3!CO89+273)^(2)) - 0.00521331*((Sheet3!CO89+273)) + 0.447905</f>
        <v>1.3435468319511479E-3</v>
      </c>
      <c r="T89" s="35">
        <f xml:space="preserve"> 0.0000000000330128*((Sheet3!CP89+273)^(4)) - 0.0000000448315*((Sheet3!CP89+273)^(3)) + 0.0000228887*((Sheet3!CP89+273)^(2)) - 0.00521331*((Sheet3!CP89+273)) + 0.447905</f>
        <v>1.3940873958278033E-3</v>
      </c>
      <c r="U89" s="289">
        <f>(Sheet3!DC89*0.014*0.001*C89) / (L89*0.00015*3600*3)</f>
        <v>3723.1424293381156</v>
      </c>
      <c r="V89" s="35">
        <f>(Sheet3!$DC89*0.014*0.001*D89) / (M89*0.00015*3600*3)</f>
        <v>4991.0048985820213</v>
      </c>
      <c r="W89" s="35">
        <f>(Sheet3!$DC89*0.014*0.001*E89) / (N89*0.00015*3600*3)</f>
        <v>4793.6949754192601</v>
      </c>
      <c r="X89" s="35">
        <f>(Sheet3!$DC89*0.014*0.001*F89) / (O89*0.00015*3600*3)</f>
        <v>4620.2059456645047</v>
      </c>
      <c r="Y89" s="35">
        <f>(Sheet3!$DC89*0.014*0.001*G89) / (P89*0.00015*3600*3)</f>
        <v>4463.9506887353173</v>
      </c>
      <c r="Z89" s="35">
        <f>(Sheet3!$DC89*0.014*0.001*H89) / (Q89*0.00015*3600*3)</f>
        <v>4318.7879190622334</v>
      </c>
      <c r="AA89" s="35">
        <f>(Sheet3!$DC89*0.014*0.001*I89) / (R89*0.00015*3600*3)</f>
        <v>4179.0087329759053</v>
      </c>
      <c r="AB89" s="35">
        <f>(Sheet3!$DC89*0.014*0.001*J89) / (S89*0.00015*3600*3)</f>
        <v>4039.3412528502276</v>
      </c>
      <c r="AC89" s="35">
        <f>(Sheet3!$DC89*0.014*0.001*K89) / (T89*0.00015*3600*3)</f>
        <v>3894.9861201221311</v>
      </c>
      <c r="AD89" s="289">
        <f t="shared" si="75"/>
        <v>0.58618213257327856</v>
      </c>
      <c r="AE89" s="35">
        <f>_xlfn.FORECAST.LINEAR(Sheet3!CI89,$DA$3:$DA$12,$CZ$3:$CZ$12)/1000</f>
        <v>0.59777770577422662</v>
      </c>
      <c r="AF89" s="35">
        <f>_xlfn.FORECAST.LINEAR(Sheet3!CJ89,$DA$3:$DA$12,$CZ$3:$CZ$12)/1000</f>
        <v>0.59610021808161695</v>
      </c>
      <c r="AG89" s="35">
        <f>_xlfn.FORECAST.LINEAR(Sheet3!CK89,$DA$3:$DA$12,$CZ$3:$CZ$12)/1000</f>
        <v>0.59459388866902152</v>
      </c>
      <c r="AH89" s="35">
        <f>_xlfn.FORECAST.LINEAR(Sheet3!CL89,$DA$3:$DA$12,$CZ$3:$CZ$12)/1000</f>
        <v>0.59320905881088515</v>
      </c>
      <c r="AI89" s="35">
        <f>_xlfn.FORECAST.LINEAR(Sheet3!CM89,$DA$3:$DA$12,$CZ$3:$CZ$12)/1000</f>
        <v>0.59189606978165255</v>
      </c>
      <c r="AJ89" s="35">
        <f>_xlfn.FORECAST.LINEAR(Sheet3!CN89,$DA$3:$DA$12,$CZ$3:$CZ$12)/1000</f>
        <v>0.59060526285576831</v>
      </c>
      <c r="AK89" s="35">
        <f>_xlfn.FORECAST.LINEAR(Sheet3!CO89,$DA$3:$DA$12,$CZ$3:$CZ$12)/1000</f>
        <v>0.58928697930767715</v>
      </c>
      <c r="AL89" s="35">
        <f>_xlfn.FORECAST.LINEAR(Sheet3!CP89,$DA$3:$DA$12,$CZ$3:$CZ$12)/1000</f>
        <v>0.58789156041182378</v>
      </c>
      <c r="AM89" s="289">
        <f t="shared" si="76"/>
        <v>4189.0228636392203</v>
      </c>
      <c r="AN89" s="35">
        <f>_xlfn.FORECAST.LINEAR(Sheet3!CI89,$DP$3:$DP$14,$DJ$3:$DJ$14)*1000</f>
        <v>4190.0432900798342</v>
      </c>
      <c r="AO89" s="35">
        <f>_xlfn.FORECAST.LINEAR(Sheet3!CJ89,$DP$3:$DP$14,$DJ$3:$DJ$14)*1000</f>
        <v>4189.8956688483804</v>
      </c>
      <c r="AP89" s="35">
        <f>_xlfn.FORECAST.LINEAR(Sheet3!CK89,$DP$3:$DP$14,$DJ$3:$DJ$14)*1000</f>
        <v>4189.7631097817221</v>
      </c>
      <c r="AQ89" s="35">
        <f>_xlfn.FORECAST.LINEAR(Sheet3!CL89,$DP$3:$DP$14,$DJ$3:$DJ$14)*1000</f>
        <v>4189.6412428434933</v>
      </c>
      <c r="AR89" s="35">
        <f>_xlfn.FORECAST.LINEAR(Sheet3!CM89,$DP$3:$DP$14,$DJ$3:$DJ$14)*1000</f>
        <v>4189.5256979973319</v>
      </c>
      <c r="AS89" s="35">
        <f>_xlfn.FORECAST.LINEAR(Sheet3!CN89,$DP$3:$DP$14,$DJ$3:$DJ$14)*1000</f>
        <v>4189.4121052068695</v>
      </c>
      <c r="AT89" s="35">
        <f>_xlfn.FORECAST.LINEAR(Sheet3!CO89,$DP$3:$DP$14,$DJ$3:$DJ$14)*1000</f>
        <v>4189.2960944357437</v>
      </c>
      <c r="AU89" s="35">
        <f>_xlfn.FORECAST.LINEAR(Sheet3!CP89,$DP$3:$DP$14,$DJ$3:$DJ$14)*1000</f>
        <v>4189.1732956475871</v>
      </c>
      <c r="AV89" s="289">
        <f t="shared" si="77"/>
        <v>1.3954676355750455E-7</v>
      </c>
      <c r="AW89" s="35">
        <f t="shared" si="78"/>
        <v>1.4290787764146851E-7</v>
      </c>
      <c r="AX89" s="35">
        <f t="shared" si="79"/>
        <v>1.4241986443662519E-7</v>
      </c>
      <c r="AY89" s="35">
        <f t="shared" si="80"/>
        <v>1.419821573417866E-7</v>
      </c>
      <c r="AZ89" s="35">
        <f t="shared" si="81"/>
        <v>1.4158018284838968E-7</v>
      </c>
      <c r="BA89" s="35">
        <f t="shared" si="82"/>
        <v>1.4119943913257916E-7</v>
      </c>
      <c r="BB89" s="35">
        <f t="shared" si="83"/>
        <v>1.4082548551606994E-7</v>
      </c>
      <c r="BC89" s="35">
        <f t="shared" si="84"/>
        <v>1.4044393725995155E-7</v>
      </c>
      <c r="BD89" s="35">
        <f t="shared" si="85"/>
        <v>1.4004046563004706E-7</v>
      </c>
      <c r="BE89" s="289">
        <f t="shared" si="74"/>
        <v>10.429203527887168</v>
      </c>
      <c r="BF89" s="35">
        <f t="shared" si="86"/>
        <v>7.5968997669383906</v>
      </c>
      <c r="BG89" s="35">
        <f t="shared" si="87"/>
        <v>7.9366932927089628</v>
      </c>
      <c r="BH89" s="35">
        <f t="shared" si="88"/>
        <v>8.2601028806218242</v>
      </c>
      <c r="BI89" s="35">
        <f t="shared" si="89"/>
        <v>8.5735109050665859</v>
      </c>
      <c r="BJ89" s="35">
        <f t="shared" si="90"/>
        <v>8.8855785913649914</v>
      </c>
      <c r="BK89" s="35">
        <f t="shared" si="91"/>
        <v>9.2071671184710269</v>
      </c>
      <c r="BL89" s="35">
        <f t="shared" si="92"/>
        <v>9.551399731243194</v>
      </c>
      <c r="BM89" s="35">
        <f t="shared" si="93"/>
        <v>9.9339301389353025</v>
      </c>
      <c r="BN89" s="289">
        <f t="shared" si="94"/>
        <v>1.1037289178945286E-3</v>
      </c>
      <c r="BO89" s="35">
        <f t="shared" si="95"/>
        <v>1.1303132593456643E-3</v>
      </c>
      <c r="BP89" s="35">
        <f t="shared" si="96"/>
        <v>1.1264533755850638E-3</v>
      </c>
      <c r="BQ89" s="35">
        <f t="shared" si="97"/>
        <v>1.1229913821584525E-3</v>
      </c>
      <c r="BR89" s="35">
        <f t="shared" si="98"/>
        <v>1.1198120115925752E-3</v>
      </c>
      <c r="BS89" s="35">
        <f t="shared" si="99"/>
        <v>1.1168005633960464E-3</v>
      </c>
      <c r="BT89" s="35">
        <f t="shared" si="100"/>
        <v>1.1138428207012661E-3</v>
      </c>
      <c r="BU89" s="35">
        <f t="shared" si="101"/>
        <v>1.1108250090866194E-3</v>
      </c>
      <c r="BV89" s="35">
        <f t="shared" si="102"/>
        <v>1.1076337970934297E-3</v>
      </c>
      <c r="BW89" s="289">
        <f t="shared" si="103"/>
        <v>4.6214662871114393E-2</v>
      </c>
      <c r="BX89" s="35">
        <f t="shared" si="104"/>
        <v>4.294970674546926E-2</v>
      </c>
      <c r="BY89" s="35">
        <f t="shared" si="105"/>
        <v>4.3385000105210535E-2</v>
      </c>
      <c r="BZ89" s="35">
        <f t="shared" si="106"/>
        <v>4.3786664971264148E-2</v>
      </c>
      <c r="CA89" s="35">
        <f t="shared" si="107"/>
        <v>4.4164910510464256E-2</v>
      </c>
      <c r="CB89" s="35">
        <f t="shared" si="108"/>
        <v>4.4531439326578798E-2</v>
      </c>
      <c r="CC89" s="35">
        <f t="shared" si="109"/>
        <v>4.4899228873416533E-2</v>
      </c>
      <c r="CD89" s="35">
        <f t="shared" si="110"/>
        <v>4.528241344662421E-2</v>
      </c>
      <c r="CE89" s="35">
        <f t="shared" si="111"/>
        <v>4.5696266998808889E-2</v>
      </c>
      <c r="CF89" s="289">
        <f t="shared" si="112"/>
        <v>35.340066792562375</v>
      </c>
      <c r="CG89" s="35">
        <f t="shared" si="113"/>
        <v>44.407002906654974</v>
      </c>
      <c r="CH89" s="35">
        <f t="shared" si="114"/>
        <v>43.129238558427417</v>
      </c>
      <c r="CI89" s="35">
        <f t="shared" si="115"/>
        <v>41.96961351417</v>
      </c>
      <c r="CJ89" s="35">
        <f t="shared" si="116"/>
        <v>40.894404758080519</v>
      </c>
      <c r="CK89" s="35">
        <f t="shared" si="117"/>
        <v>39.867819543100609</v>
      </c>
      <c r="CL89" s="35">
        <f t="shared" si="118"/>
        <v>38.852619149075466</v>
      </c>
      <c r="CM89" s="35">
        <f t="shared" si="119"/>
        <v>37.810548548920657</v>
      </c>
      <c r="CN89" s="35">
        <f t="shared" si="120"/>
        <v>36.702649583263423</v>
      </c>
      <c r="CO89" s="289">
        <f t="shared" si="121"/>
        <v>1479.6939798390226</v>
      </c>
      <c r="CP89" s="35">
        <f t="shared" si="122"/>
        <v>1896.1083084178301</v>
      </c>
      <c r="CQ89" s="35">
        <f t="shared" si="123"/>
        <v>1836.3820364551905</v>
      </c>
      <c r="CR89" s="35">
        <f t="shared" si="124"/>
        <v>1782.4911218090185</v>
      </c>
      <c r="CS89" s="35">
        <f t="shared" si="125"/>
        <v>1732.780811226595</v>
      </c>
      <c r="CT89" s="35">
        <f t="shared" si="126"/>
        <v>1685.5432641661007</v>
      </c>
      <c r="CU89" s="35">
        <f t="shared" si="127"/>
        <v>1639.0400960839122</v>
      </c>
      <c r="CV89" s="35">
        <f t="shared" si="128"/>
        <v>1591.5188528828378</v>
      </c>
      <c r="CW89" s="35">
        <f t="shared" si="129"/>
        <v>1541.2269953395075</v>
      </c>
    </row>
    <row r="90" spans="1:101" x14ac:dyDescent="0.3">
      <c r="A90" s="184" t="str">
        <f>'Su K. oro stendu'!B135</f>
        <v>2023.02.21-2</v>
      </c>
      <c r="B90" s="289">
        <f>Sheet3!DD90</f>
        <v>6.39</v>
      </c>
      <c r="C90" s="289">
        <f>_xlfn.FORECAST.LINEAR(Sheet3!DD90,$DW$3:$DW$24,$DU$3:$DU$24)</f>
        <v>1002.692428599894</v>
      </c>
      <c r="D90" s="35">
        <f>_xlfn.FORECAST.LINEAR(Sheet3!CI90,'Cooling water'!$DW$3:$DW$24,'Cooling water'!$DU$3:$DU$24)</f>
        <v>998.87523316472937</v>
      </c>
      <c r="E90" s="35">
        <f>_xlfn.FORECAST.LINEAR(Sheet3!CJ90,'Cooling water'!$DW$3:$DW$24,'Cooling water'!$DU$3:$DU$24)</f>
        <v>999.4311278895218</v>
      </c>
      <c r="F90" s="35">
        <f>_xlfn.FORECAST.LINEAR(Sheet3!CK90,'Cooling water'!$DW$3:$DW$24,'Cooling water'!$DU$3:$DU$24)</f>
        <v>999.91443573177014</v>
      </c>
      <c r="G90" s="35">
        <f>_xlfn.FORECAST.LINEAR(Sheet3!CL90,'Cooling water'!$DW$3:$DW$24,'Cooling water'!$DU$3:$DU$24)</f>
        <v>1000.3488057723396</v>
      </c>
      <c r="H90" s="35">
        <f>_xlfn.FORECAST.LINEAR(Sheet3!CM90,'Cooling water'!$DW$3:$DW$24,'Cooling water'!$DU$3:$DU$24)</f>
        <v>1000.7578870920952</v>
      </c>
      <c r="I90" s="35">
        <f>_xlfn.FORECAST.LINEAR(Sheet3!CN90,'Cooling water'!$DW$3:$DW$24,'Cooling water'!$DU$3:$DU$24)</f>
        <v>1001.1653287719021</v>
      </c>
      <c r="J90" s="35">
        <f>_xlfn.FORECAST.LINEAR(Sheet3!CO90,'Cooling water'!$DW$3:$DW$24,'Cooling water'!$DU$3:$DU$24)</f>
        <v>1001.5947798926255</v>
      </c>
      <c r="K90" s="35">
        <f>_xlfn.FORECAST.LINEAR(Sheet3!CP90,'Cooling water'!$DW$3:$DW$24,'Cooling water'!$DU$3:$DU$24)</f>
        <v>1002.0698895351304</v>
      </c>
      <c r="L90" s="289">
        <f t="shared" si="130"/>
        <v>1.4517758546166437E-3</v>
      </c>
      <c r="M90" s="35">
        <f xml:space="preserve"> 0.0000000000330128*((Sheet3!CI90+273)^(4)) - 0.0000000448315*((Sheet3!CI90+273)^(3)) + 0.0000228887*((Sheet3!CI90+273)^(2)) - 0.00521331*((Sheet3!CI90+273)) + 0.447905</f>
        <v>1.1234746781354499E-3</v>
      </c>
      <c r="N90" s="35">
        <f xml:space="preserve"> 0.0000000000330128*((Sheet3!CJ90+273)^(4)) - 0.0000000448315*((Sheet3!CJ90+273)^(3)) + 0.0000228887*((Sheet3!CJ90+273)^(2)) - 0.00521331*((Sheet3!CJ90+273)) + 0.447905</f>
        <v>1.1644829532386769E-3</v>
      </c>
      <c r="O90" s="35">
        <f xml:space="preserve"> 0.0000000000330128*((Sheet3!CK90+273)^(4)) - 0.0000000448315*((Sheet3!CK90+273)^(3)) + 0.0000228887*((Sheet3!CK90+273)^(2)) - 0.00521331*((Sheet3!CK90+273)) + 0.447905</f>
        <v>1.2018811066520918E-3</v>
      </c>
      <c r="P90" s="35">
        <f xml:space="preserve"> 0.0000000000330128*((Sheet3!CL90+273)^(4)) - 0.0000000448315*((Sheet3!CL90+273)^(3)) + 0.0000228887*((Sheet3!CL90+273)^(2)) - 0.00521331*((Sheet3!CL90+273)) + 0.447905</f>
        <v>1.2369343859059967E-3</v>
      </c>
      <c r="Q90" s="35">
        <f xml:space="preserve"> 0.0000000000330128*((Sheet3!CM90+273)^(4)) - 0.0000000448315*((Sheet3!CM90+273)^(3)) + 0.0000228887*((Sheet3!CM90+273)^(2)) - 0.00521331*((Sheet3!CM90+273)) + 0.447905</f>
        <v>1.2712406452417557E-3</v>
      </c>
      <c r="R90" s="35">
        <f xml:space="preserve"> 0.0000000000330128*((Sheet3!CN90+273)^(4)) - 0.0000000448315*((Sheet3!CN90+273)^(3)) + 0.0000228887*((Sheet3!CN90+273)^(2)) - 0.00521331*((Sheet3!CN90+273)) + 0.447905</f>
        <v>1.3066991206871492E-3</v>
      </c>
      <c r="S90" s="35">
        <f xml:space="preserve"> 0.0000000000330128*((Sheet3!CO90+273)^(4)) - 0.0000000448315*((Sheet3!CO90+273)^(3)) + 0.0000228887*((Sheet3!CO90+273)^(2)) - 0.00521331*((Sheet3!CO90+273)) + 0.447905</f>
        <v>1.3455126567769593E-3</v>
      </c>
      <c r="T90" s="35">
        <f xml:space="preserve"> 0.0000000000330128*((Sheet3!CP90+273)^(4)) - 0.0000000448315*((Sheet3!CP90+273)^(3)) + 0.0000228887*((Sheet3!CP90+273)^(2)) - 0.00521331*((Sheet3!CP90+273)) + 0.447905</f>
        <v>1.3902336978841578E-3</v>
      </c>
      <c r="U90" s="289">
        <f>(Sheet3!DC90*0.014*0.001*C90) / (L90*0.00015*3600*3)</f>
        <v>6195.5310962809026</v>
      </c>
      <c r="V90" s="35">
        <f>(Sheet3!$DC90*0.014*0.001*D90) / (M90*0.00015*3600*3)</f>
        <v>7975.5075656430608</v>
      </c>
      <c r="W90" s="35">
        <f>(Sheet3!$DC90*0.014*0.001*E90) / (N90*0.00015*3600*3)</f>
        <v>7698.925391661317</v>
      </c>
      <c r="X90" s="35">
        <f>(Sheet3!$DC90*0.014*0.001*F90) / (O90*0.00015*3600*3)</f>
        <v>7462.970153661221</v>
      </c>
      <c r="Y90" s="35">
        <f>(Sheet3!$DC90*0.014*0.001*G90) / (P90*0.00015*3600*3)</f>
        <v>7254.6283696066139</v>
      </c>
      <c r="Z90" s="35">
        <f>(Sheet3!$DC90*0.014*0.001*H90) / (Q90*0.00015*3600*3)</f>
        <v>7061.7384142702367</v>
      </c>
      <c r="AA90" s="35">
        <f>(Sheet3!$DC90*0.014*0.001*I90) / (R90*0.00015*3600*3)</f>
        <v>6872.9087353597279</v>
      </c>
      <c r="AB90" s="35">
        <f>(Sheet3!$DC90*0.014*0.001*J90) / (S90*0.00015*3600*3)</f>
        <v>6677.511423926946</v>
      </c>
      <c r="AC90" s="35">
        <f>(Sheet3!$DC90*0.014*0.001*K90) / (T90*0.00015*3600*3)</f>
        <v>6465.774826064714</v>
      </c>
      <c r="AD90" s="289">
        <f t="shared" si="75"/>
        <v>0.58637636223762346</v>
      </c>
      <c r="AE90" s="35">
        <f>_xlfn.FORECAST.LINEAR(Sheet3!CI90,$DA$3:$DA$12,$CZ$3:$CZ$12)/1000</f>
        <v>0.59630517774920655</v>
      </c>
      <c r="AF90" s="35">
        <f>_xlfn.FORECAST.LINEAR(Sheet3!CJ90,$DA$3:$DA$12,$CZ$3:$CZ$12)/1000</f>
        <v>0.59485925331068279</v>
      </c>
      <c r="AG90" s="35">
        <f>_xlfn.FORECAST.LINEAR(Sheet3!CK90,$DA$3:$DA$12,$CZ$3:$CZ$12)/1000</f>
        <v>0.5936021328717398</v>
      </c>
      <c r="AH90" s="35">
        <f>_xlfn.FORECAST.LINEAR(Sheet3!CL90,$DA$3:$DA$12,$CZ$3:$CZ$12)/1000</f>
        <v>0.59247230337523493</v>
      </c>
      <c r="AI90" s="35">
        <f>_xlfn.FORECAST.LINEAR(Sheet3!CM90,$DA$3:$DA$12,$CZ$3:$CZ$12)/1000</f>
        <v>0.59140825176402545</v>
      </c>
      <c r="AJ90" s="35">
        <f>_xlfn.FORECAST.LINEAR(Sheet3!CN90,$DA$3:$DA$12,$CZ$3:$CZ$12)/1000</f>
        <v>0.59034846498096849</v>
      </c>
      <c r="AK90" s="35">
        <f>_xlfn.FORECAST.LINEAR(Sheet3!CO90,$DA$3:$DA$12,$CZ$3:$CZ$12)/1000</f>
        <v>0.58923142996892153</v>
      </c>
      <c r="AL90" s="35">
        <f>_xlfn.FORECAST.LINEAR(Sheet3!CP90,$DA$3:$DA$12,$CZ$3:$CZ$12)/1000</f>
        <v>0.58799563367074159</v>
      </c>
      <c r="AM90" s="289">
        <f t="shared" si="76"/>
        <v>4189.039956117671</v>
      </c>
      <c r="AN90" s="35">
        <f>_xlfn.FORECAST.LINEAR(Sheet3!CI90,$DP$3:$DP$14,$DJ$3:$DJ$14)*1000</f>
        <v>4189.9137055819201</v>
      </c>
      <c r="AO90" s="35">
        <f>_xlfn.FORECAST.LINEAR(Sheet3!CJ90,$DP$3:$DP$14,$DJ$3:$DJ$14)*1000</f>
        <v>4189.7864622363231</v>
      </c>
      <c r="AP90" s="35">
        <f>_xlfn.FORECAST.LINEAR(Sheet3!CK90,$DP$3:$DP$14,$DJ$3:$DJ$14)*1000</f>
        <v>4189.6758339031912</v>
      </c>
      <c r="AQ90" s="35">
        <f>_xlfn.FORECAST.LINEAR(Sheet3!CL90,$DP$3:$DP$14,$DJ$3:$DJ$14)*1000</f>
        <v>4189.5764073486225</v>
      </c>
      <c r="AR90" s="35">
        <f>_xlfn.FORECAST.LINEAR(Sheet3!CM90,$DP$3:$DP$14,$DJ$3:$DJ$14)*1000</f>
        <v>4189.482769338716</v>
      </c>
      <c r="AS90" s="35">
        <f>_xlfn.FORECAST.LINEAR(Sheet3!CN90,$DP$3:$DP$14,$DJ$3:$DJ$14)*1000</f>
        <v>4189.3895066395726</v>
      </c>
      <c r="AT90" s="35">
        <f>_xlfn.FORECAST.LINEAR(Sheet3!CO90,$DP$3:$DP$14,$DJ$3:$DJ$14)*1000</f>
        <v>4189.2912060172894</v>
      </c>
      <c r="AU90" s="35">
        <f>_xlfn.FORECAST.LINEAR(Sheet3!CP90,$DP$3:$DP$14,$DJ$3:$DJ$14)*1000</f>
        <v>4189.1824542379663</v>
      </c>
      <c r="AV90" s="289">
        <f t="shared" si="77"/>
        <v>1.3960282814310894E-7</v>
      </c>
      <c r="AW90" s="35">
        <f t="shared" si="78"/>
        <v>1.4247945881962503E-7</v>
      </c>
      <c r="AX90" s="35">
        <f t="shared" si="79"/>
        <v>1.4205923144997128E-7</v>
      </c>
      <c r="AY90" s="35">
        <f t="shared" si="80"/>
        <v>1.416942388588276E-7</v>
      </c>
      <c r="AZ90" s="35">
        <f t="shared" si="81"/>
        <v>1.4136649152293829E-7</v>
      </c>
      <c r="BA90" s="35">
        <f t="shared" si="82"/>
        <v>1.4105807400672102E-7</v>
      </c>
      <c r="BB90" s="35">
        <f t="shared" si="83"/>
        <v>1.4075113205625709E-7</v>
      </c>
      <c r="BC90" s="35">
        <f t="shared" si="84"/>
        <v>1.4042786782331119E-7</v>
      </c>
      <c r="BD90" s="35">
        <f t="shared" si="85"/>
        <v>1.4007054314335699E-7</v>
      </c>
      <c r="BE90" s="289">
        <f t="shared" si="74"/>
        <v>10.371405557871908</v>
      </c>
      <c r="BF90" s="35">
        <f t="shared" si="86"/>
        <v>7.8940484292989552</v>
      </c>
      <c r="BG90" s="35">
        <f t="shared" si="87"/>
        <v>8.201830745391824</v>
      </c>
      <c r="BH90" s="35">
        <f t="shared" si="88"/>
        <v>8.4829416016487205</v>
      </c>
      <c r="BI90" s="35">
        <f t="shared" si="89"/>
        <v>8.7467905100500865</v>
      </c>
      <c r="BJ90" s="35">
        <f t="shared" si="90"/>
        <v>9.0053541915211586</v>
      </c>
      <c r="BK90" s="35">
        <f t="shared" si="91"/>
        <v>9.2729496378353033</v>
      </c>
      <c r="BL90" s="35">
        <f t="shared" si="92"/>
        <v>9.5662655688919713</v>
      </c>
      <c r="BM90" s="35">
        <f t="shared" si="93"/>
        <v>9.904737860226863</v>
      </c>
      <c r="BN90" s="289">
        <f t="shared" si="94"/>
        <v>6.6697116194360158E-4</v>
      </c>
      <c r="BO90" s="35">
        <f t="shared" si="95"/>
        <v>6.807146493092855E-4</v>
      </c>
      <c r="BP90" s="35">
        <f t="shared" si="96"/>
        <v>6.7870695690973662E-4</v>
      </c>
      <c r="BQ90" s="35">
        <f t="shared" si="97"/>
        <v>6.769631560437086E-4</v>
      </c>
      <c r="BR90" s="35">
        <f t="shared" si="98"/>
        <v>6.7539729936050502E-4</v>
      </c>
      <c r="BS90" s="35">
        <f t="shared" si="99"/>
        <v>6.7392379347318613E-4</v>
      </c>
      <c r="BT90" s="35">
        <f t="shared" si="100"/>
        <v>6.7245733729838508E-4</v>
      </c>
      <c r="BU90" s="35">
        <f t="shared" si="101"/>
        <v>6.7091289923842186E-4</v>
      </c>
      <c r="BV90" s="35">
        <f t="shared" si="102"/>
        <v>6.6920573284250996E-4</v>
      </c>
      <c r="BW90" s="289">
        <f t="shared" si="103"/>
        <v>4.0689988454835194E-2</v>
      </c>
      <c r="BX90" s="35">
        <f t="shared" si="104"/>
        <v>3.8200374368126448E-2</v>
      </c>
      <c r="BY90" s="35">
        <f t="shared" si="105"/>
        <v>3.8538931905762713E-2</v>
      </c>
      <c r="BZ90" s="35">
        <f t="shared" si="106"/>
        <v>3.88400048720614E-2</v>
      </c>
      <c r="CA90" s="35">
        <f t="shared" si="107"/>
        <v>3.9115907408262193E-2</v>
      </c>
      <c r="CB90" s="35">
        <f t="shared" si="108"/>
        <v>3.938032494536254E-2</v>
      </c>
      <c r="CC90" s="35">
        <f t="shared" si="109"/>
        <v>3.9648070565878692E-2</v>
      </c>
      <c r="CD90" s="35">
        <f t="shared" si="110"/>
        <v>3.9934986502596102E-2</v>
      </c>
      <c r="CE90" s="35">
        <f t="shared" si="111"/>
        <v>4.0257987242633755E-2</v>
      </c>
      <c r="CF90" s="289">
        <f t="shared" si="112"/>
        <v>62.26389984682509</v>
      </c>
      <c r="CG90" s="35">
        <f t="shared" si="113"/>
        <v>73.003587623939552</v>
      </c>
      <c r="CH90" s="35">
        <f t="shared" si="114"/>
        <v>71.468804978840566</v>
      </c>
      <c r="CI90" s="35">
        <f t="shared" si="115"/>
        <v>70.123987811359882</v>
      </c>
      <c r="CJ90" s="35">
        <f t="shared" si="116"/>
        <v>68.908030765903121</v>
      </c>
      <c r="CK90" s="35">
        <f t="shared" si="117"/>
        <v>67.757309440634671</v>
      </c>
      <c r="CL90" s="35">
        <f t="shared" si="118"/>
        <v>66.606549189734793</v>
      </c>
      <c r="CM90" s="35">
        <f t="shared" si="119"/>
        <v>65.389362812030313</v>
      </c>
      <c r="CN90" s="35">
        <f t="shared" si="120"/>
        <v>64.038623323532477</v>
      </c>
      <c r="CO90" s="289">
        <f t="shared" si="121"/>
        <v>2607.8627922077867</v>
      </c>
      <c r="CP90" s="35">
        <f t="shared" si="122"/>
        <v>3109.4583781730748</v>
      </c>
      <c r="CQ90" s="35">
        <f t="shared" si="123"/>
        <v>3036.7057117657073</v>
      </c>
      <c r="CR90" s="35">
        <f t="shared" si="124"/>
        <v>2973.2677664496505</v>
      </c>
      <c r="CS90" s="35">
        <f t="shared" si="125"/>
        <v>2916.1499792090126</v>
      </c>
      <c r="CT90" s="35">
        <f t="shared" si="126"/>
        <v>2862.3022800371318</v>
      </c>
      <c r="CU90" s="35">
        <f t="shared" si="127"/>
        <v>2808.6481479885219</v>
      </c>
      <c r="CV90" s="35">
        <f t="shared" si="128"/>
        <v>2752.1048396063743</v>
      </c>
      <c r="CW90" s="35">
        <f t="shared" si="129"/>
        <v>2689.6022071801722</v>
      </c>
    </row>
    <row r="91" spans="1:101" x14ac:dyDescent="0.3">
      <c r="A91" s="184" t="str">
        <f>'Su K. oro stendu'!B136</f>
        <v>2023.02.22-1</v>
      </c>
      <c r="B91" s="289">
        <f>Sheet3!DD91</f>
        <v>6.36</v>
      </c>
      <c r="C91" s="289">
        <f>_xlfn.FORECAST.LINEAR(Sheet3!DD91,$DW$3:$DW$24,$DU$3:$DU$24)</f>
        <v>1002.7048740687962</v>
      </c>
      <c r="D91" s="35">
        <f>_xlfn.FORECAST.LINEAR(Sheet3!CI91,'Cooling water'!$DW$3:$DW$24,'Cooling water'!$DU$3:$DU$24)</f>
        <v>999.85143097581943</v>
      </c>
      <c r="E91" s="35">
        <f>_xlfn.FORECAST.LINEAR(Sheet3!CJ91,'Cooling water'!$DW$3:$DW$24,'Cooling water'!$DU$3:$DU$24)</f>
        <v>1000.2214569553624</v>
      </c>
      <c r="F91" s="35">
        <f>_xlfn.FORECAST.LINEAR(Sheet3!CK91,'Cooling water'!$DW$3:$DW$24,'Cooling water'!$DU$3:$DU$24)</f>
        <v>1000.5728619926274</v>
      </c>
      <c r="G91" s="35">
        <f>_xlfn.FORECAST.LINEAR(Sheet3!CL91,'Cooling water'!$DW$3:$DW$24,'Cooling water'!$DU$3:$DU$24)</f>
        <v>1000.9121822761623</v>
      </c>
      <c r="H91" s="35">
        <f>_xlfn.FORECAST.LINEAR(Sheet3!CM91,'Cooling water'!$DW$3:$DW$24,'Cooling water'!$DU$3:$DU$24)</f>
        <v>1001.2459539945155</v>
      </c>
      <c r="I91" s="35">
        <f>_xlfn.FORECAST.LINEAR(Sheet3!CN91,'Cooling water'!$DW$3:$DW$24,'Cooling water'!$DU$3:$DU$24)</f>
        <v>1001.580713336235</v>
      </c>
      <c r="J91" s="35">
        <f>_xlfn.FORECAST.LINEAR(Sheet3!CO91,'Cooling water'!$DW$3:$DW$24,'Cooling water'!$DU$3:$DU$24)</f>
        <v>1001.9229964898689</v>
      </c>
      <c r="K91" s="35">
        <f>_xlfn.FORECAST.LINEAR(Sheet3!CP91,'Cooling water'!$DW$3:$DW$24,'Cooling water'!$DU$3:$DU$24)</f>
        <v>1002.2793396439653</v>
      </c>
      <c r="L91" s="289">
        <f t="shared" si="130"/>
        <v>1.45304117738565E-3</v>
      </c>
      <c r="M91" s="35">
        <f xml:space="preserve"> 0.0000000000330128*((Sheet3!CI91+273)^(4)) - 0.0000000448315*((Sheet3!CI91+273)^(3)) + 0.0000228887*((Sheet3!CI91+273)^(2)) - 0.00521331*((Sheet3!CI91+273)) + 0.447905</f>
        <v>1.1969113342953364E-3</v>
      </c>
      <c r="N91" s="35">
        <f xml:space="preserve"> 0.0000000000330128*((Sheet3!CJ91+273)^(4)) - 0.0000000448315*((Sheet3!CJ91+273)^(3)) + 0.0000228887*((Sheet3!CJ91+273)^(2)) - 0.00521331*((Sheet3!CJ91+273)) + 0.447905</f>
        <v>1.2265129535704578E-3</v>
      </c>
      <c r="O91" s="35">
        <f xml:space="preserve"> 0.0000000000330128*((Sheet3!CK91+273)^(4)) - 0.0000000448315*((Sheet3!CK91+273)^(3)) + 0.0000228887*((Sheet3!CK91+273)^(2)) - 0.00521331*((Sheet3!CK91+273)) + 0.447905</f>
        <v>1.2555659254001039E-3</v>
      </c>
      <c r="P91" s="35">
        <f xml:space="preserve"> 0.0000000000330128*((Sheet3!CL91+273)^(4)) - 0.0000000448315*((Sheet3!CL91+273)^(3)) + 0.0000228887*((Sheet3!CL91+273)^(2)) - 0.00521331*((Sheet3!CL91+273)) + 0.447905</f>
        <v>1.2845148292717212E-3</v>
      </c>
      <c r="Q91" s="35">
        <f xml:space="preserve"> 0.0000000000330128*((Sheet3!CM91+273)^(4)) - 0.0000000448315*((Sheet3!CM91+273)^(3)) + 0.0000228887*((Sheet3!CM91+273)^(2)) - 0.00521331*((Sheet3!CM91+273)) + 0.447905</f>
        <v>1.3138718909271319E-3</v>
      </c>
      <c r="R91" s="35">
        <f xml:space="preserve"> 0.0000000000330128*((Sheet3!CN91+273)^(4)) - 0.0000000448315*((Sheet3!CN91+273)^(3)) + 0.0000228887*((Sheet3!CN91+273)^(2)) - 0.00521331*((Sheet3!CN91+273)) + 0.447905</f>
        <v>1.3442174206319546E-3</v>
      </c>
      <c r="S91" s="35">
        <f xml:space="preserve"> 0.0000000000330128*((Sheet3!CO91+273)^(4)) - 0.0000000448315*((Sheet3!CO91+273)^(3)) + 0.0000228887*((Sheet3!CO91+273)^(2)) - 0.00521331*((Sheet3!CO91+273)) + 0.447905</f>
        <v>1.3762032862441043E-3</v>
      </c>
      <c r="T91" s="35">
        <f xml:space="preserve"> 0.0000000000330128*((Sheet3!CP91+273)^(4)) - 0.0000000448315*((Sheet3!CP91+273)^(3)) + 0.0000228887*((Sheet3!CP91+273)^(2)) - 0.00521331*((Sheet3!CP91+273)) + 0.447905</f>
        <v>1.4105600498248716E-3</v>
      </c>
      <c r="U91" s="289">
        <f>(Sheet3!DC91*0.014*0.001*C91) / (L91*0.00015*3600*3)</f>
        <v>4973.6391846855904</v>
      </c>
      <c r="V91" s="35">
        <f>(Sheet3!$DC91*0.014*0.001*D91) / (M91*0.00015*3600*3)</f>
        <v>6020.7773152759391</v>
      </c>
      <c r="W91" s="35">
        <f>(Sheet3!$DC91*0.014*0.001*E91) / (N91*0.00015*3600*3)</f>
        <v>5877.6415829299149</v>
      </c>
      <c r="X91" s="35">
        <f>(Sheet3!$DC91*0.014*0.001*F91) / (O91*0.00015*3600*3)</f>
        <v>5743.6540059642321</v>
      </c>
      <c r="Y91" s="35">
        <f>(Sheet3!$DC91*0.014*0.001*G91) / (P91*0.00015*3600*3)</f>
        <v>5616.1141251998024</v>
      </c>
      <c r="Z91" s="35">
        <f>(Sheet3!$DC91*0.014*0.001*H91) / (Q91*0.00015*3600*3)</f>
        <v>5492.459010112877</v>
      </c>
      <c r="AA91" s="35">
        <f>(Sheet3!$DC91*0.014*0.001*I91) / (R91*0.00015*3600*3)</f>
        <v>5370.262385843962</v>
      </c>
      <c r="AB91" s="35">
        <f>(Sheet3!$DC91*0.014*0.001*J91) / (S91*0.00015*3600*3)</f>
        <v>5247.2387609689486</v>
      </c>
      <c r="AC91" s="35">
        <f>(Sheet3!$DC91*0.014*0.001*K91) / (T91*0.00015*3600*3)</f>
        <v>5121.2534608067181</v>
      </c>
      <c r="AD91" s="289">
        <f t="shared" si="75"/>
        <v>0.58634399062689924</v>
      </c>
      <c r="AE91" s="35">
        <f>_xlfn.FORECAST.LINEAR(Sheet3!CI91,$DA$3:$DA$12,$CZ$3:$CZ$12)/1000</f>
        <v>0.59376601303161425</v>
      </c>
      <c r="AF91" s="35">
        <f>_xlfn.FORECAST.LINEAR(Sheet3!CJ91,$DA$3:$DA$12,$CZ$3:$CZ$12)/1000</f>
        <v>0.5928035473293003</v>
      </c>
      <c r="AG91" s="35">
        <f>_xlfn.FORECAST.LINEAR(Sheet3!CK91,$DA$3:$DA$12,$CZ$3:$CZ$12)/1000</f>
        <v>0.59188951611342311</v>
      </c>
      <c r="AH91" s="35">
        <f>_xlfn.FORECAST.LINEAR(Sheet3!CL91,$DA$3:$DA$12,$CZ$3:$CZ$12)/1000</f>
        <v>0.5910069182606853</v>
      </c>
      <c r="AI91" s="35">
        <f>_xlfn.FORECAST.LINEAR(Sheet3!CM91,$DA$3:$DA$12,$CZ$3:$CZ$12)/1000</f>
        <v>0.59013875264778948</v>
      </c>
      <c r="AJ91" s="35">
        <f>_xlfn.FORECAST.LINEAR(Sheet3!CN91,$DA$3:$DA$12,$CZ$3:$CZ$12)/1000</f>
        <v>0.58926801815143848</v>
      </c>
      <c r="AK91" s="35">
        <f>_xlfn.FORECAST.LINEAR(Sheet3!CO91,$DA$3:$DA$12,$CZ$3:$CZ$12)/1000</f>
        <v>0.58837771364833491</v>
      </c>
      <c r="AL91" s="35">
        <f>_xlfn.FORECAST.LINEAR(Sheet3!CP91,$DA$3:$DA$12,$CZ$3:$CZ$12)/1000</f>
        <v>0.58745083801518128</v>
      </c>
      <c r="AM91" s="289">
        <f t="shared" si="76"/>
        <v>4189.0371073712622</v>
      </c>
      <c r="AN91" s="35">
        <f>_xlfn.FORECAST.LINEAR(Sheet3!CI91,$DP$3:$DP$14,$DJ$3:$DJ$14)*1000</f>
        <v>4189.6902555833731</v>
      </c>
      <c r="AO91" s="35">
        <f>_xlfn.FORECAST.LINEAR(Sheet3!CJ91,$DP$3:$DP$14,$DJ$3:$DJ$14)*1000</f>
        <v>4189.6055572736122</v>
      </c>
      <c r="AP91" s="35">
        <f>_xlfn.FORECAST.LINEAR(Sheet3!CK91,$DP$3:$DP$14,$DJ$3:$DJ$14)*1000</f>
        <v>4189.5251212654857</v>
      </c>
      <c r="AQ91" s="35">
        <f>_xlfn.FORECAST.LINEAR(Sheet3!CL91,$DP$3:$DP$14,$DJ$3:$DJ$14)*1000</f>
        <v>4189.4474514366848</v>
      </c>
      <c r="AR91" s="35">
        <f>_xlfn.FORECAST.LINEAR(Sheet3!CM91,$DP$3:$DP$14,$DJ$3:$DJ$14)*1000</f>
        <v>4189.3710516649026</v>
      </c>
      <c r="AS91" s="35">
        <f>_xlfn.FORECAST.LINEAR(Sheet3!CN91,$DP$3:$DP$14,$DJ$3:$DJ$14)*1000</f>
        <v>4189.294425827833</v>
      </c>
      <c r="AT91" s="35">
        <f>_xlfn.FORECAST.LINEAR(Sheet3!CO91,$DP$3:$DP$14,$DJ$3:$DJ$14)*1000</f>
        <v>4189.2160778031666</v>
      </c>
      <c r="AU91" s="35">
        <f>_xlfn.FORECAST.LINEAR(Sheet3!CP91,$DP$3:$DP$14,$DJ$3:$DJ$14)*1000</f>
        <v>4189.1345114685973</v>
      </c>
      <c r="AV91" s="289">
        <f t="shared" si="77"/>
        <v>1.395934834915008E-7</v>
      </c>
      <c r="AW91" s="35">
        <f t="shared" si="78"/>
        <v>1.4174180074180034E-7</v>
      </c>
      <c r="AX91" s="35">
        <f t="shared" si="79"/>
        <v>1.4146255245870888E-7</v>
      </c>
      <c r="AY91" s="35">
        <f t="shared" si="80"/>
        <v>1.4119753960487225E-7</v>
      </c>
      <c r="AZ91" s="35">
        <f t="shared" si="81"/>
        <v>1.4094180924433649E-7</v>
      </c>
      <c r="BA91" s="35">
        <f t="shared" si="82"/>
        <v>1.4069042217435855E-7</v>
      </c>
      <c r="BB91" s="35">
        <f t="shared" si="83"/>
        <v>1.4043845206076948E-7</v>
      </c>
      <c r="BC91" s="35">
        <f t="shared" si="84"/>
        <v>1.401809851912255E-7</v>
      </c>
      <c r="BD91" s="35">
        <f t="shared" si="85"/>
        <v>1.3991312084191769E-7</v>
      </c>
      <c r="BE91" s="289">
        <f t="shared" si="74"/>
        <v>10.38101098998059</v>
      </c>
      <c r="BF91" s="35">
        <f t="shared" si="86"/>
        <v>8.44556213059548</v>
      </c>
      <c r="BG91" s="35">
        <f t="shared" si="87"/>
        <v>8.6683109598404346</v>
      </c>
      <c r="BH91" s="35">
        <f t="shared" si="88"/>
        <v>8.8871737759596865</v>
      </c>
      <c r="BI91" s="35">
        <f t="shared" si="89"/>
        <v>9.1054896508865806</v>
      </c>
      <c r="BJ91" s="35">
        <f t="shared" si="90"/>
        <v>9.327123224411368</v>
      </c>
      <c r="BK91" s="35">
        <f t="shared" si="91"/>
        <v>9.5564706956604208</v>
      </c>
      <c r="BL91" s="35">
        <f t="shared" si="92"/>
        <v>9.7984896424971364</v>
      </c>
      <c r="BM91" s="35">
        <f t="shared" si="93"/>
        <v>10.058757946767162</v>
      </c>
      <c r="BN91" s="289">
        <f t="shared" si="94"/>
        <v>8.3005962140739686E-4</v>
      </c>
      <c r="BO91" s="35">
        <f t="shared" si="95"/>
        <v>8.4283408163895372E-4</v>
      </c>
      <c r="BP91" s="35">
        <f t="shared" si="96"/>
        <v>8.4117359779440726E-4</v>
      </c>
      <c r="BQ91" s="35">
        <f t="shared" si="97"/>
        <v>8.3959776156178583E-4</v>
      </c>
      <c r="BR91" s="35">
        <f t="shared" si="98"/>
        <v>8.3807712147931674E-4</v>
      </c>
      <c r="BS91" s="35">
        <f t="shared" si="99"/>
        <v>8.3658230774651576E-4</v>
      </c>
      <c r="BT91" s="35">
        <f t="shared" si="100"/>
        <v>8.3508402708283114E-4</v>
      </c>
      <c r="BU91" s="35">
        <f t="shared" si="101"/>
        <v>8.335530612604068E-4</v>
      </c>
      <c r="BV91" s="35">
        <f t="shared" si="102"/>
        <v>8.3196026928463764E-4</v>
      </c>
      <c r="BW91" s="289">
        <f t="shared" si="103"/>
        <v>4.2987148028797953E-2</v>
      </c>
      <c r="BX91" s="35">
        <f t="shared" si="104"/>
        <v>4.0982086037360761E-2</v>
      </c>
      <c r="BY91" s="35">
        <f t="shared" si="105"/>
        <v>4.1229344214860887E-2</v>
      </c>
      <c r="BZ91" s="35">
        <f t="shared" si="106"/>
        <v>4.1467717793645165E-2</v>
      </c>
      <c r="CA91" s="35">
        <f t="shared" si="107"/>
        <v>4.1701168149856915E-2</v>
      </c>
      <c r="CB91" s="35">
        <f t="shared" si="108"/>
        <v>4.1933923230362435E-2</v>
      </c>
      <c r="CC91" s="35">
        <f t="shared" si="109"/>
        <v>4.2170458754796442E-2</v>
      </c>
      <c r="CD91" s="35">
        <f t="shared" si="110"/>
        <v>4.2415490673969283E-2</v>
      </c>
      <c r="CE91" s="35">
        <f t="shared" si="111"/>
        <v>4.2673978521819277E-2</v>
      </c>
      <c r="CF91" s="289">
        <f t="shared" si="112"/>
        <v>49.265070086716086</v>
      </c>
      <c r="CG91" s="35">
        <f t="shared" si="113"/>
        <v>56.26448074763907</v>
      </c>
      <c r="CH91" s="35">
        <f t="shared" si="114"/>
        <v>55.36770535116203</v>
      </c>
      <c r="CI91" s="35">
        <f t="shared" si="115"/>
        <v>54.51229726923183</v>
      </c>
      <c r="CJ91" s="35">
        <f t="shared" si="116"/>
        <v>53.683177891612068</v>
      </c>
      <c r="CK91" s="35">
        <f t="shared" si="117"/>
        <v>52.864941094352375</v>
      </c>
      <c r="CL91" s="35">
        <f t="shared" si="118"/>
        <v>52.041935097408526</v>
      </c>
      <c r="CM91" s="35">
        <f t="shared" si="119"/>
        <v>51.198328018187198</v>
      </c>
      <c r="CN91" s="35">
        <f t="shared" si="120"/>
        <v>50.318164996441631</v>
      </c>
      <c r="CO91" s="289">
        <f t="shared" si="121"/>
        <v>2063.3055566542139</v>
      </c>
      <c r="CP91" s="35">
        <f t="shared" si="122"/>
        <v>2386.2811720585473</v>
      </c>
      <c r="CQ91" s="35">
        <f t="shared" si="123"/>
        <v>2344.4408671180236</v>
      </c>
      <c r="CR91" s="35">
        <f t="shared" si="124"/>
        <v>2304.6612323511931</v>
      </c>
      <c r="CS91" s="35">
        <f t="shared" si="125"/>
        <v>2266.223537725843</v>
      </c>
      <c r="CT91" s="35">
        <f t="shared" si="126"/>
        <v>2228.4035997299984</v>
      </c>
      <c r="CU91" s="35">
        <f t="shared" si="127"/>
        <v>2190.474853972551</v>
      </c>
      <c r="CV91" s="35">
        <f t="shared" si="128"/>
        <v>2151.7110844256049</v>
      </c>
      <c r="CW91" s="35">
        <f t="shared" si="129"/>
        <v>2111.3891567532714</v>
      </c>
    </row>
    <row r="92" spans="1:101" x14ac:dyDescent="0.3">
      <c r="A92" s="184" t="str">
        <f>'Su K. oro stendu'!B137</f>
        <v>2023.02.22-2</v>
      </c>
      <c r="B92" s="289">
        <f>Sheet3!DD92</f>
        <v>6.7</v>
      </c>
      <c r="C92" s="289">
        <f>_xlfn.FORECAST.LINEAR(Sheet3!DD92,$DW$3:$DW$24,$DU$3:$DU$24)</f>
        <v>1002.563825421238</v>
      </c>
      <c r="D92" s="35">
        <f>_xlfn.FORECAST.LINEAR(Sheet3!CI92,'Cooling water'!$DW$3:$DW$24,'Cooling water'!$DU$3:$DU$24)</f>
        <v>999.35949374124846</v>
      </c>
      <c r="E92" s="35">
        <f>_xlfn.FORECAST.LINEAR(Sheet3!CJ92,'Cooling water'!$DW$3:$DW$24,'Cooling water'!$DU$3:$DU$24)</f>
        <v>999.79742659816782</v>
      </c>
      <c r="F92" s="35">
        <f>_xlfn.FORECAST.LINEAR(Sheet3!CK92,'Cooling water'!$DW$3:$DW$24,'Cooling water'!$DU$3:$DU$24)</f>
        <v>1000.1943039078641</v>
      </c>
      <c r="G92" s="35">
        <f>_xlfn.FORECAST.LINEAR(Sheet3!CL92,'Cooling water'!$DW$3:$DW$24,'Cooling water'!$DU$3:$DU$24)</f>
        <v>1000.564479450035</v>
      </c>
      <c r="H92" s="35">
        <f>_xlfn.FORECAST.LINEAR(Sheet3!CM92,'Cooling water'!$DW$3:$DW$24,'Cooling water'!$DU$3:$DU$24)</f>
        <v>1000.9223070043782</v>
      </c>
      <c r="I92" s="35">
        <f>_xlfn.FORECAST.LINEAR(Sheet3!CN92,'Cooling water'!$DW$3:$DW$24,'Cooling water'!$DU$3:$DU$24)</f>
        <v>1001.2821403505915</v>
      </c>
      <c r="J92" s="35">
        <f>_xlfn.FORECAST.LINEAR(Sheet3!CO92,'Cooling water'!$DW$3:$DW$24,'Cooling water'!$DU$3:$DU$24)</f>
        <v>1001.6583332683724</v>
      </c>
      <c r="K92" s="35">
        <f>_xlfn.FORECAST.LINEAR(Sheet3!CP92,'Cooling water'!$DW$3:$DW$24,'Cooling water'!$DU$3:$DU$24)</f>
        <v>1002.0652395374187</v>
      </c>
      <c r="L92" s="289">
        <f t="shared" si="130"/>
        <v>1.4387821891914676E-3</v>
      </c>
      <c r="M92" s="35">
        <f xml:space="preserve"> 0.0000000000330128*((Sheet3!CI92+273)^(4)) - 0.0000000448315*((Sheet3!CI92+273)^(3)) + 0.0000228887*((Sheet3!CI92+273)^(2)) - 0.00521331*((Sheet3!CI92+273)) + 0.447905</f>
        <v>1.159079873831681E-3</v>
      </c>
      <c r="N92" s="35">
        <f xml:space="preserve"> 0.0000000000330128*((Sheet3!CJ92+273)^(4)) - 0.0000000448315*((Sheet3!CJ92+273)^(3)) + 0.0000228887*((Sheet3!CJ92+273)^(2)) - 0.00521331*((Sheet3!CJ92+273)) + 0.447905</f>
        <v>1.1926742804710955E-3</v>
      </c>
      <c r="O92" s="35">
        <f xml:space="preserve"> 0.0000000000330128*((Sheet3!CK92+273)^(4)) - 0.0000000448315*((Sheet3!CK92+273)^(3)) + 0.0000228887*((Sheet3!CK92+273)^(2)) - 0.00521331*((Sheet3!CK92+273)) + 0.447905</f>
        <v>1.2243065389103691E-3</v>
      </c>
      <c r="P92" s="35">
        <f xml:space="preserve"> 0.0000000000330128*((Sheet3!CL92+273)^(4)) - 0.0000000448315*((Sheet3!CL92+273)^(3)) + 0.0000228887*((Sheet3!CL92+273)^(2)) - 0.00521331*((Sheet3!CL92+273)) + 0.447905</f>
        <v>1.2548620061956228E-3</v>
      </c>
      <c r="Q92" s="35">
        <f xml:space="preserve"> 0.0000000000330128*((Sheet3!CM92+273)^(4)) - 0.0000000448315*((Sheet3!CM92+273)^(3)) + 0.0000228887*((Sheet3!CM92+273)^(2)) - 0.00521331*((Sheet3!CM92+273)) + 0.447905</f>
        <v>1.2853923788318511E-3</v>
      </c>
      <c r="R92" s="35">
        <f xml:space="preserve"> 0.0000000000330128*((Sheet3!CN92+273)^(4)) - 0.0000000448315*((Sheet3!CN92+273)^(3)) + 0.0000228887*((Sheet3!CN92+273)^(2)) - 0.00521331*((Sheet3!CN92+273)) + 0.447905</f>
        <v>1.3171081949021612E-3</v>
      </c>
      <c r="S92" s="35">
        <f xml:space="preserve"> 0.0000000000330128*((Sheet3!CO92+273)^(4)) - 0.0000000448315*((Sheet3!CO92+273)^(3)) + 0.0000228887*((Sheet3!CO92+273)^(2)) - 0.00521331*((Sheet3!CO92+273)) + 0.447905</f>
        <v>1.351385038635744E-3</v>
      </c>
      <c r="T92" s="35">
        <f xml:space="preserve"> 0.0000000000330128*((Sheet3!CP92+273)^(4)) - 0.0000000448315*((Sheet3!CP92+273)^(3)) + 0.0000228887*((Sheet3!CP92+273)^(2)) - 0.00521331*((Sheet3!CP92+273)) + 0.447905</f>
        <v>1.3897867279057952E-3</v>
      </c>
      <c r="U92" s="289">
        <f>(Sheet3!DC92*0.014*0.001*C92) / (L92*0.00015*3600*3)</f>
        <v>5780.9768664963613</v>
      </c>
      <c r="V92" s="35">
        <f>(Sheet3!$DC92*0.014*0.001*D92) / (M92*0.00015*3600*3)</f>
        <v>7153.0725826389953</v>
      </c>
      <c r="W92" s="35">
        <f>(Sheet3!$DC92*0.014*0.001*E92) / (N92*0.00015*3600*3)</f>
        <v>6954.6361677696714</v>
      </c>
      <c r="X92" s="35">
        <f>(Sheet3!$DC92*0.014*0.001*F92) / (O92*0.00015*3600*3)</f>
        <v>6777.6394516953178</v>
      </c>
      <c r="Y92" s="35">
        <f>(Sheet3!$DC92*0.014*0.001*G92) / (P92*0.00015*3600*3)</f>
        <v>6615.0535629277019</v>
      </c>
      <c r="Z92" s="35">
        <f>(Sheet3!$DC92*0.014*0.001*H92) / (Q92*0.00015*3600*3)</f>
        <v>6460.2437086388318</v>
      </c>
      <c r="AA92" s="35">
        <f>(Sheet3!$DC92*0.014*0.001*I92) / (R92*0.00015*3600*3)</f>
        <v>6306.948316539253</v>
      </c>
      <c r="AB92" s="35">
        <f>(Sheet3!$DC92*0.014*0.001*J92) / (S92*0.00015*3600*3)</f>
        <v>6149.2869040772575</v>
      </c>
      <c r="AC92" s="35">
        <f>(Sheet3!$DC92*0.014*0.001*K92) / (T92*0.00015*3600*3)</f>
        <v>5981.802796425226</v>
      </c>
      <c r="AD92" s="289">
        <f t="shared" si="75"/>
        <v>0.58671086888177271</v>
      </c>
      <c r="AE92" s="35">
        <f>_xlfn.FORECAST.LINEAR(Sheet3!CI92,$DA$3:$DA$12,$CZ$3:$CZ$12)/1000</f>
        <v>0.5950455791759981</v>
      </c>
      <c r="AF92" s="35">
        <f>_xlfn.FORECAST.LINEAR(Sheet3!CJ92,$DA$3:$DA$12,$CZ$3:$CZ$12)/1000</f>
        <v>0.59390648252332046</v>
      </c>
      <c r="AG92" s="35">
        <f>_xlfn.FORECAST.LINEAR(Sheet3!CK92,$DA$3:$DA$12,$CZ$3:$CZ$12)/1000</f>
        <v>0.5928741744700291</v>
      </c>
      <c r="AH92" s="35">
        <f>_xlfn.FORECAST.LINEAR(Sheet3!CL92,$DA$3:$DA$12,$CZ$3:$CZ$12)/1000</f>
        <v>0.59191131974395017</v>
      </c>
      <c r="AI92" s="35">
        <f>_xlfn.FORECAST.LINEAR(Sheet3!CM92,$DA$3:$DA$12,$CZ$3:$CZ$12)/1000</f>
        <v>0.59098058307290979</v>
      </c>
      <c r="AJ92" s="35">
        <f>_xlfn.FORECAST.LINEAR(Sheet3!CN92,$DA$3:$DA$12,$CZ$3:$CZ$12)/1000</f>
        <v>0.59004462918473466</v>
      </c>
      <c r="AK92" s="35">
        <f>_xlfn.FORECAST.LINEAR(Sheet3!CO92,$DA$3:$DA$12,$CZ$3:$CZ$12)/1000</f>
        <v>0.58906612280725068</v>
      </c>
      <c r="AL92" s="35">
        <f>_xlfn.FORECAST.LINEAR(Sheet3!CP92,$DA$3:$DA$12,$CZ$3:$CZ$12)/1000</f>
        <v>0.58800772866828444</v>
      </c>
      <c r="AM92" s="289">
        <f t="shared" si="76"/>
        <v>4189.0693931638889</v>
      </c>
      <c r="AN92" s="35">
        <f>_xlfn.FORECAST.LINEAR(Sheet3!CI92,$DP$3:$DP$14,$DJ$3:$DJ$14)*1000</f>
        <v>4189.8028591695529</v>
      </c>
      <c r="AO92" s="35">
        <f>_xlfn.FORECAST.LINEAR(Sheet3!CJ92,$DP$3:$DP$14,$DJ$3:$DJ$14)*1000</f>
        <v>4189.7026170924546</v>
      </c>
      <c r="AP92" s="35">
        <f>_xlfn.FORECAST.LINEAR(Sheet3!CK92,$DP$3:$DP$14,$DJ$3:$DJ$14)*1000</f>
        <v>4189.6117725594431</v>
      </c>
      <c r="AQ92" s="35">
        <f>_xlfn.FORECAST.LINEAR(Sheet3!CL92,$DP$3:$DP$14,$DJ$3:$DJ$14)*1000</f>
        <v>4189.5270400150557</v>
      </c>
      <c r="AR92" s="35">
        <f>_xlfn.FORECAST.LINEAR(Sheet3!CM92,$DP$3:$DP$14,$DJ$3:$DJ$14)*1000</f>
        <v>4189.4451339038242</v>
      </c>
      <c r="AS92" s="35">
        <f>_xlfn.FORECAST.LINEAR(Sheet3!CN92,$DP$3:$DP$14,$DJ$3:$DJ$14)*1000</f>
        <v>4189.3627686702876</v>
      </c>
      <c r="AT92" s="35">
        <f>_xlfn.FORECAST.LINEAR(Sheet3!CO92,$DP$3:$DP$14,$DJ$3:$DJ$14)*1000</f>
        <v>4189.2766587589804</v>
      </c>
      <c r="AU92" s="35">
        <f>_xlfn.FORECAST.LINEAR(Sheet3!CP92,$DP$3:$DP$14,$DJ$3:$DJ$14)*1000</f>
        <v>4189.1835186144372</v>
      </c>
      <c r="AV92" s="289">
        <f t="shared" si="77"/>
        <v>1.3969940252178253E-7</v>
      </c>
      <c r="AW92" s="35">
        <f t="shared" si="78"/>
        <v>1.4211335804582382E-7</v>
      </c>
      <c r="AX92" s="35">
        <f t="shared" si="79"/>
        <v>1.4178257285682224E-7</v>
      </c>
      <c r="AY92" s="35">
        <f t="shared" si="80"/>
        <v>1.4148303739321615E-7</v>
      </c>
      <c r="AZ92" s="35">
        <f t="shared" si="81"/>
        <v>1.4120385924614027E-7</v>
      </c>
      <c r="BA92" s="35">
        <f t="shared" si="82"/>
        <v>1.4093418123989901E-7</v>
      </c>
      <c r="BB92" s="35">
        <f t="shared" si="83"/>
        <v>1.4066317729435107E-7</v>
      </c>
      <c r="BC92" s="35">
        <f t="shared" si="84"/>
        <v>1.4038005127199071E-7</v>
      </c>
      <c r="BD92" s="35">
        <f t="shared" si="85"/>
        <v>1.4007403878618101E-7</v>
      </c>
      <c r="BE92" s="289">
        <f t="shared" si="74"/>
        <v>10.272791509144238</v>
      </c>
      <c r="BF92" s="35">
        <f t="shared" si="86"/>
        <v>8.1612507332812179</v>
      </c>
      <c r="BG92" s="35">
        <f t="shared" si="87"/>
        <v>8.4136992965595336</v>
      </c>
      <c r="BH92" s="35">
        <f t="shared" si="88"/>
        <v>8.6516993141513314</v>
      </c>
      <c r="BI92" s="35">
        <f t="shared" si="89"/>
        <v>8.8818681634916246</v>
      </c>
      <c r="BJ92" s="35">
        <f t="shared" si="90"/>
        <v>9.1121112958626558</v>
      </c>
      <c r="BK92" s="35">
        <f t="shared" si="91"/>
        <v>9.3515706458639478</v>
      </c>
      <c r="BL92" s="35">
        <f t="shared" si="92"/>
        <v>9.6106796506532035</v>
      </c>
      <c r="BM92" s="35">
        <f t="shared" si="93"/>
        <v>9.9013522630354345</v>
      </c>
      <c r="BN92" s="289">
        <f t="shared" si="94"/>
        <v>7.2166145435359572E-4</v>
      </c>
      <c r="BO92" s="35">
        <f t="shared" si="95"/>
        <v>7.3413150521120703E-4</v>
      </c>
      <c r="BP92" s="35">
        <f t="shared" si="96"/>
        <v>7.3242272968128831E-4</v>
      </c>
      <c r="BQ92" s="35">
        <f t="shared" si="97"/>
        <v>7.3087538449301693E-4</v>
      </c>
      <c r="BR92" s="35">
        <f t="shared" si="98"/>
        <v>7.2943320146284167E-4</v>
      </c>
      <c r="BS92" s="35">
        <f t="shared" si="99"/>
        <v>7.2804009441529449E-4</v>
      </c>
      <c r="BT92" s="35">
        <f t="shared" si="100"/>
        <v>7.2664013780882888E-4</v>
      </c>
      <c r="BU92" s="35">
        <f t="shared" si="101"/>
        <v>7.2517756078005404E-4</v>
      </c>
      <c r="BV92" s="35">
        <f t="shared" si="102"/>
        <v>7.2359675648473593E-4</v>
      </c>
      <c r="BW92" s="289">
        <f t="shared" si="103"/>
        <v>4.1400624674573547E-2</v>
      </c>
      <c r="BX92" s="35">
        <f t="shared" si="104"/>
        <v>3.9254011370497624E-2</v>
      </c>
      <c r="BY92" s="35">
        <f t="shared" si="105"/>
        <v>3.9531072596216688E-2</v>
      </c>
      <c r="BZ92" s="35">
        <f t="shared" si="106"/>
        <v>3.9786669504823333E-2</v>
      </c>
      <c r="CA92" s="35">
        <f t="shared" si="107"/>
        <v>4.0028918880405835E-2</v>
      </c>
      <c r="CB92" s="35">
        <f t="shared" si="108"/>
        <v>4.0266601476401188E-2</v>
      </c>
      <c r="CC92" s="35">
        <f t="shared" si="109"/>
        <v>4.050908035709621E-2</v>
      </c>
      <c r="CD92" s="35">
        <f t="shared" si="110"/>
        <v>4.0766273409960141E-2</v>
      </c>
      <c r="CE92" s="35">
        <f t="shared" si="111"/>
        <v>4.1048678388326147E-2</v>
      </c>
      <c r="CF92" s="289">
        <f t="shared" si="112"/>
        <v>57.71607727234565</v>
      </c>
      <c r="CG92" s="35">
        <f t="shared" si="113"/>
        <v>66.29935986391618</v>
      </c>
      <c r="CH92" s="35">
        <f t="shared" si="114"/>
        <v>65.14359322867729</v>
      </c>
      <c r="CI92" s="35">
        <f t="shared" si="115"/>
        <v>64.090205887073111</v>
      </c>
      <c r="CJ92" s="35">
        <f t="shared" si="116"/>
        <v>63.103109719526998</v>
      </c>
      <c r="CK92" s="35">
        <f t="shared" si="117"/>
        <v>62.145202288258218</v>
      </c>
      <c r="CL92" s="35">
        <f t="shared" si="118"/>
        <v>61.178666244425919</v>
      </c>
      <c r="CM92" s="35">
        <f t="shared" si="119"/>
        <v>60.16517367883889</v>
      </c>
      <c r="CN92" s="35">
        <f t="shared" si="120"/>
        <v>59.066044135257897</v>
      </c>
      <c r="CO92" s="289">
        <f t="shared" si="121"/>
        <v>2418.7607032075321</v>
      </c>
      <c r="CP92" s="35">
        <f t="shared" si="122"/>
        <v>2817.9386420872802</v>
      </c>
      <c r="CQ92" s="35">
        <f t="shared" si="123"/>
        <v>2763.5144509552661</v>
      </c>
      <c r="CR92" s="35">
        <f t="shared" si="124"/>
        <v>2714.1019933509051</v>
      </c>
      <c r="CS92" s="35">
        <f t="shared" si="125"/>
        <v>2667.9603538594652</v>
      </c>
      <c r="CT92" s="35">
        <f t="shared" si="126"/>
        <v>2623.3291345356265</v>
      </c>
      <c r="CU92" s="35">
        <f t="shared" si="127"/>
        <v>2578.4388170149241</v>
      </c>
      <c r="CV92" s="35">
        <f t="shared" si="128"/>
        <v>2531.5189705013199</v>
      </c>
      <c r="CW92" s="35">
        <f t="shared" si="129"/>
        <v>2480.8064609566886</v>
      </c>
    </row>
    <row r="93" spans="1:101" x14ac:dyDescent="0.3">
      <c r="A93" s="184" t="str">
        <f>'Su K. oro stendu'!B138</f>
        <v>2023.02.23-1</v>
      </c>
      <c r="B93" s="289">
        <f>Sheet3!DD93</f>
        <v>6.47</v>
      </c>
      <c r="C93" s="289">
        <f>_xlfn.FORECAST.LINEAR(Sheet3!DD93,$DW$3:$DW$24,$DU$3:$DU$24)</f>
        <v>1002.6592406828215</v>
      </c>
      <c r="D93" s="35">
        <f>_xlfn.FORECAST.LINEAR(Sheet3!CI93,'Cooling water'!$DW$3:$DW$24,'Cooling water'!$DU$3:$DU$24)</f>
        <v>997.89890219848269</v>
      </c>
      <c r="E93" s="35">
        <f>_xlfn.FORECAST.LINEAR(Sheet3!CJ93,'Cooling water'!$DW$3:$DW$24,'Cooling water'!$DU$3:$DU$24)</f>
        <v>998.55685397004834</v>
      </c>
      <c r="F93" s="35">
        <f>_xlfn.FORECAST.LINEAR(Sheet3!CK93,'Cooling water'!$DW$3:$DW$24,'Cooling water'!$DU$3:$DU$24)</f>
        <v>999.15447512155959</v>
      </c>
      <c r="G93" s="35">
        <f>_xlfn.FORECAST.LINEAR(Sheet3!CL93,'Cooling water'!$DW$3:$DW$24,'Cooling water'!$DU$3:$DU$24)</f>
        <v>999.71159684029988</v>
      </c>
      <c r="H93" s="35">
        <f>_xlfn.FORECAST.LINEAR(Sheet3!CM93,'Cooling water'!$DW$3:$DW$24,'Cooling water'!$DU$3:$DU$24)</f>
        <v>1000.2480503135527</v>
      </c>
      <c r="I93" s="35">
        <f>_xlfn.FORECAST.LINEAR(Sheet3!CN93,'Cooling water'!$DW$3:$DW$24,'Cooling water'!$DU$3:$DU$24)</f>
        <v>1000.7836667286015</v>
      </c>
      <c r="J93" s="35">
        <f>_xlfn.FORECAST.LINEAR(Sheet3!CO93,'Cooling water'!$DW$3:$DW$24,'Cooling water'!$DU$3:$DU$24)</f>
        <v>1001.3382772727298</v>
      </c>
      <c r="K93" s="35">
        <f>_xlfn.FORECAST.LINEAR(Sheet3!CP93,'Cooling water'!$DW$3:$DW$24,'Cooling water'!$DU$3:$DU$24)</f>
        <v>1001.9317131332213</v>
      </c>
      <c r="L93" s="289">
        <f t="shared" si="130"/>
        <v>1.4484084675123743E-3</v>
      </c>
      <c r="M93" s="35">
        <f xml:space="preserve"> 0.0000000000330128*((Sheet3!CI93+273)^(4)) - 0.0000000448315*((Sheet3!CI93+273)^(3)) + 0.0000228887*((Sheet3!CI93+273)^(2)) - 0.00521331*((Sheet3!CI93+273)) + 0.447905</f>
        <v>1.0563611674032636E-3</v>
      </c>
      <c r="N93" s="35">
        <f xml:space="preserve"> 0.0000000000330128*((Sheet3!CJ93+273)^(4)) - 0.0000000448315*((Sheet3!CJ93+273)^(3)) + 0.0000228887*((Sheet3!CJ93+273)^(2)) - 0.00521331*((Sheet3!CJ93+273)) + 0.447905</f>
        <v>1.1009186326449427E-3</v>
      </c>
      <c r="O93" s="35">
        <f xml:space="preserve"> 0.0000000000330128*((Sheet3!CK93+273)^(4)) - 0.0000000448315*((Sheet3!CK93+273)^(3)) + 0.0000228887*((Sheet3!CK93+273)^(2)) - 0.00521331*((Sheet3!CK93+273)) + 0.447905</f>
        <v>1.1438116268569498E-3</v>
      </c>
      <c r="P93" s="35">
        <f xml:space="preserve"> 0.0000000000330128*((Sheet3!CL93+273)^(4)) - 0.0000000448315*((Sheet3!CL93+273)^(3)) + 0.0000228887*((Sheet3!CL93+273)^(2)) - 0.00521331*((Sheet3!CL93+273)) + 0.447905</f>
        <v>1.185983301309923E-3</v>
      </c>
      <c r="Q93" s="35">
        <f xml:space="preserve"> 0.0000000000330128*((Sheet3!CM93+273)^(4)) - 0.0000000448315*((Sheet3!CM93+273)^(3)) + 0.0000228887*((Sheet3!CM93+273)^(2)) - 0.00521331*((Sheet3!CM93+273)) + 0.447905</f>
        <v>1.2286791964424282E-3</v>
      </c>
      <c r="R93" s="35">
        <f xml:space="preserve"> 0.0000000000330128*((Sheet3!CN93+273)^(4)) - 0.0000000448315*((Sheet3!CN93+273)^(3)) + 0.0000228887*((Sheet3!CN93+273)^(2)) - 0.00521331*((Sheet3!CN93+273)) + 0.447905</f>
        <v>1.2734455906278086E-3</v>
      </c>
      <c r="S93" s="35">
        <f xml:space="preserve"> 0.0000000000330128*((Sheet3!CO93+273)^(4)) - 0.0000000448315*((Sheet3!CO93+273)^(3)) + 0.0000228887*((Sheet3!CO93+273)^(2)) - 0.00521331*((Sheet3!CO93+273)) + 0.447905</f>
        <v>1.3221497133359961E-3</v>
      </c>
      <c r="T93" s="35">
        <f xml:space="preserve"> 0.0000000000330128*((Sheet3!CP93+273)^(4)) - 0.0000000448315*((Sheet3!CP93+273)^(3)) + 0.0000228887*((Sheet3!CP93+273)^(2)) - 0.00521331*((Sheet3!CP93+273)) + 0.447905</f>
        <v>1.377030719726724E-3</v>
      </c>
      <c r="U93" s="289">
        <f>(Sheet3!DC93*0.014*0.001*C93) / (L93*0.00015*3600*3)</f>
        <v>2369.0297397076606</v>
      </c>
      <c r="V93" s="35">
        <f>(Sheet3!$DC93*0.014*0.001*D93) / (M93*0.00015*3600*3)</f>
        <v>3232.8259538634925</v>
      </c>
      <c r="W93" s="35">
        <f>(Sheet3!$DC93*0.014*0.001*E93) / (N93*0.00015*3600*3)</f>
        <v>3104.0290848730856</v>
      </c>
      <c r="X93" s="35">
        <f>(Sheet3!$DC93*0.014*0.001*F93) / (O93*0.00015*3600*3)</f>
        <v>2989.4158862413965</v>
      </c>
      <c r="Y93" s="35">
        <f>(Sheet3!$DC93*0.014*0.001*G93) / (P93*0.00015*3600*3)</f>
        <v>2884.7246320764975</v>
      </c>
      <c r="Z93" s="35">
        <f>(Sheet3!$DC93*0.014*0.001*H93) / (Q93*0.00015*3600*3)</f>
        <v>2785.9762869175311</v>
      </c>
      <c r="AA93" s="35">
        <f>(Sheet3!$DC93*0.014*0.001*I93) / (R93*0.00015*3600*3)</f>
        <v>2689.4781599794783</v>
      </c>
      <c r="AB93" s="35">
        <f>(Sheet3!$DC93*0.014*0.001*J93) / (S93*0.00015*3600*3)</f>
        <v>2591.8412036698037</v>
      </c>
      <c r="AC93" s="35">
        <f>(Sheet3!$DC93*0.014*0.001*K93) / (T93*0.00015*3600*3)</f>
        <v>2490.0192310264169</v>
      </c>
      <c r="AD93" s="289">
        <f t="shared" si="75"/>
        <v>0.58646268653288769</v>
      </c>
      <c r="AE93" s="35">
        <f>_xlfn.FORECAST.LINEAR(Sheet3!CI93,$DA$3:$DA$12,$CZ$3:$CZ$12)/1000</f>
        <v>0.59884468881348385</v>
      </c>
      <c r="AF93" s="35">
        <f>_xlfn.FORECAST.LINEAR(Sheet3!CJ93,$DA$3:$DA$12,$CZ$3:$CZ$12)/1000</f>
        <v>0.59713330623788519</v>
      </c>
      <c r="AG93" s="35">
        <f>_xlfn.FORECAST.LINEAR(Sheet3!CK93,$DA$3:$DA$12,$CZ$3:$CZ$12)/1000</f>
        <v>0.59557884819140616</v>
      </c>
      <c r="AH93" s="35">
        <f>_xlfn.FORECAST.LINEAR(Sheet3!CL93,$DA$3:$DA$12,$CZ$3:$CZ$12)/1000</f>
        <v>0.59412973224834742</v>
      </c>
      <c r="AI93" s="35">
        <f>_xlfn.FORECAST.LINEAR(Sheet3!CM93,$DA$3:$DA$12,$CZ$3:$CZ$12)/1000</f>
        <v>0.59273437598300982</v>
      </c>
      <c r="AJ93" s="35">
        <f>_xlfn.FORECAST.LINEAR(Sheet3!CN93,$DA$3:$DA$12,$CZ$3:$CZ$12)/1000</f>
        <v>0.59134119696969434</v>
      </c>
      <c r="AK93" s="35">
        <f>_xlfn.FORECAST.LINEAR(Sheet3!CO93,$DA$3:$DA$12,$CZ$3:$CZ$12)/1000</f>
        <v>0.58989861278270161</v>
      </c>
      <c r="AL93" s="35">
        <f>_xlfn.FORECAST.LINEAR(Sheet3!CP93,$DA$3:$DA$12,$CZ$3:$CZ$12)/1000</f>
        <v>0.58835504099633262</v>
      </c>
      <c r="AM93" s="289">
        <f t="shared" si="76"/>
        <v>4189.0475527747585</v>
      </c>
      <c r="AN93" s="35">
        <f>_xlfn.FORECAST.LINEAR(Sheet3!CI93,$DP$3:$DP$14,$DJ$3:$DJ$14)*1000</f>
        <v>4190.1371860594536</v>
      </c>
      <c r="AO93" s="35">
        <f>_xlfn.FORECAST.LINEAR(Sheet3!CJ93,$DP$3:$DP$14,$DJ$3:$DJ$14)*1000</f>
        <v>4189.986582031529</v>
      </c>
      <c r="AP93" s="35">
        <f>_xlfn.FORECAST.LINEAR(Sheet3!CK93,$DP$3:$DP$14,$DJ$3:$DJ$14)*1000</f>
        <v>4189.8497875786834</v>
      </c>
      <c r="AQ93" s="35">
        <f>_xlfn.FORECAST.LINEAR(Sheet3!CL93,$DP$3:$DP$14,$DJ$3:$DJ$14)*1000</f>
        <v>4189.7222633762849</v>
      </c>
      <c r="AR93" s="35">
        <f>_xlfn.FORECAST.LINEAR(Sheet3!CM93,$DP$3:$DP$14,$DJ$3:$DJ$14)*1000</f>
        <v>4189.5994700996998</v>
      </c>
      <c r="AS93" s="35">
        <f>_xlfn.FORECAST.LINEAR(Sheet3!CN93,$DP$3:$DP$14,$DJ$3:$DJ$14)*1000</f>
        <v>4189.4768684242972</v>
      </c>
      <c r="AT93" s="35">
        <f>_xlfn.FORECAST.LINEAR(Sheet3!CO93,$DP$3:$DP$14,$DJ$3:$DJ$14)*1000</f>
        <v>4189.3499190254433</v>
      </c>
      <c r="AU93" s="35">
        <f>_xlfn.FORECAST.LINEAR(Sheet3!CP93,$DP$3:$DP$14,$DJ$3:$DJ$14)*1000</f>
        <v>4189.2140825785082</v>
      </c>
      <c r="AV93" s="289">
        <f t="shared" si="77"/>
        <v>1.3962774829757315E-7</v>
      </c>
      <c r="AW93" s="35">
        <f t="shared" si="78"/>
        <v>1.4321859706703067E-7</v>
      </c>
      <c r="AX93" s="35">
        <f t="shared" si="79"/>
        <v>1.427203382444795E-7</v>
      </c>
      <c r="AY93" s="35">
        <f t="shared" si="80"/>
        <v>1.4226831062983657E-7</v>
      </c>
      <c r="AZ93" s="35">
        <f t="shared" si="81"/>
        <v>1.4184738109425435E-7</v>
      </c>
      <c r="BA93" s="35">
        <f t="shared" si="82"/>
        <v>1.4144249079790348E-7</v>
      </c>
      <c r="BB93" s="35">
        <f t="shared" si="83"/>
        <v>1.4103864610874456E-7</v>
      </c>
      <c r="BC93" s="35">
        <f t="shared" si="84"/>
        <v>1.406209152615339E-7</v>
      </c>
      <c r="BD93" s="35">
        <f t="shared" si="85"/>
        <v>1.4017443068901802E-7</v>
      </c>
      <c r="BE93" s="289">
        <f t="shared" si="74"/>
        <v>10.345844817717484</v>
      </c>
      <c r="BF93" s="35">
        <f t="shared" si="86"/>
        <v>7.3913959531236726</v>
      </c>
      <c r="BG93" s="35">
        <f t="shared" si="87"/>
        <v>7.7249656827099731</v>
      </c>
      <c r="BH93" s="35">
        <f t="shared" si="88"/>
        <v>8.0466237448990903</v>
      </c>
      <c r="BI93" s="35">
        <f t="shared" si="89"/>
        <v>8.3633933327774646</v>
      </c>
      <c r="BJ93" s="35">
        <f t="shared" si="90"/>
        <v>8.6846215082441507</v>
      </c>
      <c r="BK93" s="35">
        <f t="shared" si="91"/>
        <v>9.0219840465563532</v>
      </c>
      <c r="BL93" s="35">
        <f t="shared" si="92"/>
        <v>9.3896606543538805</v>
      </c>
      <c r="BM93" s="35">
        <f t="shared" si="93"/>
        <v>9.8047540706944805</v>
      </c>
      <c r="BN93" s="289">
        <f t="shared" si="94"/>
        <v>1.7485849740419643E-3</v>
      </c>
      <c r="BO93" s="35">
        <f t="shared" si="95"/>
        <v>1.7935538593737606E-3</v>
      </c>
      <c r="BP93" s="35">
        <f t="shared" si="96"/>
        <v>1.787314068924372E-3</v>
      </c>
      <c r="BQ93" s="35">
        <f t="shared" si="97"/>
        <v>1.7816532407261534E-3</v>
      </c>
      <c r="BR93" s="35">
        <f t="shared" si="98"/>
        <v>1.7763818597146879E-3</v>
      </c>
      <c r="BS93" s="35">
        <f t="shared" si="99"/>
        <v>1.7713113411611287E-3</v>
      </c>
      <c r="BT93" s="35">
        <f t="shared" si="100"/>
        <v>1.7662539169462444E-3</v>
      </c>
      <c r="BU93" s="35">
        <f t="shared" si="101"/>
        <v>1.7610225937205071E-3</v>
      </c>
      <c r="BV93" s="35">
        <f t="shared" si="102"/>
        <v>1.7554311820980923E-3</v>
      </c>
      <c r="BW93" s="289">
        <f t="shared" si="103"/>
        <v>5.174454515147292E-2</v>
      </c>
      <c r="BX93" s="35">
        <f t="shared" si="104"/>
        <v>4.7875312401000319E-2</v>
      </c>
      <c r="BY93" s="35">
        <f t="shared" si="105"/>
        <v>4.8364394660285831E-2</v>
      </c>
      <c r="BZ93" s="35">
        <f t="shared" si="106"/>
        <v>4.8821443652471999E-2</v>
      </c>
      <c r="CA93" s="35">
        <f t="shared" si="107"/>
        <v>4.9258491882977304E-2</v>
      </c>
      <c r="CB93" s="35">
        <f t="shared" si="108"/>
        <v>4.9689296495036915E-2</v>
      </c>
      <c r="CC93" s="35">
        <f t="shared" si="109"/>
        <v>5.0129133347840651E-2</v>
      </c>
      <c r="CD93" s="35">
        <f t="shared" si="110"/>
        <v>5.0594709244341257E-2</v>
      </c>
      <c r="CE93" s="35">
        <f t="shared" si="111"/>
        <v>5.1104192055177231E-2</v>
      </c>
      <c r="CF93" s="289">
        <f t="shared" si="112"/>
        <v>11.726595140109747</v>
      </c>
      <c r="CG93" s="35">
        <f t="shared" si="113"/>
        <v>26.36931106906891</v>
      </c>
      <c r="CH93" s="35">
        <f t="shared" si="114"/>
        <v>25.38182891744524</v>
      </c>
      <c r="CI93" s="35">
        <f t="shared" si="115"/>
        <v>11.724848788098504</v>
      </c>
      <c r="CJ93" s="35">
        <f t="shared" si="116"/>
        <v>11.725127172415387</v>
      </c>
      <c r="CK93" s="35">
        <f t="shared" si="117"/>
        <v>11.725394949083533</v>
      </c>
      <c r="CL93" s="35">
        <f t="shared" si="118"/>
        <v>11.725662034232982</v>
      </c>
      <c r="CM93" s="35">
        <f t="shared" si="119"/>
        <v>11.725938303077793</v>
      </c>
      <c r="CN93" s="35">
        <f t="shared" si="120"/>
        <v>11.726233588374292</v>
      </c>
      <c r="CO93" s="289">
        <f t="shared" si="121"/>
        <v>491.22932069659049</v>
      </c>
      <c r="CP93" s="35">
        <f t="shared" si="122"/>
        <v>1127.9372772416091</v>
      </c>
      <c r="CQ93" s="35">
        <f t="shared" si="123"/>
        <v>1082.595387131317</v>
      </c>
      <c r="CR93" s="35">
        <f t="shared" si="124"/>
        <v>498.79085260243653</v>
      </c>
      <c r="CS93" s="35">
        <f t="shared" si="125"/>
        <v>497.58904768035546</v>
      </c>
      <c r="CT93" s="35">
        <f t="shared" si="126"/>
        <v>496.43176130709736</v>
      </c>
      <c r="CU93" s="35">
        <f t="shared" si="127"/>
        <v>495.27621589895949</v>
      </c>
      <c r="CV93" s="35">
        <f t="shared" si="128"/>
        <v>494.07962418293829</v>
      </c>
      <c r="CW93" s="35">
        <f t="shared" si="129"/>
        <v>492.79918883003779</v>
      </c>
    </row>
    <row r="94" spans="1:101" x14ac:dyDescent="0.3">
      <c r="A94" s="184" t="str">
        <f>'Su K. oro stendu'!B139</f>
        <v>2023.02.23-2</v>
      </c>
      <c r="B94" s="289">
        <f>Sheet3!DD94</f>
        <v>6.49</v>
      </c>
      <c r="C94" s="289">
        <f>_xlfn.FORECAST.LINEAR(Sheet3!DD94,$DW$3:$DW$24,$DU$3:$DU$24)</f>
        <v>1002.6509437035534</v>
      </c>
      <c r="D94" s="35">
        <f>_xlfn.FORECAST.LINEAR(Sheet3!CI94,'Cooling water'!$DW$3:$DW$24,'Cooling water'!$DU$3:$DU$24)</f>
        <v>997.53051700591607</v>
      </c>
      <c r="E94" s="35">
        <f>_xlfn.FORECAST.LINEAR(Sheet3!CJ94,'Cooling water'!$DW$3:$DW$24,'Cooling water'!$DU$3:$DU$24)</f>
        <v>998.24896178082156</v>
      </c>
      <c r="F94" s="35">
        <f>_xlfn.FORECAST.LINEAR(Sheet3!CK94,'Cooling water'!$DW$3:$DW$24,'Cooling water'!$DU$3:$DU$24)</f>
        <v>998.90033620124257</v>
      </c>
      <c r="G94" s="35">
        <f>_xlfn.FORECAST.LINEAR(Sheet3!CL94,'Cooling water'!$DW$3:$DW$24,'Cooling water'!$DU$3:$DU$24)</f>
        <v>999.5054055157251</v>
      </c>
      <c r="H94" s="35">
        <f>_xlfn.FORECAST.LINEAR(Sheet3!CM94,'Cooling water'!$DW$3:$DW$24,'Cooling water'!$DU$3:$DU$24)</f>
        <v>1000.0849349728148</v>
      </c>
      <c r="I94" s="35">
        <f>_xlfn.FORECAST.LINEAR(Sheet3!CN94,'Cooling water'!$DW$3:$DW$24,'Cooling water'!$DU$3:$DU$24)</f>
        <v>1000.6596898210576</v>
      </c>
      <c r="J94" s="35">
        <f>_xlfn.FORECAST.LINEAR(Sheet3!CO94,'Cooling water'!$DW$3:$DW$24,'Cooling water'!$DU$3:$DU$24)</f>
        <v>1001.250435308999</v>
      </c>
      <c r="K94" s="35">
        <f>_xlfn.FORECAST.LINEAR(Sheet3!CP94,'Cooling water'!$DW$3:$DW$24,'Cooling water'!$DU$3:$DU$24)</f>
        <v>1001.8779366851852</v>
      </c>
      <c r="L94" s="289">
        <f t="shared" si="130"/>
        <v>1.4475681657073469E-3</v>
      </c>
      <c r="M94" s="35">
        <f xml:space="preserve"> 0.0000000000330128*((Sheet3!CI94+273)^(4)) - 0.0000000448315*((Sheet3!CI94+273)^(3)) + 0.0000228887*((Sheet3!CI94+273)^(2)) - 0.00521331*((Sheet3!CI94+273)) + 0.447905</f>
        <v>1.0325773689152662E-3</v>
      </c>
      <c r="N94" s="35">
        <f xml:space="preserve"> 0.0000000000330128*((Sheet3!CJ94+273)^(4)) - 0.0000000448315*((Sheet3!CJ94+273)^(3)) + 0.0000228887*((Sheet3!CJ94+273)^(2)) - 0.00521331*((Sheet3!CJ94+273)) + 0.447905</f>
        <v>1.0797289501600638E-3</v>
      </c>
      <c r="O94" s="35">
        <f xml:space="preserve"> 0.0000000000330128*((Sheet3!CK94+273)^(4)) - 0.0000000448315*((Sheet3!CK94+273)^(3)) + 0.0000228887*((Sheet3!CK94+273)^(2)) - 0.00521331*((Sheet3!CK94+273)) + 0.447905</f>
        <v>1.1252815391857851E-3</v>
      </c>
      <c r="P94" s="35">
        <f xml:space="preserve"> 0.0000000000330128*((Sheet3!CL94+273)^(4)) - 0.0000000448315*((Sheet3!CL94+273)^(3)) + 0.0000228887*((Sheet3!CL94+273)^(2)) - 0.00521331*((Sheet3!CL94+273)) + 0.447905</f>
        <v>1.1701231414069646E-3</v>
      </c>
      <c r="Q94" s="35">
        <f xml:space="preserve"> 0.0000000000330128*((Sheet3!CM94+273)^(4)) - 0.0000000448315*((Sheet3!CM94+273)^(3)) + 0.0000228887*((Sheet3!CM94+273)^(2)) - 0.00521331*((Sheet3!CM94+273)) + 0.447905</f>
        <v>1.2154745920531784E-3</v>
      </c>
      <c r="R94" s="35">
        <f xml:space="preserve"> 0.0000000000330128*((Sheet3!CN94+273)^(4)) - 0.0000000448315*((Sheet3!CN94+273)^(3)) + 0.0000228887*((Sheet3!CN94+273)^(2)) - 0.00521331*((Sheet3!CN94+273)) + 0.447905</f>
        <v>1.2628888879164801E-3</v>
      </c>
      <c r="S94" s="35">
        <f xml:space="preserve"> 0.0000000000330128*((Sheet3!CO94+273)^(4)) - 0.0000000448315*((Sheet3!CO94+273)^(3)) + 0.0000228887*((Sheet3!CO94+273)^(2)) - 0.00521331*((Sheet3!CO94+273)) + 0.447905</f>
        <v>1.3142721015013681E-3</v>
      </c>
      <c r="T94" s="35">
        <f xml:space="preserve"> 0.0000000000330128*((Sheet3!CP94+273)^(4)) - 0.0000000448315*((Sheet3!CP94+273)^(3)) + 0.0000228887*((Sheet3!CP94+273)^(2)) - 0.00521331*((Sheet3!CP94+273)) + 0.447905</f>
        <v>1.3719362275967928E-3</v>
      </c>
      <c r="U94" s="289">
        <f>(Sheet3!DC94*0.014*0.001*C94) / (L94*0.00015*3600*3)</f>
        <v>2585.8749028219268</v>
      </c>
      <c r="V94" s="35">
        <f>(Sheet3!$DC94*0.014*0.001*D94) / (M94*0.00015*3600*3)</f>
        <v>3606.6197480849719</v>
      </c>
      <c r="W94" s="35">
        <f>(Sheet3!$DC94*0.014*0.001*E94) / (N94*0.00015*3600*3)</f>
        <v>3451.6034079008978</v>
      </c>
      <c r="X94" s="35">
        <f>(Sheet3!$DC94*0.014*0.001*F94) / (O94*0.00015*3600*3)</f>
        <v>3314.0399019753877</v>
      </c>
      <c r="Y94" s="35">
        <f>(Sheet3!$DC94*0.014*0.001*G94) / (P94*0.00015*3600*3)</f>
        <v>3188.9693616108993</v>
      </c>
      <c r="Z94" s="35">
        <f>(Sheet3!$DC94*0.014*0.001*H94) / (Q94*0.00015*3600*3)</f>
        <v>3071.7634480467677</v>
      </c>
      <c r="AA94" s="35">
        <f>(Sheet3!$DC94*0.014*0.001*I94) / (R94*0.00015*3600*3)</f>
        <v>2958.135281002656</v>
      </c>
      <c r="AB94" s="35">
        <f>(Sheet3!$DC94*0.014*0.001*J94) / (S94*0.00015*3600*3)</f>
        <v>2844.1611298630355</v>
      </c>
      <c r="AC94" s="35">
        <f>(Sheet3!$DC94*0.014*0.001*K94) / (T94*0.00015*3600*3)</f>
        <v>2726.3251904280928</v>
      </c>
      <c r="AD94" s="289">
        <f t="shared" si="75"/>
        <v>0.5864842676067038</v>
      </c>
      <c r="AE94" s="35">
        <f>_xlfn.FORECAST.LINEAR(Sheet3!CI94,$DA$3:$DA$12,$CZ$3:$CZ$12)/1000</f>
        <v>0.59980288670413884</v>
      </c>
      <c r="AF94" s="35">
        <f>_xlfn.FORECAST.LINEAR(Sheet3!CJ94,$DA$3:$DA$12,$CZ$3:$CZ$12)/1000</f>
        <v>0.59793415722815135</v>
      </c>
      <c r="AG94" s="35">
        <f>_xlfn.FORECAST.LINEAR(Sheet3!CK94,$DA$3:$DA$12,$CZ$3:$CZ$12)/1000</f>
        <v>0.59623988284289275</v>
      </c>
      <c r="AH94" s="35">
        <f>_xlfn.FORECAST.LINEAR(Sheet3!CL94,$DA$3:$DA$12,$CZ$3:$CZ$12)/1000</f>
        <v>0.59466605155831298</v>
      </c>
      <c r="AI94" s="35">
        <f>_xlfn.FORECAST.LINEAR(Sheet3!CM94,$DA$3:$DA$12,$CZ$3:$CZ$12)/1000</f>
        <v>0.59315865138436219</v>
      </c>
      <c r="AJ94" s="35">
        <f>_xlfn.FORECAST.LINEAR(Sheet3!CN94,$DA$3:$DA$12,$CZ$3:$CZ$12)/1000</f>
        <v>0.5916636703309901</v>
      </c>
      <c r="AK94" s="35">
        <f>_xlfn.FORECAST.LINEAR(Sheet3!CO94,$DA$3:$DA$12,$CZ$3:$CZ$12)/1000</f>
        <v>0.59012709640814653</v>
      </c>
      <c r="AL94" s="35">
        <f>_xlfn.FORECAST.LINEAR(Sheet3!CP94,$DA$3:$DA$12,$CZ$3:$CZ$12)/1000</f>
        <v>0.58849491762578143</v>
      </c>
      <c r="AM94" s="289">
        <f t="shared" si="76"/>
        <v>4189.0494519390313</v>
      </c>
      <c r="AN94" s="35">
        <f>_xlfn.FORECAST.LINEAR(Sheet3!CI94,$DP$3:$DP$14,$DJ$3:$DJ$14)*1000</f>
        <v>4190.2215087958994</v>
      </c>
      <c r="AO94" s="35">
        <f>_xlfn.FORECAST.LINEAR(Sheet3!CJ94,$DP$3:$DP$14,$DJ$3:$DJ$14)*1000</f>
        <v>4190.0570580236426</v>
      </c>
      <c r="AP94" s="35">
        <f>_xlfn.FORECAST.LINEAR(Sheet3!CK94,$DP$3:$DP$14,$DJ$3:$DJ$14)*1000</f>
        <v>4189.9079595400735</v>
      </c>
      <c r="AQ94" s="35">
        <f>_xlfn.FORECAST.LINEAR(Sheet3!CL94,$DP$3:$DP$14,$DJ$3:$DJ$14)*1000</f>
        <v>4189.7694602155461</v>
      </c>
      <c r="AR94" s="35">
        <f>_xlfn.FORECAST.LINEAR(Sheet3!CM94,$DP$3:$DP$14,$DJ$3:$DJ$14)*1000</f>
        <v>4189.6368069204109</v>
      </c>
      <c r="AS94" s="35">
        <f>_xlfn.FORECAST.LINEAR(Sheet3!CN94,$DP$3:$DP$14,$DJ$3:$DJ$14)*1000</f>
        <v>4189.505246525021</v>
      </c>
      <c r="AT94" s="35">
        <f>_xlfn.FORECAST.LINEAR(Sheet3!CO94,$DP$3:$DP$14,$DJ$3:$DJ$14)*1000</f>
        <v>4189.3700258997314</v>
      </c>
      <c r="AU94" s="35">
        <f>_xlfn.FORECAST.LINEAR(Sheet3!CP94,$DP$3:$DP$14,$DJ$3:$DJ$14)*1000</f>
        <v>4189.2263919148936</v>
      </c>
      <c r="AV94" s="289">
        <f t="shared" si="77"/>
        <v>1.3963397858245455E-7</v>
      </c>
      <c r="AW94" s="35">
        <f t="shared" si="78"/>
        <v>1.4349784500208521E-7</v>
      </c>
      <c r="AX94" s="35">
        <f t="shared" si="79"/>
        <v>1.4295342308182862E-7</v>
      </c>
      <c r="AY94" s="35">
        <f t="shared" si="80"/>
        <v>1.4246047259854692E-7</v>
      </c>
      <c r="AZ94" s="35">
        <f t="shared" si="81"/>
        <v>1.4200311527837311E-7</v>
      </c>
      <c r="BA94" s="35">
        <f t="shared" si="82"/>
        <v>1.4156555880199289E-7</v>
      </c>
      <c r="BB94" s="35">
        <f t="shared" si="83"/>
        <v>1.4113208561735736E-7</v>
      </c>
      <c r="BC94" s="35">
        <f t="shared" si="84"/>
        <v>1.4068704806923413E-7</v>
      </c>
      <c r="BD94" s="35">
        <f t="shared" si="85"/>
        <v>1.4021486976396187E-7</v>
      </c>
      <c r="BE94" s="289">
        <f t="shared" si="74"/>
        <v>10.339466829939287</v>
      </c>
      <c r="BF94" s="35">
        <f t="shared" si="86"/>
        <v>7.2135829897378363</v>
      </c>
      <c r="BG94" s="35">
        <f t="shared" si="87"/>
        <v>7.5662610233594334</v>
      </c>
      <c r="BH94" s="35">
        <f t="shared" si="88"/>
        <v>7.90759929590347</v>
      </c>
      <c r="BI94" s="35">
        <f t="shared" si="89"/>
        <v>8.2442005722561973</v>
      </c>
      <c r="BJ94" s="35">
        <f t="shared" si="90"/>
        <v>8.5852192779410945</v>
      </c>
      <c r="BK94" s="35">
        <f t="shared" si="91"/>
        <v>8.9423770412410235</v>
      </c>
      <c r="BL94" s="35">
        <f t="shared" si="92"/>
        <v>9.3301463047851882</v>
      </c>
      <c r="BM94" s="35">
        <f t="shared" si="93"/>
        <v>9.7661870655734884</v>
      </c>
      <c r="BN94" s="289">
        <f t="shared" si="94"/>
        <v>1.6029410806659319E-3</v>
      </c>
      <c r="BO94" s="35">
        <f t="shared" si="95"/>
        <v>1.6472966900749576E-3</v>
      </c>
      <c r="BP94" s="35">
        <f t="shared" si="96"/>
        <v>1.6410469486434407E-3</v>
      </c>
      <c r="BQ94" s="35">
        <f t="shared" si="97"/>
        <v>1.6353880782996454E-3</v>
      </c>
      <c r="BR94" s="35">
        <f t="shared" si="98"/>
        <v>1.6301378029405073E-3</v>
      </c>
      <c r="BS94" s="35">
        <f t="shared" si="99"/>
        <v>1.6251148331861422E-3</v>
      </c>
      <c r="BT94" s="35">
        <f t="shared" si="100"/>
        <v>1.620138737954357E-3</v>
      </c>
      <c r="BU94" s="35">
        <f t="shared" si="101"/>
        <v>1.6150298885498811E-3</v>
      </c>
      <c r="BV94" s="35">
        <f t="shared" si="102"/>
        <v>1.6096094743311949E-3</v>
      </c>
      <c r="BW94" s="289">
        <f t="shared" si="103"/>
        <v>5.0623867888844529E-2</v>
      </c>
      <c r="BX94" s="35">
        <f t="shared" si="104"/>
        <v>4.6583499695108145E-2</v>
      </c>
      <c r="BY94" s="35">
        <f t="shared" si="105"/>
        <v>4.7097947323921738E-2</v>
      </c>
      <c r="BZ94" s="35">
        <f t="shared" si="106"/>
        <v>4.7579269361077266E-2</v>
      </c>
      <c r="CA94" s="35">
        <f t="shared" si="107"/>
        <v>4.8039072657316328E-2</v>
      </c>
      <c r="CB94" s="35">
        <f t="shared" si="108"/>
        <v>4.8490901681736129E-2</v>
      </c>
      <c r="CC94" s="35">
        <f t="shared" si="109"/>
        <v>4.8949999770641281E-2</v>
      </c>
      <c r="CD94" s="35">
        <f t="shared" si="110"/>
        <v>4.9433191781682748E-2</v>
      </c>
      <c r="CE94" s="35">
        <f t="shared" si="111"/>
        <v>4.9958890837866268E-2</v>
      </c>
      <c r="CF94" s="289">
        <f t="shared" si="112"/>
        <v>11.734286668321728</v>
      </c>
      <c r="CG94" s="35">
        <f t="shared" si="113"/>
        <v>30.005693653651139</v>
      </c>
      <c r="CH94" s="35">
        <f t="shared" si="114"/>
        <v>28.881410859957807</v>
      </c>
      <c r="CI94" s="35">
        <f t="shared" si="115"/>
        <v>27.847474478400027</v>
      </c>
      <c r="CJ94" s="35">
        <f t="shared" si="116"/>
        <v>26.875669359235808</v>
      </c>
      <c r="CK94" s="35">
        <f t="shared" si="117"/>
        <v>25.935561598802973</v>
      </c>
      <c r="CL94" s="35">
        <f t="shared" si="118"/>
        <v>11.733378451278446</v>
      </c>
      <c r="CM94" s="35">
        <f t="shared" si="119"/>
        <v>11.733648252218359</v>
      </c>
      <c r="CN94" s="35">
        <f t="shared" si="120"/>
        <v>11.733934507054846</v>
      </c>
      <c r="CO94" s="289">
        <f t="shared" si="121"/>
        <v>491.56960875412693</v>
      </c>
      <c r="CP94" s="35">
        <f t="shared" si="122"/>
        <v>1285.5358336442864</v>
      </c>
      <c r="CQ94" s="35">
        <f t="shared" si="123"/>
        <v>1233.5130044363464</v>
      </c>
      <c r="CR94" s="35">
        <f t="shared" si="124"/>
        <v>1185.9839228908343</v>
      </c>
      <c r="CS94" s="35">
        <f t="shared" si="125"/>
        <v>1141.5748700602496</v>
      </c>
      <c r="CT94" s="35">
        <f t="shared" si="126"/>
        <v>1098.8501957744302</v>
      </c>
      <c r="CU94" s="35">
        <f t="shared" si="127"/>
        <v>495.87241141899671</v>
      </c>
      <c r="CV94" s="35">
        <f t="shared" si="128"/>
        <v>494.59598381115308</v>
      </c>
      <c r="CW94" s="35">
        <f t="shared" si="129"/>
        <v>493.24005865396828</v>
      </c>
    </row>
    <row r="95" spans="1:101" x14ac:dyDescent="0.3">
      <c r="A95" s="184" t="str">
        <f>'Su K. oro stendu'!B140</f>
        <v>2023.02.24</v>
      </c>
      <c r="B95" s="289">
        <f>Sheet3!DD95</f>
        <v>6.48</v>
      </c>
      <c r="C95" s="289">
        <f>_xlfn.FORECAST.LINEAR(Sheet3!DD95,$DW$3:$DW$24,$DU$3:$DU$24)</f>
        <v>1002.6550921931874</v>
      </c>
      <c r="D95" s="35">
        <f>_xlfn.FORECAST.LINEAR(Sheet3!CI95,'Cooling water'!$DW$3:$DW$24,'Cooling water'!$DU$3:$DU$24)</f>
        <v>1000.7504160988412</v>
      </c>
      <c r="E95" s="35">
        <f>_xlfn.FORECAST.LINEAR(Sheet3!CJ95,'Cooling water'!$DW$3:$DW$24,'Cooling water'!$DU$3:$DU$24)</f>
        <v>1001.0281177278292</v>
      </c>
      <c r="F95" s="35">
        <f>_xlfn.FORECAST.LINEAR(Sheet3!CK95,'Cooling water'!$DW$3:$DW$24,'Cooling water'!$DU$3:$DU$24)</f>
        <v>1001.2717410714043</v>
      </c>
      <c r="G95" s="35">
        <f>_xlfn.FORECAST.LINEAR(Sheet3!CL95,'Cooling water'!$DW$3:$DW$24,'Cooling water'!$DU$3:$DU$24)</f>
        <v>1001.4920118773159</v>
      </c>
      <c r="H95" s="35">
        <f>_xlfn.FORECAST.LINEAR(Sheet3!CM95,'Cooling water'!$DW$3:$DW$24,'Cooling water'!$DU$3:$DU$24)</f>
        <v>1001.6996558933133</v>
      </c>
      <c r="I95" s="35">
        <f>_xlfn.FORECAST.LINEAR(Sheet3!CN95,'Cooling water'!$DW$3:$DW$24,'Cooling water'!$DU$3:$DU$24)</f>
        <v>1001.9053988671459</v>
      </c>
      <c r="J95" s="35">
        <f>_xlfn.FORECAST.LINEAR(Sheet3!CO95,'Cooling water'!$DW$3:$DW$24,'Cooling water'!$DU$3:$DU$24)</f>
        <v>1002.1199665465631</v>
      </c>
      <c r="K95" s="35">
        <f>_xlfn.FORECAST.LINEAR(Sheet3!CP95,'Cooling water'!$DW$3:$DW$24,'Cooling water'!$DU$3:$DU$24)</f>
        <v>1002.3540846793144</v>
      </c>
      <c r="L95" s="289">
        <f t="shared" si="130"/>
        <v>1.447988239432707E-3</v>
      </c>
      <c r="M95" s="35">
        <f xml:space="preserve"> 0.0000000000330128*((Sheet3!CI95+273)^(4)) - 0.0000000448315*((Sheet3!CI95+273)^(3)) + 0.0000228887*((Sheet3!CI95+273)^(2)) - 0.00521331*((Sheet3!CI95+273)) + 0.447905</f>
        <v>1.2706026108910695E-3</v>
      </c>
      <c r="N95" s="35">
        <f xml:space="preserve"> 0.0000000000330128*((Sheet3!CJ95+273)^(4)) - 0.0000000448315*((Sheet3!CJ95+273)^(3)) + 0.0000228887*((Sheet3!CJ95+273)^(2)) - 0.00521331*((Sheet3!CJ95+273)) + 0.447905</f>
        <v>1.2946117057728301E-3</v>
      </c>
      <c r="O95" s="35">
        <f xml:space="preserve"> 0.0000000000330128*((Sheet3!CK95+273)^(4)) - 0.0000000448315*((Sheet3!CK95+273)^(3)) + 0.0000228887*((Sheet3!CK95+273)^(2)) - 0.00521331*((Sheet3!CK95+273)) + 0.447905</f>
        <v>1.3161770598815181E-3</v>
      </c>
      <c r="P95" s="35">
        <f xml:space="preserve"> 0.0000000000330128*((Sheet3!CL95+273)^(4)) - 0.0000000448315*((Sheet3!CL95+273)^(3)) + 0.0000228887*((Sheet3!CL95+273)^(2)) - 0.00521331*((Sheet3!CL95+273)) + 0.447905</f>
        <v>1.3360874835195435E-3</v>
      </c>
      <c r="Q95" s="35">
        <f xml:space="preserve"> 0.0000000000330128*((Sheet3!CM95+273)^(4)) - 0.0000000448315*((Sheet3!CM95+273)^(3)) + 0.0000228887*((Sheet3!CM95+273)^(2)) - 0.00521331*((Sheet3!CM95+273)) + 0.447905</f>
        <v>1.3552212960412646E-3</v>
      </c>
      <c r="R95" s="35">
        <f xml:space="preserve"> 0.0000000000330128*((Sheet3!CN95+273)^(4)) - 0.0000000448315*((Sheet3!CN95+273)^(3)) + 0.0000228887*((Sheet3!CN95+273)^(2)) - 0.00521331*((Sheet3!CN95+273)) + 0.447905</f>
        <v>1.3745347844857925E-3</v>
      </c>
      <c r="S95" s="35">
        <f xml:space="preserve"> 0.0000000000330128*((Sheet3!CO95+273)^(4)) - 0.0000000448315*((Sheet3!CO95+273)^(3)) + 0.0000228887*((Sheet3!CO95+273)^(2)) - 0.00521331*((Sheet3!CO95+273)) + 0.447905</f>
        <v>1.3950590071651892E-3</v>
      </c>
      <c r="T95" s="35">
        <f xml:space="preserve"> 0.0000000000330128*((Sheet3!CP95+273)^(4)) - 0.0000000448315*((Sheet3!CP95+273)^(3)) + 0.0000228887*((Sheet3!CP95+273)^(2)) - 0.00521331*((Sheet3!CP95+273)) + 0.447905</f>
        <v>1.4179060859076387E-3</v>
      </c>
      <c r="U95" s="289">
        <f>(Sheet3!DC95*0.014*0.001*C95) / (L95*0.00015*3600*3)</f>
        <v>9784.0194506706066</v>
      </c>
      <c r="V95" s="35">
        <f>(Sheet3!$DC95*0.014*0.001*D95) / (M95*0.00015*3600*3)</f>
        <v>11128.760959540192</v>
      </c>
      <c r="W95" s="35">
        <f>(Sheet3!$DC95*0.014*0.001*E95) / (N95*0.00015*3600*3)</f>
        <v>10925.404497170086</v>
      </c>
      <c r="X95" s="35">
        <f>(Sheet3!$DC95*0.014*0.001*F95) / (O95*0.00015*3600*3)</f>
        <v>10749.008846292249</v>
      </c>
      <c r="Y95" s="35">
        <f>(Sheet3!$DC95*0.014*0.001*G95) / (P95*0.00015*3600*3)</f>
        <v>10591.156177575345</v>
      </c>
      <c r="Z95" s="35">
        <f>(Sheet3!$DC95*0.014*0.001*H95) / (Q95*0.00015*3600*3)</f>
        <v>10443.78890683327</v>
      </c>
      <c r="AA95" s="35">
        <f>(Sheet3!$DC95*0.014*0.001*I95) / (R95*0.00015*3600*3)</f>
        <v>10299.158937047214</v>
      </c>
      <c r="AB95" s="35">
        <f>(Sheet3!$DC95*0.014*0.001*J95) / (S95*0.00015*3600*3)</f>
        <v>10149.810079024946</v>
      </c>
      <c r="AC95" s="35">
        <f>(Sheet3!$DC95*0.014*0.001*K95) / (T95*0.00015*3600*3)</f>
        <v>9988.5966461587559</v>
      </c>
      <c r="AD95" s="289">
        <f t="shared" si="75"/>
        <v>0.5864734770697958</v>
      </c>
      <c r="AE95" s="35">
        <f>_xlfn.FORECAST.LINEAR(Sheet3!CI95,$DA$3:$DA$12,$CZ$3:$CZ$12)/1000</f>
        <v>0.59142768438542681</v>
      </c>
      <c r="AF95" s="35">
        <f>_xlfn.FORECAST.LINEAR(Sheet3!CJ95,$DA$3:$DA$12,$CZ$3:$CZ$12)/1000</f>
        <v>0.59070536133744034</v>
      </c>
      <c r="AG95" s="35">
        <f>_xlfn.FORECAST.LINEAR(Sheet3!CK95,$DA$3:$DA$12,$CZ$3:$CZ$12)/1000</f>
        <v>0.59007167850045783</v>
      </c>
      <c r="AH95" s="35">
        <f>_xlfn.FORECAST.LINEAR(Sheet3!CL95,$DA$3:$DA$12,$CZ$3:$CZ$12)/1000</f>
        <v>0.58949873738920733</v>
      </c>
      <c r="AI95" s="35">
        <f>_xlfn.FORECAST.LINEAR(Sheet3!CM95,$DA$3:$DA$12,$CZ$3:$CZ$12)/1000</f>
        <v>0.5889586395184172</v>
      </c>
      <c r="AJ95" s="35">
        <f>_xlfn.FORECAST.LINEAR(Sheet3!CN95,$DA$3:$DA$12,$CZ$3:$CZ$12)/1000</f>
        <v>0.58842348640281572</v>
      </c>
      <c r="AK95" s="35">
        <f>_xlfn.FORECAST.LINEAR(Sheet3!CO95,$DA$3:$DA$12,$CZ$3:$CZ$12)/1000</f>
        <v>0.58786537955713081</v>
      </c>
      <c r="AL95" s="35">
        <f>_xlfn.FORECAST.LINEAR(Sheet3!CP95,$DA$3:$DA$12,$CZ$3:$CZ$12)/1000</f>
        <v>0.58725642049609095</v>
      </c>
      <c r="AM95" s="289">
        <f t="shared" si="76"/>
        <v>4189.0485023568954</v>
      </c>
      <c r="AN95" s="35">
        <f>_xlfn.FORECAST.LINEAR(Sheet3!CI95,$DP$3:$DP$14,$DJ$3:$DJ$14)*1000</f>
        <v>4189.4844794362116</v>
      </c>
      <c r="AO95" s="35">
        <f>_xlfn.FORECAST.LINEAR(Sheet3!CJ95,$DP$3:$DP$14,$DJ$3:$DJ$14)*1000</f>
        <v>4189.4209140113671</v>
      </c>
      <c r="AP95" s="35">
        <f>_xlfn.FORECAST.LINEAR(Sheet3!CK95,$DP$3:$DP$14,$DJ$3:$DJ$14)*1000</f>
        <v>4189.3651490473931</v>
      </c>
      <c r="AQ95" s="35">
        <f>_xlfn.FORECAST.LINEAR(Sheet3!CL95,$DP$3:$DP$14,$DJ$3:$DJ$14)*1000</f>
        <v>4189.3147294390901</v>
      </c>
      <c r="AR95" s="35">
        <f>_xlfn.FORECAST.LINEAR(Sheet3!CM95,$DP$3:$DP$14,$DJ$3:$DJ$14)*1000</f>
        <v>4189.2672000812636</v>
      </c>
      <c r="AS95" s="35">
        <f>_xlfn.FORECAST.LINEAR(Sheet3!CN95,$DP$3:$DP$14,$DJ$3:$DJ$14)*1000</f>
        <v>4189.220105868716</v>
      </c>
      <c r="AT95" s="35">
        <f>_xlfn.FORECAST.LINEAR(Sheet3!CO95,$DP$3:$DP$14,$DJ$3:$DJ$14)*1000</f>
        <v>4189.17099169625</v>
      </c>
      <c r="AU95" s="35">
        <f>_xlfn.FORECAST.LINEAR(Sheet3!CP95,$DP$3:$DP$14,$DJ$3:$DJ$14)*1000</f>
        <v>4189.1174024586717</v>
      </c>
      <c r="AV95" s="289">
        <f t="shared" si="77"/>
        <v>1.3963086342770012E-7</v>
      </c>
      <c r="AW95" s="35">
        <f t="shared" si="78"/>
        <v>1.4106370443145083E-7</v>
      </c>
      <c r="AX95" s="35">
        <f t="shared" si="79"/>
        <v>1.4085447190556476E-7</v>
      </c>
      <c r="AY95" s="35">
        <f t="shared" si="80"/>
        <v>1.4067100676855463E-7</v>
      </c>
      <c r="AZ95" s="35">
        <f t="shared" si="81"/>
        <v>1.4050520111625905E-7</v>
      </c>
      <c r="BA95" s="35">
        <f t="shared" si="82"/>
        <v>1.4034896389493243E-7</v>
      </c>
      <c r="BB95" s="35">
        <f t="shared" si="83"/>
        <v>1.4019421810058568E-7</v>
      </c>
      <c r="BC95" s="35">
        <f t="shared" si="84"/>
        <v>1.4003289963838213E-7</v>
      </c>
      <c r="BD95" s="35">
        <f t="shared" si="85"/>
        <v>1.3985695783419114E-7</v>
      </c>
      <c r="BE95" s="289">
        <f t="shared" si="74"/>
        <v>10.342655214575212</v>
      </c>
      <c r="BF95" s="35">
        <f t="shared" si="86"/>
        <v>9.0005423459180065</v>
      </c>
      <c r="BG95" s="35">
        <f t="shared" si="87"/>
        <v>9.1816897402262665</v>
      </c>
      <c r="BH95" s="35">
        <f t="shared" si="88"/>
        <v>9.3445364445482664</v>
      </c>
      <c r="BI95" s="35">
        <f t="shared" si="89"/>
        <v>9.4950007854420679</v>
      </c>
      <c r="BJ95" s="35">
        <f t="shared" si="90"/>
        <v>9.6396991968733197</v>
      </c>
      <c r="BK95" s="35">
        <f t="shared" si="91"/>
        <v>9.7858581250475556</v>
      </c>
      <c r="BL95" s="35">
        <f t="shared" si="92"/>
        <v>9.9412908596925256</v>
      </c>
      <c r="BM95" s="35">
        <f t="shared" si="93"/>
        <v>10.114448905488446</v>
      </c>
      <c r="BN95" s="289">
        <f t="shared" si="94"/>
        <v>4.2351993775112173E-4</v>
      </c>
      <c r="BO95" s="35">
        <f t="shared" si="95"/>
        <v>4.2786594491471677E-4</v>
      </c>
      <c r="BP95" s="35">
        <f t="shared" si="96"/>
        <v>4.2723131340014007E-4</v>
      </c>
      <c r="BQ95" s="35">
        <f t="shared" si="97"/>
        <v>4.2667483797988854E-4</v>
      </c>
      <c r="BR95" s="35">
        <f t="shared" si="98"/>
        <v>4.2617192624665732E-4</v>
      </c>
      <c r="BS95" s="35">
        <f t="shared" si="99"/>
        <v>4.2569803690280938E-4</v>
      </c>
      <c r="BT95" s="35">
        <f t="shared" si="100"/>
        <v>4.2522867126558477E-4</v>
      </c>
      <c r="BU95" s="35">
        <f t="shared" si="101"/>
        <v>4.2473936980748735E-4</v>
      </c>
      <c r="BV95" s="35">
        <f t="shared" si="102"/>
        <v>4.2420571370790032E-4</v>
      </c>
      <c r="BW95" s="289">
        <f t="shared" si="103"/>
        <v>3.6297597045630577E-2</v>
      </c>
      <c r="BX95" s="35">
        <f t="shared" si="104"/>
        <v>3.5147585687610894E-2</v>
      </c>
      <c r="BY95" s="35">
        <f t="shared" si="105"/>
        <v>3.5310008380647337E-2</v>
      </c>
      <c r="BZ95" s="35">
        <f t="shared" si="106"/>
        <v>3.545398828249894E-2</v>
      </c>
      <c r="CA95" s="35">
        <f t="shared" si="107"/>
        <v>3.5585359600142585E-2</v>
      </c>
      <c r="CB95" s="35">
        <f t="shared" si="108"/>
        <v>3.571023273353513E-2</v>
      </c>
      <c r="CC95" s="35">
        <f t="shared" si="109"/>
        <v>3.583494661719306E-2</v>
      </c>
      <c r="CD95" s="35">
        <f t="shared" si="110"/>
        <v>3.5966048279808427E-2</v>
      </c>
      <c r="CE95" s="35">
        <f t="shared" si="111"/>
        <v>3.6110298867990831E-2</v>
      </c>
      <c r="CF95" s="289">
        <f t="shared" si="112"/>
        <v>98.017702921797053</v>
      </c>
      <c r="CG95" s="35">
        <f t="shared" si="113"/>
        <v>105.38523377333048</v>
      </c>
      <c r="CH95" s="35">
        <f t="shared" si="114"/>
        <v>104.31720964914577</v>
      </c>
      <c r="CI95" s="35">
        <f t="shared" si="115"/>
        <v>103.37807842895371</v>
      </c>
      <c r="CJ95" s="35">
        <f t="shared" si="116"/>
        <v>102.52741130781317</v>
      </c>
      <c r="CK95" s="35">
        <f t="shared" si="117"/>
        <v>101.72430346673413</v>
      </c>
      <c r="CL95" s="35">
        <f t="shared" si="118"/>
        <v>100.92752984991978</v>
      </c>
      <c r="CM95" s="35">
        <f t="shared" si="119"/>
        <v>100.09564176789311</v>
      </c>
      <c r="CN95" s="35">
        <f t="shared" si="120"/>
        <v>99.187031438905308</v>
      </c>
      <c r="CO95" s="289">
        <f t="shared" si="121"/>
        <v>4106.0559319243284</v>
      </c>
      <c r="CP95" s="35">
        <f t="shared" si="122"/>
        <v>4451.9817699269806</v>
      </c>
      <c r="CQ95" s="35">
        <f t="shared" si="123"/>
        <v>4401.4810728222974</v>
      </c>
      <c r="CR95" s="35">
        <f t="shared" si="124"/>
        <v>4357.1768756231922</v>
      </c>
      <c r="CS95" s="35">
        <f t="shared" si="125"/>
        <v>4317.1271081242712</v>
      </c>
      <c r="CT95" s="35">
        <f t="shared" si="126"/>
        <v>4279.3862411233104</v>
      </c>
      <c r="CU95" s="35">
        <f t="shared" si="127"/>
        <v>4242.0092134510032</v>
      </c>
      <c r="CV95" s="35">
        <f t="shared" si="128"/>
        <v>4203.0544599926488</v>
      </c>
      <c r="CW95" s="35">
        <f t="shared" si="129"/>
        <v>4160.587217317483</v>
      </c>
    </row>
    <row r="96" spans="1:101" x14ac:dyDescent="0.3">
      <c r="A96" s="184" t="str">
        <f>'Su K. oro stendu'!B141</f>
        <v>2023.02.27-1</v>
      </c>
      <c r="B96" s="289">
        <f>Sheet3!DD96</f>
        <v>6.4</v>
      </c>
      <c r="C96" s="289">
        <f>_xlfn.FORECAST.LINEAR(Sheet3!DD96,$DW$3:$DW$24,$DU$3:$DU$24)</f>
        <v>1002.6882801102599</v>
      </c>
      <c r="D96" s="35">
        <f>_xlfn.FORECAST.LINEAR(Sheet3!CI96,'Cooling water'!$DW$3:$DW$24,'Cooling water'!$DU$3:$DU$24)</f>
        <v>996.73625120110023</v>
      </c>
      <c r="E96" s="35">
        <f>_xlfn.FORECAST.LINEAR(Sheet3!CJ96,'Cooling water'!$DW$3:$DW$24,'Cooling water'!$DU$3:$DU$24)</f>
        <v>997.55929171215848</v>
      </c>
      <c r="F96" s="35">
        <f>_xlfn.FORECAST.LINEAR(Sheet3!CK96,'Cooling water'!$DW$3:$DW$24,'Cooling water'!$DU$3:$DU$24)</f>
        <v>998.32191564716936</v>
      </c>
      <c r="G96" s="35">
        <f>_xlfn.FORECAST.LINEAR(Sheet3!CL96,'Cooling water'!$DW$3:$DW$24,'Cooling water'!$DU$3:$DU$24)</f>
        <v>999.04143130553086</v>
      </c>
      <c r="H96" s="35">
        <f>_xlfn.FORECAST.LINEAR(Sheet3!CM96,'Cooling water'!$DW$3:$DW$24,'Cooling water'!$DU$3:$DU$24)</f>
        <v>999.7351469866411</v>
      </c>
      <c r="I96" s="35">
        <f>_xlfn.FORECAST.LINEAR(Sheet3!CN96,'Cooling water'!$DW$3:$DW$24,'Cooling water'!$DU$3:$DU$24)</f>
        <v>1000.4203709898983</v>
      </c>
      <c r="J96" s="35">
        <f>_xlfn.FORECAST.LINEAR(Sheet3!CO96,'Cooling water'!$DW$3:$DW$24,'Cooling water'!$DU$3:$DU$24)</f>
        <v>1001.1144116147004</v>
      </c>
      <c r="K96" s="35">
        <f>_xlfn.FORECAST.LINEAR(Sheet3!CP96,'Cooling water'!$DW$3:$DW$24,'Cooling water'!$DU$3:$DU$24)</f>
        <v>1001.8345771604457</v>
      </c>
      <c r="L96" s="289">
        <f t="shared" si="130"/>
        <v>1.4513543899894454E-3</v>
      </c>
      <c r="M96" s="35">
        <f xml:space="preserve"> 0.0000000000330128*((Sheet3!CI96+273)^(4)) - 0.0000000448315*((Sheet3!CI96+273)^(3)) + 0.0000228887*((Sheet3!CI96+273)^(2)) - 0.00521331*((Sheet3!CI96+273)) + 0.447905</f>
        <v>9.8399086517875212E-4</v>
      </c>
      <c r="N96" s="35">
        <f xml:space="preserve"> 0.0000000000330128*((Sheet3!CJ96+273)^(4)) - 0.0000000448315*((Sheet3!CJ96+273)^(3)) + 0.0000228887*((Sheet3!CJ96+273)^(2)) - 0.00521331*((Sheet3!CJ96+273)) + 0.447905</f>
        <v>1.0344059255360527E-3</v>
      </c>
      <c r="O96" s="35">
        <f xml:space="preserve"> 0.0000000000330128*((Sheet3!CK96+273)^(4)) - 0.0000000448315*((Sheet3!CK96+273)^(3)) + 0.0000228887*((Sheet3!CK96+273)^(2)) - 0.00521331*((Sheet3!CK96+273)) + 0.447905</f>
        <v>1.0846952287237865E-3</v>
      </c>
      <c r="P96" s="35">
        <f xml:space="preserve"> 0.0000000000330128*((Sheet3!CL96+273)^(4)) - 0.0000000448315*((Sheet3!CL96+273)^(3)) + 0.0000228887*((Sheet3!CL96+273)^(2)) - 0.00521331*((Sheet3!CL96+273)) + 0.447905</f>
        <v>1.1355155561796337E-3</v>
      </c>
      <c r="Q96" s="35">
        <f xml:space="preserve"> 0.0000000000330128*((Sheet3!CM96+273)^(4)) - 0.0000000448315*((Sheet3!CM96+273)^(3)) + 0.0000228887*((Sheet3!CM96+273)^(2)) - 0.00521331*((Sheet3!CM96+273)) + 0.447905</f>
        <v>1.1878139457843773E-3</v>
      </c>
      <c r="R96" s="35">
        <f xml:space="preserve"> 0.0000000000330128*((Sheet3!CN96+273)^(4)) - 0.0000000448315*((Sheet3!CN96+273)^(3)) + 0.0000228887*((Sheet3!CN96+273)^(2)) - 0.00521331*((Sheet3!CN96+273)) + 0.447905</f>
        <v>1.2428441668406176E-3</v>
      </c>
      <c r="S96" s="35">
        <f xml:space="preserve"> 0.0000000000330128*((Sheet3!CO96+273)^(4)) - 0.0000000448315*((Sheet3!CO96+273)^(3)) + 0.0000228887*((Sheet3!CO96+273)^(2)) - 0.00521331*((Sheet3!CO96+273)) + 0.447905</f>
        <v>1.3021961419599215E-3</v>
      </c>
      <c r="T96" s="35">
        <f xml:space="preserve"> 0.0000000000330128*((Sheet3!CP96+273)^(4)) - 0.0000000448315*((Sheet3!CP96+273)^(3)) + 0.0000228887*((Sheet3!CP96+273)^(2)) - 0.00521331*((Sheet3!CP96+273)) + 0.447905</f>
        <v>1.3678463979791555E-3</v>
      </c>
      <c r="U96" s="289">
        <f>(Sheet3!DC96*0.014*0.001*C96) / (L96*0.00015*3600*3)</f>
        <v>2812.0717408710279</v>
      </c>
      <c r="V96" s="35">
        <f>(Sheet3!$DC96*0.014*0.001*D96) / (M96*0.00015*3600*3)</f>
        <v>4123.0928533325205</v>
      </c>
      <c r="W96" s="35">
        <f>(Sheet3!$DC96*0.014*0.001*E96) / (N96*0.00015*3600*3)</f>
        <v>3925.3794699296727</v>
      </c>
      <c r="X96" s="35">
        <f>(Sheet3!$DC96*0.014*0.001*F96) / (O96*0.00015*3600*3)</f>
        <v>3746.2504101936929</v>
      </c>
      <c r="Y96" s="35">
        <f>(Sheet3!$DC96*0.014*0.001*G96) / (P96*0.00015*3600*3)</f>
        <v>3581.1650651795567</v>
      </c>
      <c r="Z96" s="35">
        <f>(Sheet3!$DC96*0.014*0.001*H96) / (Q96*0.00015*3600*3)</f>
        <v>3425.8667655439249</v>
      </c>
      <c r="AA96" s="35">
        <f>(Sheet3!$DC96*0.014*0.001*I96) / (R96*0.00015*3600*3)</f>
        <v>3276.4215696837391</v>
      </c>
      <c r="AB96" s="35">
        <f>(Sheet3!$DC96*0.014*0.001*J96) / (S96*0.00015*3600*3)</f>
        <v>3129.2570351607292</v>
      </c>
      <c r="AC96" s="35">
        <f>(Sheet3!$DC96*0.014*0.001*K96) / (T96*0.00015*3600*3)</f>
        <v>2981.2103061505804</v>
      </c>
      <c r="AD96" s="289">
        <f t="shared" si="75"/>
        <v>0.58638715277453135</v>
      </c>
      <c r="AE96" s="35">
        <f>_xlfn.FORECAST.LINEAR(Sheet3!CI96,$DA$3:$DA$12,$CZ$3:$CZ$12)/1000</f>
        <v>0.60186883244286826</v>
      </c>
      <c r="AF96" s="35">
        <f>_xlfn.FORECAST.LINEAR(Sheet3!CJ96,$DA$3:$DA$12,$CZ$3:$CZ$12)/1000</f>
        <v>0.59972804150573744</v>
      </c>
      <c r="AG96" s="35">
        <f>_xlfn.FORECAST.LINEAR(Sheet3!CK96,$DA$3:$DA$12,$CZ$3:$CZ$12)/1000</f>
        <v>0.59774439867579854</v>
      </c>
      <c r="AH96" s="35">
        <f>_xlfn.FORECAST.LINEAR(Sheet3!CL96,$DA$3:$DA$12,$CZ$3:$CZ$12)/1000</f>
        <v>0.59587288375053293</v>
      </c>
      <c r="AI96" s="35">
        <f>_xlfn.FORECAST.LINEAR(Sheet3!CM96,$DA$3:$DA$12,$CZ$3:$CZ$12)/1000</f>
        <v>0.59406847652742223</v>
      </c>
      <c r="AJ96" s="35">
        <f>_xlfn.FORECAST.LINEAR(Sheet3!CN96,$DA$3:$DA$12,$CZ$3:$CZ$12)/1000</f>
        <v>0.59228615680394825</v>
      </c>
      <c r="AK96" s="35">
        <f>_xlfn.FORECAST.LINEAR(Sheet3!CO96,$DA$3:$DA$12,$CZ$3:$CZ$12)/1000</f>
        <v>0.5904809043775926</v>
      </c>
      <c r="AL96" s="35">
        <f>_xlfn.FORECAST.LINEAR(Sheet3!CP96,$DA$3:$DA$12,$CZ$3:$CZ$12)/1000</f>
        <v>0.5886076990458371</v>
      </c>
      <c r="AM96" s="289">
        <f t="shared" si="76"/>
        <v>4189.040905699806</v>
      </c>
      <c r="AN96" s="35">
        <f>_xlfn.FORECAST.LINEAR(Sheet3!CI96,$DP$3:$DP$14,$DJ$3:$DJ$14)*1000</f>
        <v>4190.4033148713852</v>
      </c>
      <c r="AO96" s="35">
        <f>_xlfn.FORECAST.LINEAR(Sheet3!CJ96,$DP$3:$DP$14,$DJ$3:$DJ$14)*1000</f>
        <v>4190.2149223151728</v>
      </c>
      <c r="AP96" s="35">
        <f>_xlfn.FORECAST.LINEAR(Sheet3!CK96,$DP$3:$DP$14,$DJ$3:$DJ$14)*1000</f>
        <v>4190.0403590092174</v>
      </c>
      <c r="AQ96" s="35">
        <f>_xlfn.FORECAST.LINEAR(Sheet3!CL96,$DP$3:$DP$14,$DJ$3:$DJ$14)*1000</f>
        <v>4189.8756631135811</v>
      </c>
      <c r="AR96" s="35">
        <f>_xlfn.FORECAST.LINEAR(Sheet3!CM96,$DP$3:$DP$14,$DJ$3:$DJ$14)*1000</f>
        <v>4189.7168727883254</v>
      </c>
      <c r="AS96" s="35">
        <f>_xlfn.FORECAST.LINEAR(Sheet3!CN96,$DP$3:$DP$14,$DJ$3:$DJ$14)*1000</f>
        <v>4189.5600261935142</v>
      </c>
      <c r="AT96" s="35">
        <f>_xlfn.FORECAST.LINEAR(Sheet3!CO96,$DP$3:$DP$14,$DJ$3:$DJ$14)*1000</f>
        <v>4189.4011614892079</v>
      </c>
      <c r="AU96" s="35">
        <f>_xlfn.FORECAST.LINEAR(Sheet3!CP96,$DP$3:$DP$14,$DJ$3:$DJ$14)*1000</f>
        <v>4189.2363168354686</v>
      </c>
      <c r="AV96" s="289">
        <f t="shared" si="77"/>
        <v>1.3960594307622732E-7</v>
      </c>
      <c r="AW96" s="35">
        <f t="shared" si="78"/>
        <v>1.4410059554706418E-7</v>
      </c>
      <c r="AX96" s="35">
        <f t="shared" si="79"/>
        <v>1.4347602574286533E-7</v>
      </c>
      <c r="AY96" s="35">
        <f t="shared" si="80"/>
        <v>1.4289818210669813E-7</v>
      </c>
      <c r="AZ96" s="35">
        <f t="shared" si="81"/>
        <v>1.4235377487193419E-7</v>
      </c>
      <c r="BA96" s="35">
        <f t="shared" si="82"/>
        <v>1.4182959781751E-7</v>
      </c>
      <c r="BB96" s="35">
        <f t="shared" si="83"/>
        <v>1.413125191677392E-7</v>
      </c>
      <c r="BC96" s="35">
        <f t="shared" si="84"/>
        <v>1.4078947691406341E-7</v>
      </c>
      <c r="BD96" s="35">
        <f t="shared" si="85"/>
        <v>1.4024747849078591E-7</v>
      </c>
      <c r="BE96" s="289">
        <f t="shared" si="74"/>
        <v>10.368206192045413</v>
      </c>
      <c r="BF96" s="35">
        <f t="shared" si="86"/>
        <v>6.8508591257541269</v>
      </c>
      <c r="BG96" s="35">
        <f t="shared" si="87"/>
        <v>7.2272477605517125</v>
      </c>
      <c r="BH96" s="35">
        <f t="shared" si="88"/>
        <v>7.6034452111067754</v>
      </c>
      <c r="BI96" s="35">
        <f t="shared" si="89"/>
        <v>7.9843690217589538</v>
      </c>
      <c r="BJ96" s="35">
        <f t="shared" si="90"/>
        <v>8.3771557101908645</v>
      </c>
      <c r="BK96" s="35">
        <f t="shared" si="91"/>
        <v>8.791308357231765</v>
      </c>
      <c r="BL96" s="35">
        <f t="shared" si="92"/>
        <v>9.2389474226335047</v>
      </c>
      <c r="BM96" s="35">
        <f t="shared" si="93"/>
        <v>9.735230809171977</v>
      </c>
      <c r="BN96" s="289">
        <f t="shared" si="94"/>
        <v>1.4699182879467582E-3</v>
      </c>
      <c r="BO96" s="35">
        <f t="shared" si="95"/>
        <v>1.5172427192658518E-3</v>
      </c>
      <c r="BP96" s="35">
        <f t="shared" si="96"/>
        <v>1.5106665910791747E-3</v>
      </c>
      <c r="BQ96" s="35">
        <f t="shared" si="97"/>
        <v>1.5045824451634664E-3</v>
      </c>
      <c r="BR96" s="35">
        <f t="shared" si="98"/>
        <v>1.4988503528697086E-3</v>
      </c>
      <c r="BS96" s="35">
        <f t="shared" si="99"/>
        <v>1.4933312652045116E-3</v>
      </c>
      <c r="BT96" s="35">
        <f t="shared" si="100"/>
        <v>1.4878869170137628E-3</v>
      </c>
      <c r="BU96" s="35">
        <f t="shared" si="101"/>
        <v>1.4823797777250923E-3</v>
      </c>
      <c r="BV96" s="35">
        <f t="shared" si="102"/>
        <v>1.4766730479336613E-3</v>
      </c>
      <c r="BW96" s="289">
        <f t="shared" si="103"/>
        <v>4.9573616513694845E-2</v>
      </c>
      <c r="BX96" s="35">
        <f t="shared" si="104"/>
        <v>4.5050687511526119E-2</v>
      </c>
      <c r="BY96" s="35">
        <f t="shared" si="105"/>
        <v>4.5607554966539177E-2</v>
      </c>
      <c r="BZ96" s="35">
        <f t="shared" si="106"/>
        <v>4.6143230999992652E-2</v>
      </c>
      <c r="CA96" s="35">
        <f t="shared" si="107"/>
        <v>4.6666058066300947E-2</v>
      </c>
      <c r="CB96" s="35">
        <f t="shared" si="108"/>
        <v>4.7186154424956862E-2</v>
      </c>
      <c r="CC96" s="35">
        <f t="shared" si="109"/>
        <v>4.7715255954517297E-2</v>
      </c>
      <c r="CD96" s="35">
        <f t="shared" si="110"/>
        <v>4.8266620593717897E-2</v>
      </c>
      <c r="CE96" s="35">
        <f t="shared" si="111"/>
        <v>4.8855003465004869E-2</v>
      </c>
      <c r="CF96" s="289">
        <f t="shared" si="112"/>
        <v>11.741311669777806</v>
      </c>
      <c r="CG96" s="35">
        <f t="shared" si="113"/>
        <v>34.576078815004976</v>
      </c>
      <c r="CH96" s="35">
        <f t="shared" si="114"/>
        <v>33.244964595942278</v>
      </c>
      <c r="CI96" s="35">
        <f t="shared" si="115"/>
        <v>31.989238622135264</v>
      </c>
      <c r="CJ96" s="35">
        <f t="shared" si="116"/>
        <v>30.786613707029794</v>
      </c>
      <c r="CK96" s="35">
        <f t="shared" si="117"/>
        <v>29.612350565571731</v>
      </c>
      <c r="CL96" s="35">
        <f t="shared" si="118"/>
        <v>28.439859032229755</v>
      </c>
      <c r="CM96" s="35">
        <f t="shared" si="119"/>
        <v>27.241175724487476</v>
      </c>
      <c r="CN96" s="35">
        <f t="shared" si="120"/>
        <v>11.740954947461477</v>
      </c>
      <c r="CO96" s="289">
        <f t="shared" si="121"/>
        <v>491.78245141995615</v>
      </c>
      <c r="CP96" s="35">
        <f t="shared" si="122"/>
        <v>1486.4474419171167</v>
      </c>
      <c r="CQ96" s="35">
        <f t="shared" si="123"/>
        <v>1424.1383933608599</v>
      </c>
      <c r="CR96" s="35">
        <f t="shared" si="124"/>
        <v>1365.8134431632052</v>
      </c>
      <c r="CS96" s="35">
        <f t="shared" si="125"/>
        <v>1310.3505921801091</v>
      </c>
      <c r="CT96" s="35">
        <f t="shared" si="126"/>
        <v>1256.5545704917963</v>
      </c>
      <c r="CU96" s="35">
        <f t="shared" si="127"/>
        <v>1203.1810575889583</v>
      </c>
      <c r="CV96" s="35">
        <f t="shared" si="128"/>
        <v>1148.9567198645918</v>
      </c>
      <c r="CW96" s="35">
        <f t="shared" si="129"/>
        <v>493.62974830186693</v>
      </c>
    </row>
    <row r="97" spans="1:101" x14ac:dyDescent="0.3">
      <c r="A97" s="184" t="str">
        <f>'Su K. oro stendu'!B142</f>
        <v>2023.02.27-2</v>
      </c>
      <c r="B97" s="289">
        <f>Sheet3!DD97</f>
        <v>6.48</v>
      </c>
      <c r="C97" s="289">
        <f>_xlfn.FORECAST.LINEAR(Sheet3!DD97,$DW$3:$DW$24,$DU$3:$DU$24)</f>
        <v>1002.6550921931874</v>
      </c>
      <c r="D97" s="35">
        <f>_xlfn.FORECAST.LINEAR(Sheet3!CI97,'Cooling water'!$DW$3:$DW$24,'Cooling water'!$DU$3:$DU$24)</f>
        <v>997.67225319354986</v>
      </c>
      <c r="E97" s="35">
        <f>_xlfn.FORECAST.LINEAR(Sheet3!CJ97,'Cooling water'!$DW$3:$DW$24,'Cooling water'!$DU$3:$DU$24)</f>
        <v>998.36684397475892</v>
      </c>
      <c r="F97" s="35">
        <f>_xlfn.FORECAST.LINEAR(Sheet3!CK97,'Cooling water'!$DW$3:$DW$24,'Cooling water'!$DU$3:$DU$24)</f>
        <v>999.01125694216807</v>
      </c>
      <c r="G97" s="35">
        <f>_xlfn.FORECAST.LINEAR(Sheet3!CL97,'Cooling water'!$DW$3:$DW$24,'Cooling water'!$DU$3:$DU$24)</f>
        <v>999.61910060349794</v>
      </c>
      <c r="H97" s="35">
        <f>_xlfn.FORECAST.LINEAR(Sheet3!CM97,'Cooling water'!$DW$3:$DW$24,'Cooling water'!$DU$3:$DU$24)</f>
        <v>1000.2039834664694</v>
      </c>
      <c r="I97" s="35">
        <f>_xlfn.FORECAST.LINEAR(Sheet3!CN97,'Cooling water'!$DW$3:$DW$24,'Cooling water'!$DU$3:$DU$24)</f>
        <v>1000.779514038803</v>
      </c>
      <c r="J97" s="35">
        <f>_xlfn.FORECAST.LINEAR(Sheet3!CO97,'Cooling water'!$DW$3:$DW$24,'Cooling water'!$DU$3:$DU$24)</f>
        <v>1001.3593008282196</v>
      </c>
      <c r="K97" s="35">
        <f>_xlfn.FORECAST.LINEAR(Sheet3!CP97,'Cooling water'!$DW$3:$DW$24,'Cooling water'!$DU$3:$DU$24)</f>
        <v>1001.9569523424399</v>
      </c>
      <c r="L97" s="289">
        <f t="shared" si="130"/>
        <v>1.447988239432707E-3</v>
      </c>
      <c r="M97" s="35">
        <f xml:space="preserve"> 0.0000000000330128*((Sheet3!CI97+273)^(4)) - 0.0000000448315*((Sheet3!CI97+273)^(3)) + 0.0000228887*((Sheet3!CI97+273)^(2)) - 0.00521331*((Sheet3!CI97+273)) + 0.447905</f>
        <v>1.04163185648809E-3</v>
      </c>
      <c r="N97" s="35">
        <f xml:space="preserve"> 0.0000000000330128*((Sheet3!CJ97+273)^(4)) - 0.0000000448315*((Sheet3!CJ97+273)^(3)) + 0.0000228887*((Sheet3!CJ97+273)^(2)) - 0.00521331*((Sheet3!CJ97+273)) + 0.447905</f>
        <v>1.0877704493013063E-3</v>
      </c>
      <c r="O97" s="35">
        <f xml:space="preserve"> 0.0000000000330128*((Sheet3!CK97+273)^(4)) - 0.0000000448315*((Sheet3!CK97+273)^(3)) + 0.0000228887*((Sheet3!CK97+273)^(2)) - 0.00521331*((Sheet3!CK97+273)) + 0.447905</f>
        <v>1.1333157071775624E-3</v>
      </c>
      <c r="P97" s="35">
        <f xml:space="preserve"> 0.0000000000330128*((Sheet3!CL97+273)^(4)) - 0.0000000448315*((Sheet3!CL97+273)^(3)) + 0.0000228887*((Sheet3!CL97+273)^(2)) - 0.00521331*((Sheet3!CL97+273)) + 0.447905</f>
        <v>1.1788313716389887E-3</v>
      </c>
      <c r="Q97" s="35">
        <f xml:space="preserve"> 0.0000000000330128*((Sheet3!CM97+273)^(4)) - 0.0000000448315*((Sheet3!CM97+273)^(3)) + 0.0000228887*((Sheet3!CM97+273)^(2)) - 0.00521331*((Sheet3!CM97+273)) + 0.447905</f>
        <v>1.2250924575381017E-3</v>
      </c>
      <c r="R97" s="35">
        <f xml:space="preserve"> 0.0000000000330128*((Sheet3!CN97+273)^(4)) - 0.0000000448315*((Sheet3!CN97+273)^(3)) + 0.0000228887*((Sheet3!CN97+273)^(2)) - 0.00521331*((Sheet3!CN97+273)) + 0.447905</f>
        <v>1.2730900603623585E-3</v>
      </c>
      <c r="S97" s="35">
        <f xml:space="preserve"> 0.0000000000330128*((Sheet3!CO97+273)^(4)) - 0.0000000448315*((Sheet3!CO97+273)^(3)) + 0.0000228887*((Sheet3!CO97+273)^(2)) - 0.00521331*((Sheet3!CO97+273)) + 0.447905</f>
        <v>1.3240443629982668E-3</v>
      </c>
      <c r="T97" s="35">
        <f xml:space="preserve"> 0.0000000000330128*((Sheet3!CP97+273)^(4)) - 0.0000000448315*((Sheet3!CP97+273)^(3)) + 0.0000228887*((Sheet3!CP97+273)^(2)) - 0.00521331*((Sheet3!CP97+273)) + 0.447905</f>
        <v>1.3794302106748813E-3</v>
      </c>
      <c r="U97" s="289">
        <f>(Sheet3!DC97*0.014*0.001*C97) / (L97*0.00015*3600*3)</f>
        <v>4631.7009509596628</v>
      </c>
      <c r="V97" s="35">
        <f>(Sheet3!$DC97*0.014*0.001*D97) / (M97*0.00015*3600*3)</f>
        <v>6406.6001894743149</v>
      </c>
      <c r="W97" s="35">
        <f>(Sheet3!$DC97*0.014*0.001*E97) / (N97*0.00015*3600*3)</f>
        <v>6139.1306355005354</v>
      </c>
      <c r="X97" s="35">
        <f>(Sheet3!$DC97*0.014*0.001*F97) / (O97*0.00015*3600*3)</f>
        <v>5896.2169624182625</v>
      </c>
      <c r="Y97" s="35">
        <f>(Sheet3!$DC97*0.014*0.001*G97) / (P97*0.00015*3600*3)</f>
        <v>5672.008105664414</v>
      </c>
      <c r="Z97" s="35">
        <f>(Sheet3!$DC97*0.014*0.001*H97) / (Q97*0.00015*3600*3)</f>
        <v>5461.0191014282691</v>
      </c>
      <c r="AA97" s="35">
        <f>(Sheet3!$DC97*0.014*0.001*I97) / (R97*0.00015*3600*3)</f>
        <v>5258.1535117605381</v>
      </c>
      <c r="AB97" s="35">
        <f>(Sheet3!$DC97*0.014*0.001*J97) / (S97*0.00015*3600*3)</f>
        <v>5058.72861082087</v>
      </c>
      <c r="AC97" s="35">
        <f>(Sheet3!$DC97*0.014*0.001*K97) / (T97*0.00015*3600*3)</f>
        <v>4858.5123580767468</v>
      </c>
      <c r="AD97" s="289">
        <f t="shared" si="75"/>
        <v>0.5864734770697958</v>
      </c>
      <c r="AE97" s="35">
        <f>_xlfn.FORECAST.LINEAR(Sheet3!CI97,$DA$3:$DA$12,$CZ$3:$CZ$12)/1000</f>
        <v>0.59943422010526182</v>
      </c>
      <c r="AF97" s="35">
        <f>_xlfn.FORECAST.LINEAR(Sheet3!CJ97,$DA$3:$DA$12,$CZ$3:$CZ$12)/1000</f>
        <v>0.59762753668026858</v>
      </c>
      <c r="AG97" s="35">
        <f>_xlfn.FORECAST.LINEAR(Sheet3!CK97,$DA$3:$DA$12,$CZ$3:$CZ$12)/1000</f>
        <v>0.59595136956350658</v>
      </c>
      <c r="AH97" s="35">
        <f>_xlfn.FORECAST.LINEAR(Sheet3!CL97,$DA$3:$DA$12,$CZ$3:$CZ$12)/1000</f>
        <v>0.59437032199187001</v>
      </c>
      <c r="AI97" s="35">
        <f>_xlfn.FORECAST.LINEAR(Sheet3!CM97,$DA$3:$DA$12,$CZ$3:$CZ$12)/1000</f>
        <v>0.59284899720225293</v>
      </c>
      <c r="AJ97" s="35">
        <f>_xlfn.FORECAST.LINEAR(Sheet3!CN97,$DA$3:$DA$12,$CZ$3:$CZ$12)/1000</f>
        <v>0.5913519984315494</v>
      </c>
      <c r="AK97" s="35">
        <f>_xlfn.FORECAST.LINEAR(Sheet3!CO97,$DA$3:$DA$12,$CZ$3:$CZ$12)/1000</f>
        <v>0.58984392891665383</v>
      </c>
      <c r="AL97" s="35">
        <f>_xlfn.FORECAST.LINEAR(Sheet3!CP97,$DA$3:$DA$12,$CZ$3:$CZ$12)/1000</f>
        <v>0.58828939189446006</v>
      </c>
      <c r="AM97" s="289">
        <f t="shared" si="76"/>
        <v>4189.0485023568954</v>
      </c>
      <c r="AN97" s="35">
        <f>_xlfn.FORECAST.LINEAR(Sheet3!CI97,$DP$3:$DP$14,$DJ$3:$DJ$14)*1000</f>
        <v>4190.1890656265323</v>
      </c>
      <c r="AO97" s="35">
        <f>_xlfn.FORECAST.LINEAR(Sheet3!CJ97,$DP$3:$DP$14,$DJ$3:$DJ$14)*1000</f>
        <v>4190.0300749923708</v>
      </c>
      <c r="AP97" s="35">
        <f>_xlfn.FORECAST.LINEAR(Sheet3!CK97,$DP$3:$DP$14,$DJ$3:$DJ$14)*1000</f>
        <v>4189.8825699734134</v>
      </c>
      <c r="AQ97" s="35">
        <f>_xlfn.FORECAST.LINEAR(Sheet3!CL97,$DP$3:$DP$14,$DJ$3:$DJ$14)*1000</f>
        <v>4189.7434356056674</v>
      </c>
      <c r="AR97" s="35">
        <f>_xlfn.FORECAST.LINEAR(Sheet3!CM97,$DP$3:$DP$14,$DJ$3:$DJ$14)*1000</f>
        <v>4189.6095569251411</v>
      </c>
      <c r="AS97" s="35">
        <f>_xlfn.FORECAST.LINEAR(Sheet3!CN97,$DP$3:$DP$14,$DJ$3:$DJ$14)*1000</f>
        <v>4189.4778189678427</v>
      </c>
      <c r="AT97" s="35">
        <f>_xlfn.FORECAST.LINEAR(Sheet3!CO97,$DP$3:$DP$14,$DJ$3:$DJ$14)*1000</f>
        <v>4189.3451067697815</v>
      </c>
      <c r="AU97" s="35">
        <f>_xlfn.FORECAST.LINEAR(Sheet3!CP97,$DP$3:$DP$14,$DJ$3:$DJ$14)*1000</f>
        <v>4189.2083053669649</v>
      </c>
      <c r="AV97" s="289">
        <f t="shared" si="77"/>
        <v>1.3963086342770012E-7</v>
      </c>
      <c r="AW97" s="35">
        <f t="shared" si="78"/>
        <v>1.4339038104061099E-7</v>
      </c>
      <c r="AX97" s="35">
        <f t="shared" si="79"/>
        <v>1.4286416602691418E-7</v>
      </c>
      <c r="AY97" s="35">
        <f t="shared" si="80"/>
        <v>1.4237659064823916E-7</v>
      </c>
      <c r="AZ97" s="35">
        <f t="shared" si="81"/>
        <v>1.4191723495583249E-7</v>
      </c>
      <c r="BA97" s="35">
        <f t="shared" si="82"/>
        <v>1.4147573477150043E-7</v>
      </c>
      <c r="BB97" s="35">
        <f t="shared" si="83"/>
        <v>1.4104177556977305E-7</v>
      </c>
      <c r="BC97" s="35">
        <f t="shared" si="84"/>
        <v>1.4060508908615531E-7</v>
      </c>
      <c r="BD97" s="35">
        <f t="shared" si="85"/>
        <v>1.4015545261577278E-7</v>
      </c>
      <c r="BE97" s="289">
        <f t="shared" ref="BE97:BE102" si="131">AM97*L97/AD97</f>
        <v>10.342655214575212</v>
      </c>
      <c r="BF97" s="35">
        <f t="shared" si="86"/>
        <v>7.2812566734982553</v>
      </c>
      <c r="BG97" s="35">
        <f t="shared" si="87"/>
        <v>7.6264740453197364</v>
      </c>
      <c r="BH97" s="35">
        <f t="shared" si="88"/>
        <v>7.9678644438023225</v>
      </c>
      <c r="BI97" s="35">
        <f t="shared" si="89"/>
        <v>8.3096359597140754</v>
      </c>
      <c r="BJ97" s="35">
        <f t="shared" si="90"/>
        <v>8.6576161761938693</v>
      </c>
      <c r="BK97" s="35">
        <f t="shared" si="91"/>
        <v>9.0193025196209096</v>
      </c>
      <c r="BL97" s="35">
        <f t="shared" si="92"/>
        <v>9.403977054507731</v>
      </c>
      <c r="BM97" s="35">
        <f t="shared" si="93"/>
        <v>9.8229214649344296</v>
      </c>
      <c r="BN97" s="289">
        <f t="shared" si="94"/>
        <v>8.9464482974558669E-4</v>
      </c>
      <c r="BO97" s="35">
        <f t="shared" si="95"/>
        <v>9.1873286381027419E-4</v>
      </c>
      <c r="BP97" s="35">
        <f t="shared" si="96"/>
        <v>9.1536129158203213E-4</v>
      </c>
      <c r="BQ97" s="35">
        <f t="shared" si="97"/>
        <v>9.1223729176612622E-4</v>
      </c>
      <c r="BR97" s="35">
        <f t="shared" si="98"/>
        <v>9.0929410152052143E-4</v>
      </c>
      <c r="BS97" s="35">
        <f t="shared" si="99"/>
        <v>9.064653153370932E-4</v>
      </c>
      <c r="BT97" s="35">
        <f t="shared" si="100"/>
        <v>9.0368484584334879E-4</v>
      </c>
      <c r="BU97" s="35">
        <f t="shared" si="101"/>
        <v>9.0088690207076232E-4</v>
      </c>
      <c r="BV97" s="35">
        <f t="shared" si="102"/>
        <v>8.980059849610499E-4</v>
      </c>
      <c r="BW97" s="289">
        <f t="shared" si="103"/>
        <v>4.375947209616652E-2</v>
      </c>
      <c r="BX97" s="35">
        <f t="shared" si="104"/>
        <v>4.0350627819795121E-2</v>
      </c>
      <c r="BY97" s="35">
        <f t="shared" si="105"/>
        <v>4.0783123377626351E-2</v>
      </c>
      <c r="BZ97" s="35">
        <f t="shared" si="106"/>
        <v>4.1196833659403777E-2</v>
      </c>
      <c r="CA97" s="35">
        <f t="shared" si="107"/>
        <v>4.1598051782268657E-2</v>
      </c>
      <c r="CB97" s="35">
        <f t="shared" si="108"/>
        <v>4.1994148340436528E-2</v>
      </c>
      <c r="CC97" s="35">
        <f t="shared" si="109"/>
        <v>4.2393462250986703E-2</v>
      </c>
      <c r="CD97" s="35">
        <f t="shared" si="110"/>
        <v>4.2805232137790396E-2</v>
      </c>
      <c r="CE97" s="35">
        <f t="shared" si="111"/>
        <v>4.3239570751862237E-2</v>
      </c>
      <c r="CF97" s="289">
        <f t="shared" si="112"/>
        <v>45.460444209230744</v>
      </c>
      <c r="CG97" s="35">
        <f t="shared" si="113"/>
        <v>56.952686528437063</v>
      </c>
      <c r="CH97" s="35">
        <f t="shared" si="114"/>
        <v>55.400699985736352</v>
      </c>
      <c r="CI97" s="35">
        <f t="shared" si="115"/>
        <v>53.942365945737158</v>
      </c>
      <c r="CJ97" s="35">
        <f t="shared" si="116"/>
        <v>52.55231784840862</v>
      </c>
      <c r="CK97" s="35">
        <f t="shared" si="117"/>
        <v>51.20314538956584</v>
      </c>
      <c r="CL97" s="35">
        <f t="shared" si="118"/>
        <v>49.865947030459736</v>
      </c>
      <c r="CM97" s="35">
        <f t="shared" si="119"/>
        <v>48.510764778703539</v>
      </c>
      <c r="CN97" s="35">
        <f t="shared" si="120"/>
        <v>47.106943464679695</v>
      </c>
      <c r="CO97" s="289">
        <f t="shared" si="121"/>
        <v>1904.3817703232155</v>
      </c>
      <c r="CP97" s="35">
        <f t="shared" si="122"/>
        <v>2438.527802290937</v>
      </c>
      <c r="CQ97" s="35">
        <f t="shared" si="123"/>
        <v>2364.9274187741576</v>
      </c>
      <c r="CR97" s="35">
        <f t="shared" si="124"/>
        <v>2296.2162044898514</v>
      </c>
      <c r="CS97" s="35">
        <f t="shared" si="125"/>
        <v>2231.1098629269804</v>
      </c>
      <c r="CT97" s="35">
        <f t="shared" si="126"/>
        <v>2168.2666712718046</v>
      </c>
      <c r="CU97" s="35">
        <f t="shared" si="127"/>
        <v>2106.3091021531536</v>
      </c>
      <c r="CV97" s="35">
        <f t="shared" si="128"/>
        <v>2043.8414351301517</v>
      </c>
      <c r="CW97" s="35">
        <f t="shared" si="129"/>
        <v>1979.4653660602232</v>
      </c>
    </row>
    <row r="98" spans="1:101" x14ac:dyDescent="0.3">
      <c r="A98" s="184" t="str">
        <f>'Su K. oro stendu'!B143</f>
        <v>2023.02.28-1</v>
      </c>
      <c r="B98" s="289">
        <f>Sheet3!DD98</f>
        <v>6.03</v>
      </c>
      <c r="C98" s="289">
        <f>_xlfn.FORECAST.LINEAR(Sheet3!DD98,$DW$3:$DW$24,$DU$3:$DU$24)</f>
        <v>1002.8417742267204</v>
      </c>
      <c r="D98" s="35">
        <f>_xlfn.FORECAST.LINEAR(Sheet3!CI98,'Cooling water'!$DW$3:$DW$24,'Cooling water'!$DU$3:$DU$24)</f>
        <v>998.95431084841073</v>
      </c>
      <c r="E98" s="35">
        <f>_xlfn.FORECAST.LINEAR(Sheet3!CJ98,'Cooling water'!$DW$3:$DW$24,'Cooling water'!$DU$3:$DU$24)</f>
        <v>999.49395847818369</v>
      </c>
      <c r="F98" s="35">
        <f>_xlfn.FORECAST.LINEAR(Sheet3!CK98,'Cooling water'!$DW$3:$DW$24,'Cooling water'!$DU$3:$DU$24)</f>
        <v>999.99270104390882</v>
      </c>
      <c r="G98" s="35">
        <f>_xlfn.FORECAST.LINEAR(Sheet3!CL98,'Cooling water'!$DW$3:$DW$24,'Cooling water'!$DU$3:$DU$24)</f>
        <v>1000.4623490452151</v>
      </c>
      <c r="H98" s="35">
        <f>_xlfn.FORECAST.LINEAR(Sheet3!CM98,'Cooling water'!$DW$3:$DW$24,'Cooling water'!$DU$3:$DU$24)</f>
        <v>1000.9147129817319</v>
      </c>
      <c r="I98" s="35">
        <f>_xlfn.FORECAST.LINEAR(Sheet3!CN98,'Cooling water'!$DW$3:$DW$24,'Cooling water'!$DU$3:$DU$24)</f>
        <v>1001.3616033530884</v>
      </c>
      <c r="J98" s="35">
        <f>_xlfn.FORECAST.LINEAR(Sheet3!CO98,'Cooling water'!$DW$3:$DW$24,'Cooling water'!$DU$3:$DU$24)</f>
        <v>1001.8148306589139</v>
      </c>
      <c r="K98" s="35">
        <f>_xlfn.FORECAST.LINEAR(Sheet3!CP98,'Cooling water'!$DW$3:$DW$24,'Cooling water'!$DU$3:$DU$24)</f>
        <v>1002.2862053988378</v>
      </c>
      <c r="L98" s="289">
        <f t="shared" si="130"/>
        <v>1.4670520370871909E-3</v>
      </c>
      <c r="M98" s="35">
        <f xml:space="preserve"> 0.0000000000330128*((Sheet3!CI98+273)^(4)) - 0.0000000448315*((Sheet3!CI98+273)^(3)) + 0.0000228887*((Sheet3!CI98+273)^(2)) - 0.00521331*((Sheet3!CI98+273)) + 0.447905</f>
        <v>1.1291807321418545E-3</v>
      </c>
      <c r="N98" s="35">
        <f xml:space="preserve"> 0.0000000000330128*((Sheet3!CJ98+273)^(4)) - 0.0000000448315*((Sheet3!CJ98+273)^(3)) + 0.0000228887*((Sheet3!CJ98+273)^(2)) - 0.00521331*((Sheet3!CJ98+273)) + 0.447905</f>
        <v>1.1692514108396779E-3</v>
      </c>
      <c r="O98" s="35">
        <f xml:space="preserve"> 0.0000000000330128*((Sheet3!CK98+273)^(4)) - 0.0000000448315*((Sheet3!CK98+273)^(3)) + 0.0000228887*((Sheet3!CK98+273)^(2)) - 0.00521331*((Sheet3!CK98+273)) + 0.447905</f>
        <v>1.2080946841077633E-3</v>
      </c>
      <c r="P98" s="35">
        <f xml:space="preserve"> 0.0000000000330128*((Sheet3!CL98+273)^(4)) - 0.0000000448315*((Sheet3!CL98+273)^(3)) + 0.0000228887*((Sheet3!CL98+273)^(2)) - 0.00521331*((Sheet3!CL98+273)) + 0.447905</f>
        <v>1.2463286427637499E-3</v>
      </c>
      <c r="Q98" s="35">
        <f xml:space="preserve"> 0.0000000000330128*((Sheet3!CM98+273)^(4)) - 0.0000000448315*((Sheet3!CM98+273)^(3)) + 0.0000228887*((Sheet3!CM98+273)^(2)) - 0.00521331*((Sheet3!CM98+273)) + 0.447905</f>
        <v>1.2847340999195822E-3</v>
      </c>
      <c r="R98" s="35">
        <f xml:space="preserve"> 0.0000000000330128*((Sheet3!CN98+273)^(4)) - 0.0000000448315*((Sheet3!CN98+273)^(3)) + 0.0000228887*((Sheet3!CN98+273)^(2)) - 0.00521331*((Sheet3!CN98+273)) + 0.447905</f>
        <v>1.3242520854621631E-3</v>
      </c>
      <c r="S98" s="35">
        <f xml:space="preserve"> 0.0000000000330128*((Sheet3!CO98+273)^(4)) - 0.0000000448315*((Sheet3!CO98+273)^(3)) + 0.0000228887*((Sheet3!CO98+273)^(2)) - 0.00521331*((Sheet3!CO98+273)) + 0.447905</f>
        <v>1.365989091857589E-3</v>
      </c>
      <c r="T98" s="35">
        <f xml:space="preserve"> 0.0000000000330128*((Sheet3!CP98+273)^(4)) - 0.0000000448315*((Sheet3!CP98+273)^(3)) + 0.0000228887*((Sheet3!CP98+273)^(2)) - 0.00521331*((Sheet3!CP98+273)) + 0.447905</f>
        <v>1.4112327886250942E-3</v>
      </c>
      <c r="U98" s="289">
        <f>(Sheet3!DC98*0.014*0.001*C98) / (L98*0.00015*3600*3)</f>
        <v>3703.9699938527137</v>
      </c>
      <c r="V98" s="35">
        <f>(Sheet3!$DC98*0.014*0.001*D98) / (M98*0.00015*3600*3)</f>
        <v>4793.610339257918</v>
      </c>
      <c r="W98" s="35">
        <f>(Sheet3!$DC98*0.014*0.001*E98) / (N98*0.00015*3600*3)</f>
        <v>4631.8323612474169</v>
      </c>
      <c r="X98" s="35">
        <f>(Sheet3!$DC98*0.014*0.001*F98) / (O98*0.00015*3600*3)</f>
        <v>4485.1442856828598</v>
      </c>
      <c r="Y98" s="35">
        <f>(Sheet3!$DC98*0.014*0.001*G98) / (P98*0.00015*3600*3)</f>
        <v>4349.5941434522811</v>
      </c>
      <c r="Z98" s="35">
        <f>(Sheet3!$DC98*0.014*0.001*H98) / (Q98*0.00015*3600*3)</f>
        <v>4221.4765748715199</v>
      </c>
      <c r="AA98" s="35">
        <f>(Sheet3!$DC98*0.014*0.001*I98) / (R98*0.00015*3600*3)</f>
        <v>4097.3289384010841</v>
      </c>
      <c r="AB98" s="35">
        <f>(Sheet3!$DC98*0.014*0.001*J98) / (S98*0.00015*3600*3)</f>
        <v>3973.9352564447499</v>
      </c>
      <c r="AC98" s="35">
        <f>(Sheet3!$DC98*0.014*0.001*K98) / (T98*0.00015*3600*3)</f>
        <v>3848.3419663883851</v>
      </c>
      <c r="AD98" s="289">
        <f t="shared" si="75"/>
        <v>0.58598790290893377</v>
      </c>
      <c r="AE98" s="35">
        <f>_xlfn.FORECAST.LINEAR(Sheet3!CI98,$DA$3:$DA$12,$CZ$3:$CZ$12)/1000</f>
        <v>0.5960994906824344</v>
      </c>
      <c r="AF98" s="35">
        <f>_xlfn.FORECAST.LINEAR(Sheet3!CJ98,$DA$3:$DA$12,$CZ$3:$CZ$12)/1000</f>
        <v>0.59469582617316652</v>
      </c>
      <c r="AG98" s="35">
        <f>_xlfn.FORECAST.LINEAR(Sheet3!CK98,$DA$3:$DA$12,$CZ$3:$CZ$12)/1000</f>
        <v>0.59339855884510684</v>
      </c>
      <c r="AH98" s="35">
        <f>_xlfn.FORECAST.LINEAR(Sheet3!CL98,$DA$3:$DA$12,$CZ$3:$CZ$12)/1000</f>
        <v>0.59217696869088077</v>
      </c>
      <c r="AI98" s="35">
        <f>_xlfn.FORECAST.LINEAR(Sheet3!CM98,$DA$3:$DA$12,$CZ$3:$CZ$12)/1000</f>
        <v>0.59100033570311372</v>
      </c>
      <c r="AJ98" s="35">
        <f>_xlfn.FORECAST.LINEAR(Sheet3!CN98,$DA$3:$DA$12,$CZ$3:$CZ$12)/1000</f>
        <v>0.58983793987443101</v>
      </c>
      <c r="AK98" s="35">
        <f>_xlfn.FORECAST.LINEAR(Sheet3!CO98,$DA$3:$DA$12,$CZ$3:$CZ$12)/1000</f>
        <v>0.58865906119745814</v>
      </c>
      <c r="AL98" s="35">
        <f>_xlfn.FORECAST.LINEAR(Sheet3!CP98,$DA$3:$DA$12,$CZ$3:$CZ$12)/1000</f>
        <v>0.58743297966482066</v>
      </c>
      <c r="AM98" s="289">
        <f t="shared" si="76"/>
        <v>4189.0057711607706</v>
      </c>
      <c r="AN98" s="35">
        <f>_xlfn.FORECAST.LINEAR(Sheet3!CI98,$DP$3:$DP$14,$DJ$3:$DJ$14)*1000</f>
        <v>4189.8956048362488</v>
      </c>
      <c r="AO98" s="35">
        <f>_xlfn.FORECAST.LINEAR(Sheet3!CJ98,$DP$3:$DP$14,$DJ$3:$DJ$14)*1000</f>
        <v>4189.7720804227338</v>
      </c>
      <c r="AP98" s="35">
        <f>_xlfn.FORECAST.LINEAR(Sheet3!CK98,$DP$3:$DP$14,$DJ$3:$DJ$14)*1000</f>
        <v>4189.6579191079672</v>
      </c>
      <c r="AQ98" s="35">
        <f>_xlfn.FORECAST.LINEAR(Sheet3!CL98,$DP$3:$DP$14,$DJ$3:$DJ$14)*1000</f>
        <v>4189.550417488912</v>
      </c>
      <c r="AR98" s="35">
        <f>_xlfn.FORECAST.LINEAR(Sheet3!CM98,$DP$3:$DP$14,$DJ$3:$DJ$14)*1000</f>
        <v>4189.4468721625362</v>
      </c>
      <c r="AS98" s="35">
        <f>_xlfn.FORECAST.LINEAR(Sheet3!CN98,$DP$3:$DP$14,$DJ$3:$DJ$14)*1000</f>
        <v>4189.3445797258028</v>
      </c>
      <c r="AT98" s="35">
        <f>_xlfn.FORECAST.LINEAR(Sheet3!CO98,$DP$3:$DP$14,$DJ$3:$DJ$14)*1000</f>
        <v>4189.2408367756771</v>
      </c>
      <c r="AU98" s="35">
        <f>_xlfn.FORECAST.LINEAR(Sheet3!CP98,$DP$3:$DP$14,$DJ$3:$DJ$14)*1000</f>
        <v>4189.1329399091255</v>
      </c>
      <c r="AV98" s="289">
        <f t="shared" si="77"/>
        <v>1.3949070694851523E-7</v>
      </c>
      <c r="AW98" s="35">
        <f t="shared" si="78"/>
        <v>1.4241965295293952E-7</v>
      </c>
      <c r="AX98" s="35">
        <f t="shared" si="79"/>
        <v>1.4201176290707964E-7</v>
      </c>
      <c r="AY98" s="35">
        <f t="shared" si="80"/>
        <v>1.4163516485686951E-7</v>
      </c>
      <c r="AZ98" s="35">
        <f t="shared" si="81"/>
        <v>1.4128086400228997E-7</v>
      </c>
      <c r="BA98" s="35">
        <f t="shared" si="82"/>
        <v>1.4093990258838951E-7</v>
      </c>
      <c r="BB98" s="35">
        <f t="shared" si="83"/>
        <v>1.4060335582313351E-7</v>
      </c>
      <c r="BC98" s="35">
        <f t="shared" si="84"/>
        <v>1.402623298304128E-7</v>
      </c>
      <c r="BD98" s="35">
        <f t="shared" si="85"/>
        <v>1.3990796161773369E-7</v>
      </c>
      <c r="BE98" s="289">
        <f t="shared" si="131"/>
        <v>10.487399858331981</v>
      </c>
      <c r="BF98" s="35">
        <f t="shared" si="86"/>
        <v>7.9368452089273855</v>
      </c>
      <c r="BG98" s="35">
        <f t="shared" si="87"/>
        <v>8.2376514186337815</v>
      </c>
      <c r="BH98" s="35">
        <f t="shared" si="88"/>
        <v>8.5296861356643756</v>
      </c>
      <c r="BI98" s="35">
        <f t="shared" si="89"/>
        <v>8.8175612387670128</v>
      </c>
      <c r="BJ98" s="35">
        <f t="shared" si="90"/>
        <v>9.1071441610355208</v>
      </c>
      <c r="BK98" s="35">
        <f t="shared" si="91"/>
        <v>9.4055467127166299</v>
      </c>
      <c r="BL98" s="35">
        <f t="shared" si="92"/>
        <v>9.7211742134050123</v>
      </c>
      <c r="BM98" s="35">
        <f t="shared" si="93"/>
        <v>10.063857436268545</v>
      </c>
      <c r="BN98" s="289">
        <f t="shared" si="94"/>
        <v>1.1032855446567453E-3</v>
      </c>
      <c r="BO98" s="35">
        <f t="shared" si="95"/>
        <v>1.1264517028794156E-3</v>
      </c>
      <c r="BP98" s="35">
        <f t="shared" si="96"/>
        <v>1.1232255439384284E-3</v>
      </c>
      <c r="BQ98" s="35">
        <f t="shared" si="97"/>
        <v>1.1202468854024437E-3</v>
      </c>
      <c r="BR98" s="35">
        <f t="shared" si="98"/>
        <v>1.1174445839454629E-3</v>
      </c>
      <c r="BS98" s="35">
        <f t="shared" si="99"/>
        <v>1.1147477892451466E-3</v>
      </c>
      <c r="BT98" s="35">
        <f t="shared" si="100"/>
        <v>1.1120859116955191E-3</v>
      </c>
      <c r="BU98" s="35">
        <f t="shared" si="101"/>
        <v>1.1093886062165255E-3</v>
      </c>
      <c r="BV98" s="35">
        <f t="shared" si="102"/>
        <v>1.1065857719984792E-3</v>
      </c>
      <c r="BW98" s="289">
        <f t="shared" si="103"/>
        <v>4.6274351052878075E-2</v>
      </c>
      <c r="BX98" s="35">
        <f t="shared" si="104"/>
        <v>4.3385191605734001E-2</v>
      </c>
      <c r="BY98" s="35">
        <f t="shared" si="105"/>
        <v>4.3759161716518002E-2</v>
      </c>
      <c r="BZ98" s="35">
        <f t="shared" si="106"/>
        <v>4.4112644828519926E-2</v>
      </c>
      <c r="CA98" s="35">
        <f t="shared" si="107"/>
        <v>4.4452379984696221E-2</v>
      </c>
      <c r="CB98" s="35">
        <f t="shared" si="108"/>
        <v>4.4785879368094278E-2</v>
      </c>
      <c r="CC98" s="35">
        <f t="shared" si="109"/>
        <v>4.5121340564701427E-2</v>
      </c>
      <c r="CD98" s="35">
        <f t="shared" si="110"/>
        <v>4.5467597323989799E-2</v>
      </c>
      <c r="CE98" s="35">
        <f t="shared" si="111"/>
        <v>4.5834108417491443E-2</v>
      </c>
      <c r="CF98" s="289">
        <f t="shared" si="112"/>
        <v>35.184945140232571</v>
      </c>
      <c r="CG98" s="35">
        <f t="shared" si="113"/>
        <v>43.128681266419051</v>
      </c>
      <c r="CH98" s="35">
        <f t="shared" si="114"/>
        <v>42.048427531691161</v>
      </c>
      <c r="CI98" s="35">
        <f t="shared" si="115"/>
        <v>41.042014806119852</v>
      </c>
      <c r="CJ98" s="35">
        <f t="shared" si="116"/>
        <v>40.087987932129003</v>
      </c>
      <c r="CK98" s="35">
        <f t="shared" si="117"/>
        <v>39.163916879041089</v>
      </c>
      <c r="CL98" s="35">
        <f t="shared" si="118"/>
        <v>38.24666191507788</v>
      </c>
      <c r="CM98" s="35">
        <f t="shared" si="119"/>
        <v>37.312570502568541</v>
      </c>
      <c r="CN98" s="35">
        <f t="shared" si="120"/>
        <v>36.337632297876453</v>
      </c>
      <c r="CO98" s="289">
        <f t="shared" si="121"/>
        <v>1472.7108726207689</v>
      </c>
      <c r="CP98" s="35">
        <f t="shared" si="122"/>
        <v>1836.356066908389</v>
      </c>
      <c r="CQ98" s="35">
        <f t="shared" si="123"/>
        <v>1786.1445964458283</v>
      </c>
      <c r="CR98" s="35">
        <f t="shared" si="124"/>
        <v>1739.5908884322184</v>
      </c>
      <c r="CS98" s="35">
        <f t="shared" si="125"/>
        <v>1695.6559410403402</v>
      </c>
      <c r="CT98" s="35">
        <f t="shared" si="126"/>
        <v>1653.277715925866</v>
      </c>
      <c r="CU98" s="35">
        <f t="shared" si="127"/>
        <v>1611.3808765045283</v>
      </c>
      <c r="CV98" s="35">
        <f t="shared" si="128"/>
        <v>1568.8844802075689</v>
      </c>
      <c r="CW98" s="35">
        <f t="shared" si="129"/>
        <v>1524.7088296218708</v>
      </c>
    </row>
    <row r="99" spans="1:101" x14ac:dyDescent="0.3">
      <c r="A99" s="184" t="str">
        <f>'Su K. oro stendu'!B144</f>
        <v>2023.02.28-2</v>
      </c>
      <c r="B99" s="289">
        <f>Sheet3!DD99</f>
        <v>6.39</v>
      </c>
      <c r="C99" s="289">
        <f>_xlfn.FORECAST.LINEAR(Sheet3!DD99,$DW$3:$DW$24,$DU$3:$DU$24)</f>
        <v>1002.692428599894</v>
      </c>
      <c r="D99" s="35">
        <f>_xlfn.FORECAST.LINEAR(Sheet3!CI99,'Cooling water'!$DW$3:$DW$24,'Cooling water'!$DU$3:$DU$24)</f>
        <v>998.51317500144569</v>
      </c>
      <c r="E99" s="35">
        <f>_xlfn.FORECAST.LINEAR(Sheet3!CJ99,'Cooling water'!$DW$3:$DW$24,'Cooling water'!$DU$3:$DU$24)</f>
        <v>999.12392652256597</v>
      </c>
      <c r="F99" s="35">
        <f>_xlfn.FORECAST.LINEAR(Sheet3!CK99,'Cooling water'!$DW$3:$DW$24,'Cooling water'!$DU$3:$DU$24)</f>
        <v>999.67477775252109</v>
      </c>
      <c r="G99" s="35">
        <f>_xlfn.FORECAST.LINEAR(Sheet3!CL99,'Cooling water'!$DW$3:$DW$24,'Cooling water'!$DU$3:$DU$24)</f>
        <v>1000.1820016506313</v>
      </c>
      <c r="H99" s="35">
        <f>_xlfn.FORECAST.LINEAR(Sheet3!CM99,'Cooling water'!$DW$3:$DW$24,'Cooling water'!$DU$3:$DU$24)</f>
        <v>1000.6618711762168</v>
      </c>
      <c r="I99" s="35">
        <f>_xlfn.FORECAST.LINEAR(Sheet3!CN99,'Cooling water'!$DW$3:$DW$24,'Cooling water'!$DU$3:$DU$24)</f>
        <v>1001.1306592885978</v>
      </c>
      <c r="J99" s="35">
        <f>_xlfn.FORECAST.LINEAR(Sheet3!CO99,'Cooling water'!$DW$3:$DW$24,'Cooling water'!$DU$3:$DU$24)</f>
        <v>1001.6046389470947</v>
      </c>
      <c r="K99" s="35">
        <f>_xlfn.FORECAST.LINEAR(Sheet3!CP99,'Cooling water'!$DW$3:$DW$24,'Cooling water'!$DU$3:$DU$24)</f>
        <v>1002.1000831110275</v>
      </c>
      <c r="L99" s="289">
        <f t="shared" si="130"/>
        <v>1.4517758546166437E-3</v>
      </c>
      <c r="M99" s="35">
        <f xml:space="preserve"> 0.0000000000330128*((Sheet3!CI99+273)^(4)) - 0.0000000448315*((Sheet3!CI99+273)^(3)) + 0.0000228887*((Sheet3!CI99+273)^(2)) - 0.00521331*((Sheet3!CI99+273)) + 0.447905</f>
        <v>1.0978756461281769E-3</v>
      </c>
      <c r="N99" s="35">
        <f xml:space="preserve"> 0.0000000000330128*((Sheet3!CJ99+273)^(4)) - 0.0000000448315*((Sheet3!CJ99+273)^(3)) + 0.0000228887*((Sheet3!CJ99+273)^(2)) - 0.00521331*((Sheet3!CJ99+273)) + 0.447905</f>
        <v>1.1415611879637133E-3</v>
      </c>
      <c r="O99" s="35">
        <f xml:space="preserve"> 0.0000000000330128*((Sheet3!CK99+273)^(4)) - 0.0000000448315*((Sheet3!CK99+273)^(3)) + 0.0000228887*((Sheet3!CK99+273)^(2)) - 0.00521331*((Sheet3!CK99+273)) + 0.447905</f>
        <v>1.1831291251214182E-3</v>
      </c>
      <c r="P99" s="35">
        <f xml:space="preserve"> 0.0000000000330128*((Sheet3!CL99+273)^(4)) - 0.0000000448315*((Sheet3!CL99+273)^(3)) + 0.0000228887*((Sheet3!CL99+273)^(2)) - 0.00521331*((Sheet3!CL99+273)) + 0.447905</f>
        <v>1.2233086757924561E-3</v>
      </c>
      <c r="Q99" s="35">
        <f xml:space="preserve"> 0.0000000000330128*((Sheet3!CM99+273)^(4)) - 0.0000000448315*((Sheet3!CM99+273)^(3)) + 0.0000228887*((Sheet3!CM99+273)^(2)) - 0.00521331*((Sheet3!CM99+273)) + 0.447905</f>
        <v>1.2630736061527426E-3</v>
      </c>
      <c r="R99" s="35">
        <f xml:space="preserve"> 0.0000000000330128*((Sheet3!CN99+273)^(4)) - 0.0000000448315*((Sheet3!CN99+273)^(3)) + 0.0000228887*((Sheet3!CN99+273)^(2)) - 0.00521331*((Sheet3!CN99+273)) + 0.447905</f>
        <v>1.3036307933367297E-3</v>
      </c>
      <c r="S99" s="35">
        <f xml:space="preserve"> 0.0000000000330128*((Sheet3!CO99+273)^(4)) - 0.0000000448315*((Sheet3!CO99+273)^(3)) + 0.0000228887*((Sheet3!CO99+273)^(2)) - 0.00521331*((Sheet3!CO99+273)) + 0.447905</f>
        <v>1.3464214460245927E-3</v>
      </c>
      <c r="T99" s="35">
        <f xml:space="preserve"> 0.0000000000330128*((Sheet3!CP99+273)^(4)) - 0.0000000448315*((Sheet3!CP99+273)^(3)) + 0.0000228887*((Sheet3!CP99+273)^(2)) - 0.00521331*((Sheet3!CP99+273)) + 0.447905</f>
        <v>1.3931405017613141E-3</v>
      </c>
      <c r="U99" s="289">
        <f>(Sheet3!DC99*0.014*0.001*C99) / (L99*0.00015*3600*3)</f>
        <v>4333.2905355490702</v>
      </c>
      <c r="V99" s="35">
        <f>(Sheet3!$DC99*0.014*0.001*D99) / (M99*0.00015*3600*3)</f>
        <v>5706.2433673536025</v>
      </c>
      <c r="W99" s="35">
        <f>(Sheet3!$DC99*0.014*0.001*E99) / (N99*0.00015*3600*3)</f>
        <v>5491.2321742157719</v>
      </c>
      <c r="X99" s="35">
        <f>(Sheet3!$DC99*0.014*0.001*F99) / (O99*0.00015*3600*3)</f>
        <v>5301.2249233228786</v>
      </c>
      <c r="Y99" s="35">
        <f>(Sheet3!$DC99*0.014*0.001*G99) / (P99*0.00015*3600*3)</f>
        <v>5129.7077263403462</v>
      </c>
      <c r="Z99" s="35">
        <f>(Sheet3!$DC99*0.014*0.001*H99) / (Q99*0.00015*3600*3)</f>
        <v>4970.5944865591073</v>
      </c>
      <c r="AA99" s="35">
        <f>(Sheet3!$DC99*0.014*0.001*I99) / (R99*0.00015*3600*3)</f>
        <v>4818.2107589881416</v>
      </c>
      <c r="AB99" s="35">
        <f>(Sheet3!$DC99*0.014*0.001*J99) / (S99*0.00015*3600*3)</f>
        <v>4667.2917430457437</v>
      </c>
      <c r="AC99" s="35">
        <f>(Sheet3!$DC99*0.014*0.001*K99) / (T99*0.00015*3600*3)</f>
        <v>4513.0050724428393</v>
      </c>
      <c r="AD99" s="289">
        <f t="shared" si="75"/>
        <v>0.58637636223762346</v>
      </c>
      <c r="AE99" s="35">
        <f>_xlfn.FORECAST.LINEAR(Sheet3!CI99,$DA$3:$DA$12,$CZ$3:$CZ$12)/1000</f>
        <v>0.59724691855571332</v>
      </c>
      <c r="AF99" s="35">
        <f>_xlfn.FORECAST.LINEAR(Sheet3!CJ99,$DA$3:$DA$12,$CZ$3:$CZ$12)/1000</f>
        <v>0.59565830741970527</v>
      </c>
      <c r="AG99" s="35">
        <f>_xlfn.FORECAST.LINEAR(Sheet3!CK99,$DA$3:$DA$12,$CZ$3:$CZ$12)/1000</f>
        <v>0.59422550149466169</v>
      </c>
      <c r="AH99" s="35">
        <f>_xlfn.FORECAST.LINEAR(Sheet3!CL99,$DA$3:$DA$12,$CZ$3:$CZ$12)/1000</f>
        <v>0.59290617357631403</v>
      </c>
      <c r="AI99" s="35">
        <f>_xlfn.FORECAST.LINEAR(Sheet3!CM99,$DA$3:$DA$12,$CZ$3:$CZ$12)/1000</f>
        <v>0.5916579964603933</v>
      </c>
      <c r="AJ99" s="35">
        <f>_xlfn.FORECAST.LINEAR(Sheet3!CN99,$DA$3:$DA$12,$CZ$3:$CZ$12)/1000</f>
        <v>0.59043864294263082</v>
      </c>
      <c r="AK99" s="35">
        <f>_xlfn.FORECAST.LINEAR(Sheet3!CO99,$DA$3:$DA$12,$CZ$3:$CZ$12)/1000</f>
        <v>0.58920578581875793</v>
      </c>
      <c r="AL99" s="35">
        <f>_xlfn.FORECAST.LINEAR(Sheet3!CP99,$DA$3:$DA$12,$CZ$3:$CZ$12)/1000</f>
        <v>0.58791709788450575</v>
      </c>
      <c r="AM99" s="289">
        <f t="shared" si="76"/>
        <v>4189.039956117671</v>
      </c>
      <c r="AN99" s="35">
        <f>_xlfn.FORECAST.LINEAR(Sheet3!CI99,$DP$3:$DP$14,$DJ$3:$DJ$14)*1000</f>
        <v>4189.9965800722539</v>
      </c>
      <c r="AO99" s="35">
        <f>_xlfn.FORECAST.LINEAR(Sheet3!CJ99,$DP$3:$DP$14,$DJ$3:$DJ$14)*1000</f>
        <v>4189.8567801004083</v>
      </c>
      <c r="AP99" s="35">
        <f>_xlfn.FORECAST.LINEAR(Sheet3!CK99,$DP$3:$DP$14,$DJ$3:$DJ$14)*1000</f>
        <v>4189.7306912020977</v>
      </c>
      <c r="AQ99" s="35">
        <f>_xlfn.FORECAST.LINEAR(Sheet3!CL99,$DP$3:$DP$14,$DJ$3:$DJ$14)*1000</f>
        <v>4189.614588524948</v>
      </c>
      <c r="AR99" s="35">
        <f>_xlfn.FORECAST.LINEAR(Sheet3!CM99,$DP$3:$DP$14,$DJ$3:$DJ$14)*1000</f>
        <v>4189.5047472165807</v>
      </c>
      <c r="AS99" s="35">
        <f>_xlfn.FORECAST.LINEAR(Sheet3!CN99,$DP$3:$DP$14,$DJ$3:$DJ$14)*1000</f>
        <v>4189.3974424246207</v>
      </c>
      <c r="AT99" s="35">
        <f>_xlfn.FORECAST.LINEAR(Sheet3!CO99,$DP$3:$DP$14,$DJ$3:$DJ$14)*1000</f>
        <v>4189.2889492966924</v>
      </c>
      <c r="AU99" s="35">
        <f>_xlfn.FORECAST.LINEAR(Sheet3!CP99,$DP$3:$DP$14,$DJ$3:$DJ$14)*1000</f>
        <v>4189.175542980418</v>
      </c>
      <c r="AV99" s="289">
        <f t="shared" si="77"/>
        <v>1.3960282814310894E-7</v>
      </c>
      <c r="AW99" s="35">
        <f t="shared" si="78"/>
        <v>1.4275339634364327E-7</v>
      </c>
      <c r="AX99" s="35">
        <f t="shared" si="79"/>
        <v>1.4229140439058182E-7</v>
      </c>
      <c r="AY99" s="35">
        <f t="shared" si="80"/>
        <v>1.418751856694175E-7</v>
      </c>
      <c r="AZ99" s="35">
        <f t="shared" si="81"/>
        <v>1.4149231887197738E-7</v>
      </c>
      <c r="BA99" s="35">
        <f t="shared" si="82"/>
        <v>1.4113044137195658E-7</v>
      </c>
      <c r="BB99" s="35">
        <f t="shared" si="83"/>
        <v>1.4077724065825269E-7</v>
      </c>
      <c r="BC99" s="35">
        <f t="shared" si="84"/>
        <v>1.4042044964724445E-7</v>
      </c>
      <c r="BD99" s="35">
        <f t="shared" si="85"/>
        <v>1.4004784583098321E-7</v>
      </c>
      <c r="BE99" s="289">
        <f t="shared" si="131"/>
        <v>10.371405557871908</v>
      </c>
      <c r="BF99" s="35">
        <f t="shared" si="86"/>
        <v>7.7021664904455491</v>
      </c>
      <c r="BG99" s="35">
        <f t="shared" si="87"/>
        <v>8.0297342011535466</v>
      </c>
      <c r="BH99" s="35">
        <f t="shared" si="88"/>
        <v>8.3419381946885771</v>
      </c>
      <c r="BI99" s="35">
        <f t="shared" si="89"/>
        <v>8.6441870615967495</v>
      </c>
      <c r="BJ99" s="35">
        <f t="shared" si="90"/>
        <v>8.9437697127703988</v>
      </c>
      <c r="BK99" s="35">
        <f t="shared" si="91"/>
        <v>9.2497799335290587</v>
      </c>
      <c r="BL99" s="35">
        <f t="shared" si="92"/>
        <v>9.5731383171820283</v>
      </c>
      <c r="BM99" s="35">
        <f t="shared" si="93"/>
        <v>9.9267569167727245</v>
      </c>
      <c r="BN99" s="289">
        <f t="shared" si="94"/>
        <v>9.5360339682845532E-4</v>
      </c>
      <c r="BO99" s="35">
        <f t="shared" si="95"/>
        <v>9.7512439735495901E-4</v>
      </c>
      <c r="BP99" s="35">
        <f t="shared" si="96"/>
        <v>9.7196860816639629E-4</v>
      </c>
      <c r="BQ99" s="35">
        <f t="shared" si="97"/>
        <v>9.6912548821241498E-4</v>
      </c>
      <c r="BR99" s="35">
        <f t="shared" si="98"/>
        <v>9.6651018962979945E-4</v>
      </c>
      <c r="BS99" s="35">
        <f t="shared" si="99"/>
        <v>9.640382654012888E-4</v>
      </c>
      <c r="BT99" s="35">
        <f t="shared" si="100"/>
        <v>9.6162561083812294E-4</v>
      </c>
      <c r="BU99" s="35">
        <f t="shared" si="101"/>
        <v>9.5918843155901479E-4</v>
      </c>
      <c r="BV99" s="35">
        <f t="shared" si="102"/>
        <v>9.5664323767158377E-4</v>
      </c>
      <c r="BW99" s="289">
        <f t="shared" si="103"/>
        <v>4.4494133121049328E-2</v>
      </c>
      <c r="BX99" s="35">
        <f t="shared" si="104"/>
        <v>4.1535517842631306E-2</v>
      </c>
      <c r="BY99" s="35">
        <f t="shared" si="105"/>
        <v>4.1936265224428178E-2</v>
      </c>
      <c r="BZ99" s="35">
        <f t="shared" si="106"/>
        <v>4.2307089002470301E-2</v>
      </c>
      <c r="CA99" s="35">
        <f t="shared" si="107"/>
        <v>4.265638491057866E-2</v>
      </c>
      <c r="CB99" s="35">
        <f t="shared" si="108"/>
        <v>4.2993729376156427E-2</v>
      </c>
      <c r="CC99" s="35">
        <f t="shared" si="109"/>
        <v>4.3329707133779267E-2</v>
      </c>
      <c r="CD99" s="35">
        <f t="shared" si="110"/>
        <v>4.3675809669430257E-2</v>
      </c>
      <c r="CE99" s="35">
        <f t="shared" si="111"/>
        <v>4.4044404904268919E-2</v>
      </c>
      <c r="CF99" s="289">
        <f t="shared" si="112"/>
        <v>42.191080168408007</v>
      </c>
      <c r="CG99" s="35">
        <f t="shared" si="113"/>
        <v>51.506606732689406</v>
      </c>
      <c r="CH99" s="35">
        <f t="shared" si="114"/>
        <v>50.176384880581622</v>
      </c>
      <c r="CI99" s="35">
        <f t="shared" si="115"/>
        <v>48.965118223500255</v>
      </c>
      <c r="CJ99" s="35">
        <f t="shared" si="116"/>
        <v>47.84121335575766</v>
      </c>
      <c r="CK99" s="35">
        <f t="shared" si="117"/>
        <v>46.771253003667617</v>
      </c>
      <c r="CL99" s="35">
        <f t="shared" si="118"/>
        <v>45.720545741134806</v>
      </c>
      <c r="CM99" s="35">
        <f t="shared" si="119"/>
        <v>44.653512475074969</v>
      </c>
      <c r="CN99" s="35">
        <f t="shared" si="120"/>
        <v>43.533971849110266</v>
      </c>
      <c r="CO99" s="289">
        <f t="shared" si="121"/>
        <v>1767.1322934305019</v>
      </c>
      <c r="CP99" s="35">
        <f t="shared" si="122"/>
        <v>2197.2972968828358</v>
      </c>
      <c r="CQ99" s="35">
        <f t="shared" si="123"/>
        <v>2134.8557493147814</v>
      </c>
      <c r="CR99" s="35">
        <f t="shared" si="124"/>
        <v>2078.3087094360599</v>
      </c>
      <c r="CS99" s="35">
        <f t="shared" si="125"/>
        <v>2026.0964821435946</v>
      </c>
      <c r="CT99" s="35">
        <f t="shared" si="126"/>
        <v>1976.6132745780094</v>
      </c>
      <c r="CU99" s="35">
        <f t="shared" si="127"/>
        <v>1928.2269272851509</v>
      </c>
      <c r="CV99" s="35">
        <f t="shared" si="128"/>
        <v>1879.2934219603042</v>
      </c>
      <c r="CW99" s="35">
        <f t="shared" si="129"/>
        <v>1828.1690277796199</v>
      </c>
    </row>
    <row r="100" spans="1:101" x14ac:dyDescent="0.3">
      <c r="A100" s="184" t="str">
        <f>'Su K. oro stendu'!B145</f>
        <v>2023.03.01</v>
      </c>
      <c r="B100" s="289">
        <f>Sheet3!DD100</f>
        <v>6.35</v>
      </c>
      <c r="C100" s="289">
        <f>_xlfn.FORECAST.LINEAR(Sheet3!DD100,$DW$3:$DW$24,$DU$3:$DU$24)</f>
        <v>1002.7090225584303</v>
      </c>
      <c r="D100" s="35">
        <f>_xlfn.FORECAST.LINEAR(Sheet3!CI100,'Cooling water'!$DW$3:$DW$24,'Cooling water'!$DU$3:$DU$24)</f>
        <v>1000.1569945305162</v>
      </c>
      <c r="E100" s="35">
        <f>_xlfn.FORECAST.LINEAR(Sheet3!CJ100,'Cooling water'!$DW$3:$DW$24,'Cooling water'!$DU$3:$DU$24)</f>
        <v>1000.4986887037121</v>
      </c>
      <c r="F100" s="35">
        <f>_xlfn.FORECAST.LINEAR(Sheet3!CK100,'Cooling water'!$DW$3:$DW$24,'Cooling water'!$DU$3:$DU$24)</f>
        <v>1000.8082141339956</v>
      </c>
      <c r="G100" s="35">
        <f>_xlfn.FORECAST.LINEAR(Sheet3!CL100,'Cooling water'!$DW$3:$DW$24,'Cooling water'!$DU$3:$DU$24)</f>
        <v>1001.0977451084071</v>
      </c>
      <c r="H100" s="35">
        <f>_xlfn.FORECAST.LINEAR(Sheet3!CM100,'Cooling water'!$DW$3:$DW$24,'Cooling water'!$DU$3:$DU$24)</f>
        <v>1001.3794559139865</v>
      </c>
      <c r="I100" s="35">
        <f>_xlfn.FORECAST.LINEAR(Sheet3!CN100,'Cooling water'!$DW$3:$DW$24,'Cooling water'!$DU$3:$DU$24)</f>
        <v>1001.6655208377738</v>
      </c>
      <c r="J100" s="35">
        <f>_xlfn.FORECAST.LINEAR(Sheet3!CO100,'Cooling water'!$DW$3:$DW$24,'Cooling water'!$DU$3:$DU$24)</f>
        <v>1001.9681141668094</v>
      </c>
      <c r="K100" s="35">
        <f>_xlfn.FORECAST.LINEAR(Sheet3!CP100,'Cooling water'!$DW$3:$DW$24,'Cooling water'!$DU$3:$DU$24)</f>
        <v>1002.2994101881332</v>
      </c>
      <c r="L100" s="289">
        <f t="shared" si="130"/>
        <v>1.4534632614298104E-3</v>
      </c>
      <c r="M100" s="35">
        <f xml:space="preserve"> 0.0000000000330128*((Sheet3!CI100+273)^(4)) - 0.0000000448315*((Sheet3!CI100+273)^(3)) + 0.0000228887*((Sheet3!CI100+273)^(2)) - 0.00521331*((Sheet3!CI100+273)) + 0.447905</f>
        <v>1.221283745840962E-3</v>
      </c>
      <c r="N100" s="35">
        <f xml:space="preserve"> 0.0000000000330128*((Sheet3!CJ100+273)^(4)) - 0.0000000448315*((Sheet3!CJ100+273)^(3)) + 0.0000228887*((Sheet3!CJ100+273)^(2)) - 0.00521331*((Sheet3!CJ100+273)) + 0.447905</f>
        <v>1.2493558662418636E-3</v>
      </c>
      <c r="O100" s="35">
        <f xml:space="preserve"> 0.0000000000330128*((Sheet3!CK100+273)^(4)) - 0.0000000448315*((Sheet3!CK100+273)^(3)) + 0.0000228887*((Sheet3!CK100+273)^(2)) - 0.00521331*((Sheet3!CK100+273)) + 0.447905</f>
        <v>1.2755499415468829E-3</v>
      </c>
      <c r="P100" s="35">
        <f xml:space="preserve"> 0.0000000000330128*((Sheet3!CL100+273)^(4)) - 0.0000000448315*((Sheet3!CL100+273)^(3)) + 0.0000228887*((Sheet3!CL100+273)^(2)) - 0.00521331*((Sheet3!CL100+273)) + 0.447905</f>
        <v>1.3007266953724006E-3</v>
      </c>
      <c r="Q100" s="35">
        <f xml:space="preserve"> 0.0000000000330128*((Sheet3!CM100+273)^(4)) - 0.0000000448315*((Sheet3!CM100+273)^(3)) + 0.0000228887*((Sheet3!CM100+273)^(2)) - 0.00521331*((Sheet3!CM100+273)) + 0.447905</f>
        <v>1.3258641188689246E-3</v>
      </c>
      <c r="R100" s="35">
        <f xml:space="preserve"> 0.0000000000330128*((Sheet3!CN100+273)^(4)) - 0.0000000448315*((Sheet3!CN100+273)^(3)) + 0.0000228887*((Sheet3!CN100+273)^(2)) - 0.00521331*((Sheet3!CN100+273)) + 0.447905</f>
        <v>1.3520512873772539E-3</v>
      </c>
      <c r="S100" s="35">
        <f xml:space="preserve"> 0.0000000000330128*((Sheet3!CO100+273)^(4)) - 0.0000000448315*((Sheet3!CO100+273)^(3)) + 0.0000228887*((Sheet3!CO100+273)^(2)) - 0.00521331*((Sheet3!CO100+273)) + 0.447905</f>
        <v>1.3804930932990178E-3</v>
      </c>
      <c r="T100" s="35">
        <f xml:space="preserve"> 0.0000000000330128*((Sheet3!CP100+273)^(4)) - 0.0000000448315*((Sheet3!CP100+273)^(3)) + 0.0000228887*((Sheet3!CP100+273)^(2)) - 0.00521331*((Sheet3!CP100+273)) + 0.447905</f>
        <v>1.4125278120562523E-3</v>
      </c>
      <c r="U100" s="289">
        <f>(Sheet3!DC100*0.014*0.001*C100) / (L100*0.00015*3600*3)</f>
        <v>7386.7804577700053</v>
      </c>
      <c r="V100" s="35">
        <f>(Sheet3!$DC100*0.014*0.001*D100) / (M100*0.00015*3600*3)</f>
        <v>8768.7144353437907</v>
      </c>
      <c r="W100" s="35">
        <f>(Sheet3!$DC100*0.014*0.001*E100) / (N100*0.00015*3600*3)</f>
        <v>8574.6162162363744</v>
      </c>
      <c r="X100" s="35">
        <f>(Sheet3!$DC100*0.014*0.001*F100) / (O100*0.00015*3600*3)</f>
        <v>8401.1303174981585</v>
      </c>
      <c r="Y100" s="35">
        <f>(Sheet3!$DC100*0.014*0.001*G100) / (P100*0.00015*3600*3)</f>
        <v>8240.9021431236906</v>
      </c>
      <c r="Z100" s="35">
        <f>(Sheet3!$DC100*0.014*0.001*H100) / (Q100*0.00015*3600*3)</f>
        <v>8086.93564543096</v>
      </c>
      <c r="AA100" s="35">
        <f>(Sheet3!$DC100*0.014*0.001*I100) / (R100*0.00015*3600*3)</f>
        <v>7932.5695095251103</v>
      </c>
      <c r="AB100" s="35">
        <f>(Sheet3!$DC100*0.014*0.001*J100) / (S100*0.00015*3600*3)</f>
        <v>7771.4845946657078</v>
      </c>
      <c r="AC100" s="35">
        <f>(Sheet3!$DC100*0.014*0.001*K100) / (T100*0.00015*3600*3)</f>
        <v>7597.7464213363764</v>
      </c>
      <c r="AD100" s="289">
        <f t="shared" si="75"/>
        <v>0.58633320008999124</v>
      </c>
      <c r="AE100" s="35">
        <f>_xlfn.FORECAST.LINEAR(Sheet3!CI100,$DA$3:$DA$12,$CZ$3:$CZ$12)/1000</f>
        <v>0.59297121899678484</v>
      </c>
      <c r="AF100" s="35">
        <f>_xlfn.FORECAST.LINEAR(Sheet3!CJ100,$DA$3:$DA$12,$CZ$3:$CZ$12)/1000</f>
        <v>0.59208244647657493</v>
      </c>
      <c r="AG100" s="35">
        <f>_xlfn.FORECAST.LINEAR(Sheet3!CK100,$DA$3:$DA$12,$CZ$3:$CZ$12)/1000</f>
        <v>0.59127734730216053</v>
      </c>
      <c r="AH100" s="35">
        <f>_xlfn.FORECAST.LINEAR(Sheet3!CL100,$DA$3:$DA$12,$CZ$3:$CZ$12)/1000</f>
        <v>0.59052425522745611</v>
      </c>
      <c r="AI100" s="35">
        <f>_xlfn.FORECAST.LINEAR(Sheet3!CM100,$DA$3:$DA$12,$CZ$3:$CZ$12)/1000</f>
        <v>0.58979150400637648</v>
      </c>
      <c r="AJ100" s="35">
        <f>_xlfn.FORECAST.LINEAR(Sheet3!CN100,$DA$3:$DA$12,$CZ$3:$CZ$12)/1000</f>
        <v>0.58904742739283589</v>
      </c>
      <c r="AK100" s="35">
        <f>_xlfn.FORECAST.LINEAR(Sheet3!CO100,$DA$3:$DA$12,$CZ$3:$CZ$12)/1000</f>
        <v>0.58826035914074881</v>
      </c>
      <c r="AL100" s="35">
        <f>_xlfn.FORECAST.LINEAR(Sheet3!CP100,$DA$3:$DA$12,$CZ$3:$CZ$12)/1000</f>
        <v>0.58739863300402984</v>
      </c>
      <c r="AM100" s="289">
        <f t="shared" si="76"/>
        <v>4189.0361577891254</v>
      </c>
      <c r="AN100" s="35">
        <f>_xlfn.FORECAST.LINEAR(Sheet3!CI100,$DP$3:$DP$14,$DJ$3:$DJ$14)*1000</f>
        <v>4189.6203126116943</v>
      </c>
      <c r="AO100" s="35">
        <f>_xlfn.FORECAST.LINEAR(Sheet3!CJ100,$DP$3:$DP$14,$DJ$3:$DJ$14)*1000</f>
        <v>4189.5420994036376</v>
      </c>
      <c r="AP100" s="35">
        <f>_xlfn.FORECAST.LINEAR(Sheet3!CK100,$DP$3:$DP$14,$DJ$3:$DJ$14)*1000</f>
        <v>4189.4712495654576</v>
      </c>
      <c r="AQ100" s="35">
        <f>_xlfn.FORECAST.LINEAR(Sheet3!CL100,$DP$3:$DP$14,$DJ$3:$DJ$14)*1000</f>
        <v>4189.4049764238089</v>
      </c>
      <c r="AR100" s="35">
        <f>_xlfn.FORECAST.LINEAR(Sheet3!CM100,$DP$3:$DP$14,$DJ$3:$DJ$14)*1000</f>
        <v>4189.3404933053434</v>
      </c>
      <c r="AS100" s="35">
        <f>_xlfn.FORECAST.LINEAR(Sheet3!CN100,$DP$3:$DP$14,$DJ$3:$DJ$14)*1000</f>
        <v>4189.2750135367169</v>
      </c>
      <c r="AT100" s="35">
        <f>_xlfn.FORECAST.LINEAR(Sheet3!CO100,$DP$3:$DP$14,$DJ$3:$DJ$14)*1000</f>
        <v>4189.2057504445793</v>
      </c>
      <c r="AU100" s="35">
        <f>_xlfn.FORECAST.LINEAR(Sheet3!CP100,$DP$3:$DP$14,$DJ$3:$DJ$14)*1000</f>
        <v>4189.1299173555863</v>
      </c>
      <c r="AV100" s="289">
        <f t="shared" si="77"/>
        <v>1.3959036865687938E-7</v>
      </c>
      <c r="AW100" s="35">
        <f t="shared" si="78"/>
        <v>1.4151118624921405E-7</v>
      </c>
      <c r="AX100" s="35">
        <f t="shared" si="79"/>
        <v>1.4125346273640032E-7</v>
      </c>
      <c r="AY100" s="35">
        <f t="shared" si="80"/>
        <v>1.4102014772643748E-7</v>
      </c>
      <c r="AZ100" s="35">
        <f t="shared" si="81"/>
        <v>1.4080202899028712E-7</v>
      </c>
      <c r="BA100" s="35">
        <f t="shared" si="82"/>
        <v>1.4058991727617894E-7</v>
      </c>
      <c r="BB100" s="35">
        <f t="shared" si="83"/>
        <v>1.4037464382375009E-7</v>
      </c>
      <c r="BC100" s="35">
        <f t="shared" si="84"/>
        <v>1.4014706001654978E-7</v>
      </c>
      <c r="BD100" s="35">
        <f t="shared" si="85"/>
        <v>1.3989803915965333E-7</v>
      </c>
      <c r="BE100" s="289">
        <f t="shared" si="131"/>
        <v>10.38421524691608</v>
      </c>
      <c r="BF100" s="35">
        <f t="shared" si="86"/>
        <v>8.6289435728339043</v>
      </c>
      <c r="BG100" s="35">
        <f t="shared" si="87"/>
        <v>8.8403718602123309</v>
      </c>
      <c r="BH100" s="35">
        <f t="shared" si="88"/>
        <v>9.0378564845723446</v>
      </c>
      <c r="BI100" s="35">
        <f t="shared" si="89"/>
        <v>9.2278527805119523</v>
      </c>
      <c r="BJ100" s="35">
        <f t="shared" si="90"/>
        <v>9.4177284753463368</v>
      </c>
      <c r="BK100" s="35">
        <f t="shared" si="91"/>
        <v>9.6157192304521875</v>
      </c>
      <c r="BL100" s="35">
        <f t="shared" si="92"/>
        <v>9.8309694254165674</v>
      </c>
      <c r="BM100" s="35">
        <f t="shared" si="93"/>
        <v>10.073674305845856</v>
      </c>
      <c r="BN100" s="289">
        <f t="shared" si="94"/>
        <v>5.5872015917414778E-4</v>
      </c>
      <c r="BO100" s="35">
        <f t="shared" si="95"/>
        <v>5.664083651819112E-4</v>
      </c>
      <c r="BP100" s="35">
        <f t="shared" si="96"/>
        <v>5.6537680889699184E-4</v>
      </c>
      <c r="BQ100" s="35">
        <f t="shared" si="97"/>
        <v>5.6444294934236488E-4</v>
      </c>
      <c r="BR100" s="35">
        <f t="shared" si="98"/>
        <v>5.6356991393058538E-4</v>
      </c>
      <c r="BS100" s="35">
        <f t="shared" si="99"/>
        <v>5.627209220423232E-4</v>
      </c>
      <c r="BT100" s="35">
        <f t="shared" si="100"/>
        <v>5.6185927507653105E-4</v>
      </c>
      <c r="BU100" s="35">
        <f t="shared" si="101"/>
        <v>5.6094835505957053E-4</v>
      </c>
      <c r="BV100" s="35">
        <f t="shared" si="102"/>
        <v>5.5995163176023727E-4</v>
      </c>
      <c r="BW100" s="289">
        <f t="shared" si="103"/>
        <v>3.8939771973363312E-2</v>
      </c>
      <c r="BX100" s="35">
        <f t="shared" si="104"/>
        <v>3.7305530496130758E-2</v>
      </c>
      <c r="BY100" s="35">
        <f t="shared" si="105"/>
        <v>3.7514877198902327E-2</v>
      </c>
      <c r="BZ100" s="35">
        <f t="shared" si="106"/>
        <v>3.7707068640966679E-2</v>
      </c>
      <c r="CA100" s="35">
        <f t="shared" si="107"/>
        <v>3.7889032234599627E-2</v>
      </c>
      <c r="CB100" s="35">
        <f t="shared" si="108"/>
        <v>3.8068100320801546E-2</v>
      </c>
      <c r="CC100" s="35">
        <f t="shared" si="109"/>
        <v>3.8251963290893767E-2</v>
      </c>
      <c r="CD100" s="35">
        <f t="shared" si="110"/>
        <v>3.844865962646607E-2</v>
      </c>
      <c r="CE100" s="35">
        <f t="shared" si="111"/>
        <v>3.8666601559635798E-2</v>
      </c>
      <c r="CF100" s="289">
        <f t="shared" si="112"/>
        <v>74.531860555769029</v>
      </c>
      <c r="CG100" s="35">
        <f t="shared" si="113"/>
        <v>82.670815283977447</v>
      </c>
      <c r="CH100" s="35">
        <f t="shared" si="114"/>
        <v>81.591207853381022</v>
      </c>
      <c r="CI100" s="35">
        <f t="shared" si="115"/>
        <v>80.609780993538521</v>
      </c>
      <c r="CJ100" s="35">
        <f t="shared" si="116"/>
        <v>79.689097632680344</v>
      </c>
      <c r="CK100" s="35">
        <f t="shared" si="117"/>
        <v>78.791099863030553</v>
      </c>
      <c r="CL100" s="35">
        <f t="shared" si="118"/>
        <v>77.877295625191863</v>
      </c>
      <c r="CM100" s="35">
        <f t="shared" si="119"/>
        <v>76.908884982982329</v>
      </c>
      <c r="CN100" s="35">
        <f t="shared" si="120"/>
        <v>75.846861248167357</v>
      </c>
      <c r="CO100" s="289">
        <f t="shared" si="121"/>
        <v>3121.4645934517889</v>
      </c>
      <c r="CP100" s="35">
        <f t="shared" si="122"/>
        <v>3501.5295795998672</v>
      </c>
      <c r="CQ100" s="35">
        <f t="shared" si="123"/>
        <v>3450.6229969148976</v>
      </c>
      <c r="CR100" s="35">
        <f t="shared" si="124"/>
        <v>3404.4812480333981</v>
      </c>
      <c r="CS100" s="35">
        <f t="shared" si="125"/>
        <v>3361.310359234757</v>
      </c>
      <c r="CT100" s="35">
        <f t="shared" si="126"/>
        <v>3319.3086636095277</v>
      </c>
      <c r="CU100" s="35">
        <f t="shared" si="127"/>
        <v>3276.6729028807586</v>
      </c>
      <c r="CV100" s="35">
        <f t="shared" si="128"/>
        <v>3231.6034500859805</v>
      </c>
      <c r="CW100" s="35">
        <f t="shared" si="129"/>
        <v>3182.3101867728446</v>
      </c>
    </row>
    <row r="101" spans="1:101" x14ac:dyDescent="0.3">
      <c r="A101" s="184" t="str">
        <f>'Su K. oro stendu'!B146</f>
        <v>2023.03.02-1</v>
      </c>
      <c r="B101" s="289">
        <f>Sheet3!DD101</f>
        <v>6.32</v>
      </c>
      <c r="C101" s="289">
        <f>_xlfn.FORECAST.LINEAR(Sheet3!DD101,$DW$3:$DW$24,$DU$3:$DU$24)</f>
        <v>1002.7214680273325</v>
      </c>
      <c r="D101" s="35">
        <f>_xlfn.FORECAST.LINEAR(Sheet3!CI101,'Cooling water'!$DW$3:$DW$24,'Cooling water'!$DU$3:$DU$24)</f>
        <v>999.6871684457011</v>
      </c>
      <c r="E101" s="35">
        <f>_xlfn.FORECAST.LINEAR(Sheet3!CJ101,'Cooling water'!$DW$3:$DW$24,'Cooling water'!$DU$3:$DU$24)</f>
        <v>1000.104142623229</v>
      </c>
      <c r="F101" s="35">
        <f>_xlfn.FORECAST.LINEAR(Sheet3!CK101,'Cooling water'!$DW$3:$DW$24,'Cooling water'!$DU$3:$DU$24)</f>
        <v>1000.4774985784608</v>
      </c>
      <c r="G101" s="35">
        <f>_xlfn.FORECAST.LINEAR(Sheet3!CL101,'Cooling water'!$DW$3:$DW$24,'Cooling water'!$DU$3:$DU$24)</f>
        <v>1000.8226472798261</v>
      </c>
      <c r="H101" s="35">
        <f>_xlfn.FORECAST.LINEAR(Sheet3!CM101,'Cooling water'!$DW$3:$DW$24,'Cooling water'!$DU$3:$DU$24)</f>
        <v>1001.1549996957548</v>
      </c>
      <c r="I101" s="35">
        <f>_xlfn.FORECAST.LINEAR(Sheet3!CN101,'Cooling water'!$DW$3:$DW$24,'Cooling water'!$DU$3:$DU$24)</f>
        <v>1001.489966794676</v>
      </c>
      <c r="J101" s="35">
        <f>_xlfn.FORECAST.LINEAR(Sheet3!CO101,'Cooling water'!$DW$3:$DW$24,'Cooling water'!$DU$3:$DU$24)</f>
        <v>1001.8429595450197</v>
      </c>
      <c r="K101" s="35">
        <f>_xlfn.FORECAST.LINEAR(Sheet3!CP101,'Cooling water'!$DW$3:$DW$24,'Cooling water'!$DU$3:$DU$24)</f>
        <v>1002.2293889152153</v>
      </c>
      <c r="L101" s="289">
        <f t="shared" si="130"/>
        <v>1.4547304435927888E-3</v>
      </c>
      <c r="M101" s="35">
        <f xml:space="preserve"> 0.0000000000330128*((Sheet3!CI101+273)^(4)) - 0.0000000448315*((Sheet3!CI101+273)^(3)) + 0.0000228887*((Sheet3!CI101+273)^(2)) - 0.00521331*((Sheet3!CI101+273)) + 0.447905</f>
        <v>1.1840885619884833E-3</v>
      </c>
      <c r="N101" s="35">
        <f xml:space="preserve"> 0.0000000000330128*((Sheet3!CJ101+273)^(4)) - 0.0000000448315*((Sheet3!CJ101+273)^(3)) + 0.0000228887*((Sheet3!CJ101+273)^(2)) - 0.00521331*((Sheet3!CJ101+273)) + 0.447905</f>
        <v>1.2170192985561101E-3</v>
      </c>
      <c r="O101" s="35">
        <f xml:space="preserve"> 0.0000000000330128*((Sheet3!CK101+273)^(4)) - 0.0000000448315*((Sheet3!CK101+273)^(3)) + 0.0000228887*((Sheet3!CK101+273)^(2)) - 0.00521331*((Sheet3!CK101+273)) + 0.447905</f>
        <v>1.2475894358829898E-3</v>
      </c>
      <c r="P101" s="35">
        <f xml:space="preserve"> 0.0000000000330128*((Sheet3!CL101+273)^(4)) - 0.0000000448315*((Sheet3!CL101+273)^(3)) + 0.0000228887*((Sheet3!CL101+273)^(2)) - 0.00521331*((Sheet3!CL101+273)) + 0.447905</f>
        <v>1.276789426632563E-3</v>
      </c>
      <c r="Q101" s="35">
        <f xml:space="preserve"> 0.0000000000330128*((Sheet3!CM101+273)^(4)) - 0.0000000448315*((Sheet3!CM101+273)^(3)) + 0.0000228887*((Sheet3!CM101+273)^(2)) - 0.00521331*((Sheet3!CM101+273)) + 0.447905</f>
        <v>1.305783968921892E-3</v>
      </c>
      <c r="R101" s="35">
        <f xml:space="preserve"> 0.0000000000330128*((Sheet3!CN101+273)^(4)) - 0.0000000448315*((Sheet3!CN101+273)^(3)) + 0.0000228887*((Sheet3!CN101+273)^(2)) - 0.00521331*((Sheet3!CN101+273)) + 0.447905</f>
        <v>1.3359008050961574E-3</v>
      </c>
      <c r="S101" s="35">
        <f xml:space="preserve"> 0.0000000000330128*((Sheet3!CO101+273)^(4)) - 0.0000000448315*((Sheet3!CO101+273)^(3)) + 0.0000228887*((Sheet3!CO101+273)^(2)) - 0.00521331*((Sheet3!CO101+273)) + 0.447905</f>
        <v>1.368635817644126E-3</v>
      </c>
      <c r="T101" s="35">
        <f xml:space="preserve"> 0.0000000000330128*((Sheet3!CP101+273)^(4)) - 0.0000000448315*((Sheet3!CP101+273)^(3)) + 0.0000228887*((Sheet3!CP101+273)^(2)) - 0.00521331*((Sheet3!CP101+273)) + 0.447905</f>
        <v>1.4056780047466688E-3</v>
      </c>
      <c r="U101" s="289">
        <f>(Sheet3!DC101*0.014*0.001*C101) / (L101*0.00015*3600*3)</f>
        <v>8542.0076907302919</v>
      </c>
      <c r="V101" s="35">
        <f>(Sheet3!$DC101*0.014*0.001*D101) / (M101*0.00015*3600*3)</f>
        <v>10462.659801210506</v>
      </c>
      <c r="W101" s="35">
        <f>(Sheet3!$DC101*0.014*0.001*E101) / (N101*0.00015*3600*3)</f>
        <v>10183.801690242777</v>
      </c>
      <c r="X101" s="35">
        <f>(Sheet3!$DC101*0.014*0.001*F101) / (O101*0.00015*3600*3)</f>
        <v>9937.9729270983062</v>
      </c>
      <c r="Y101" s="35">
        <f>(Sheet3!$DC101*0.014*0.001*G101) / (P101*0.00015*3600*3)</f>
        <v>9714.0429474657467</v>
      </c>
      <c r="Z101" s="35">
        <f>(Sheet3!$DC101*0.014*0.001*H101) / (Q101*0.00015*3600*3)</f>
        <v>9501.4997339186921</v>
      </c>
      <c r="AA101" s="35">
        <f>(Sheet3!$DC101*0.014*0.001*I101) / (R101*0.00015*3600*3)</f>
        <v>9290.4032220881563</v>
      </c>
      <c r="AB101" s="35">
        <f>(Sheet3!$DC101*0.014*0.001*J101) / (S101*0.00015*3600*3)</f>
        <v>9071.3917313443617</v>
      </c>
      <c r="AC101" s="35">
        <f>(Sheet3!$DC101*0.014*0.001*K101) / (T101*0.00015*3600*3)</f>
        <v>8835.7507617028332</v>
      </c>
      <c r="AD101" s="289">
        <f t="shared" si="75"/>
        <v>0.58630082847926701</v>
      </c>
      <c r="AE101" s="35">
        <f>_xlfn.FORECAST.LINEAR(Sheet3!CI101,$DA$3:$DA$12,$CZ$3:$CZ$12)/1000</f>
        <v>0.59419327235975505</v>
      </c>
      <c r="AF101" s="35">
        <f>_xlfn.FORECAST.LINEAR(Sheet3!CJ101,$DA$3:$DA$12,$CZ$3:$CZ$12)/1000</f>
        <v>0.59310869082546169</v>
      </c>
      <c r="AG101" s="35">
        <f>_xlfn.FORECAST.LINEAR(Sheet3!CK101,$DA$3:$DA$12,$CZ$3:$CZ$12)/1000</f>
        <v>0.59213756360323511</v>
      </c>
      <c r="AH101" s="35">
        <f>_xlfn.FORECAST.LINEAR(Sheet3!CL101,$DA$3:$DA$12,$CZ$3:$CZ$12)/1000</f>
        <v>0.59123980559264178</v>
      </c>
      <c r="AI101" s="35">
        <f>_xlfn.FORECAST.LINEAR(Sheet3!CM101,$DA$3:$DA$12,$CZ$3:$CZ$12)/1000</f>
        <v>0.59037533169324841</v>
      </c>
      <c r="AJ101" s="35">
        <f>_xlfn.FORECAST.LINEAR(Sheet3!CN101,$DA$3:$DA$12,$CZ$3:$CZ$12)/1000</f>
        <v>0.58950405680462159</v>
      </c>
      <c r="AK101" s="35">
        <f>_xlfn.FORECAST.LINEAR(Sheet3!CO101,$DA$3:$DA$12,$CZ$3:$CZ$12)/1000</f>
        <v>0.58858589582632803</v>
      </c>
      <c r="AL101" s="35">
        <f>_xlfn.FORECAST.LINEAR(Sheet3!CP101,$DA$3:$DA$12,$CZ$3:$CZ$12)/1000</f>
        <v>0.58758076365793444</v>
      </c>
      <c r="AM101" s="289">
        <f t="shared" si="76"/>
        <v>4189.0333090427175</v>
      </c>
      <c r="AN101" s="35">
        <f>_xlfn.FORECAST.LINEAR(Sheet3!CI101,$DP$3:$DP$14,$DJ$3:$DJ$14)*1000</f>
        <v>4189.7278549937582</v>
      </c>
      <c r="AO101" s="35">
        <f>_xlfn.FORECAST.LINEAR(Sheet3!CJ101,$DP$3:$DP$14,$DJ$3:$DJ$14)*1000</f>
        <v>4189.6324103222951</v>
      </c>
      <c r="AP101" s="35">
        <f>_xlfn.FORECAST.LINEAR(Sheet3!CK101,$DP$3:$DP$14,$DJ$3:$DJ$14)*1000</f>
        <v>4189.5469497868307</v>
      </c>
      <c r="AQ101" s="35">
        <f>_xlfn.FORECAST.LINEAR(Sheet3!CL101,$DP$3:$DP$14,$DJ$3:$DJ$14)*1000</f>
        <v>4189.467945843222</v>
      </c>
      <c r="AR101" s="35">
        <f>_xlfn.FORECAST.LINEAR(Sheet3!CM101,$DP$3:$DP$14,$DJ$3:$DJ$14)*1000</f>
        <v>4189.3918709473219</v>
      </c>
      <c r="AS101" s="35">
        <f>_xlfn.FORECAST.LINEAR(Sheet3!CN101,$DP$3:$DP$14,$DJ$3:$DJ$14)*1000</f>
        <v>4189.3151975549863</v>
      </c>
      <c r="AT101" s="35">
        <f>_xlfn.FORECAST.LINEAR(Sheet3!CO101,$DP$3:$DP$14,$DJ$3:$DJ$14)*1000</f>
        <v>4189.2343981220683</v>
      </c>
      <c r="AU101" s="35">
        <f>_xlfn.FORECAST.LINEAR(Sheet3!CP101,$DP$3:$DP$14,$DJ$3:$DJ$14)*1000</f>
        <v>4189.1459451044238</v>
      </c>
      <c r="AV101" s="289">
        <f t="shared" si="77"/>
        <v>1.3958102430075471E-7</v>
      </c>
      <c r="AW101" s="35">
        <f t="shared" si="78"/>
        <v>1.4186582840323056E-7</v>
      </c>
      <c r="AX101" s="35">
        <f t="shared" si="79"/>
        <v>1.4155106493386104E-7</v>
      </c>
      <c r="AY101" s="35">
        <f t="shared" si="80"/>
        <v>1.4126944053802778E-7</v>
      </c>
      <c r="AZ101" s="35">
        <f t="shared" si="81"/>
        <v>1.4100927163144476E-7</v>
      </c>
      <c r="BA101" s="35">
        <f t="shared" si="82"/>
        <v>1.4075891040907926E-7</v>
      </c>
      <c r="BB101" s="35">
        <f t="shared" si="83"/>
        <v>1.4050674020202716E-7</v>
      </c>
      <c r="BC101" s="35">
        <f t="shared" si="84"/>
        <v>1.4024117427024371E-7</v>
      </c>
      <c r="BD101" s="35">
        <f t="shared" si="85"/>
        <v>1.3995065800578906E-7</v>
      </c>
      <c r="BE101" s="289">
        <f t="shared" si="131"/>
        <v>10.393835362121061</v>
      </c>
      <c r="BF101" s="35">
        <f t="shared" si="86"/>
        <v>8.3491501195237419</v>
      </c>
      <c r="BG101" s="35">
        <f t="shared" si="87"/>
        <v>8.5968450236701432</v>
      </c>
      <c r="BH101" s="35">
        <f t="shared" si="88"/>
        <v>8.8270612049738517</v>
      </c>
      <c r="BI101" s="35">
        <f t="shared" si="89"/>
        <v>9.0472061012653171</v>
      </c>
      <c r="BJ101" s="35">
        <f t="shared" si="90"/>
        <v>9.2660388246998728</v>
      </c>
      <c r="BK101" s="35">
        <f t="shared" si="91"/>
        <v>9.4935895361787423</v>
      </c>
      <c r="BL101" s="35">
        <f t="shared" si="92"/>
        <v>9.7412056361412862</v>
      </c>
      <c r="BM101" s="35">
        <f t="shared" si="93"/>
        <v>10.021754757674609</v>
      </c>
      <c r="BN101" s="289">
        <f t="shared" si="94"/>
        <v>4.8271125302540904E-4</v>
      </c>
      <c r="BO101" s="35">
        <f t="shared" si="95"/>
        <v>4.9061276153452627E-4</v>
      </c>
      <c r="BP101" s="35">
        <f t="shared" si="96"/>
        <v>4.8952421909498529E-4</v>
      </c>
      <c r="BQ101" s="35">
        <f t="shared" si="97"/>
        <v>4.8855028108531499E-4</v>
      </c>
      <c r="BR101" s="35">
        <f t="shared" si="98"/>
        <v>4.8765054231692532E-4</v>
      </c>
      <c r="BS101" s="35">
        <f t="shared" si="99"/>
        <v>4.867847213361548E-4</v>
      </c>
      <c r="BT101" s="35">
        <f t="shared" si="100"/>
        <v>4.8591264436701381E-4</v>
      </c>
      <c r="BU101" s="35">
        <f t="shared" si="101"/>
        <v>4.8499424113610017E-4</v>
      </c>
      <c r="BV101" s="35">
        <f t="shared" si="102"/>
        <v>4.8398955249205508E-4</v>
      </c>
      <c r="BW101" s="289">
        <f t="shared" si="103"/>
        <v>3.755062867437417E-2</v>
      </c>
      <c r="BX101" s="35">
        <f t="shared" si="104"/>
        <v>3.5694119710767074E-2</v>
      </c>
      <c r="BY101" s="35">
        <f t="shared" si="105"/>
        <v>3.5935998668015869E-2</v>
      </c>
      <c r="BZ101" s="35">
        <f t="shared" si="106"/>
        <v>3.6156197462993506E-2</v>
      </c>
      <c r="CA101" s="35">
        <f t="shared" si="107"/>
        <v>3.6362789937164575E-2</v>
      </c>
      <c r="CB101" s="35">
        <f t="shared" si="108"/>
        <v>3.6564459816288281E-2</v>
      </c>
      <c r="CC101" s="35">
        <f t="shared" si="109"/>
        <v>3.6770417501159822E-2</v>
      </c>
      <c r="CD101" s="35">
        <f t="shared" si="110"/>
        <v>3.6990373926850423E-2</v>
      </c>
      <c r="CE101" s="35">
        <f t="shared" si="111"/>
        <v>3.7234569562907563E-2</v>
      </c>
      <c r="CF101" s="289">
        <f t="shared" si="112"/>
        <v>86.092853151372807</v>
      </c>
      <c r="CG101" s="35">
        <f t="shared" si="113"/>
        <v>96.762398881900396</v>
      </c>
      <c r="CH101" s="35">
        <f t="shared" si="114"/>
        <v>95.314393730601168</v>
      </c>
      <c r="CI101" s="35">
        <f t="shared" si="115"/>
        <v>94.011460325771338</v>
      </c>
      <c r="CJ101" s="35">
        <f t="shared" si="116"/>
        <v>92.802212224316534</v>
      </c>
      <c r="CK101" s="35">
        <f t="shared" si="117"/>
        <v>91.634010910403632</v>
      </c>
      <c r="CL101" s="35">
        <f t="shared" si="118"/>
        <v>90.453367822813718</v>
      </c>
      <c r="CM101" s="35">
        <f t="shared" si="119"/>
        <v>89.206212349588299</v>
      </c>
      <c r="CN101" s="35">
        <f t="shared" si="120"/>
        <v>87.838101049793252</v>
      </c>
      <c r="CO101" s="289">
        <f t="shared" si="121"/>
        <v>3605.4507949138397</v>
      </c>
      <c r="CP101" s="35">
        <f t="shared" si="122"/>
        <v>4106.8261737868788</v>
      </c>
      <c r="CQ101" s="35">
        <f t="shared" si="123"/>
        <v>4037.9853773128184</v>
      </c>
      <c r="CR101" s="35">
        <f t="shared" si="124"/>
        <v>3976.2655048631746</v>
      </c>
      <c r="CS101" s="35">
        <f t="shared" si="125"/>
        <v>3919.168708147999</v>
      </c>
      <c r="CT101" s="35">
        <f t="shared" si="126"/>
        <v>3864.1756846865919</v>
      </c>
      <c r="CU101" s="35">
        <f t="shared" si="127"/>
        <v>3808.759091656379</v>
      </c>
      <c r="CV101" s="35">
        <f t="shared" si="128"/>
        <v>3750.3941720754337</v>
      </c>
      <c r="CW101" s="35">
        <f t="shared" si="129"/>
        <v>3686.5698923643095</v>
      </c>
    </row>
    <row r="102" spans="1:101" x14ac:dyDescent="0.3">
      <c r="A102" s="184" t="str">
        <f>'Su K. oro stendu'!B147</f>
        <v>2023.03.02-2</v>
      </c>
      <c r="B102" s="289">
        <f>Sheet3!DD102</f>
        <v>6.6</v>
      </c>
      <c r="C102" s="289">
        <f>_xlfn.FORECAST.LINEAR(Sheet3!DD102,$DW$3:$DW$24,$DU$3:$DU$24)</f>
        <v>1002.6053103175786</v>
      </c>
      <c r="D102" s="35">
        <f>_xlfn.FORECAST.LINEAR(Sheet3!CI102,'Cooling water'!$DW$3:$DW$24,'Cooling water'!$DU$3:$DU$24)</f>
        <v>999.09375129989314</v>
      </c>
      <c r="E102" s="35">
        <f>_xlfn.FORECAST.LINEAR(Sheet3!CJ102,'Cooling water'!$DW$3:$DW$24,'Cooling water'!$DU$3:$DU$24)</f>
        <v>999.57138241543601</v>
      </c>
      <c r="F102" s="35">
        <f>_xlfn.FORECAST.LINEAR(Sheet3!CK102,'Cooling water'!$DW$3:$DW$24,'Cooling water'!$DU$3:$DU$24)</f>
        <v>999.996779881306</v>
      </c>
      <c r="G102" s="35">
        <f>_xlfn.FORECAST.LINEAR(Sheet3!CL102,'Cooling water'!$DW$3:$DW$24,'Cooling water'!$DU$3:$DU$24)</f>
        <v>1000.3893490079541</v>
      </c>
      <c r="H102" s="35">
        <f>_xlfn.FORECAST.LINEAR(Sheet3!CM102,'Cooling water'!$DW$3:$DW$24,'Cooling water'!$DU$3:$DU$24)</f>
        <v>1000.7684951058311</v>
      </c>
      <c r="I102" s="35">
        <f>_xlfn.FORECAST.LINEAR(Sheet3!CN102,'Cooling water'!$DW$3:$DW$24,'Cooling water'!$DU$3:$DU$24)</f>
        <v>1001.1536234853878</v>
      </c>
      <c r="J102" s="35">
        <f>_xlfn.FORECAST.LINEAR(Sheet3!CO102,'Cooling water'!$DW$3:$DW$24,'Cooling water'!$DU$3:$DU$24)</f>
        <v>1001.5641394570752</v>
      </c>
      <c r="K102" s="35">
        <f>_xlfn.FORECAST.LINEAR(Sheet3!CP102,'Cooling water'!$DW$3:$DW$24,'Cooling water'!$DU$3:$DU$24)</f>
        <v>1002.0194483313441</v>
      </c>
      <c r="L102" s="289">
        <f t="shared" si="130"/>
        <v>1.4429575285230811E-3</v>
      </c>
      <c r="M102" s="35">
        <f xml:space="preserve"> 0.0000000000330128*((Sheet3!CI102+273)^(4)) - 0.0000000448315*((Sheet3!CI102+273)^(3)) + 0.0000228887*((Sheet3!CI102+273)^(2)) - 0.00521331*((Sheet3!CI102+273)) + 0.447905</f>
        <v>1.1393444698526434E-3</v>
      </c>
      <c r="N102" s="35">
        <f xml:space="preserve"> 0.0000000000330128*((Sheet3!CJ102+273)^(4)) - 0.0000000448315*((Sheet3!CJ102+273)^(3)) + 0.0000228887*((Sheet3!CJ102+273)^(2)) - 0.00521331*((Sheet3!CJ102+273)) + 0.447905</f>
        <v>1.1751654201408446E-3</v>
      </c>
      <c r="O102" s="35">
        <f xml:space="preserve"> 0.0000000000330128*((Sheet3!CK102+273)^(4)) - 0.0000000448315*((Sheet3!CK102+273)^(3)) + 0.0000228887*((Sheet3!CK102+273)^(2)) - 0.00521331*((Sheet3!CK102+273)) + 0.447905</f>
        <v>1.208419729753496E-3</v>
      </c>
      <c r="P102" s="35">
        <f xml:space="preserve"> 0.0000000000330128*((Sheet3!CL102+273)^(4)) - 0.0000000448315*((Sheet3!CL102+273)^(3)) + 0.0000228887*((Sheet3!CL102+273)^(2)) - 0.00521331*((Sheet3!CL102+273)) + 0.447905</f>
        <v>1.2402776708244634E-3</v>
      </c>
      <c r="Q102" s="35">
        <f xml:space="preserve"> 0.0000000000330128*((Sheet3!CM102+273)^(4)) - 0.0000000448315*((Sheet3!CM102+273)^(3)) + 0.0000228887*((Sheet3!CM102+273)^(2)) - 0.00521331*((Sheet3!CM102+273)) + 0.447905</f>
        <v>1.2721473295216335E-3</v>
      </c>
      <c r="R102" s="35">
        <f xml:space="preserve"> 0.0000000000330128*((Sheet3!CN102+273)^(4)) - 0.0000000448315*((Sheet3!CN102+273)^(3)) + 0.0000228887*((Sheet3!CN102+273)^(2)) - 0.00521331*((Sheet3!CN102+273)) + 0.447905</f>
        <v>1.3056621017164538E-3</v>
      </c>
      <c r="S102" s="35">
        <f xml:space="preserve"> 0.0000000000330128*((Sheet3!CO102+273)^(4)) - 0.0000000448315*((Sheet3!CO102+273)^(3)) + 0.0000228887*((Sheet3!CO102+273)^(2)) - 0.00521331*((Sheet3!CO102+273)) + 0.447905</f>
        <v>1.3426934118296874E-3</v>
      </c>
      <c r="T102" s="35">
        <f xml:space="preserve"> 0.0000000000330128*((Sheet3!CP102+273)^(4)) - 0.0000000448315*((Sheet3!CP102+273)^(3)) + 0.0000228887*((Sheet3!CP102+273)^(2)) - 0.00521331*((Sheet3!CP102+273)) + 0.447905</f>
        <v>1.3853950564062245E-3</v>
      </c>
      <c r="U102" s="289">
        <f>(Sheet3!DC102*0.014*0.001*C102) / (L102*0.00015*3600*3)</f>
        <v>9457.3624029602288</v>
      </c>
      <c r="V102" s="35">
        <f>(Sheet3!$DC102*0.014*0.001*D102) / (M102*0.00015*3600*3)</f>
        <v>11935.614223079041</v>
      </c>
      <c r="W102" s="35">
        <f>(Sheet3!$DC102*0.014*0.001*E102) / (N102*0.00015*3600*3)</f>
        <v>11577.329383903103</v>
      </c>
      <c r="X102" s="35">
        <f>(Sheet3!$DC102*0.014*0.001*F102) / (O102*0.00015*3600*3)</f>
        <v>11263.526195897417</v>
      </c>
      <c r="Y102" s="35">
        <f>(Sheet3!$DC102*0.014*0.001*G102) / (P102*0.00015*3600*3)</f>
        <v>10978.517878716621</v>
      </c>
      <c r="Z102" s="35">
        <f>(Sheet3!$DC102*0.014*0.001*H102) / (Q102*0.00015*3600*3)</f>
        <v>10707.542174778651</v>
      </c>
      <c r="AA102" s="35">
        <f>(Sheet3!$DC102*0.014*0.001*I102) / (R102*0.00015*3600*3)</f>
        <v>10436.707315496858</v>
      </c>
      <c r="AB102" s="35">
        <f>(Sheet3!$DC102*0.014*0.001*J102) / (S102*0.00015*3600*3)</f>
        <v>10153.025751781839</v>
      </c>
      <c r="AC102" s="35">
        <f>(Sheet3!$DC102*0.014*0.001*K102) / (T102*0.00015*3600*3)</f>
        <v>9844.5551567877719</v>
      </c>
      <c r="AD102" s="289">
        <f t="shared" si="75"/>
        <v>0.58660296351269237</v>
      </c>
      <c r="AE102" s="35">
        <f>_xlfn.FORECAST.LINEAR(Sheet3!CI102,$DA$3:$DA$12,$CZ$3:$CZ$12)/1000</f>
        <v>0.59573679546780978</v>
      </c>
      <c r="AF102" s="35">
        <f>_xlfn.FORECAST.LINEAR(Sheet3!CJ102,$DA$3:$DA$12,$CZ$3:$CZ$12)/1000</f>
        <v>0.59449444062657486</v>
      </c>
      <c r="AG102" s="35">
        <f>_xlfn.FORECAST.LINEAR(Sheet3!CK102,$DA$3:$DA$12,$CZ$3:$CZ$12)/1000</f>
        <v>0.59338794947896178</v>
      </c>
      <c r="AH102" s="35">
        <f>_xlfn.FORECAST.LINEAR(Sheet3!CL102,$DA$3:$DA$12,$CZ$3:$CZ$12)/1000</f>
        <v>0.5923668473372885</v>
      </c>
      <c r="AI102" s="35">
        <f>_xlfn.FORECAST.LINEAR(Sheet3!CM102,$DA$3:$DA$12,$CZ$3:$CZ$12)/1000</f>
        <v>0.59138065951387286</v>
      </c>
      <c r="AJ102" s="35">
        <f>_xlfn.FORECAST.LINEAR(Sheet3!CN102,$DA$3:$DA$12,$CZ$3:$CZ$12)/1000</f>
        <v>0.59037891132103282</v>
      </c>
      <c r="AK102" s="35">
        <f>_xlfn.FORECAST.LINEAR(Sheet3!CO102,$DA$3:$DA$12,$CZ$3:$CZ$12)/1000</f>
        <v>0.58931112807108588</v>
      </c>
      <c r="AL102" s="35">
        <f>_xlfn.FORECAST.LINEAR(Sheet3!CP102,$DA$3:$DA$12,$CZ$3:$CZ$12)/1000</f>
        <v>0.58812683507635055</v>
      </c>
      <c r="AM102" s="289">
        <f t="shared" si="76"/>
        <v>4189.0598973425276</v>
      </c>
      <c r="AN102" s="35">
        <f>_xlfn.FORECAST.LINEAR(Sheet3!CI102,$DP$3:$DP$14,$DJ$3:$DJ$14)*1000</f>
        <v>4189.8636871569352</v>
      </c>
      <c r="AO102" s="35">
        <f>_xlfn.FORECAST.LINEAR(Sheet3!CJ102,$DP$3:$DP$14,$DJ$3:$DJ$14)*1000</f>
        <v>4189.7543582167737</v>
      </c>
      <c r="AP102" s="35">
        <f>_xlfn.FORECAST.LINEAR(Sheet3!CK102,$DP$3:$DP$14,$DJ$3:$DJ$14)*1000</f>
        <v>4189.6569854691088</v>
      </c>
      <c r="AQ102" s="35">
        <f>_xlfn.FORECAST.LINEAR(Sheet3!CL102,$DP$3:$DP$14,$DJ$3:$DJ$14)*1000</f>
        <v>4189.5671270717812</v>
      </c>
      <c r="AR102" s="35">
        <f>_xlfn.FORECAST.LINEAR(Sheet3!CM102,$DP$3:$DP$14,$DJ$3:$DJ$14)*1000</f>
        <v>4189.4803411826333</v>
      </c>
      <c r="AS102" s="35">
        <f>_xlfn.FORECAST.LINEAR(Sheet3!CN102,$DP$3:$DP$14,$DJ$3:$DJ$14)*1000</f>
        <v>4189.3921859595066</v>
      </c>
      <c r="AT102" s="35">
        <f>_xlfn.FORECAST.LINEAR(Sheet3!CO102,$DP$3:$DP$14,$DJ$3:$DJ$14)*1000</f>
        <v>4189.2982195602426</v>
      </c>
      <c r="AU102" s="35">
        <f>_xlfn.FORECAST.LINEAR(Sheet3!CP102,$DP$3:$DP$14,$DJ$3:$DJ$14)*1000</f>
        <v>4189.1940001426838</v>
      </c>
      <c r="AV102" s="289">
        <f t="shared" si="77"/>
        <v>1.3966824691025305E-7</v>
      </c>
      <c r="AW102" s="35">
        <f t="shared" si="78"/>
        <v>1.4231421721584232E-7</v>
      </c>
      <c r="AX102" s="35">
        <f t="shared" si="79"/>
        <v>1.4195327692530813E-7</v>
      </c>
      <c r="AY102" s="35">
        <f t="shared" si="80"/>
        <v>1.4163208642683258E-7</v>
      </c>
      <c r="AZ102" s="35">
        <f t="shared" si="81"/>
        <v>1.4133591411633642E-7</v>
      </c>
      <c r="BA102" s="35">
        <f t="shared" si="82"/>
        <v>1.4105007954202017E-7</v>
      </c>
      <c r="BB102" s="35">
        <f t="shared" si="83"/>
        <v>1.4075994678147375E-7</v>
      </c>
      <c r="BC102" s="35">
        <f t="shared" si="84"/>
        <v>1.4045092327230175E-7</v>
      </c>
      <c r="BD102" s="35">
        <f t="shared" si="85"/>
        <v>1.4010846405034739E-7</v>
      </c>
      <c r="BE102" s="289">
        <f t="shared" si="131"/>
        <v>10.304474904299964</v>
      </c>
      <c r="BF102" s="35">
        <f t="shared" si="86"/>
        <v>8.013099170162981</v>
      </c>
      <c r="BG102" s="35">
        <f t="shared" si="87"/>
        <v>8.2820866002908318</v>
      </c>
      <c r="BH102" s="35">
        <f t="shared" si="88"/>
        <v>8.5321317471748355</v>
      </c>
      <c r="BI102" s="35">
        <f t="shared" si="89"/>
        <v>8.7719739574970532</v>
      </c>
      <c r="BJ102" s="35">
        <f t="shared" si="90"/>
        <v>9.0121923035155387</v>
      </c>
      <c r="BK102" s="35">
        <f t="shared" si="91"/>
        <v>9.265118556140246</v>
      </c>
      <c r="BL102" s="35">
        <f t="shared" si="92"/>
        <v>9.5449463817266764</v>
      </c>
      <c r="BM102" s="35">
        <f t="shared" si="93"/>
        <v>9.8680902009357485</v>
      </c>
      <c r="BN102" s="289">
        <f t="shared" si="94"/>
        <v>4.3977173954248757E-4</v>
      </c>
      <c r="BO102" s="35">
        <f t="shared" si="95"/>
        <v>4.4810307461548007E-4</v>
      </c>
      <c r="BP102" s="35">
        <f t="shared" si="96"/>
        <v>4.4696658623712181E-4</v>
      </c>
      <c r="BQ102" s="35">
        <f t="shared" si="97"/>
        <v>4.4595525755387503E-4</v>
      </c>
      <c r="BR102" s="35">
        <f t="shared" si="98"/>
        <v>4.4502270334006793E-4</v>
      </c>
      <c r="BS102" s="35">
        <f t="shared" si="99"/>
        <v>4.4412269943259992E-4</v>
      </c>
      <c r="BT102" s="35">
        <f t="shared" si="100"/>
        <v>4.4320916187752648E-4</v>
      </c>
      <c r="BU102" s="35">
        <f t="shared" si="101"/>
        <v>4.4223614324806373E-4</v>
      </c>
      <c r="BV102" s="35">
        <f t="shared" si="102"/>
        <v>4.4115784598943201E-4</v>
      </c>
      <c r="BW102" s="289">
        <f t="shared" si="103"/>
        <v>3.6607046766515758E-2</v>
      </c>
      <c r="BX102" s="35">
        <f t="shared" si="104"/>
        <v>3.4537906429888347E-2</v>
      </c>
      <c r="BY102" s="35">
        <f t="shared" si="105"/>
        <v>3.4802072269736979E-2</v>
      </c>
      <c r="BZ102" s="35">
        <f t="shared" si="106"/>
        <v>3.5041977670660057E-2</v>
      </c>
      <c r="CA102" s="35">
        <f t="shared" si="107"/>
        <v>3.5267223779289876E-2</v>
      </c>
      <c r="CB102" s="35">
        <f t="shared" si="108"/>
        <v>3.5488263857549544E-2</v>
      </c>
      <c r="CC102" s="35">
        <f t="shared" si="109"/>
        <v>3.5716288785182231E-2</v>
      </c>
      <c r="CD102" s="35">
        <f t="shared" si="110"/>
        <v>3.5963200144105589E-2</v>
      </c>
      <c r="CE102" s="35">
        <f t="shared" si="111"/>
        <v>3.6241668013956167E-2</v>
      </c>
      <c r="CF102" s="289">
        <f t="shared" si="112"/>
        <v>94.744938344695228</v>
      </c>
      <c r="CG102" s="35">
        <f t="shared" si="113"/>
        <v>107.87238827312109</v>
      </c>
      <c r="CH102" s="35">
        <f t="shared" si="114"/>
        <v>106.11708550545772</v>
      </c>
      <c r="CI102" s="35">
        <f t="shared" si="115"/>
        <v>104.54332362451696</v>
      </c>
      <c r="CJ102" s="35">
        <f t="shared" si="116"/>
        <v>103.08328617162023</v>
      </c>
      <c r="CK102" s="35">
        <f t="shared" si="117"/>
        <v>101.66697324398783</v>
      </c>
      <c r="CL102" s="35">
        <f t="shared" si="118"/>
        <v>100.22290093954881</v>
      </c>
      <c r="CM102" s="35">
        <f t="shared" si="119"/>
        <v>98.678559730392422</v>
      </c>
      <c r="CN102" s="35">
        <f t="shared" si="120"/>
        <v>96.96077668364812</v>
      </c>
      <c r="CO102" s="289">
        <f t="shared" si="121"/>
        <v>3969.8329722018243</v>
      </c>
      <c r="CP102" s="35">
        <f t="shared" si="122"/>
        <v>4590.2536363777499</v>
      </c>
      <c r="CQ102" s="35">
        <f t="shared" si="123"/>
        <v>4506.1440991778218</v>
      </c>
      <c r="CR102" s="35">
        <f t="shared" si="124"/>
        <v>4431.0534598048298</v>
      </c>
      <c r="CS102" s="35">
        <f t="shared" si="125"/>
        <v>4361.6515173321559</v>
      </c>
      <c r="CT102" s="35">
        <f t="shared" si="126"/>
        <v>4294.5629777006279</v>
      </c>
      <c r="CU102" s="35">
        <f t="shared" si="127"/>
        <v>4226.3919390090387</v>
      </c>
      <c r="CV102" s="35">
        <f t="shared" si="128"/>
        <v>4153.7409536533987</v>
      </c>
      <c r="CW102" s="35">
        <f t="shared" si="129"/>
        <v>4073.2310512499125</v>
      </c>
    </row>
  </sheetData>
  <mergeCells count="6">
    <mergeCell ref="DV2:DZ2"/>
    <mergeCell ref="EA2:EB2"/>
    <mergeCell ref="DA1:DC1"/>
    <mergeCell ref="CY3:CY12"/>
    <mergeCell ref="DK1:DN1"/>
    <mergeCell ref="DO1:DR1"/>
  </mergeCells>
  <phoneticPr fontId="15" type="noConversion"/>
  <conditionalFormatting sqref="B2:CW102 CX55">
    <cfRule type="cellIs" dxfId="8" priority="1" operator="lessThan">
      <formula>0</formula>
    </cfRule>
  </conditionalFormatting>
  <hyperlinks>
    <hyperlink ref="DV2" r:id="rId1" display="https://www.engineeringtoolbox.com/water-vapor-saturation-pressure-d_599.html" xr:uid="{22DF279D-88EE-414E-900B-AF23AD5096C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BD74-941B-4AD0-8BB0-66C3FC45036B}">
  <sheetPr codeName="Sheet5"/>
  <dimension ref="A1:AT103"/>
  <sheetViews>
    <sheetView topLeftCell="AB1" workbookViewId="0">
      <pane ySplit="1" topLeftCell="A2" activePane="bottomLeft" state="frozen"/>
      <selection pane="bottomLeft" activeCell="AT57" sqref="AT57"/>
    </sheetView>
  </sheetViews>
  <sheetFormatPr defaultRowHeight="14.4" x14ac:dyDescent="0.3"/>
  <cols>
    <col min="1" max="1" width="8.21875" style="35" customWidth="1"/>
    <col min="2" max="3" width="8.88671875" style="35"/>
    <col min="4" max="4" width="10" style="35" customWidth="1"/>
    <col min="5" max="5" width="4.88671875" style="35" customWidth="1"/>
    <col min="6" max="9" width="8.88671875" style="35"/>
    <col min="10" max="10" width="4.44140625" style="35" customWidth="1"/>
    <col min="11" max="14" width="8.88671875" style="35"/>
    <col min="15" max="15" width="6.5546875" style="35" customWidth="1"/>
    <col min="16" max="19" width="8.88671875" style="35"/>
    <col min="20" max="20" width="5" style="35" customWidth="1"/>
    <col min="21" max="24" width="8.88671875" style="35"/>
    <col min="25" max="25" width="5.44140625" style="35" customWidth="1"/>
    <col min="26" max="26" width="11.77734375" style="35" customWidth="1"/>
    <col min="27" max="27" width="8.88671875" style="35" customWidth="1"/>
    <col min="28" max="29" width="8.88671875" style="35"/>
    <col min="30" max="30" width="21.5546875" style="35" bestFit="1" customWidth="1"/>
    <col min="31" max="16384" width="8.88671875" style="35"/>
  </cols>
  <sheetData>
    <row r="1" spans="1:45" s="226" customFormat="1" x14ac:dyDescent="0.3">
      <c r="A1" s="327" t="s">
        <v>679</v>
      </c>
      <c r="B1" s="327"/>
      <c r="C1" s="327"/>
      <c r="D1" s="327"/>
      <c r="F1" s="328" t="s">
        <v>678</v>
      </c>
      <c r="G1" s="328"/>
      <c r="H1" s="328"/>
      <c r="I1" s="328"/>
      <c r="K1" s="329" t="s">
        <v>680</v>
      </c>
      <c r="L1" s="329"/>
      <c r="M1" s="329"/>
      <c r="N1" s="329"/>
      <c r="P1" s="330" t="s">
        <v>681</v>
      </c>
      <c r="Q1" s="330"/>
      <c r="R1" s="330"/>
      <c r="S1" s="330"/>
      <c r="U1" s="226" t="s">
        <v>670</v>
      </c>
      <c r="V1" s="226" t="s">
        <v>671</v>
      </c>
      <c r="W1" s="226" t="s">
        <v>672</v>
      </c>
      <c r="X1" s="226" t="s">
        <v>677</v>
      </c>
      <c r="Z1" s="226" t="s">
        <v>687</v>
      </c>
      <c r="AD1" s="226" t="s">
        <v>668</v>
      </c>
      <c r="AK1" s="226" t="s">
        <v>850</v>
      </c>
      <c r="AL1" s="226">
        <v>1</v>
      </c>
      <c r="AM1" s="226">
        <v>2</v>
      </c>
      <c r="AN1" s="226">
        <v>3</v>
      </c>
      <c r="AO1" s="226">
        <v>4</v>
      </c>
      <c r="AP1" s="226">
        <v>5</v>
      </c>
      <c r="AQ1" s="226">
        <v>6</v>
      </c>
      <c r="AR1" s="226">
        <v>7</v>
      </c>
      <c r="AS1" s="226">
        <v>8</v>
      </c>
    </row>
    <row r="2" spans="1:45" x14ac:dyDescent="0.3">
      <c r="A2" s="236" t="s">
        <v>673</v>
      </c>
      <c r="B2" s="236">
        <f>($U2*('Cooling water'!CO2+AVERAGE(_xlfn.ANCHORARRAY(Sheet3!R2))) -New!HU2*V2*(New!DO2-W2)) - ('Cooling water'!CO2*'Cooling water'!B2)</f>
        <v>-4923.821420934516</v>
      </c>
      <c r="C2" s="236" t="s">
        <v>669</v>
      </c>
      <c r="D2" s="236">
        <v>0</v>
      </c>
      <c r="F2" s="237" t="s">
        <v>674</v>
      </c>
      <c r="G2" s="237">
        <f>(($W2*New!LS2)-(EXP(New!$LP$6-((New!$LQ$6)/(U2+New!$LP$8)))))</f>
        <v>-0.59115681624151806</v>
      </c>
      <c r="H2" s="237" t="s">
        <v>669</v>
      </c>
      <c r="I2" s="237">
        <v>0</v>
      </c>
      <c r="K2" s="238" t="s">
        <v>675</v>
      </c>
      <c r="L2" s="238">
        <f>($X2*LN((1-W2)/(1-New!DO2))) - ((1-$W2) - (1-New!DO2))</f>
        <v>-0.40527913535858073</v>
      </c>
      <c r="M2" s="238" t="s">
        <v>669</v>
      </c>
      <c r="N2" s="238">
        <v>0</v>
      </c>
      <c r="P2" s="239" t="s">
        <v>676</v>
      </c>
      <c r="Q2" s="239">
        <f>($V2*New!BV2*New!LQ3/1000*$X2*New!B2) - (AVERAGE(_xlfn.ANCHORARRAY(Sheet3!R2))*New!$LP$3)</f>
        <v>-9956.06495779328</v>
      </c>
      <c r="R2" s="239" t="s">
        <v>669</v>
      </c>
      <c r="S2" s="239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 t="s">
        <v>672</v>
      </c>
      <c r="AA2" s="35">
        <f>N2</f>
        <v>0</v>
      </c>
      <c r="AB2" s="35" t="s">
        <v>688</v>
      </c>
      <c r="AC2" s="35">
        <v>0</v>
      </c>
      <c r="AD2" s="35">
        <f>AVERAGE(_xlfn.ANCHORARRAY(Sheet3!R2))</f>
        <v>552.65417473179457</v>
      </c>
      <c r="AK2" s="35">
        <f>Sheet3!$DA2/(New!BM2*0.108*0.302)/3600</f>
        <v>1.3363472671508501</v>
      </c>
      <c r="AL2" s="35">
        <f>Sheet3!$DA2/(New!BN2*0.108*0.302)/3600</f>
        <v>1.3340721190050169</v>
      </c>
      <c r="AM2" s="35">
        <f>Sheet3!$DA2/(New!BO2*0.108*0.302)/3600</f>
        <v>1.3191817015450897</v>
      </c>
      <c r="AN2" s="35">
        <f>Sheet3!$DA2/(New!BP2*0.108*0.302)/3600</f>
        <v>1.3098342290430909</v>
      </c>
      <c r="AO2" s="35">
        <f>Sheet3!$DA2/(New!BQ2*0.108*0.302)/3600</f>
        <v>1.3017299030462448</v>
      </c>
      <c r="AP2" s="35">
        <f>Sheet3!$DA2/(New!BR2*0.108*0.302)/3600</f>
        <v>1.2938638127992015</v>
      </c>
      <c r="AQ2" s="35">
        <f>Sheet3!$DA2/(New!BS2*0.108*0.302)/3600</f>
        <v>1.2873406173191528</v>
      </c>
      <c r="AR2" s="35">
        <f>Sheet3!$DA2/(New!BT2*0.108*0.302)/3600</f>
        <v>1.2625032785455106</v>
      </c>
      <c r="AS2" s="35">
        <f>Sheet3!$DA2/(New!BU2*0.108*0.302)/3600</f>
        <v>1.2668986543357692</v>
      </c>
    </row>
    <row r="3" spans="1:45" x14ac:dyDescent="0.3">
      <c r="A3" s="236" t="s">
        <v>673</v>
      </c>
      <c r="B3" s="236" t="e">
        <f>($U3*('Cooling water'!#REF!+AVERAGE(_xlfn.ANCHORARRAY(Sheet3!#REF!))) -New!#REF!*V3*(New!#REF!-W3)) - ('Cooling water'!#REF!*'Cooling water'!#REF!)</f>
        <v>#REF!</v>
      </c>
      <c r="C3" s="236" t="s">
        <v>669</v>
      </c>
      <c r="D3" s="236">
        <v>0</v>
      </c>
      <c r="F3" s="237" t="s">
        <v>674</v>
      </c>
      <c r="G3" s="237" t="e">
        <f>((($W3*New!LG1)/1000)) - (EXP(New!$LP$6-((New!$LQ$6)/(U3+New!$LP$8))))</f>
        <v>#VALUE!</v>
      </c>
      <c r="H3" s="237" t="s">
        <v>669</v>
      </c>
      <c r="I3" s="237">
        <v>0</v>
      </c>
      <c r="K3" s="238" t="s">
        <v>675</v>
      </c>
      <c r="L3" s="238" t="e">
        <f>($X3*LN((1-W3)/(1-New!#REF!))) - ((1-$W3) - (1-New!#REF!))</f>
        <v>#REF!</v>
      </c>
      <c r="M3" s="238" t="s">
        <v>669</v>
      </c>
      <c r="N3" s="238">
        <v>0</v>
      </c>
      <c r="P3" s="239" t="s">
        <v>676</v>
      </c>
      <c r="Q3" s="239" t="e">
        <f>($V3*New!#REF!*New!LQ4/1000*$X3*New!#REF!) - (AVERAGE(_xlfn.ANCHORARRAY(Sheet3!#REF!))*New!$LP$3)</f>
        <v>#REF!</v>
      </c>
      <c r="R3" s="239" t="s">
        <v>669</v>
      </c>
      <c r="S3" s="239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 t="s">
        <v>672</v>
      </c>
      <c r="AA3" s="35">
        <f>N2</f>
        <v>0</v>
      </c>
      <c r="AB3" s="35" t="s">
        <v>689</v>
      </c>
      <c r="AC3" s="35">
        <v>1</v>
      </c>
      <c r="AD3" s="35" t="e">
        <f>AVERAGE(_xlfn.ANCHORARRAY(Sheet3!#REF!))</f>
        <v>#REF!</v>
      </c>
      <c r="AK3" s="35" t="e">
        <f>Sheet3!#REF!/(New!#REF!*0.108*0.302)/3600</f>
        <v>#REF!</v>
      </c>
      <c r="AL3" s="35" t="e">
        <f>Sheet3!#REF!/(New!#REF!*0.108*0.302)/3600</f>
        <v>#REF!</v>
      </c>
      <c r="AM3" s="35" t="e">
        <f>Sheet3!#REF!/(New!#REF!*0.108*0.302)/3600</f>
        <v>#REF!</v>
      </c>
      <c r="AN3" s="35" t="e">
        <f>Sheet3!#REF!/(New!#REF!*0.108*0.302)/3600</f>
        <v>#REF!</v>
      </c>
      <c r="AO3" s="35" t="e">
        <f>Sheet3!#REF!/(New!#REF!*0.108*0.302)/3600</f>
        <v>#REF!</v>
      </c>
      <c r="AP3" s="35" t="e">
        <f>Sheet3!#REF!/(New!#REF!*0.108*0.302)/3600</f>
        <v>#REF!</v>
      </c>
      <c r="AQ3" s="35" t="e">
        <f>Sheet3!#REF!/(New!#REF!*0.108*0.302)/3600</f>
        <v>#REF!</v>
      </c>
      <c r="AR3" s="35" t="e">
        <f>Sheet3!#REF!/(New!#REF!*0.108*0.302)/3600</f>
        <v>#REF!</v>
      </c>
      <c r="AS3" s="35" t="e">
        <f>Sheet3!#REF!/(New!#REF!*0.108*0.302)/3600</f>
        <v>#REF!</v>
      </c>
    </row>
    <row r="4" spans="1:45" x14ac:dyDescent="0.3">
      <c r="A4" s="236" t="s">
        <v>673</v>
      </c>
      <c r="B4" s="236">
        <f>($U4*('Cooling water'!CO3+AVERAGE(_xlfn.ANCHORARRAY(Sheet3!R3))) -New!HU3*V4*(New!DO3-W4)) - ('Cooling water'!CO3*'Cooling water'!B3)</f>
        <v>-5448.5593935776442</v>
      </c>
      <c r="C4" s="236" t="s">
        <v>669</v>
      </c>
      <c r="D4" s="236">
        <v>0</v>
      </c>
      <c r="F4" s="237" t="s">
        <v>674</v>
      </c>
      <c r="G4" s="237">
        <f>((($W4*New!LG2)/1000)) - (EXP(New!$LP$6-((New!$LQ$6)/(U4+New!$LP$8))))</f>
        <v>-0.59115681624151806</v>
      </c>
      <c r="H4" s="237" t="s">
        <v>669</v>
      </c>
      <c r="I4" s="237">
        <v>0</v>
      </c>
      <c r="K4" s="238" t="s">
        <v>675</v>
      </c>
      <c r="L4" s="238">
        <f>($X4*LN((1-W4)/(1-New!DO3))) - ((1-$W4) - (1-New!DO3))</f>
        <v>-0.28667590576123536</v>
      </c>
      <c r="M4" s="238" t="s">
        <v>669</v>
      </c>
      <c r="N4" s="238">
        <v>0</v>
      </c>
      <c r="P4" s="239" t="s">
        <v>676</v>
      </c>
      <c r="Q4" s="239" t="e">
        <f>($V4*New!BV3*New!LQ5/1000*$X4*New!B3) - (AVERAGE(_xlfn.ANCHORARRAY(Sheet3!R3))*New!$LP$3)</f>
        <v>#VALUE!</v>
      </c>
      <c r="R4" s="239" t="s">
        <v>669</v>
      </c>
      <c r="S4" s="239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AD4" s="35">
        <f>AVERAGE(_xlfn.ANCHORARRAY(Sheet3!R3))</f>
        <v>265.10697033159926</v>
      </c>
      <c r="AG4" s="35">
        <v>1</v>
      </c>
      <c r="AH4" s="35">
        <v>2</v>
      </c>
      <c r="AI4" s="35">
        <v>3</v>
      </c>
      <c r="AJ4" s="35">
        <f>SUM(AG4:AI4)</f>
        <v>6</v>
      </c>
      <c r="AK4" s="35">
        <f>Sheet3!$DA3/(New!BM3*0.108*0.302)/3600</f>
        <v>2.1000346747874383</v>
      </c>
      <c r="AL4" s="35">
        <f>Sheet3!$DA3/(New!BN3*0.108*0.302)/3600</f>
        <v>2.0958373120937646</v>
      </c>
      <c r="AM4" s="35">
        <f>Sheet3!$DA3/(New!BO3*0.108*0.302)/3600</f>
        <v>2.0654450552735226</v>
      </c>
      <c r="AN4" s="35">
        <f>Sheet3!$DA3/(New!BP3*0.108*0.302)/3600</f>
        <v>2.0319978666371576</v>
      </c>
      <c r="AO4" s="35">
        <f>Sheet3!$DA3/(New!BQ3*0.108*0.302)/3600</f>
        <v>2.0153346139278496</v>
      </c>
      <c r="AP4" s="35">
        <f>Sheet3!$DA3/(New!BR3*0.108*0.302)/3600</f>
        <v>1.9975916843134229</v>
      </c>
      <c r="AQ4" s="35">
        <f>Sheet3!$DA3/(New!BS3*0.108*0.302)/3600</f>
        <v>1.9782890511913485</v>
      </c>
      <c r="AR4" s="35">
        <f>Sheet3!$DA3/(New!BT3*0.108*0.302)/3600</f>
        <v>1.9576041458540263</v>
      </c>
      <c r="AS4" s="35">
        <f>Sheet3!$DA3/(New!BU3*0.108*0.302)/3600</f>
        <v>1.9367175629003095</v>
      </c>
    </row>
    <row r="5" spans="1:45" x14ac:dyDescent="0.3">
      <c r="A5" s="236" t="s">
        <v>673</v>
      </c>
      <c r="B5" s="236">
        <f>($U5*('Cooling water'!CO4+AVERAGE(_xlfn.ANCHORARRAY(Sheet3!R4))) -New!HU4*V5*(New!DO4-W5)) - ('Cooling water'!CO4*'Cooling water'!B4)</f>
        <v>-5448.5593935776442</v>
      </c>
      <c r="C5" s="236" t="s">
        <v>669</v>
      </c>
      <c r="D5" s="236">
        <v>0</v>
      </c>
      <c r="F5" s="237" t="s">
        <v>674</v>
      </c>
      <c r="G5" s="237">
        <f>((($W5*New!LR4)/1000)) - (EXP(New!$LP$6-((New!$LQ$6)/(U5+New!$LP$8))))</f>
        <v>-0.59115681624151806</v>
      </c>
      <c r="H5" s="237" t="s">
        <v>669</v>
      </c>
      <c r="I5" s="237">
        <v>0</v>
      </c>
      <c r="K5" s="238" t="s">
        <v>675</v>
      </c>
      <c r="L5" s="238">
        <f>($X5*LN((1-W5)/(1-New!DO4))) - ((1-$W5) - (1-New!DO4))</f>
        <v>-0.28667590576123536</v>
      </c>
      <c r="M5" s="238" t="s">
        <v>669</v>
      </c>
      <c r="N5" s="238">
        <v>0</v>
      </c>
      <c r="P5" s="239" t="s">
        <v>676</v>
      </c>
      <c r="Q5" s="239">
        <f>($V5*New!BV4*New!LQ6/1000*$X5*New!B4) - (AVERAGE(_xlfn.ANCHORARRAY(Sheet3!R4))*New!$LP$3)</f>
        <v>-4316.2334062004174</v>
      </c>
      <c r="R5" s="239" t="s">
        <v>669</v>
      </c>
      <c r="S5" s="239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AD5" s="35">
        <f>AVERAGE(_xlfn.ANCHORARRAY(Sheet3!R4))</f>
        <v>239.59108555095295</v>
      </c>
      <c r="AK5" s="35">
        <f>Sheet3!$DA4/(New!BM4*0.108*0.302)/3600</f>
        <v>2.1541592798077329</v>
      </c>
      <c r="AL5" s="35">
        <f>Sheet3!$DA4/(New!BN4*0.108*0.302)/3600</f>
        <v>2.1547007757797432</v>
      </c>
      <c r="AM5" s="35">
        <f>Sheet3!$DA4/(New!BO4*0.108*0.302)/3600</f>
        <v>2.1208403478751316</v>
      </c>
      <c r="AN5" s="35">
        <f>Sheet3!$DA4/(New!BP4*0.108*0.302)/3600</f>
        <v>2.0932500498306035</v>
      </c>
      <c r="AO5" s="35">
        <f>Sheet3!$DA4/(New!BQ4*0.108*0.302)/3600</f>
        <v>2.0618144567904433</v>
      </c>
      <c r="AP5" s="35">
        <f>Sheet3!$DA4/(New!BR4*0.108*0.302)/3600</f>
        <v>2.0441701423688201</v>
      </c>
      <c r="AQ5" s="35">
        <f>Sheet3!$DA4/(New!BS4*0.108*0.302)/3600</f>
        <v>2.0167143754264996</v>
      </c>
      <c r="AR5" s="35">
        <f>Sheet3!$DA4/(New!BT4*0.108*0.302)/3600</f>
        <v>1.9959776286580306</v>
      </c>
      <c r="AS5" s="35">
        <f>Sheet3!$DA4/(New!BU4*0.108*0.302)/3600</f>
        <v>1.9729578619947206</v>
      </c>
    </row>
    <row r="6" spans="1:45" x14ac:dyDescent="0.3">
      <c r="A6" s="236" t="s">
        <v>673</v>
      </c>
      <c r="B6" s="236">
        <f>($U6*('Cooling water'!CO5+AVERAGE(_xlfn.ANCHORARRAY(Sheet3!R5))) -New!HU5*V6*(New!DO5-W6)) - ('Cooling water'!CO5*'Cooling water'!B5)</f>
        <v>-5954.6249543193007</v>
      </c>
      <c r="C6" s="236" t="s">
        <v>669</v>
      </c>
      <c r="D6" s="236">
        <v>0</v>
      </c>
      <c r="F6" s="237" t="s">
        <v>674</v>
      </c>
      <c r="G6" s="237">
        <f>((($W6*New!LR5)/1000)) - (EXP(New!$LP$6-((New!$LQ$6)/(U6+New!$LP$8))))</f>
        <v>-0.59115681624151806</v>
      </c>
      <c r="H6" s="237" t="s">
        <v>669</v>
      </c>
      <c r="I6" s="237">
        <v>0</v>
      </c>
      <c r="K6" s="238" t="s">
        <v>675</v>
      </c>
      <c r="L6" s="238">
        <f>($X6*LN((1-W6)/(1-New!DO5))) - ((1-$W6) - (1-New!DO5))</f>
        <v>-0.28667590576123536</v>
      </c>
      <c r="M6" s="238" t="s">
        <v>669</v>
      </c>
      <c r="N6" s="238">
        <v>0</v>
      </c>
      <c r="P6" s="239" t="s">
        <v>676</v>
      </c>
      <c r="Q6" s="239">
        <f>($V6*New!BV5*New!LQ7/1000*$X6*New!B5) - (AVERAGE(_xlfn.ANCHORARRAY(Sheet3!R5))*New!$LP$3)</f>
        <v>-3936.6197648829207</v>
      </c>
      <c r="R6" s="239" t="s">
        <v>669</v>
      </c>
      <c r="S6" s="239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AD6" s="35">
        <f>AVERAGE(_xlfn.ANCHORARRAY(Sheet3!R5))</f>
        <v>218.51899888331505</v>
      </c>
      <c r="AK6" s="35">
        <f>Sheet3!$DA5/(New!BM5*0.108*0.302)/3600</f>
        <v>2.208283884828028</v>
      </c>
      <c r="AL6" s="35">
        <f>Sheet3!$DA5/(New!BN5*0.108*0.302)/3600</f>
        <v>2.2082240180827899</v>
      </c>
      <c r="AM6" s="35">
        <f>Sheet3!$DA5/(New!BO5*0.108*0.302)/3600</f>
        <v>2.1705888076202031</v>
      </c>
      <c r="AN6" s="35">
        <f>Sheet3!$DA5/(New!BP5*0.108*0.302)/3600</f>
        <v>2.1397063061960635</v>
      </c>
      <c r="AO6" s="35">
        <f>Sheet3!$DA5/(New!BQ5*0.108*0.302)/3600</f>
        <v>2.104761651817876</v>
      </c>
      <c r="AP6" s="35">
        <f>Sheet3!$DA5/(New!BR5*0.108*0.302)/3600</f>
        <v>2.0854197771161189</v>
      </c>
      <c r="AQ6" s="35">
        <f>Sheet3!$DA5/(New!BS5*0.108*0.302)/3600</f>
        <v>2.0554393344262425</v>
      </c>
      <c r="AR6" s="35">
        <f>Sheet3!$DA5/(New!BT5*0.108*0.302)/3600</f>
        <v>2.0248729352491805</v>
      </c>
      <c r="AS6" s="35">
        <f>Sheet3!$DA5/(New!BU5*0.108*0.302)/3600</f>
        <v>2.0066960680881469</v>
      </c>
    </row>
    <row r="7" spans="1:45" x14ac:dyDescent="0.3">
      <c r="A7" s="236" t="s">
        <v>673</v>
      </c>
      <c r="B7" s="236">
        <f>($U7*('Cooling water'!CO6+AVERAGE(_xlfn.ANCHORARRAY(Sheet3!R6))) -New!HU6*V7*(New!DO6-W7)) - ('Cooling water'!CO6*'Cooling water'!B6)</f>
        <v>-4361.8631546502193</v>
      </c>
      <c r="C7" s="236" t="s">
        <v>669</v>
      </c>
      <c r="D7" s="236">
        <v>0</v>
      </c>
      <c r="F7" s="237" t="s">
        <v>674</v>
      </c>
      <c r="G7" s="237">
        <f>((($W7*New!LR6)/1000)) - (EXP(New!$LP$6-((New!$LQ$6)/(U7+New!$LP$8))))</f>
        <v>-0.59115681624151806</v>
      </c>
      <c r="H7" s="237" t="s">
        <v>669</v>
      </c>
      <c r="I7" s="237">
        <v>0</v>
      </c>
      <c r="K7" s="238" t="s">
        <v>675</v>
      </c>
      <c r="L7" s="238">
        <f>($X7*LN((1-W7)/(1-New!DO6))) - ((1-$W7) - (1-New!DO6))</f>
        <v>-0.28005697424798948</v>
      </c>
      <c r="M7" s="238" t="s">
        <v>669</v>
      </c>
      <c r="N7" s="238">
        <v>0</v>
      </c>
      <c r="P7" s="239" t="s">
        <v>676</v>
      </c>
      <c r="Q7" s="239" t="e">
        <f>($V7*New!BV6*New!LQ8/1000*$X7*New!B6) - (AVERAGE(_xlfn.ANCHORARRAY(Sheet3!R6))*New!$LP$3)</f>
        <v>#VALUE!</v>
      </c>
      <c r="R7" s="239" t="s">
        <v>669</v>
      </c>
      <c r="S7" s="239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AD7" s="35">
        <f>AVERAGE(_xlfn.ANCHORARRAY(Sheet3!R6))</f>
        <v>216.10257337101359</v>
      </c>
      <c r="AK7" s="35">
        <f>Sheet3!$DA6/(New!BM6*0.108*0.302)/3600</f>
        <v>2.4027242312020425</v>
      </c>
      <c r="AL7" s="35">
        <f>Sheet3!$DA6/(New!BN6*0.108*0.302)/3600</f>
        <v>2.4058331252249223</v>
      </c>
      <c r="AM7" s="35">
        <f>Sheet3!$DA6/(New!BO6*0.108*0.302)/3600</f>
        <v>2.3620386967044387</v>
      </c>
      <c r="AN7" s="35">
        <f>Sheet3!$DA6/(New!BP6*0.108*0.302)/3600</f>
        <v>2.3276636496563148</v>
      </c>
      <c r="AO7" s="35">
        <f>Sheet3!$DA6/(New!BQ6*0.108*0.302)/3600</f>
        <v>2.2846193750710504</v>
      </c>
      <c r="AP7" s="35">
        <f>Sheet3!$DA6/(New!BR6*0.108*0.302)/3600</f>
        <v>2.2633914642151787</v>
      </c>
      <c r="AQ7" s="35">
        <f>Sheet3!$DA6/(New!BS6*0.108*0.302)/3600</f>
        <v>2.2263136874705975</v>
      </c>
      <c r="AR7" s="35">
        <f>Sheet3!$DA6/(New!BT6*0.108*0.302)/3600</f>
        <v>2.200338812179786</v>
      </c>
      <c r="AS7" s="35">
        <f>Sheet3!$DA6/(New!BU6*0.108*0.302)/3600</f>
        <v>2.1633386928162266</v>
      </c>
    </row>
    <row r="8" spans="1:45" x14ac:dyDescent="0.3">
      <c r="A8" s="236" t="s">
        <v>673</v>
      </c>
      <c r="B8" s="236">
        <f>($U8*('Cooling water'!CO7+AVERAGE(_xlfn.ANCHORARRAY(Sheet3!R7))) -New!HU7*V8*(New!DO7-W8)) - ('Cooling water'!CO7*'Cooling water'!B7)</f>
        <v>-4382.0442266274949</v>
      </c>
      <c r="C8" s="236" t="s">
        <v>669</v>
      </c>
      <c r="D8" s="236">
        <v>0</v>
      </c>
      <c r="F8" s="237" t="s">
        <v>674</v>
      </c>
      <c r="G8" s="237">
        <f>((($W8*New!LR7)/1000)) - (EXP(New!$LP$6-((New!$LQ$6)/(U8+New!$LP$8))))</f>
        <v>-0.59115681624151806</v>
      </c>
      <c r="H8" s="237" t="s">
        <v>669</v>
      </c>
      <c r="I8" s="237">
        <v>0</v>
      </c>
      <c r="K8" s="238" t="s">
        <v>675</v>
      </c>
      <c r="L8" s="238">
        <f>($X8*LN((1-W8)/(1-New!DO7))) - ((1-$W8) - (1-New!DO7))</f>
        <v>-0.27543200971244808</v>
      </c>
      <c r="M8" s="238" t="s">
        <v>669</v>
      </c>
      <c r="N8" s="238">
        <v>0</v>
      </c>
      <c r="P8" s="239" t="s">
        <v>676</v>
      </c>
      <c r="Q8" s="239">
        <f>($V8*New!BV7*New!LQ9/1000*$X8*New!B7) - (AVERAGE(_xlfn.ANCHORARRAY(Sheet3!R7))*New!$LP$3)</f>
        <v>-3674.8081429725362</v>
      </c>
      <c r="R8" s="239" t="s">
        <v>669</v>
      </c>
      <c r="S8" s="239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AD8" s="35">
        <f>AVERAGE(_xlfn.ANCHORARRAY(Sheet3!R7))</f>
        <v>203.98601959325762</v>
      </c>
      <c r="AK8" s="35">
        <f>Sheet3!$DA7/(New!BM7*0.108*0.302)/3600</f>
        <v>2.5015166439316725</v>
      </c>
      <c r="AL8" s="35">
        <f>Sheet3!$DA7/(New!BN7*0.108*0.302)/3600</f>
        <v>2.4843503456814808</v>
      </c>
      <c r="AM8" s="35">
        <f>Sheet3!$DA7/(New!BO7*0.108*0.302)/3600</f>
        <v>2.4502342272950122</v>
      </c>
      <c r="AN8" s="35">
        <f>Sheet3!$DA7/(New!BP7*0.108*0.302)/3600</f>
        <v>2.4132065335589634</v>
      </c>
      <c r="AO8" s="35">
        <f>Sheet3!$DA7/(New!BQ7*0.108*0.302)/3600</f>
        <v>2.3614294307029087</v>
      </c>
      <c r="AP8" s="35">
        <f>Sheet3!$DA7/(New!BR7*0.108*0.302)/3600</f>
        <v>2.3383155473514039</v>
      </c>
      <c r="AQ8" s="35">
        <f>Sheet3!$DA7/(New!BS7*0.108*0.302)/3600</f>
        <v>2.3055714487264898</v>
      </c>
      <c r="AR8" s="35">
        <f>Sheet3!$DA7/(New!BT7*0.108*0.302)/3600</f>
        <v>2.2735499390675291</v>
      </c>
      <c r="AS8" s="35">
        <f>Sheet3!$DA7/(New!BU7*0.108*0.302)/3600</f>
        <v>2.2398913965866054</v>
      </c>
    </row>
    <row r="9" spans="1:45" x14ac:dyDescent="0.3">
      <c r="A9" s="236" t="s">
        <v>673</v>
      </c>
      <c r="B9" s="236">
        <f>($U9*('Cooling water'!CO8+AVERAGE(_xlfn.ANCHORARRAY(Sheet3!R8))) -New!HU8*V9*(New!DO8-W9)) - ('Cooling water'!CO8*'Cooling water'!B8)</f>
        <v>-5504.9890920924427</v>
      </c>
      <c r="C9" s="236" t="s">
        <v>669</v>
      </c>
      <c r="D9" s="236">
        <v>0</v>
      </c>
      <c r="F9" s="237" t="s">
        <v>674</v>
      </c>
      <c r="G9" s="237">
        <f>((($W9*New!LR8)/1000)) - (EXP(New!$LP$6-((New!$LQ$6)/(U9+New!$LP$8))))</f>
        <v>-0.59115681624151806</v>
      </c>
      <c r="H9" s="237" t="s">
        <v>669</v>
      </c>
      <c r="I9" s="237">
        <v>0</v>
      </c>
      <c r="K9" s="238" t="s">
        <v>675</v>
      </c>
      <c r="L9" s="238">
        <f>($X9*LN((1-W9)/(1-New!DO8))) - ((1-$W9) - (1-New!DO8))</f>
        <v>-0.28667590576123536</v>
      </c>
      <c r="M9" s="238" t="s">
        <v>669</v>
      </c>
      <c r="N9" s="238">
        <v>0</v>
      </c>
      <c r="P9" s="239" t="s">
        <v>676</v>
      </c>
      <c r="Q9" s="239">
        <f>($V9*New!BV8*New!LQ10/1000*$X9*New!B8) - (AVERAGE(_xlfn.ANCHORARRAY(Sheet3!R8))*New!$LP$3)</f>
        <v>-3389.1189775907437</v>
      </c>
      <c r="R9" s="239" t="s">
        <v>669</v>
      </c>
      <c r="S9" s="239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AD9" s="35">
        <f>AVERAGE(_xlfn.ANCHORARRAY(Sheet3!R8))</f>
        <v>188.12761463173709</v>
      </c>
      <c r="AK9" s="35">
        <f>Sheet3!$DA8/(New!BM8*0.108*0.302)/3600</f>
        <v>2.6669899123750263</v>
      </c>
      <c r="AL9" s="35">
        <f>Sheet3!$DA8/(New!BN8*0.108*0.302)/3600</f>
        <v>2.6601307393818772</v>
      </c>
      <c r="AM9" s="35">
        <f>Sheet3!$DA8/(New!BO8*0.108*0.302)/3600</f>
        <v>2.6008139022956676</v>
      </c>
      <c r="AN9" s="35">
        <f>Sheet3!$DA8/(New!BP8*0.108*0.302)/3600</f>
        <v>2.5643403788318366</v>
      </c>
      <c r="AO9" s="35">
        <f>Sheet3!$DA8/(New!BQ8*0.108*0.302)/3600</f>
        <v>2.5121598216046306</v>
      </c>
      <c r="AP9" s="35">
        <f>Sheet3!$DA8/(New!BR8*0.108*0.302)/3600</f>
        <v>2.4854830738018281</v>
      </c>
      <c r="AQ9" s="35">
        <f>Sheet3!$DA8/(New!BS8*0.108*0.302)/3600</f>
        <v>2.441710274043869</v>
      </c>
      <c r="AR9" s="35">
        <f>Sheet3!$DA8/(New!BT8*0.108*0.302)/3600</f>
        <v>2.4106363500668744</v>
      </c>
      <c r="AS9" s="35">
        <f>Sheet3!$DA8/(New!BU8*0.108*0.302)/3600</f>
        <v>2.374658987219282</v>
      </c>
    </row>
    <row r="10" spans="1:45" x14ac:dyDescent="0.3">
      <c r="A10" s="236" t="s">
        <v>673</v>
      </c>
      <c r="B10" s="236">
        <f>($U10*('Cooling water'!CO9+AVERAGE(_xlfn.ANCHORARRAY(Sheet3!R9))) -New!HU9*V10*(New!DO9-W10)) - ('Cooling water'!CO9*'Cooling water'!B9)</f>
        <v>-5504.9890920924427</v>
      </c>
      <c r="C10" s="236" t="s">
        <v>669</v>
      </c>
      <c r="D10" s="236">
        <v>0</v>
      </c>
      <c r="F10" s="237" t="s">
        <v>674</v>
      </c>
      <c r="G10" s="237">
        <f>((($W10*New!LR9)/1000)) - (EXP(New!$LP$6-((New!$LQ$6)/(U10+New!$LP$8))))</f>
        <v>-0.59115681624151806</v>
      </c>
      <c r="H10" s="237" t="s">
        <v>669</v>
      </c>
      <c r="I10" s="237">
        <v>0</v>
      </c>
      <c r="K10" s="238" t="s">
        <v>675</v>
      </c>
      <c r="L10" s="238">
        <f>($X10*LN((1-W10)/(1-New!DO9))) - ((1-$W10) - (1-New!DO9))</f>
        <v>-0.28667590576123536</v>
      </c>
      <c r="M10" s="238" t="s">
        <v>669</v>
      </c>
      <c r="N10" s="238">
        <v>0</v>
      </c>
      <c r="P10" s="239" t="s">
        <v>676</v>
      </c>
      <c r="Q10" s="239">
        <f>($V10*New!BV9*New!LQ11/1000*$X10*New!B9) - (AVERAGE(_xlfn.ANCHORARRAY(Sheet3!R9))*New!$LP$3)</f>
        <v>-3130.0629941797242</v>
      </c>
      <c r="R10" s="239" t="s">
        <v>669</v>
      </c>
      <c r="S10" s="239">
        <v>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AD10" s="35">
        <f>AVERAGE(_xlfn.ANCHORARRAY(Sheet3!R9))</f>
        <v>173.7475988997904</v>
      </c>
      <c r="AK10" s="35">
        <f>Sheet3!$DA9/(New!BM9*0.108*0.302)/3600</f>
        <v>2.6669899123750263</v>
      </c>
      <c r="AL10" s="35">
        <f>Sheet3!$DA9/(New!BN9*0.108*0.302)/3600</f>
        <v>2.7085669115345699</v>
      </c>
      <c r="AM10" s="35">
        <f>Sheet3!$DA9/(New!BO9*0.108*0.302)/3600</f>
        <v>2.6575451567222834</v>
      </c>
      <c r="AN10" s="35">
        <f>Sheet3!$DA9/(New!BP9*0.108*0.302)/3600</f>
        <v>2.6127426096528046</v>
      </c>
      <c r="AO10" s="35">
        <f>Sheet3!$DA9/(New!BQ9*0.108*0.302)/3600</f>
        <v>2.5566262729161906</v>
      </c>
      <c r="AP10" s="35">
        <f>Sheet3!$DA9/(New!BR9*0.108*0.302)/3600</f>
        <v>2.5279068409983365</v>
      </c>
      <c r="AQ10" s="35">
        <f>Sheet3!$DA9/(New!BS9*0.108*0.302)/3600</f>
        <v>2.4799895610809775</v>
      </c>
      <c r="AR10" s="35">
        <f>Sheet3!$DA9/(New!BT9*0.108*0.302)/3600</f>
        <v>2.4473427832909289</v>
      </c>
      <c r="AS10" s="35">
        <f>Sheet3!$DA9/(New!BU9*0.108*0.302)/3600</f>
        <v>2.404023768863452</v>
      </c>
    </row>
    <row r="11" spans="1:45" x14ac:dyDescent="0.3">
      <c r="A11" s="236" t="s">
        <v>673</v>
      </c>
      <c r="B11" s="236">
        <f>($U11*('Cooling water'!CO10+AVERAGE(_xlfn.ANCHORARRAY(Sheet3!R10))) -New!HU10*V11*(New!DO10-W11)) - ('Cooling water'!CO10*'Cooling water'!B10)</f>
        <v>-5474.6654679698413</v>
      </c>
      <c r="C11" s="236" t="s">
        <v>669</v>
      </c>
      <c r="D11" s="236">
        <v>0</v>
      </c>
      <c r="F11" s="237" t="s">
        <v>674</v>
      </c>
      <c r="G11" s="237">
        <f>((($W11*New!LR10)/1000)) - (EXP(New!$LP$6-((New!$LQ$6)/(U11+New!$LP$8))))</f>
        <v>-0.59115681624151806</v>
      </c>
      <c r="H11" s="237" t="s">
        <v>669</v>
      </c>
      <c r="I11" s="237">
        <v>0</v>
      </c>
      <c r="K11" s="238" t="s">
        <v>675</v>
      </c>
      <c r="L11" s="238">
        <f>($X11*LN((1-W11)/(1-New!DO10))) - ((1-$W11) - (1-New!DO10))</f>
        <v>-0.27167980594299568</v>
      </c>
      <c r="M11" s="238" t="s">
        <v>669</v>
      </c>
      <c r="N11" s="238">
        <v>0</v>
      </c>
      <c r="P11" s="239" t="s">
        <v>676</v>
      </c>
      <c r="Q11" s="239">
        <f>($V11*New!BV10*New!LQ12/1000*$X11*New!B10) - (AVERAGE(_xlfn.ANCHORARRAY(Sheet3!R10))*New!$LP$3)</f>
        <v>-3214.2981570725656</v>
      </c>
      <c r="R11" s="239" t="s">
        <v>669</v>
      </c>
      <c r="S11" s="239">
        <v>0</v>
      </c>
      <c r="U11" s="35">
        <v>0</v>
      </c>
      <c r="V11" s="35">
        <v>0</v>
      </c>
      <c r="W11" s="35">
        <v>0</v>
      </c>
      <c r="X11" s="35">
        <v>0</v>
      </c>
      <c r="Y11" s="35">
        <v>0</v>
      </c>
      <c r="AD11" s="35">
        <f>AVERAGE(_xlfn.ANCHORARRAY(Sheet3!R10))</f>
        <v>178.42343364266253</v>
      </c>
      <c r="AK11" s="35">
        <f>Sheet3!$DA10/(New!BM10*0.108*0.302)/3600</f>
        <v>2.7465237075569751</v>
      </c>
      <c r="AL11" s="35">
        <f>Sheet3!$DA10/(New!BN10*0.108*0.302)/3600</f>
        <v>2.7539437219141143</v>
      </c>
      <c r="AM11" s="35">
        <f>Sheet3!$DA10/(New!BO10*0.108*0.302)/3600</f>
        <v>2.6897187336566462</v>
      </c>
      <c r="AN11" s="35">
        <f>Sheet3!$DA10/(New!BP10*0.108*0.302)/3600</f>
        <v>2.6420941726010496</v>
      </c>
      <c r="AO11" s="35">
        <f>Sheet3!$DA10/(New!BQ10*0.108*0.302)/3600</f>
        <v>2.5832279748973015</v>
      </c>
      <c r="AP11" s="35">
        <f>Sheet3!$DA10/(New!BR10*0.108*0.302)/3600</f>
        <v>2.5527512944391324</v>
      </c>
      <c r="AQ11" s="35">
        <f>Sheet3!$DA10/(New!BS10*0.108*0.302)/3600</f>
        <v>2.5075860467373103</v>
      </c>
      <c r="AR11" s="35">
        <f>Sheet3!$DA10/(New!BT10*0.108*0.302)/3600</f>
        <v>2.4655964222949445</v>
      </c>
      <c r="AS11" s="35">
        <f>Sheet3!$DA10/(New!BU10*0.108*0.302)/3600</f>
        <v>2.4245406892564292</v>
      </c>
    </row>
    <row r="12" spans="1:45" x14ac:dyDescent="0.3">
      <c r="A12" s="236" t="s">
        <v>673</v>
      </c>
      <c r="B12" s="236">
        <f>($U12*('Cooling water'!CO11+AVERAGE(_xlfn.ANCHORARRAY(Sheet3!R11))) -New!HU11*V12*(New!DO11-W12)) - ('Cooling water'!CO11*'Cooling water'!B11)</f>
        <v>-5375.9369876955952</v>
      </c>
      <c r="C12" s="236" t="s">
        <v>669</v>
      </c>
      <c r="D12" s="236">
        <v>0</v>
      </c>
      <c r="F12" s="237" t="s">
        <v>674</v>
      </c>
      <c r="G12" s="237">
        <f>((($W12*New!LR11)/1000)) - (EXP(New!$LP$6-((New!$LQ$6)/(U12+New!$LP$8))))</f>
        <v>-0.59115681624151806</v>
      </c>
      <c r="H12" s="237" t="s">
        <v>669</v>
      </c>
      <c r="I12" s="237">
        <v>0</v>
      </c>
      <c r="K12" s="238" t="s">
        <v>675</v>
      </c>
      <c r="L12" s="238">
        <f>($X12*LN((1-W12)/(1-New!DO11))) - ((1-$W12) - (1-New!DO11))</f>
        <v>-0.27987006283810345</v>
      </c>
      <c r="M12" s="238" t="s">
        <v>669</v>
      </c>
      <c r="N12" s="238">
        <v>0</v>
      </c>
      <c r="P12" s="239" t="s">
        <v>676</v>
      </c>
      <c r="Q12" s="239">
        <f>($V12*New!BV11*New!LQ13/1000*$X12*New!B11) - (AVERAGE(_xlfn.ANCHORARRAY(Sheet3!R11))*New!$LP$3)</f>
        <v>-3232.4093274166935</v>
      </c>
      <c r="R12" s="239" t="s">
        <v>669</v>
      </c>
      <c r="S12" s="239">
        <v>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AD12" s="35">
        <f>AVERAGE(_xlfn.ANCHORARRAY(Sheet3!R11))</f>
        <v>179.42877199093496</v>
      </c>
      <c r="AK12" s="35">
        <f>Sheet3!$DA11/(New!BM11*0.108*0.302)/3600</f>
        <v>2.7931075019059901</v>
      </c>
      <c r="AL12" s="35">
        <f>Sheet3!$DA11/(New!BN11*0.108*0.302)/3600</f>
        <v>2.8006534687170515</v>
      </c>
      <c r="AM12" s="35">
        <f>Sheet3!$DA11/(New!BO11*0.108*0.302)/3600</f>
        <v>2.7353668809088387</v>
      </c>
      <c r="AN12" s="35">
        <f>Sheet3!$DA11/(New!BP11*0.108*0.302)/3600</f>
        <v>2.6869742152343683</v>
      </c>
      <c r="AO12" s="35">
        <f>Sheet3!$DA11/(New!BQ11*0.108*0.302)/3600</f>
        <v>2.6270344354923689</v>
      </c>
      <c r="AP12" s="35">
        <f>Sheet3!$DA11/(New!BR11*0.108*0.302)/3600</f>
        <v>2.5960436715354569</v>
      </c>
      <c r="AQ12" s="35">
        <f>Sheet3!$DA11/(New!BS11*0.108*0.302)/3600</f>
        <v>2.5501583308418989</v>
      </c>
      <c r="AR12" s="35">
        <f>Sheet3!$DA11/(New!BT11*0.108*0.302)/3600</f>
        <v>2.5074536061282005</v>
      </c>
      <c r="AS12" s="35">
        <f>Sheet3!$DA11/(New!BU11*0.108*0.302)/3600</f>
        <v>2.4657420792351967</v>
      </c>
    </row>
    <row r="13" spans="1:45" x14ac:dyDescent="0.3">
      <c r="A13" s="236" t="s">
        <v>673</v>
      </c>
      <c r="B13" s="236">
        <f>($U13*('Cooling water'!CO12+AVERAGE(_xlfn.ANCHORARRAY(Sheet3!R12))) -New!HU12*V13*(New!DO12-W13)) - ('Cooling water'!CO12*'Cooling water'!B12)</f>
        <v>-11470.787626761721</v>
      </c>
      <c r="C13" s="236" t="s">
        <v>669</v>
      </c>
      <c r="D13" s="236">
        <v>0</v>
      </c>
      <c r="F13" s="237" t="s">
        <v>674</v>
      </c>
      <c r="G13" s="237">
        <f>((($W13*New!LR12)/1000)) - (EXP(New!$LP$6-((New!$LQ$6)/(U13+New!$LP$8))))</f>
        <v>-0.59115681624151806</v>
      </c>
      <c r="H13" s="237" t="s">
        <v>669</v>
      </c>
      <c r="I13" s="237">
        <v>0</v>
      </c>
      <c r="K13" s="238" t="s">
        <v>675</v>
      </c>
      <c r="L13" s="238">
        <f>($X13*LN((1-W13)/(1-New!DO12))) - ((1-$W13) - (1-New!DO12))</f>
        <v>-0.28001779118562786</v>
      </c>
      <c r="M13" s="238" t="s">
        <v>669</v>
      </c>
      <c r="N13" s="238">
        <v>0</v>
      </c>
      <c r="P13" s="239" t="s">
        <v>676</v>
      </c>
      <c r="Q13" s="239">
        <f>($V13*New!BV12*New!LQ14/1000*$X13*New!B12) - (AVERAGE(_xlfn.ANCHORARRAY(Sheet3!R12))*New!$LP$3)</f>
        <v>-3224.8364720690115</v>
      </c>
      <c r="R13" s="239" t="s">
        <v>669</v>
      </c>
      <c r="S13" s="239">
        <v>0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AD13" s="35">
        <f>AVERAGE(_xlfn.ANCHORARRAY(Sheet3!R12))</f>
        <v>179.00840810818826</v>
      </c>
      <c r="AK13" s="35">
        <f>Sheet3!$DA12/(New!BM12*0.108*0.302)/3600</f>
        <v>2.9174181697340149</v>
      </c>
      <c r="AL13" s="35">
        <f>Sheet3!$DA12/(New!BN12*0.108*0.302)/3600</f>
        <v>2.9202821034135318</v>
      </c>
      <c r="AM13" s="35">
        <f>Sheet3!$DA12/(New!BO12*0.108*0.302)/3600</f>
        <v>2.850078979442602</v>
      </c>
      <c r="AN13" s="35">
        <f>Sheet3!$DA12/(New!BP12*0.108*0.302)/3600</f>
        <v>2.7984289811129819</v>
      </c>
      <c r="AO13" s="35">
        <f>Sheet3!$DA12/(New!BQ12*0.108*0.302)/3600</f>
        <v>2.7342772050941417</v>
      </c>
      <c r="AP13" s="35">
        <f>Sheet3!$DA12/(New!BR12*0.108*0.302)/3600</f>
        <v>2.6968386872609078</v>
      </c>
      <c r="AQ13" s="35">
        <f>Sheet3!$DA12/(New!BS12*0.108*0.302)/3600</f>
        <v>2.6526205424820195</v>
      </c>
      <c r="AR13" s="35">
        <f>Sheet3!$DA12/(New!BT12*0.108*0.302)/3600</f>
        <v>2.6049330575849408</v>
      </c>
      <c r="AS13" s="35">
        <f>Sheet3!$DA12/(New!BU12*0.108*0.302)/3600</f>
        <v>2.5516195520245768</v>
      </c>
    </row>
    <row r="14" spans="1:45" x14ac:dyDescent="0.3">
      <c r="A14" s="236" t="s">
        <v>673</v>
      </c>
      <c r="B14" s="236">
        <f>($U14*('Cooling water'!CO13+AVERAGE(_xlfn.ANCHORARRAY(Sheet3!R13))) -New!HU13*V14*(New!DO13-W14)) - ('Cooling water'!CO13*'Cooling water'!B13)</f>
        <v>-11947.866428736083</v>
      </c>
      <c r="C14" s="236" t="s">
        <v>669</v>
      </c>
      <c r="D14" s="236">
        <v>0</v>
      </c>
      <c r="F14" s="237" t="s">
        <v>674</v>
      </c>
      <c r="G14" s="237">
        <f>((($W14*New!LR13)/1000)) - (EXP(New!$LP$6-((New!$LQ$6)/(U14+New!$LP$8))))</f>
        <v>-0.59115681624151806</v>
      </c>
      <c r="H14" s="237" t="s">
        <v>669</v>
      </c>
      <c r="I14" s="237">
        <v>0</v>
      </c>
      <c r="K14" s="238" t="s">
        <v>675</v>
      </c>
      <c r="L14" s="238">
        <f>($X14*LN((1-W14)/(1-New!DO13))) - ((1-$W14) - (1-New!DO13))</f>
        <v>-0.26758819507327258</v>
      </c>
      <c r="M14" s="238" t="s">
        <v>669</v>
      </c>
      <c r="N14" s="238">
        <v>0</v>
      </c>
      <c r="P14" s="239" t="s">
        <v>676</v>
      </c>
      <c r="Q14" s="239">
        <f>($V14*New!BV13*New!LQ15/1000*$X14*New!B13) - (AVERAGE(_xlfn.ANCHORARRAY(Sheet3!R13))*New!$LP$3)</f>
        <v>-3097.3861402629777</v>
      </c>
      <c r="R14" s="239" t="s">
        <v>669</v>
      </c>
      <c r="S14" s="239">
        <v>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AD14" s="35">
        <f>AVERAGE(_xlfn.ANCHORARRAY(Sheet3!R13))</f>
        <v>171.93372968431737</v>
      </c>
      <c r="AK14" s="35">
        <f>Sheet3!$DA13/(New!BM13*0.108*0.302)/3600</f>
        <v>3.1181672245086971</v>
      </c>
      <c r="AL14" s="35">
        <f>Sheet3!$DA13/(New!BN13*0.108*0.302)/3600</f>
        <v>3.1254879779658808</v>
      </c>
      <c r="AM14" s="35">
        <f>Sheet3!$DA13/(New!BO13*0.108*0.302)/3600</f>
        <v>3.0491326427205085</v>
      </c>
      <c r="AN14" s="35">
        <f>Sheet3!$DA13/(New!BP13*0.108*0.302)/3600</f>
        <v>2.9924587672329168</v>
      </c>
      <c r="AO14" s="35">
        <f>Sheet3!$DA13/(New!BQ13*0.108*0.302)/3600</f>
        <v>2.9201315078506522</v>
      </c>
      <c r="AP14" s="35">
        <f>Sheet3!$DA13/(New!BR13*0.108*0.302)/3600</f>
        <v>2.8827155538605096</v>
      </c>
      <c r="AQ14" s="35">
        <f>Sheet3!$DA13/(New!BS13*0.108*0.302)/3600</f>
        <v>2.8288100780718812</v>
      </c>
      <c r="AR14" s="35">
        <f>Sheet3!$DA13/(New!BT13*0.108*0.302)/3600</f>
        <v>2.780331064509117</v>
      </c>
      <c r="AS14" s="35">
        <f>Sheet3!$DA13/(New!BU13*0.108*0.302)/3600</f>
        <v>2.7225412255134653</v>
      </c>
    </row>
    <row r="15" spans="1:45" x14ac:dyDescent="0.3">
      <c r="A15" s="236" t="s">
        <v>673</v>
      </c>
      <c r="B15" s="236">
        <f>($U15*('Cooling water'!CO14+AVERAGE(_xlfn.ANCHORARRAY(Sheet3!R14))) -New!HU14*V15*(New!DO14-W15)) - ('Cooling water'!CO14*'Cooling water'!B14)</f>
        <v>-11992.394520817108</v>
      </c>
      <c r="C15" s="236" t="s">
        <v>669</v>
      </c>
      <c r="D15" s="236">
        <v>0</v>
      </c>
      <c r="F15" s="237" t="s">
        <v>674</v>
      </c>
      <c r="G15" s="237">
        <f>((($W15*New!LR14)/1000)) - (EXP(New!$LP$6-((New!$LQ$6)/(U15+New!$LP$8))))</f>
        <v>-0.59115681624151806</v>
      </c>
      <c r="H15" s="237" t="s">
        <v>669</v>
      </c>
      <c r="I15" s="237">
        <v>0</v>
      </c>
      <c r="K15" s="238" t="s">
        <v>675</v>
      </c>
      <c r="L15" s="238">
        <f>($X15*LN((1-W15)/(1-New!DO14))) - ((1-$W15) - (1-New!DO14))</f>
        <v>-0.26758819507327258</v>
      </c>
      <c r="M15" s="238" t="s">
        <v>669</v>
      </c>
      <c r="N15" s="238">
        <v>0</v>
      </c>
      <c r="P15" s="239" t="s">
        <v>676</v>
      </c>
      <c r="Q15" s="239">
        <f>($V15*New!BV14*New!LQ16/1000*$X15*New!B14) - (AVERAGE(_xlfn.ANCHORARRAY(Sheet3!R14))*New!$LP$3)</f>
        <v>-3078.5057492084584</v>
      </c>
      <c r="R15" s="239" t="s">
        <v>669</v>
      </c>
      <c r="S15" s="239">
        <v>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AD15" s="35">
        <f>AVERAGE(_xlfn.ANCHORARRAY(Sheet3!R14))</f>
        <v>170.88569243455223</v>
      </c>
      <c r="AK15" s="35">
        <f>Sheet3!$DA14/(New!BM14*0.108*0.302)/3600</f>
        <v>3.1834008484523926</v>
      </c>
      <c r="AL15" s="35">
        <f>Sheet3!$DA14/(New!BN14*0.108*0.302)/3600</f>
        <v>3.1777808157885628</v>
      </c>
      <c r="AM15" s="35">
        <f>Sheet3!$DA14/(New!BO14*0.108*0.302)/3600</f>
        <v>3.0896921043038401</v>
      </c>
      <c r="AN15" s="35">
        <f>Sheet3!$DA14/(New!BP14*0.108*0.302)/3600</f>
        <v>3.0379985789711155</v>
      </c>
      <c r="AO15" s="35">
        <f>Sheet3!$DA14/(New!BQ14*0.108*0.302)/3600</f>
        <v>2.9619981329389136</v>
      </c>
      <c r="AP15" s="35">
        <f>Sheet3!$DA14/(New!BR14*0.108*0.302)/3600</f>
        <v>2.9232413456839579</v>
      </c>
      <c r="AQ15" s="35">
        <f>Sheet3!$DA14/(New!BS14*0.108*0.302)/3600</f>
        <v>2.8668951320761273</v>
      </c>
      <c r="AR15" s="35">
        <f>Sheet3!$DA14/(New!BT14*0.108*0.302)/3600</f>
        <v>2.8157969325682997</v>
      </c>
      <c r="AS15" s="35">
        <f>Sheet3!$DA14/(New!BU14*0.108*0.302)/3600</f>
        <v>2.7610635718395908</v>
      </c>
    </row>
    <row r="16" spans="1:45" x14ac:dyDescent="0.3">
      <c r="A16" s="236" t="s">
        <v>673</v>
      </c>
      <c r="B16" s="236">
        <f>($U16*('Cooling water'!CO15+AVERAGE(_xlfn.ANCHORARRAY(Sheet3!R15))) -New!HU15*V16*(New!DO15-W16)) - ('Cooling water'!CO15*'Cooling water'!B15)</f>
        <v>-5054.6694280743504</v>
      </c>
      <c r="C16" s="236" t="s">
        <v>669</v>
      </c>
      <c r="D16" s="236">
        <v>0</v>
      </c>
      <c r="F16" s="237" t="s">
        <v>674</v>
      </c>
      <c r="G16" s="237">
        <f>((($W16*New!LR15)/1000)) - (EXP(New!$LP$6-((New!$LQ$6)/(U16+New!$LP$8))))</f>
        <v>-0.59115681624151806</v>
      </c>
      <c r="H16" s="237" t="s">
        <v>669</v>
      </c>
      <c r="I16" s="237">
        <v>0</v>
      </c>
      <c r="K16" s="238" t="s">
        <v>675</v>
      </c>
      <c r="L16" s="238">
        <f>($X16*LN((1-W16)/(1-New!DO15))) - ((1-$W16) - (1-New!DO15))</f>
        <v>-0.28139367191535269</v>
      </c>
      <c r="M16" s="238" t="s">
        <v>669</v>
      </c>
      <c r="N16" s="238">
        <v>0</v>
      </c>
      <c r="P16" s="239" t="s">
        <v>676</v>
      </c>
      <c r="Q16" s="239">
        <f>($V16*New!BV15*New!LQ17/1000*$X16*New!B15) - (AVERAGE(_xlfn.ANCHORARRAY(Sheet3!R15))*New!$LP$3)</f>
        <v>-6845.7720450683555</v>
      </c>
      <c r="R16" s="239" t="s">
        <v>669</v>
      </c>
      <c r="S16" s="239">
        <v>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AD16" s="35">
        <f>AVERAGE(_xlfn.ANCHORARRAY(Sheet3!R15))</f>
        <v>380.00399917115487</v>
      </c>
      <c r="AK16" s="35">
        <f>Sheet3!$DA15/(New!BM15*0.108*0.302)/3600</f>
        <v>1.8753323211828847</v>
      </c>
      <c r="AL16" s="35">
        <f>Sheet3!$DA15/(New!BN15*0.108*0.302)/3600</f>
        <v>1.8778396988454078</v>
      </c>
      <c r="AM16" s="35">
        <f>Sheet3!$DA15/(New!BO15*0.108*0.302)/3600</f>
        <v>1.8604808847552825</v>
      </c>
      <c r="AN16" s="35">
        <f>Sheet3!$DA15/(New!BP15*0.108*0.302)/3600</f>
        <v>1.8472508580632214</v>
      </c>
      <c r="AO16" s="35">
        <f>Sheet3!$DA15/(New!BQ15*0.108*0.302)/3600</f>
        <v>1.8292868164090792</v>
      </c>
      <c r="AP16" s="35">
        <f>Sheet3!$DA15/(New!BR15*0.108*0.302)/3600</f>
        <v>1.8199860019866985</v>
      </c>
      <c r="AQ16" s="35">
        <f>Sheet3!$DA15/(New!BS15*0.108*0.302)/3600</f>
        <v>1.8047018406673794</v>
      </c>
      <c r="AR16" s="35">
        <f>Sheet3!$DA15/(New!BT15*0.108*0.302)/3600</f>
        <v>1.7919777405383499</v>
      </c>
      <c r="AS16" s="35">
        <f>Sheet3!$DA15/(New!BU15*0.108*0.302)/3600</f>
        <v>1.7780465172961444</v>
      </c>
    </row>
    <row r="17" spans="1:45" x14ac:dyDescent="0.3">
      <c r="A17" s="236" t="s">
        <v>673</v>
      </c>
      <c r="B17" s="236">
        <f>($U17*('Cooling water'!CO16+AVERAGE(_xlfn.ANCHORARRAY(Sheet3!R16))) -New!HU16*V17*(New!DO16-W17)) - ('Cooling water'!CO16*'Cooling water'!B16)</f>
        <v>-5120.6268994075508</v>
      </c>
      <c r="C17" s="236" t="s">
        <v>669</v>
      </c>
      <c r="D17" s="236">
        <v>0</v>
      </c>
      <c r="F17" s="237" t="s">
        <v>674</v>
      </c>
      <c r="G17" s="237">
        <f>((($W17*New!LR16)/1000)) - (EXP(New!$LP$6-((New!$LQ$6)/(U17+New!$LP$8))))</f>
        <v>-0.59115681624151806</v>
      </c>
      <c r="H17" s="237" t="s">
        <v>669</v>
      </c>
      <c r="I17" s="237">
        <v>0</v>
      </c>
      <c r="K17" s="238" t="s">
        <v>675</v>
      </c>
      <c r="L17" s="238">
        <f>($X17*LN((1-W17)/(1-New!DO16))) - ((1-$W17) - (1-New!DO16))</f>
        <v>-0.27882488566831776</v>
      </c>
      <c r="M17" s="238" t="s">
        <v>669</v>
      </c>
      <c r="N17" s="238">
        <v>0</v>
      </c>
      <c r="P17" s="239" t="s">
        <v>676</v>
      </c>
      <c r="Q17" s="239">
        <f>($V17*New!BV16*New!LQ18/1000*$X17*New!B16) - (AVERAGE(_xlfn.ANCHORARRAY(Sheet3!R16))*New!$LP$3)</f>
        <v>-5846.646212357371</v>
      </c>
      <c r="R17" s="239" t="s">
        <v>669</v>
      </c>
      <c r="S17" s="239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AD17" s="35">
        <f>AVERAGE(_xlfn.ANCHORARRAY(Sheet3!R16))</f>
        <v>324.54322577615159</v>
      </c>
      <c r="AK17" s="35">
        <f>Sheet3!$DA16/(New!BM16*0.108*0.302)/3600</f>
        <v>1.9454757626054495</v>
      </c>
      <c r="AL17" s="35">
        <f>Sheet3!$DA16/(New!BN16*0.108*0.302)/3600</f>
        <v>1.9470737315054945</v>
      </c>
      <c r="AM17" s="35">
        <f>Sheet3!$DA16/(New!BO16*0.108*0.302)/3600</f>
        <v>1.9254679017149596</v>
      </c>
      <c r="AN17" s="35">
        <f>Sheet3!$DA16/(New!BP16*0.108*0.302)/3600</f>
        <v>1.9042857617228952</v>
      </c>
      <c r="AO17" s="35">
        <f>Sheet3!$DA16/(New!BQ16*0.108*0.302)/3600</f>
        <v>1.887451717439939</v>
      </c>
      <c r="AP17" s="35">
        <f>Sheet3!$DA16/(New!BR16*0.108*0.302)/3600</f>
        <v>1.8714547892335096</v>
      </c>
      <c r="AQ17" s="35">
        <f>Sheet3!$DA16/(New!BS16*0.108*0.302)/3600</f>
        <v>1.8556436284568651</v>
      </c>
      <c r="AR17" s="35">
        <f>Sheet3!$DA16/(New!BT16*0.108*0.302)/3600</f>
        <v>1.8406238077383226</v>
      </c>
      <c r="AS17" s="35">
        <f>Sheet3!$DA16/(New!BU16*0.108*0.302)/3600</f>
        <v>1.8259899766858909</v>
      </c>
    </row>
    <row r="18" spans="1:45" x14ac:dyDescent="0.3">
      <c r="A18" s="236" t="s">
        <v>673</v>
      </c>
      <c r="B18" s="236">
        <f>($U18*('Cooling water'!CO17+AVERAGE(_xlfn.ANCHORARRAY(Sheet3!R17))) -New!HU17*V18*(New!DO17-W18)) - ('Cooling water'!CO17*'Cooling water'!B17)</f>
        <v>-5002.0646790351093</v>
      </c>
      <c r="C18" s="236" t="s">
        <v>669</v>
      </c>
      <c r="D18" s="236">
        <v>0</v>
      </c>
      <c r="F18" s="237" t="s">
        <v>674</v>
      </c>
      <c r="G18" s="237">
        <f>((($W18*New!LR17)/1000)) - (EXP(New!$LP$6-((New!$LQ$6)/(U18+New!$LP$8))))</f>
        <v>-0.59115681624151806</v>
      </c>
      <c r="H18" s="237" t="s">
        <v>669</v>
      </c>
      <c r="I18" s="237">
        <v>0</v>
      </c>
      <c r="K18" s="238" t="s">
        <v>675</v>
      </c>
      <c r="L18" s="238">
        <f>($X18*LN((1-W18)/(1-New!DO17))) - ((1-$W18) - (1-New!DO17))</f>
        <v>-0.27444058801928473</v>
      </c>
      <c r="M18" s="238" t="s">
        <v>669</v>
      </c>
      <c r="N18" s="238">
        <v>0</v>
      </c>
      <c r="P18" s="239" t="s">
        <v>676</v>
      </c>
      <c r="Q18" s="239">
        <f>($V18*New!BV17*New!LQ19/1000*$X18*New!B17) - (AVERAGE(_xlfn.ANCHORARRAY(Sheet3!R17))*New!$LP$3)</f>
        <v>-5057.111109594548</v>
      </c>
      <c r="R18" s="239" t="s">
        <v>669</v>
      </c>
      <c r="S18" s="239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AD18" s="35">
        <f>AVERAGE(_xlfn.ANCHORARRAY(Sheet3!R17))</f>
        <v>280.7166866275075</v>
      </c>
      <c r="AK18" s="35">
        <f>Sheet3!$DA17/(New!BM17*0.108*0.302)/3600</f>
        <v>2.1371223789803073</v>
      </c>
      <c r="AL18" s="35">
        <f>Sheet3!$DA17/(New!BN17*0.108*0.302)/3600</f>
        <v>2.1373823182772389</v>
      </c>
      <c r="AM18" s="35">
        <f>Sheet3!$DA17/(New!BO17*0.108*0.302)/3600</f>
        <v>2.1098504602491639</v>
      </c>
      <c r="AN18" s="35">
        <f>Sheet3!$DA17/(New!BP17*0.108*0.302)/3600</f>
        <v>2.0889620526317687</v>
      </c>
      <c r="AO18" s="35">
        <f>Sheet3!$DA17/(New!BQ17*0.108*0.302)/3600</f>
        <v>2.0621495806968326</v>
      </c>
      <c r="AP18" s="35">
        <f>Sheet3!$DA17/(New!BR17*0.108*0.302)/3600</f>
        <v>2.0452728138920238</v>
      </c>
      <c r="AQ18" s="35">
        <f>Sheet3!$DA17/(New!BS17*0.108*0.302)/3600</f>
        <v>2.02768055126587</v>
      </c>
      <c r="AR18" s="35">
        <f>Sheet3!$DA17/(New!BT17*0.108*0.302)/3600</f>
        <v>2.008403258624162</v>
      </c>
      <c r="AS18" s="35">
        <f>Sheet3!$DA17/(New!BU17*0.108*0.302)/3600</f>
        <v>1.9876208517607352</v>
      </c>
    </row>
    <row r="19" spans="1:45" x14ac:dyDescent="0.3">
      <c r="A19" s="236" t="s">
        <v>673</v>
      </c>
      <c r="B19" s="236">
        <f>($U19*('Cooling water'!CO18+AVERAGE(_xlfn.ANCHORARRAY(Sheet3!R18))) -New!HU18*V19*(New!DO18-W19)) - ('Cooling water'!CO18*'Cooling water'!B18)</f>
        <v>-5078.1788582778554</v>
      </c>
      <c r="C19" s="236" t="s">
        <v>669</v>
      </c>
      <c r="D19" s="236">
        <v>0</v>
      </c>
      <c r="F19" s="237" t="s">
        <v>674</v>
      </c>
      <c r="G19" s="237">
        <f>((($W19*New!LR18)/1000)) - (EXP(New!$LP$6-((New!$LQ$6)/(U19+New!$LP$8))))</f>
        <v>-0.59115681624151806</v>
      </c>
      <c r="H19" s="237" t="s">
        <v>669</v>
      </c>
      <c r="I19" s="237">
        <v>0</v>
      </c>
      <c r="K19" s="238" t="s">
        <v>675</v>
      </c>
      <c r="L19" s="238">
        <f>($X19*LN((1-W19)/(1-New!DO18))) - ((1-$W19) - (1-New!DO18))</f>
        <v>-0.2793847399121393</v>
      </c>
      <c r="M19" s="238" t="s">
        <v>669</v>
      </c>
      <c r="N19" s="238">
        <v>0</v>
      </c>
      <c r="P19" s="239" t="s">
        <v>676</v>
      </c>
      <c r="Q19" s="239">
        <f>($V19*New!BV18*New!LQ20/1000*$X19*New!B18) - (AVERAGE(_xlfn.ANCHORARRAY(Sheet3!R18))*New!$LP$3)</f>
        <v>-4660.2696346220064</v>
      </c>
      <c r="R19" s="239" t="s">
        <v>669</v>
      </c>
      <c r="S19" s="239">
        <v>0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AD19" s="35">
        <f>AVERAGE(_xlfn.ANCHORARRAY(Sheet3!R18))</f>
        <v>258.68829501093569</v>
      </c>
      <c r="AK19" s="35">
        <f>Sheet3!$DA18/(New!BM18*0.108*0.302)/3600</f>
        <v>2.2087107416169771</v>
      </c>
      <c r="AL19" s="35">
        <f>Sheet3!$DA18/(New!BN18*0.108*0.302)/3600</f>
        <v>2.2060290124815127</v>
      </c>
      <c r="AM19" s="35">
        <f>Sheet3!$DA18/(New!BO18*0.108*0.302)/3600</f>
        <v>2.1741739444166774</v>
      </c>
      <c r="AN19" s="35">
        <f>Sheet3!$DA18/(New!BP18*0.108*0.302)/3600</f>
        <v>2.1434572152028122</v>
      </c>
      <c r="AO19" s="35">
        <f>Sheet3!$DA18/(New!BQ18*0.108*0.302)/3600</f>
        <v>2.1197471711564235</v>
      </c>
      <c r="AP19" s="35">
        <f>Sheet3!$DA18/(New!BR18*0.108*0.302)/3600</f>
        <v>2.1040554809510987</v>
      </c>
      <c r="AQ19" s="35">
        <f>Sheet3!$DA18/(New!BS18*0.108*0.302)/3600</f>
        <v>2.0811433601832934</v>
      </c>
      <c r="AR19" s="35">
        <f>Sheet3!$DA18/(New!BT18*0.108*0.302)/3600</f>
        <v>2.0591358615001165</v>
      </c>
      <c r="AS19" s="35">
        <f>Sheet3!$DA18/(New!BU18*0.108*0.302)/3600</f>
        <v>2.0357257774005726</v>
      </c>
    </row>
    <row r="20" spans="1:45" x14ac:dyDescent="0.3">
      <c r="A20" s="236" t="s">
        <v>673</v>
      </c>
      <c r="B20" s="236">
        <f>($U20*('Cooling water'!CO19+AVERAGE(_xlfn.ANCHORARRAY(Sheet3!R19))) -New!HU19*V20*(New!DO19-W20)) - ('Cooling water'!CO19*'Cooling water'!B19)</f>
        <v>-22607.318216130447</v>
      </c>
      <c r="C20" s="236" t="s">
        <v>669</v>
      </c>
      <c r="D20" s="236">
        <v>0</v>
      </c>
      <c r="F20" s="237" t="s">
        <v>674</v>
      </c>
      <c r="G20" s="237">
        <f>((($W20*New!LR19)/1000)) - (EXP(New!$LP$6-((New!$LQ$6)/(U20+New!$LP$8))))</f>
        <v>-0.59115681624151806</v>
      </c>
      <c r="H20" s="237" t="s">
        <v>669</v>
      </c>
      <c r="I20" s="237">
        <v>0</v>
      </c>
      <c r="K20" s="238" t="s">
        <v>675</v>
      </c>
      <c r="L20" s="238">
        <f>($X20*LN((1-W20)/(1-New!DO19))) - ((1-$W20) - (1-New!DO19))</f>
        <v>-0.291107546581167</v>
      </c>
      <c r="M20" s="238" t="s">
        <v>669</v>
      </c>
      <c r="N20" s="238">
        <v>0</v>
      </c>
      <c r="P20" s="239" t="s">
        <v>676</v>
      </c>
      <c r="Q20" s="239">
        <f>($V20*New!BV19*New!LQ21/1000*$X20*New!B19) - (AVERAGE(_xlfn.ANCHORARRAY(Sheet3!R19))*New!$LP$3)</f>
        <v>-10107.160102816189</v>
      </c>
      <c r="R20" s="239" t="s">
        <v>669</v>
      </c>
      <c r="S20" s="239">
        <v>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AD20" s="35">
        <f>AVERAGE(_xlfn.ANCHORARRAY(Sheet3!R19))</f>
        <v>561.04136013412096</v>
      </c>
      <c r="AK20" s="35">
        <f>Sheet3!$DA19/(New!BM19*0.108*0.302)/3600</f>
        <v>3.9117343796647828</v>
      </c>
      <c r="AL20" s="35">
        <f>Sheet3!$DA19/(New!BN19*0.108*0.302)/3600</f>
        <v>3.9088266374390384</v>
      </c>
      <c r="AM20" s="35">
        <f>Sheet3!$DA19/(New!BO19*0.108*0.302)/3600</f>
        <v>3.8826404980413529</v>
      </c>
      <c r="AN20" s="35">
        <f>Sheet3!$DA19/(New!BP19*0.108*0.302)/3600</f>
        <v>3.8627542571204248</v>
      </c>
      <c r="AO20" s="35">
        <f>Sheet3!$DA19/(New!BQ19*0.108*0.302)/3600</f>
        <v>3.8357148975891557</v>
      </c>
      <c r="AP20" s="35">
        <f>Sheet3!$DA19/(New!BR19*0.108*0.302)/3600</f>
        <v>3.8184142010927538</v>
      </c>
      <c r="AQ20" s="35">
        <f>Sheet3!$DA19/(New!BS19*0.108*0.302)/3600</f>
        <v>3.7969765349094184</v>
      </c>
      <c r="AR20" s="35">
        <f>Sheet3!$DA19/(New!BT19*0.108*0.302)/3600</f>
        <v>3.6855029370310923</v>
      </c>
      <c r="AS20" s="35">
        <f>Sheet3!$DA19/(New!BU19*0.108*0.302)/3600</f>
        <v>3.7549521768338319</v>
      </c>
    </row>
    <row r="21" spans="1:45" x14ac:dyDescent="0.3">
      <c r="A21" s="236" t="s">
        <v>673</v>
      </c>
      <c r="B21" s="236">
        <f>($U21*('Cooling water'!CO20+AVERAGE(_xlfn.ANCHORARRAY(Sheet3!R20))) -New!HU20*V21*(New!DO20-W21)) - ('Cooling water'!CO20*'Cooling water'!B20)</f>
        <v>-21588.462221536447</v>
      </c>
      <c r="C21" s="236" t="s">
        <v>669</v>
      </c>
      <c r="D21" s="236">
        <v>0</v>
      </c>
      <c r="F21" s="237" t="s">
        <v>674</v>
      </c>
      <c r="G21" s="237">
        <f>((($W21*New!LR20)/1000)) - (EXP(New!$LP$6-((New!$LQ$6)/(U21+New!$LP$8))))</f>
        <v>-0.59115681624151806</v>
      </c>
      <c r="H21" s="237" t="s">
        <v>669</v>
      </c>
      <c r="I21" s="237">
        <v>0</v>
      </c>
      <c r="K21" s="238" t="s">
        <v>675</v>
      </c>
      <c r="L21" s="238">
        <f>($X21*LN((1-W21)/(1-New!DO20))) - ((1-$W21) - (1-New!DO20))</f>
        <v>-0.28237717077033841</v>
      </c>
      <c r="M21" s="238" t="s">
        <v>669</v>
      </c>
      <c r="N21" s="238">
        <v>0</v>
      </c>
      <c r="P21" s="239" t="s">
        <v>676</v>
      </c>
      <c r="Q21" s="239">
        <f>($V21*New!BV20*New!LQ22/1000*$X21*New!B20) - (AVERAGE(_xlfn.ANCHORARRAY(Sheet3!R20))*New!$LP$3)</f>
        <v>-7233.9535103919943</v>
      </c>
      <c r="R21" s="239" t="s">
        <v>669</v>
      </c>
      <c r="S21" s="239">
        <v>0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AD21" s="35">
        <f>AVERAGE(_xlfn.ANCHORARRAY(Sheet3!R20))</f>
        <v>401.55167973311097</v>
      </c>
      <c r="AK21" s="35">
        <f>Sheet3!$DA20/(New!BM20*0.108*0.302)/3600</f>
        <v>4.3706088166007433</v>
      </c>
      <c r="AL21" s="35">
        <f>Sheet3!$DA20/(New!BN20*0.108*0.302)/3600</f>
        <v>4.3652919902253213</v>
      </c>
      <c r="AM21" s="35">
        <f>Sheet3!$DA20/(New!BO20*0.108*0.302)/3600</f>
        <v>4.3232015678731717</v>
      </c>
      <c r="AN21" s="35">
        <f>Sheet3!$DA20/(New!BP20*0.108*0.302)/3600</f>
        <v>4.2888006783160764</v>
      </c>
      <c r="AO21" s="35">
        <f>Sheet3!$DA20/(New!BQ20*0.108*0.302)/3600</f>
        <v>4.2443435366324023</v>
      </c>
      <c r="AP21" s="35">
        <f>Sheet3!$DA20/(New!BR20*0.108*0.302)/3600</f>
        <v>4.217953047810977</v>
      </c>
      <c r="AQ21" s="35">
        <f>Sheet3!$DA20/(New!BS20*0.108*0.302)/3600</f>
        <v>4.1798829153980579</v>
      </c>
      <c r="AR21" s="35">
        <f>Sheet3!$DA20/(New!BT20*0.108*0.302)/3600</f>
        <v>4.150170658390806</v>
      </c>
      <c r="AS21" s="35">
        <f>Sheet3!$DA20/(New!BU20*0.108*0.302)/3600</f>
        <v>4.1179559701366459</v>
      </c>
    </row>
    <row r="22" spans="1:45" x14ac:dyDescent="0.3">
      <c r="A22" s="236" t="s">
        <v>673</v>
      </c>
      <c r="B22" s="236">
        <f>($U22*('Cooling water'!CO21+AVERAGE(_xlfn.ANCHORARRAY(Sheet3!R21))) -New!HU21*V22*(New!DO21-W22)) - ('Cooling water'!CO21*'Cooling water'!B21)</f>
        <v>-22044.543525029978</v>
      </c>
      <c r="C22" s="236" t="s">
        <v>669</v>
      </c>
      <c r="D22" s="236">
        <v>0</v>
      </c>
      <c r="F22" s="237" t="s">
        <v>674</v>
      </c>
      <c r="G22" s="237">
        <f>((($W22*New!LR21)/1000)) - (EXP(New!$LP$6-((New!$LQ$6)/(U22+New!$LP$8))))</f>
        <v>-0.59115681624151806</v>
      </c>
      <c r="H22" s="237" t="s">
        <v>669</v>
      </c>
      <c r="I22" s="237">
        <v>0</v>
      </c>
      <c r="K22" s="238" t="s">
        <v>675</v>
      </c>
      <c r="L22" s="238">
        <f>($X22*LN((1-W22)/(1-New!DO21))) - ((1-$W22) - (1-New!DO21))</f>
        <v>-0.28237717077033841</v>
      </c>
      <c r="M22" s="238" t="s">
        <v>669</v>
      </c>
      <c r="N22" s="238">
        <v>0</v>
      </c>
      <c r="P22" s="239" t="s">
        <v>676</v>
      </c>
      <c r="Q22" s="239">
        <f>($V22*New!BV21*New!LQ23/1000*$X22*New!B21) - (AVERAGE(_xlfn.ANCHORARRAY(Sheet3!R21))*New!$LP$3)</f>
        <v>-5692.6144769415178</v>
      </c>
      <c r="R22" s="239" t="s">
        <v>669</v>
      </c>
      <c r="S22" s="239">
        <v>0</v>
      </c>
      <c r="U22" s="35">
        <v>0</v>
      </c>
      <c r="V22" s="35">
        <v>0</v>
      </c>
      <c r="W22" s="35">
        <v>0</v>
      </c>
      <c r="X22" s="35">
        <v>0</v>
      </c>
      <c r="Y22" s="35">
        <v>0</v>
      </c>
      <c r="AD22" s="35">
        <f>AVERAGE(_xlfn.ANCHORARRAY(Sheet3!R21))</f>
        <v>315.99303230316502</v>
      </c>
      <c r="AK22" s="35">
        <f>Sheet3!$DA21/(New!BM21*0.108*0.302)/3600</f>
        <v>4.7085424879873985</v>
      </c>
      <c r="AL22" s="35">
        <f>Sheet3!$DA21/(New!BN21*0.108*0.302)/3600</f>
        <v>4.7002306410738939</v>
      </c>
      <c r="AM22" s="35">
        <f>Sheet3!$DA21/(New!BO21*0.108*0.302)/3600</f>
        <v>4.6399491222027089</v>
      </c>
      <c r="AN22" s="35">
        <f>Sheet3!$DA21/(New!BP21*0.108*0.302)/3600</f>
        <v>4.5924324268403023</v>
      </c>
      <c r="AO22" s="35">
        <f>Sheet3!$DA21/(New!BQ21*0.108*0.302)/3600</f>
        <v>4.5292371687497059</v>
      </c>
      <c r="AP22" s="35">
        <f>Sheet3!$DA21/(New!BR21*0.108*0.302)/3600</f>
        <v>4.4902613302586367</v>
      </c>
      <c r="AQ22" s="35">
        <f>Sheet3!$DA21/(New!BS21*0.108*0.302)/3600</f>
        <v>4.4277655343360429</v>
      </c>
      <c r="AR22" s="35">
        <f>Sheet3!$DA21/(New!BT21*0.108*0.302)/3600</f>
        <v>4.3970393960962086</v>
      </c>
      <c r="AS22" s="35">
        <f>Sheet3!$DA21/(New!BU21*0.108*0.302)/3600</f>
        <v>4.3511807011964221</v>
      </c>
    </row>
    <row r="23" spans="1:45" x14ac:dyDescent="0.3">
      <c r="A23" s="236" t="s">
        <v>673</v>
      </c>
      <c r="B23" s="236">
        <f>($U23*('Cooling water'!CO22+AVERAGE(_xlfn.ANCHORARRAY(Sheet3!R22))) -New!HU22*V23*(New!DO22-W23)) - ('Cooling water'!CO22*'Cooling water'!B22)</f>
        <v>-23780.590041130214</v>
      </c>
      <c r="C23" s="236" t="s">
        <v>669</v>
      </c>
      <c r="D23" s="236">
        <v>0</v>
      </c>
      <c r="F23" s="237" t="s">
        <v>674</v>
      </c>
      <c r="G23" s="237">
        <f>((($W23*New!LR22)/1000)) - (EXP(New!$LP$6-((New!$LQ$6)/(U23+New!$LP$8))))</f>
        <v>-0.59115681624151806</v>
      </c>
      <c r="H23" s="237" t="s">
        <v>669</v>
      </c>
      <c r="I23" s="237">
        <v>0</v>
      </c>
      <c r="K23" s="238" t="s">
        <v>675</v>
      </c>
      <c r="L23" s="238">
        <f>($X23*LN((1-W23)/(1-New!DO22))) - ((1-$W23) - (1-New!DO22))</f>
        <v>-0.2816531561978769</v>
      </c>
      <c r="M23" s="238" t="s">
        <v>669</v>
      </c>
      <c r="N23" s="238">
        <v>0</v>
      </c>
      <c r="P23" s="239" t="s">
        <v>676</v>
      </c>
      <c r="Q23" s="239">
        <f>($V23*New!BV22*New!LQ24/1000*$X23*New!B22) - (AVERAGE(_xlfn.ANCHORARRAY(Sheet3!R22))*New!$LP$3)</f>
        <v>-5130.081659880645</v>
      </c>
      <c r="R23" s="239" t="s">
        <v>669</v>
      </c>
      <c r="S23" s="239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AD23" s="35">
        <f>AVERAGE(_xlfn.ANCHORARRAY(Sheet3!R22))</f>
        <v>284.76723063450709</v>
      </c>
      <c r="AK23" s="35">
        <f>Sheet3!$DA22/(New!BM22*0.108*0.302)/3600</f>
        <v>5.5530533158730915</v>
      </c>
      <c r="AL23" s="35">
        <f>Sheet3!$DA22/(New!BN22*0.108*0.302)/3600</f>
        <v>5.5355686084628957</v>
      </c>
      <c r="AM23" s="35">
        <f>Sheet3!$DA22/(New!BO22*0.108*0.302)/3600</f>
        <v>5.4546265305134574</v>
      </c>
      <c r="AN23" s="35">
        <f>Sheet3!$DA22/(New!BP22*0.108*0.302)/3600</f>
        <v>5.3878646372285921</v>
      </c>
      <c r="AO23" s="35">
        <f>Sheet3!$DA22/(New!BQ22*0.108*0.302)/3600</f>
        <v>5.3013564490662661</v>
      </c>
      <c r="AP23" s="35">
        <f>Sheet3!$DA22/(New!BR22*0.108*0.302)/3600</f>
        <v>5.2487826293312105</v>
      </c>
      <c r="AQ23" s="35">
        <f>Sheet3!$DA22/(New!BS22*0.108*0.302)/3600</f>
        <v>5.1742934689529347</v>
      </c>
      <c r="AR23" s="35">
        <f>Sheet3!$DA22/(New!BT22*0.108*0.302)/3600</f>
        <v>5.1207940271969656</v>
      </c>
      <c r="AS23" s="35">
        <f>Sheet3!$DA22/(New!BU22*0.108*0.302)/3600</f>
        <v>5.0623501985465422</v>
      </c>
    </row>
    <row r="24" spans="1:45" x14ac:dyDescent="0.3">
      <c r="A24" s="236" t="s">
        <v>673</v>
      </c>
      <c r="B24" s="236">
        <f>($U24*('Cooling water'!CO23+AVERAGE(_xlfn.ANCHORARRAY(Sheet3!R23))) -New!HU23*V24*(New!DO23-W24)) - ('Cooling water'!CO23*'Cooling water'!B23)</f>
        <v>-23562.836921584898</v>
      </c>
      <c r="C24" s="236" t="s">
        <v>669</v>
      </c>
      <c r="D24" s="236">
        <v>0</v>
      </c>
      <c r="F24" s="237" t="s">
        <v>674</v>
      </c>
      <c r="G24" s="237">
        <f>((($W24*New!LR23)/1000)) - (EXP(New!$LP$6-((New!$LQ$6)/(U24+New!$LP$8))))</f>
        <v>-0.59115681624151806</v>
      </c>
      <c r="H24" s="237" t="s">
        <v>669</v>
      </c>
      <c r="I24" s="237">
        <v>0</v>
      </c>
      <c r="K24" s="238" t="s">
        <v>675</v>
      </c>
      <c r="L24" s="238">
        <f>($X24*LN((1-W24)/(1-New!DO23))) - ((1-$W24) - (1-New!DO23))</f>
        <v>-0.29053419105581502</v>
      </c>
      <c r="M24" s="238" t="s">
        <v>669</v>
      </c>
      <c r="N24" s="238">
        <v>0</v>
      </c>
      <c r="P24" s="239" t="s">
        <v>676</v>
      </c>
      <c r="Q24" s="239">
        <f>($V24*New!BV23*New!LQ25/1000*$X24*New!B23) - (AVERAGE(_xlfn.ANCHORARRAY(Sheet3!R23))*New!$LP$3)</f>
        <v>-4629.4126576814051</v>
      </c>
      <c r="R24" s="239" t="s">
        <v>669</v>
      </c>
      <c r="S24" s="239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AD24" s="35">
        <f>AVERAGE(_xlfn.ANCHORARRAY(Sheet3!R23))</f>
        <v>256.97544588850428</v>
      </c>
      <c r="AK24" s="35">
        <f>Sheet3!$DA23/(New!BM23*0.108*0.302)/3600</f>
        <v>5.9990770971076923</v>
      </c>
      <c r="AL24" s="35">
        <f>Sheet3!$DA23/(New!BN23*0.108*0.302)/3600</f>
        <v>5.9996622728884166</v>
      </c>
      <c r="AM24" s="35">
        <f>Sheet3!$DA23/(New!BO23*0.108*0.302)/3600</f>
        <v>5.9002315522174467</v>
      </c>
      <c r="AN24" s="35">
        <f>Sheet3!$DA23/(New!BP23*0.108*0.302)/3600</f>
        <v>5.8179036822850607</v>
      </c>
      <c r="AO24" s="35">
        <f>Sheet3!$DA23/(New!BQ23*0.108*0.302)/3600</f>
        <v>5.7099786313839767</v>
      </c>
      <c r="AP24" s="35">
        <f>Sheet3!$DA23/(New!BR23*0.108*0.302)/3600</f>
        <v>5.6062878280757626</v>
      </c>
      <c r="AQ24" s="35">
        <f>Sheet3!$DA23/(New!BS23*0.108*0.302)/3600</f>
        <v>5.5659994850457375</v>
      </c>
      <c r="AR24" s="35">
        <f>Sheet3!$DA23/(New!BT23*0.108*0.302)/3600</f>
        <v>5.4933305974001367</v>
      </c>
      <c r="AS24" s="35">
        <f>Sheet3!$DA23/(New!BU23*0.108*0.302)/3600</f>
        <v>5.4157641573643378</v>
      </c>
    </row>
    <row r="25" spans="1:45" x14ac:dyDescent="0.3">
      <c r="A25" s="236" t="s">
        <v>673</v>
      </c>
      <c r="B25" s="236">
        <f>($U25*('Cooling water'!CO24+AVERAGE(_xlfn.ANCHORARRAY(Sheet3!R24))) -New!HU24*V25*(New!DO24-W25)) - ('Cooling water'!CO24*'Cooling water'!B24)</f>
        <v>-4968.8683391966088</v>
      </c>
      <c r="C25" s="236" t="s">
        <v>669</v>
      </c>
      <c r="D25" s="236">
        <v>0</v>
      </c>
      <c r="F25" s="237" t="s">
        <v>674</v>
      </c>
      <c r="G25" s="237">
        <f>((($W25*New!LR24)/1000)) - (EXP(New!$LP$6-((New!$LQ$6)/(U25+New!$LP$8))))</f>
        <v>-0.59115681624151806</v>
      </c>
      <c r="H25" s="237" t="s">
        <v>669</v>
      </c>
      <c r="I25" s="237">
        <v>0</v>
      </c>
      <c r="K25" s="238" t="s">
        <v>675</v>
      </c>
      <c r="L25" s="238">
        <f>($X25*LN((1-W25)/(1-New!DO24))) - ((1-$W25) - (1-New!DO24))</f>
        <v>-0.27805236441357195</v>
      </c>
      <c r="M25" s="238" t="s">
        <v>669</v>
      </c>
      <c r="N25" s="238">
        <v>0</v>
      </c>
      <c r="P25" s="239" t="s">
        <v>676</v>
      </c>
      <c r="Q25" s="239">
        <f>($V25*New!BV24*New!LQ26/1000*$X25*New!B24) - (AVERAGE(_xlfn.ANCHORARRAY(Sheet3!R24))*New!$LP$3)</f>
        <v>-6739.9988673429707</v>
      </c>
      <c r="R25" s="239" t="s">
        <v>669</v>
      </c>
      <c r="S25" s="239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AD25" s="35">
        <f>AVERAGE(_xlfn.ANCHORARRAY(Sheet3!R24))</f>
        <v>374.13260434876327</v>
      </c>
      <c r="AK25" s="35">
        <f>Sheet3!$DA24/(New!BM24*0.108*0.302)/3600</f>
        <v>1.1487094987854272</v>
      </c>
      <c r="AL25" s="35">
        <f>Sheet3!$DA24/(New!BN24*0.108*0.302)/3600</f>
        <v>1.1450385852712532</v>
      </c>
      <c r="AM25" s="35">
        <f>Sheet3!$DA24/(New!BO24*0.108*0.302)/3600</f>
        <v>1.1338014120324651</v>
      </c>
      <c r="AN25" s="35">
        <f>Sheet3!$DA24/(New!BP24*0.108*0.302)/3600</f>
        <v>1.1257115769086987</v>
      </c>
      <c r="AO25" s="35">
        <f>Sheet3!$DA24/(New!BQ24*0.108*0.302)/3600</f>
        <v>1.1147686877954937</v>
      </c>
      <c r="AP25" s="35">
        <f>Sheet3!$DA24/(New!BR24*0.108*0.302)/3600</f>
        <v>1.1062850239382294</v>
      </c>
      <c r="AQ25" s="35">
        <f>Sheet3!$DA24/(New!BS24*0.108*0.302)/3600</f>
        <v>1.0977057536944463</v>
      </c>
      <c r="AR25" s="35">
        <f>Sheet3!$DA24/(New!BT24*0.108*0.302)/3600</f>
        <v>1.0899711865265322</v>
      </c>
      <c r="AS25" s="35">
        <f>Sheet3!$DA24/(New!BU24*0.108*0.302)/3600</f>
        <v>1.0802810544949077</v>
      </c>
    </row>
    <row r="26" spans="1:45" x14ac:dyDescent="0.3">
      <c r="A26" s="236" t="s">
        <v>673</v>
      </c>
      <c r="B26" s="236">
        <f>($U26*('Cooling water'!CO25+AVERAGE(_xlfn.ANCHORARRAY(Sheet3!R25))) -New!HU25*V26*(New!DO25-W26)) - ('Cooling water'!CO25*'Cooling water'!B25)</f>
        <v>-4798.3426112683183</v>
      </c>
      <c r="C26" s="236" t="s">
        <v>669</v>
      </c>
      <c r="D26" s="236">
        <v>0</v>
      </c>
      <c r="F26" s="237" t="s">
        <v>674</v>
      </c>
      <c r="G26" s="237">
        <f>((($W26*New!LR25)/1000)) - (EXP(New!$LP$6-((New!$LQ$6)/(U26+New!$LP$8))))</f>
        <v>-0.59115681624151806</v>
      </c>
      <c r="H26" s="237" t="s">
        <v>669</v>
      </c>
      <c r="I26" s="237">
        <v>0</v>
      </c>
      <c r="K26" s="238" t="s">
        <v>675</v>
      </c>
      <c r="L26" s="238">
        <f>($X26*LN((1-W26)/(1-New!DO25))) - ((1-$W26) - (1-New!DO25))</f>
        <v>-0.28066965298143665</v>
      </c>
      <c r="M26" s="238" t="s">
        <v>669</v>
      </c>
      <c r="N26" s="238">
        <v>0</v>
      </c>
      <c r="P26" s="239" t="s">
        <v>676</v>
      </c>
      <c r="Q26" s="239">
        <f>($V26*New!BV25*New!LQ27/1000*$X26*New!B25) - (AVERAGE(_xlfn.ANCHORARRAY(Sheet3!R25))*New!$LP$3)</f>
        <v>-4943.0022752596124</v>
      </c>
      <c r="R26" s="239" t="s">
        <v>669</v>
      </c>
      <c r="S26" s="239">
        <v>0</v>
      </c>
      <c r="U26" s="35">
        <v>0</v>
      </c>
      <c r="V26" s="35">
        <v>0</v>
      </c>
      <c r="W26" s="35">
        <v>0</v>
      </c>
      <c r="X26" s="35">
        <v>0</v>
      </c>
      <c r="Y26" s="35">
        <v>0</v>
      </c>
      <c r="AD26" s="35">
        <f>AVERAGE(_xlfn.ANCHORARRAY(Sheet3!R25))</f>
        <v>274.38258535995629</v>
      </c>
      <c r="AK26" s="35">
        <f>Sheet3!$DA25/(New!BM25*0.108*0.302)/3600</f>
        <v>1.3406092717220757</v>
      </c>
      <c r="AL26" s="35">
        <f>Sheet3!$DA25/(New!BN25*0.108*0.302)/3600</f>
        <v>1.3412359303661088</v>
      </c>
      <c r="AM26" s="35">
        <f>Sheet3!$DA25/(New!BO25*0.108*0.302)/3600</f>
        <v>1.3197985389712947</v>
      </c>
      <c r="AN26" s="35">
        <f>Sheet3!$DA25/(New!BP25*0.108*0.302)/3600</f>
        <v>1.3007910503573505</v>
      </c>
      <c r="AO26" s="35">
        <f>Sheet3!$DA25/(New!BQ25*0.108*0.302)/3600</f>
        <v>1.2787615945485507</v>
      </c>
      <c r="AP26" s="35">
        <f>Sheet3!$DA25/(New!BR25*0.108*0.302)/3600</f>
        <v>1.2717628660904321</v>
      </c>
      <c r="AQ26" s="35">
        <f>Sheet3!$DA25/(New!BS25*0.108*0.302)/3600</f>
        <v>1.2560375097134711</v>
      </c>
      <c r="AR26" s="35">
        <f>Sheet3!$DA25/(New!BT25*0.108*0.302)/3600</f>
        <v>1.238413238790766</v>
      </c>
      <c r="AS26" s="35">
        <f>Sheet3!$DA25/(New!BU25*0.108*0.302)/3600</f>
        <v>1.2227500510417448</v>
      </c>
    </row>
    <row r="27" spans="1:45" x14ac:dyDescent="0.3">
      <c r="A27" s="236" t="s">
        <v>673</v>
      </c>
      <c r="B27" s="236">
        <f>($U27*('Cooling water'!CO26+AVERAGE(_xlfn.ANCHORARRAY(Sheet3!R26))) -New!HU26*V27*(New!DO26-W27)) - ('Cooling water'!CO26*'Cooling water'!B26)</f>
        <v>-4786.4614894780498</v>
      </c>
      <c r="C27" s="236" t="s">
        <v>669</v>
      </c>
      <c r="D27" s="236">
        <v>0</v>
      </c>
      <c r="F27" s="237" t="s">
        <v>674</v>
      </c>
      <c r="G27" s="237">
        <f>((($W27*New!LR26)/1000)) - (EXP(New!$LP$6-((New!$LQ$6)/(U27+New!$LP$8))))</f>
        <v>-0.59115681624151806</v>
      </c>
      <c r="H27" s="237" t="s">
        <v>669</v>
      </c>
      <c r="I27" s="237">
        <v>0</v>
      </c>
      <c r="K27" s="238" t="s">
        <v>675</v>
      </c>
      <c r="L27" s="238">
        <f>($X27*LN((1-W27)/(1-New!DO26))) - ((1-$W27) - (1-New!DO26))</f>
        <v>-0.2829383731911983</v>
      </c>
      <c r="M27" s="238" t="s">
        <v>669</v>
      </c>
      <c r="N27" s="238">
        <v>0</v>
      </c>
      <c r="P27" s="239" t="s">
        <v>676</v>
      </c>
      <c r="Q27" s="239">
        <f>($V27*New!BV26*New!LQ28/1000*$X27*New!B26) - (AVERAGE(_xlfn.ANCHORARRAY(Sheet3!R26))*New!$LP$3)</f>
        <v>-3917.5065640415032</v>
      </c>
      <c r="R27" s="239" t="s">
        <v>669</v>
      </c>
      <c r="S27" s="239">
        <v>0</v>
      </c>
      <c r="U27" s="35">
        <v>0</v>
      </c>
      <c r="V27" s="35">
        <v>0</v>
      </c>
      <c r="W27" s="35">
        <v>0</v>
      </c>
      <c r="X27" s="35">
        <v>0</v>
      </c>
      <c r="Y27" s="35">
        <v>0</v>
      </c>
      <c r="AD27" s="35">
        <f>AVERAGE(_xlfn.ANCHORARRAY(Sheet3!R26))</f>
        <v>217.45803852575648</v>
      </c>
      <c r="AK27" s="35">
        <f>Sheet3!$DA26/(New!BM26*0.108*0.302)/3600</f>
        <v>1.5472986117328571</v>
      </c>
      <c r="AL27" s="35">
        <f>Sheet3!$DA26/(New!BN26*0.108*0.302)/3600</f>
        <v>1.5474793518795462</v>
      </c>
      <c r="AM27" s="35">
        <f>Sheet3!$DA26/(New!BO26*0.108*0.302)/3600</f>
        <v>1.5144656199049511</v>
      </c>
      <c r="AN27" s="35">
        <f>Sheet3!$DA26/(New!BP26*0.108*0.302)/3600</f>
        <v>1.4894205287860789</v>
      </c>
      <c r="AO27" s="35">
        <f>Sheet3!$DA26/(New!BQ26*0.108*0.302)/3600</f>
        <v>1.458697760886994</v>
      </c>
      <c r="AP27" s="35">
        <f>Sheet3!$DA26/(New!BR26*0.108*0.302)/3600</f>
        <v>1.4435405681327409</v>
      </c>
      <c r="AQ27" s="35">
        <f>Sheet3!$DA26/(New!BS26*0.108*0.302)/3600</f>
        <v>1.4161988057154644</v>
      </c>
      <c r="AR27" s="35">
        <f>Sheet3!$DA26/(New!BT26*0.108*0.302)/3600</f>
        <v>1.398405528383609</v>
      </c>
      <c r="AS27" s="35">
        <f>Sheet3!$DA26/(New!BU26*0.108*0.302)/3600</f>
        <v>1.3800713283143144</v>
      </c>
    </row>
    <row r="28" spans="1:45" x14ac:dyDescent="0.3">
      <c r="A28" s="236" t="s">
        <v>673</v>
      </c>
      <c r="B28" s="236">
        <f>($U28*('Cooling water'!CO27+AVERAGE(_xlfn.ANCHORARRAY(Sheet3!R27))) -New!HU27*V28*(New!DO27-W28)) - ('Cooling water'!CO27*'Cooling water'!B27)</f>
        <v>-4702.4476391907892</v>
      </c>
      <c r="C28" s="236" t="s">
        <v>669</v>
      </c>
      <c r="D28" s="236">
        <v>0</v>
      </c>
      <c r="F28" s="237" t="s">
        <v>674</v>
      </c>
      <c r="G28" s="237">
        <f>((($W28*New!LR27)/1000)) - (EXP(New!$LP$6-((New!$LQ$6)/(U28+New!$LP$8))))</f>
        <v>-0.59115681624151806</v>
      </c>
      <c r="H28" s="237" t="s">
        <v>669</v>
      </c>
      <c r="I28" s="237">
        <v>0</v>
      </c>
      <c r="K28" s="238" t="s">
        <v>675</v>
      </c>
      <c r="L28" s="238">
        <f>($X28*LN((1-W28)/(1-New!DO27))) - ((1-$W28) - (1-New!DO27))</f>
        <v>-0.28307017758213215</v>
      </c>
      <c r="M28" s="238" t="s">
        <v>669</v>
      </c>
      <c r="N28" s="238">
        <v>0</v>
      </c>
      <c r="P28" s="239" t="s">
        <v>676</v>
      </c>
      <c r="Q28" s="239">
        <f>($V28*New!BV27*New!LQ29/1000*$X28*New!B27) - (AVERAGE(_xlfn.ANCHORARRAY(Sheet3!R27))*New!$LP$3)</f>
        <v>-3303.3996512366425</v>
      </c>
      <c r="R28" s="239" t="s">
        <v>669</v>
      </c>
      <c r="S28" s="239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AD28" s="35">
        <f>AVERAGE(_xlfn.ANCHORARRAY(Sheet3!R27))</f>
        <v>183.36939501729904</v>
      </c>
      <c r="AK28" s="35">
        <f>Sheet3!$DA27/(New!BM27*0.108*0.302)/3600</f>
        <v>1.7189683089536392</v>
      </c>
      <c r="AL28" s="35">
        <f>Sheet3!$DA27/(New!BN27*0.108*0.302)/3600</f>
        <v>1.7180292885436907</v>
      </c>
      <c r="AM28" s="35">
        <f>Sheet3!$DA27/(New!BO27*0.108*0.302)/3600</f>
        <v>1.6713314928318939</v>
      </c>
      <c r="AN28" s="35">
        <f>Sheet3!$DA27/(New!BP27*0.108*0.302)/3600</f>
        <v>1.6427146915730821</v>
      </c>
      <c r="AO28" s="35">
        <f>Sheet3!$DA27/(New!BQ27*0.108*0.302)/3600</f>
        <v>1.6051089374777436</v>
      </c>
      <c r="AP28" s="35">
        <f>Sheet3!$DA27/(New!BR27*0.108*0.302)/3600</f>
        <v>1.5838105936035756</v>
      </c>
      <c r="AQ28" s="35">
        <f>Sheet3!$DA27/(New!BS27*0.108*0.302)/3600</f>
        <v>1.5535492811948735</v>
      </c>
      <c r="AR28" s="35">
        <f>Sheet3!$DA27/(New!BT27*0.108*0.302)/3600</f>
        <v>1.526262052009407</v>
      </c>
      <c r="AS28" s="35">
        <f>Sheet3!$DA27/(New!BU27*0.108*0.302)/3600</f>
        <v>1.499394832507893</v>
      </c>
    </row>
    <row r="29" spans="1:45" x14ac:dyDescent="0.3">
      <c r="A29" s="236" t="s">
        <v>673</v>
      </c>
      <c r="B29" s="236">
        <f>($U29*('Cooling water'!CO28+AVERAGE(_xlfn.ANCHORARRAY(Sheet3!R28))) -New!HU28*V29*(New!DO28-W29)) - ('Cooling water'!CO28*'Cooling water'!B28)</f>
        <v>-4685.0549238790763</v>
      </c>
      <c r="C29" s="236" t="s">
        <v>669</v>
      </c>
      <c r="D29" s="236">
        <v>0</v>
      </c>
      <c r="F29" s="237" t="s">
        <v>674</v>
      </c>
      <c r="G29" s="237">
        <f>((($W29*New!LR28)/1000)) - (EXP(New!$LP$6-((New!$LQ$6)/(U29+New!$LP$8))))</f>
        <v>-0.59115681624151806</v>
      </c>
      <c r="H29" s="237" t="s">
        <v>669</v>
      </c>
      <c r="I29" s="237">
        <v>0</v>
      </c>
      <c r="K29" s="238" t="s">
        <v>675</v>
      </c>
      <c r="L29" s="238">
        <f>($X29*LN((1-W29)/(1-New!DO28))) - ((1-$W29) - (1-New!DO28))</f>
        <v>-0.28667590576123536</v>
      </c>
      <c r="M29" s="238" t="s">
        <v>669</v>
      </c>
      <c r="N29" s="238">
        <v>0</v>
      </c>
      <c r="P29" s="239" t="s">
        <v>676</v>
      </c>
      <c r="Q29" s="239">
        <f>($V29*New!BV28*New!LQ30/1000*$X29*New!B28) - (AVERAGE(_xlfn.ANCHORARRAY(Sheet3!R28))*New!$LP$3)</f>
        <v>-3049.6593772055471</v>
      </c>
      <c r="R29" s="239" t="s">
        <v>669</v>
      </c>
      <c r="S29" s="239">
        <v>0</v>
      </c>
      <c r="U29" s="35">
        <v>0</v>
      </c>
      <c r="V29" s="35">
        <v>0</v>
      </c>
      <c r="W29" s="35">
        <v>0</v>
      </c>
      <c r="X29" s="35">
        <v>0</v>
      </c>
      <c r="Y29" s="35">
        <v>0</v>
      </c>
      <c r="AD29" s="35">
        <f>AVERAGE(_xlfn.ANCHORARRAY(Sheet3!R28))</f>
        <v>169.28445058038008</v>
      </c>
      <c r="AK29" s="35">
        <f>Sheet3!$DA28/(New!BM28*0.108*0.302)/3600</f>
        <v>1.9403670899775682</v>
      </c>
      <c r="AL29" s="35">
        <f>Sheet3!$DA28/(New!BN28*0.108*0.302)/3600</f>
        <v>1.936456166117376</v>
      </c>
      <c r="AM29" s="35">
        <f>Sheet3!$DA28/(New!BO28*0.108*0.302)/3600</f>
        <v>1.8803903299874944</v>
      </c>
      <c r="AN29" s="35">
        <f>Sheet3!$DA28/(New!BP28*0.108*0.302)/3600</f>
        <v>1.8397850511331626</v>
      </c>
      <c r="AO29" s="35">
        <f>Sheet3!$DA28/(New!BQ28*0.108*0.302)/3600</f>
        <v>1.7922774944328965</v>
      </c>
      <c r="AP29" s="35">
        <f>Sheet3!$DA28/(New!BR28*0.108*0.302)/3600</f>
        <v>1.7665081836180001</v>
      </c>
      <c r="AQ29" s="35">
        <f>Sheet3!$DA28/(New!BS28*0.108*0.302)/3600</f>
        <v>1.7290090263411526</v>
      </c>
      <c r="AR29" s="35">
        <f>Sheet3!$DA28/(New!BT28*0.108*0.302)/3600</f>
        <v>1.6986194735180087</v>
      </c>
      <c r="AS29" s="35">
        <f>Sheet3!$DA28/(New!BU28*0.108*0.302)/3600</f>
        <v>1.6614581366639558</v>
      </c>
    </row>
    <row r="30" spans="1:45" x14ac:dyDescent="0.3">
      <c r="A30" s="236" t="s">
        <v>673</v>
      </c>
      <c r="B30" s="236">
        <f>($U30*('Cooling water'!CO29+AVERAGE(_xlfn.ANCHORARRAY(Sheet3!R29))) -New!HU29*V30*(New!DO29-W30)) - ('Cooling water'!CO29*'Cooling water'!B29)</f>
        <v>-4192.1051886868008</v>
      </c>
      <c r="C30" s="236" t="s">
        <v>669</v>
      </c>
      <c r="D30" s="236">
        <v>0</v>
      </c>
      <c r="F30" s="237" t="s">
        <v>674</v>
      </c>
      <c r="G30" s="237">
        <f>((($W30*New!LR29)/1000)) - (EXP(New!$LP$6-((New!$LQ$6)/(U30+New!$LP$8))))</f>
        <v>-0.59115681624151806</v>
      </c>
      <c r="H30" s="237" t="s">
        <v>669</v>
      </c>
      <c r="I30" s="237">
        <v>0</v>
      </c>
      <c r="K30" s="238" t="s">
        <v>675</v>
      </c>
      <c r="L30" s="238">
        <f>($X30*LN((1-W30)/(1-New!DO29))) - ((1-$W30) - (1-New!DO29))</f>
        <v>-0.15904441545960046</v>
      </c>
      <c r="M30" s="238" t="s">
        <v>669</v>
      </c>
      <c r="N30" s="238">
        <v>0</v>
      </c>
      <c r="P30" s="239" t="s">
        <v>676</v>
      </c>
      <c r="Q30" s="239">
        <f>($V30*New!BV29*New!LQ31/1000*$X30*New!B29) - (AVERAGE(_xlfn.ANCHORARRAY(Sheet3!R29))*New!$LP$3)</f>
        <v>-4318.8923179941849</v>
      </c>
      <c r="R30" s="239" t="s">
        <v>669</v>
      </c>
      <c r="S30" s="239">
        <v>0</v>
      </c>
      <c r="U30" s="35">
        <v>0</v>
      </c>
      <c r="V30" s="35">
        <v>0</v>
      </c>
      <c r="W30" s="35">
        <v>0</v>
      </c>
      <c r="X30" s="35">
        <v>0</v>
      </c>
      <c r="Y30" s="35">
        <v>0</v>
      </c>
      <c r="AD30" s="35">
        <f>AVERAGE(_xlfn.ANCHORARRAY(Sheet3!R29))</f>
        <v>239.73867987755676</v>
      </c>
      <c r="AK30" s="35">
        <f>Sheet3!$DA29/(New!BM29*0.108*0.302)/3600</f>
        <v>1.9209374578054084</v>
      </c>
      <c r="AL30" s="35">
        <f>Sheet3!$DA29/(New!BN29*0.108*0.302)/3600</f>
        <v>1.9243417971864603</v>
      </c>
      <c r="AM30" s="35">
        <f>Sheet3!$DA29/(New!BO29*0.108*0.302)/3600</f>
        <v>1.9024055536718991</v>
      </c>
      <c r="AN30" s="35">
        <f>Sheet3!$DA29/(New!BP29*0.108*0.302)/3600</f>
        <v>1.8857953271036401</v>
      </c>
      <c r="AO30" s="35">
        <f>Sheet3!$DA29/(New!BQ29*0.108*0.302)/3600</f>
        <v>1.8650693766568267</v>
      </c>
      <c r="AP30" s="35">
        <f>Sheet3!$DA29/(New!BR29*0.108*0.302)/3600</f>
        <v>1.8517546540469465</v>
      </c>
      <c r="AQ30" s="35">
        <f>Sheet3!$DA29/(New!BS29*0.108*0.302)/3600</f>
        <v>1.8358060868157828</v>
      </c>
      <c r="AR30" s="35">
        <f>Sheet3!$DA29/(New!BT29*0.108*0.302)/3600</f>
        <v>1.8230782447319729</v>
      </c>
      <c r="AS30" s="35">
        <f>Sheet3!$DA29/(New!BU29*0.108*0.302)/3600</f>
        <v>1.8066667809127817</v>
      </c>
    </row>
    <row r="31" spans="1:45" x14ac:dyDescent="0.3">
      <c r="A31" s="236" t="s">
        <v>673</v>
      </c>
      <c r="B31" s="236">
        <f>($U31*('Cooling water'!CO30+AVERAGE(_xlfn.ANCHORARRAY(Sheet3!R30))) -New!HU30*V31*(New!DO30-W31)) - ('Cooling water'!CO30*'Cooling water'!B30)</f>
        <v>-4334.9581260541818</v>
      </c>
      <c r="C31" s="236" t="s">
        <v>669</v>
      </c>
      <c r="D31" s="236">
        <v>0</v>
      </c>
      <c r="F31" s="237" t="s">
        <v>674</v>
      </c>
      <c r="G31" s="237">
        <f>((($W31*New!LR30)/1000)) - (EXP(New!$LP$6-((New!$LQ$6)/(U31+New!$LP$8))))</f>
        <v>-0.59115681624151806</v>
      </c>
      <c r="H31" s="237" t="s">
        <v>669</v>
      </c>
      <c r="I31" s="237">
        <v>0</v>
      </c>
      <c r="K31" s="238" t="s">
        <v>675</v>
      </c>
      <c r="L31" s="238">
        <f>($X31*LN((1-W31)/(1-New!DO30))) - ((1-$W31) - (1-New!DO30))</f>
        <v>-0.15602424878428134</v>
      </c>
      <c r="M31" s="238" t="s">
        <v>669</v>
      </c>
      <c r="N31" s="238">
        <v>0</v>
      </c>
      <c r="P31" s="239" t="s">
        <v>676</v>
      </c>
      <c r="Q31" s="239">
        <f>($V31*New!BV30*New!LQ32/1000*$X31*New!B30) - (AVERAGE(_xlfn.ANCHORARRAY(Sheet3!R30))*New!$LP$3)</f>
        <v>-3343.7601090011167</v>
      </c>
      <c r="R31" s="239" t="s">
        <v>669</v>
      </c>
      <c r="S31" s="239">
        <v>0</v>
      </c>
      <c r="U31" s="35">
        <v>0</v>
      </c>
      <c r="V31" s="35">
        <v>0</v>
      </c>
      <c r="W31" s="35">
        <v>0</v>
      </c>
      <c r="X31" s="35">
        <v>0</v>
      </c>
      <c r="Y31" s="35">
        <v>0</v>
      </c>
      <c r="AD31" s="35">
        <f>AVERAGE(_xlfn.ANCHORARRAY(Sheet3!R30))</f>
        <v>185.60977568698954</v>
      </c>
      <c r="AK31" s="35">
        <f>Sheet3!$DA30/(New!BM30*0.108*0.302)/3600</f>
        <v>2.2186735372801318</v>
      </c>
      <c r="AL31" s="35">
        <f>Sheet3!$DA30/(New!BN30*0.108*0.302)/3600</f>
        <v>2.2171053820498892</v>
      </c>
      <c r="AM31" s="35">
        <f>Sheet3!$DA30/(New!BO30*0.108*0.302)/3600</f>
        <v>2.1779668868295849</v>
      </c>
      <c r="AN31" s="35">
        <f>Sheet3!$DA30/(New!BP30*0.108*0.302)/3600</f>
        <v>2.1515832612167318</v>
      </c>
      <c r="AO31" s="35">
        <f>Sheet3!$DA30/(New!BQ30*0.108*0.302)/3600</f>
        <v>2.1228660521198859</v>
      </c>
      <c r="AP31" s="35">
        <f>Sheet3!$DA30/(New!BR30*0.108*0.302)/3600</f>
        <v>2.1057174400968601</v>
      </c>
      <c r="AQ31" s="35">
        <f>Sheet3!$DA30/(New!BS30*0.108*0.302)/3600</f>
        <v>2.0814646370675041</v>
      </c>
      <c r="AR31" s="35">
        <f>Sheet3!$DA30/(New!BT30*0.108*0.302)/3600</f>
        <v>2.0555831297325362</v>
      </c>
      <c r="AS31" s="35">
        <f>Sheet3!$DA30/(New!BU30*0.108*0.302)/3600</f>
        <v>2.0338401424796979</v>
      </c>
    </row>
    <row r="32" spans="1:45" x14ac:dyDescent="0.3">
      <c r="A32" s="236" t="s">
        <v>673</v>
      </c>
      <c r="B32" s="236">
        <f>($U32*('Cooling water'!CO31+AVERAGE(_xlfn.ANCHORARRAY(Sheet3!R31))) -New!HU31*V32*(New!DO31-W32)) - ('Cooling water'!CO31*'Cooling water'!B31)</f>
        <v>-4206.1113920548323</v>
      </c>
      <c r="C32" s="236" t="s">
        <v>669</v>
      </c>
      <c r="D32" s="236">
        <v>0</v>
      </c>
      <c r="F32" s="237" t="s">
        <v>674</v>
      </c>
      <c r="G32" s="237">
        <f>((($W32*New!LR31)/1000)) - (EXP(New!$LP$6-((New!$LQ$6)/(U32+New!$LP$8))))</f>
        <v>-0.59115681624151806</v>
      </c>
      <c r="H32" s="237" t="s">
        <v>669</v>
      </c>
      <c r="I32" s="237">
        <v>0</v>
      </c>
      <c r="K32" s="238" t="s">
        <v>675</v>
      </c>
      <c r="L32" s="238">
        <f>($X32*LN((1-W32)/(1-New!DO31))) - ((1-$W32) - (1-New!DO31))</f>
        <v>-0.14944930426008252</v>
      </c>
      <c r="M32" s="238" t="s">
        <v>669</v>
      </c>
      <c r="N32" s="238">
        <v>0</v>
      </c>
      <c r="P32" s="239" t="s">
        <v>676</v>
      </c>
      <c r="Q32" s="239">
        <f>($V32*New!BV31*New!LQ33/1000*$X32*New!B31) - (AVERAGE(_xlfn.ANCHORARRAY(Sheet3!R31))*New!$LP$3)</f>
        <v>-2856.1176513389787</v>
      </c>
      <c r="R32" s="239" t="s">
        <v>669</v>
      </c>
      <c r="S32" s="239">
        <v>0</v>
      </c>
      <c r="U32" s="35">
        <v>0</v>
      </c>
      <c r="V32" s="35">
        <v>0</v>
      </c>
      <c r="W32" s="35">
        <v>0</v>
      </c>
      <c r="X32" s="35">
        <v>0</v>
      </c>
      <c r="Y32" s="35">
        <v>0</v>
      </c>
      <c r="AD32" s="35">
        <f>AVERAGE(_xlfn.ANCHORARRAY(Sheet3!R31))</f>
        <v>158.54108528109791</v>
      </c>
      <c r="AK32" s="35">
        <f>Sheet3!$DA31/(New!BM31*0.108*0.302)/3600</f>
        <v>2.5496242934428688</v>
      </c>
      <c r="AL32" s="35">
        <f>Sheet3!$DA31/(New!BN31*0.108*0.302)/3600</f>
        <v>2.5511512072690414</v>
      </c>
      <c r="AM32" s="35">
        <f>Sheet3!$DA31/(New!BO31*0.108*0.302)/3600</f>
        <v>2.5005482809754231</v>
      </c>
      <c r="AN32" s="35">
        <f>Sheet3!$DA31/(New!BP31*0.108*0.302)/3600</f>
        <v>2.462855956046484</v>
      </c>
      <c r="AO32" s="35">
        <f>Sheet3!$DA31/(New!BQ31*0.108*0.302)/3600</f>
        <v>2.4155106830575486</v>
      </c>
      <c r="AP32" s="35">
        <f>Sheet3!$DA31/(New!BR31*0.108*0.302)/3600</f>
        <v>2.3872836088913547</v>
      </c>
      <c r="AQ32" s="35">
        <f>Sheet3!$DA31/(New!BS31*0.108*0.302)/3600</f>
        <v>2.3540984759556465</v>
      </c>
      <c r="AR32" s="35">
        <f>Sheet3!$DA31/(New!BT31*0.108*0.302)/3600</f>
        <v>2.3207763813004703</v>
      </c>
      <c r="AS32" s="35">
        <f>Sheet3!$DA31/(New!BU31*0.108*0.302)/3600</f>
        <v>2.2896146329356468</v>
      </c>
    </row>
    <row r="33" spans="1:45" x14ac:dyDescent="0.3">
      <c r="A33" s="236" t="s">
        <v>673</v>
      </c>
      <c r="B33" s="236">
        <f>($U33*('Cooling water'!CO32+AVERAGE(_xlfn.ANCHORARRAY(Sheet3!R32))) -New!HU32*V33*(New!DO32-W33)) - ('Cooling water'!CO32*'Cooling water'!B32)</f>
        <v>-10408.785682701751</v>
      </c>
      <c r="C33" s="236" t="s">
        <v>669</v>
      </c>
      <c r="D33" s="236">
        <v>0</v>
      </c>
      <c r="F33" s="237" t="s">
        <v>674</v>
      </c>
      <c r="G33" s="237">
        <f>((($W33*New!LR32)/1000)) - (EXP(New!$LP$6-((New!$LQ$6)/(U33+New!$LP$8))))</f>
        <v>-0.59115681624151806</v>
      </c>
      <c r="H33" s="237" t="s">
        <v>669</v>
      </c>
      <c r="I33" s="237">
        <v>0</v>
      </c>
      <c r="K33" s="238" t="s">
        <v>675</v>
      </c>
      <c r="L33" s="238">
        <f>($X33*LN((1-W33)/(1-New!DO32))) - ((1-$W33) - (1-New!DO32))</f>
        <v>-0.15328168897790329</v>
      </c>
      <c r="M33" s="238" t="s">
        <v>669</v>
      </c>
      <c r="N33" s="238">
        <v>0</v>
      </c>
      <c r="P33" s="239" t="s">
        <v>676</v>
      </c>
      <c r="Q33" s="239">
        <f>($V33*New!BV32*New!LQ34/1000*$X33*New!B32) - (AVERAGE(_xlfn.ANCHORARRAY(Sheet3!R32))*New!$LP$3)</f>
        <v>-2595.6793416714881</v>
      </c>
      <c r="R33" s="239" t="s">
        <v>669</v>
      </c>
      <c r="S33" s="239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AD33" s="35">
        <f>AVERAGE(_xlfn.ANCHORARRAY(Sheet3!R32))</f>
        <v>144.0843375893138</v>
      </c>
      <c r="AK33" s="35">
        <f>Sheet3!$DA32/(New!BM32*0.108*0.302)/3600</f>
        <v>2.8343513671171068</v>
      </c>
      <c r="AL33" s="35">
        <f>Sheet3!$DA32/(New!BN32*0.108*0.302)/3600</f>
        <v>2.8101979821306924</v>
      </c>
      <c r="AM33" s="35">
        <f>Sheet3!$DA32/(New!BO32*0.108*0.302)/3600</f>
        <v>2.7582889394639514</v>
      </c>
      <c r="AN33" s="35">
        <f>Sheet3!$DA32/(New!BP32*0.108*0.302)/3600</f>
        <v>2.7164164949531657</v>
      </c>
      <c r="AO33" s="35">
        <f>Sheet3!$DA32/(New!BQ32*0.108*0.302)/3600</f>
        <v>2.6559410936013315</v>
      </c>
      <c r="AP33" s="35">
        <f>Sheet3!$DA32/(New!BR32*0.108*0.302)/3600</f>
        <v>2.625964521067282</v>
      </c>
      <c r="AQ33" s="35">
        <f>Sheet3!$DA32/(New!BS32*0.108*0.302)/3600</f>
        <v>2.5810825164451678</v>
      </c>
      <c r="AR33" s="35">
        <f>Sheet3!$DA32/(New!BT32*0.108*0.302)/3600</f>
        <v>2.5358963785574278</v>
      </c>
      <c r="AS33" s="35">
        <f>Sheet3!$DA32/(New!BU32*0.108*0.302)/3600</f>
        <v>2.492157297802803</v>
      </c>
    </row>
    <row r="34" spans="1:45" x14ac:dyDescent="0.3">
      <c r="A34" s="236" t="s">
        <v>673</v>
      </c>
      <c r="B34" s="236">
        <f>($U34*('Cooling water'!CO33+AVERAGE(_xlfn.ANCHORARRAY(Sheet3!R33))) -New!HU33*V34*(New!DO33-W34)) - ('Cooling water'!CO33*'Cooling water'!B33)</f>
        <v>-10628.940005268196</v>
      </c>
      <c r="C34" s="236" t="s">
        <v>669</v>
      </c>
      <c r="D34" s="236">
        <v>0</v>
      </c>
      <c r="F34" s="237" t="s">
        <v>674</v>
      </c>
      <c r="G34" s="237">
        <f>((($W34*New!LR33)/1000)) - (EXP(New!$LP$6-((New!$LQ$6)/(U34+New!$LP$8))))</f>
        <v>-0.59115681624151806</v>
      </c>
      <c r="H34" s="237" t="s">
        <v>669</v>
      </c>
      <c r="I34" s="237">
        <v>0</v>
      </c>
      <c r="K34" s="238" t="s">
        <v>675</v>
      </c>
      <c r="L34" s="238">
        <f>($X34*LN((1-W34)/(1-New!DO33))) - ((1-$W34) - (1-New!DO33))</f>
        <v>-0.15154765954106597</v>
      </c>
      <c r="M34" s="238" t="s">
        <v>669</v>
      </c>
      <c r="N34" s="238">
        <v>0</v>
      </c>
      <c r="P34" s="239" t="s">
        <v>676</v>
      </c>
      <c r="Q34" s="239">
        <f>($V34*New!BV33*New!LQ35/1000*$X34*New!B33) - (AVERAGE(_xlfn.ANCHORARRAY(Sheet3!R33))*New!$LP$3)</f>
        <v>-2348.9942444007697</v>
      </c>
      <c r="R34" s="239" t="s">
        <v>669</v>
      </c>
      <c r="S34" s="239">
        <v>0</v>
      </c>
      <c r="U34" s="35">
        <v>0</v>
      </c>
      <c r="V34" s="35">
        <v>0</v>
      </c>
      <c r="W34" s="35">
        <v>0</v>
      </c>
      <c r="X34" s="35">
        <v>0</v>
      </c>
      <c r="Y34" s="35">
        <v>0</v>
      </c>
      <c r="AD34" s="35">
        <f>AVERAGE(_xlfn.ANCHORARRAY(Sheet3!R33))</f>
        <v>130.3910210602703</v>
      </c>
      <c r="AK34" s="35">
        <f>Sheet3!$DA33/(New!BM33*0.108*0.302)/3600</f>
        <v>3.1811046246752626</v>
      </c>
      <c r="AL34" s="35">
        <f>Sheet3!$DA33/(New!BN33*0.108*0.302)/3600</f>
        <v>3.1671777858972554</v>
      </c>
      <c r="AM34" s="35">
        <f>Sheet3!$DA33/(New!BO33*0.108*0.302)/3600</f>
        <v>3.1176722720023933</v>
      </c>
      <c r="AN34" s="35">
        <f>Sheet3!$DA33/(New!BP33*0.108*0.302)/3600</f>
        <v>3.0722987134270938</v>
      </c>
      <c r="AO34" s="35">
        <f>Sheet3!$DA33/(New!BQ33*0.108*0.302)/3600</f>
        <v>3.0159513734501679</v>
      </c>
      <c r="AP34" s="35">
        <f>Sheet3!$DA33/(New!BR33*0.108*0.302)/3600</f>
        <v>2.9848361613909042</v>
      </c>
      <c r="AQ34" s="35">
        <f>Sheet3!$DA33/(New!BS33*0.108*0.302)/3600</f>
        <v>2.9405921466402392</v>
      </c>
      <c r="AR34" s="35">
        <f>Sheet3!$DA33/(New!BT33*0.108*0.302)/3600</f>
        <v>2.9073092733533361</v>
      </c>
      <c r="AS34" s="35">
        <f>Sheet3!$DA33/(New!BU33*0.108*0.302)/3600</f>
        <v>2.8630441430650784</v>
      </c>
    </row>
    <row r="35" spans="1:45" x14ac:dyDescent="0.3">
      <c r="A35" s="236" t="s">
        <v>673</v>
      </c>
      <c r="B35" s="236">
        <f>($U35*('Cooling water'!CO34+AVERAGE(_xlfn.ANCHORARRAY(Sheet3!R34))) -New!HU34*V35*(New!DO34-W35)) - ('Cooling water'!CO34*'Cooling water'!B34)</f>
        <v>-22635.495925918676</v>
      </c>
      <c r="C35" s="236" t="s">
        <v>669</v>
      </c>
      <c r="D35" s="236">
        <v>0</v>
      </c>
      <c r="F35" s="237" t="s">
        <v>674</v>
      </c>
      <c r="G35" s="237">
        <f>((($W35*New!LR34)/1000)) - (EXP(New!$LP$6-((New!$LQ$6)/(U35+New!$LP$8))))</f>
        <v>-0.59115681624151806</v>
      </c>
      <c r="H35" s="237" t="s">
        <v>669</v>
      </c>
      <c r="I35" s="237">
        <v>0</v>
      </c>
      <c r="K35" s="238" t="s">
        <v>675</v>
      </c>
      <c r="L35" s="238">
        <f>($X35*LN((1-W35)/(1-New!DO34))) - ((1-$W35) - (1-New!DO34))</f>
        <v>-0.28565707538841378</v>
      </c>
      <c r="M35" s="238" t="s">
        <v>669</v>
      </c>
      <c r="N35" s="238">
        <v>0</v>
      </c>
      <c r="P35" s="239" t="s">
        <v>676</v>
      </c>
      <c r="Q35" s="239">
        <f>($V35*New!BV34*New!LQ36/1000*$X35*New!B34) - (AVERAGE(_xlfn.ANCHORARRAY(Sheet3!R34))*New!$LP$3)</f>
        <v>-4814.8075817555373</v>
      </c>
      <c r="R35" s="239" t="s">
        <v>669</v>
      </c>
      <c r="S35" s="239">
        <v>0</v>
      </c>
      <c r="U35" s="35">
        <v>0</v>
      </c>
      <c r="V35" s="35">
        <v>0</v>
      </c>
      <c r="W35" s="35">
        <v>0</v>
      </c>
      <c r="X35" s="35">
        <v>0</v>
      </c>
      <c r="Y35" s="35">
        <v>0</v>
      </c>
      <c r="AD35" s="35">
        <f>AVERAGE(_xlfn.ANCHORARRAY(Sheet3!R34))</f>
        <v>267.26658794091242</v>
      </c>
      <c r="AK35" s="35">
        <f>Sheet3!$DA34/(New!BM34*0.108*0.302)/3600</f>
        <v>6.4909588098743791</v>
      </c>
      <c r="AL35" s="35">
        <f>Sheet3!$DA34/(New!BN34*0.108*0.302)/3600</f>
        <v>6.4625414682507794</v>
      </c>
      <c r="AM35" s="35">
        <f>Sheet3!$DA34/(New!BO34*0.108*0.302)/3600</f>
        <v>6.3616357022062813</v>
      </c>
      <c r="AN35" s="35">
        <f>Sheet3!$DA34/(New!BP34*0.108*0.302)/3600</f>
        <v>6.2690505858164229</v>
      </c>
      <c r="AO35" s="35">
        <f>Sheet3!$DA34/(New!BQ34*0.108*0.302)/3600</f>
        <v>6.1543011394787985</v>
      </c>
      <c r="AP35" s="35">
        <f>Sheet3!$DA34/(New!BR34*0.108*0.302)/3600</f>
        <v>6.0908079456835686</v>
      </c>
      <c r="AQ35" s="35">
        <f>Sheet3!$DA34/(New!BS34*0.108*0.302)/3600</f>
        <v>6.0007223592469838</v>
      </c>
      <c r="AR35" s="35">
        <f>Sheet3!$DA34/(New!BT34*0.108*0.302)/3600</f>
        <v>5.9328036299730531</v>
      </c>
      <c r="AS35" s="35">
        <f>Sheet3!$DA34/(New!BU34*0.108*0.302)/3600</f>
        <v>5.8426403843006947</v>
      </c>
    </row>
    <row r="36" spans="1:45" x14ac:dyDescent="0.3">
      <c r="A36" s="236" t="s">
        <v>673</v>
      </c>
      <c r="B36" s="236">
        <f>($U36*('Cooling water'!CO35+AVERAGE(_xlfn.ANCHORARRAY(Sheet3!R35))) -New!HU35*V36*(New!DO35-W36)) - ('Cooling water'!CO35*'Cooling water'!B35)</f>
        <v>-18268.988844946642</v>
      </c>
      <c r="C36" s="236" t="s">
        <v>669</v>
      </c>
      <c r="D36" s="236">
        <v>0</v>
      </c>
      <c r="F36" s="237" t="s">
        <v>674</v>
      </c>
      <c r="G36" s="237">
        <f>((($W36*New!LR35)/1000)) - (EXP(New!$LP$6-((New!$LQ$6)/(U36+New!$LP$8))))</f>
        <v>-0.59115681624151806</v>
      </c>
      <c r="H36" s="237" t="s">
        <v>669</v>
      </c>
      <c r="I36" s="237">
        <v>0</v>
      </c>
      <c r="K36" s="238" t="s">
        <v>675</v>
      </c>
      <c r="L36" s="238">
        <f>($X36*LN((1-W36)/(1-New!DO35))) - ((1-$W36) - (1-New!DO35))</f>
        <v>-0.15257506166939183</v>
      </c>
      <c r="M36" s="238" t="s">
        <v>669</v>
      </c>
      <c r="N36" s="238">
        <v>0</v>
      </c>
      <c r="P36" s="239" t="s">
        <v>676</v>
      </c>
      <c r="Q36" s="239">
        <f>($V36*New!BV35*New!LQ37/1000*$X36*New!B35) - (AVERAGE(_xlfn.ANCHORARRAY(Sheet3!R35))*New!$LP$3)</f>
        <v>-4757.9219324160649</v>
      </c>
      <c r="R36" s="239" t="s">
        <v>669</v>
      </c>
      <c r="S36" s="239">
        <v>0</v>
      </c>
      <c r="U36" s="35">
        <v>0</v>
      </c>
      <c r="V36" s="35">
        <v>0</v>
      </c>
      <c r="W36" s="35">
        <v>0</v>
      </c>
      <c r="X36" s="35">
        <v>0</v>
      </c>
      <c r="Y36" s="35">
        <v>0</v>
      </c>
      <c r="AD36" s="35">
        <f>AVERAGE(_xlfn.ANCHORARRAY(Sheet3!R35))</f>
        <v>264.10890549076129</v>
      </c>
      <c r="AK36" s="35">
        <f>Sheet3!$DA35/(New!BM35*0.108*0.302)/3600</f>
        <v>3.8227395076204709</v>
      </c>
      <c r="AL36" s="35">
        <f>Sheet3!$DA35/(New!BN35*0.108*0.302)/3600</f>
        <v>3.8140013205942371</v>
      </c>
      <c r="AM36" s="35">
        <f>Sheet3!$DA35/(New!BO35*0.108*0.302)/3600</f>
        <v>3.7802048300428148</v>
      </c>
      <c r="AN36" s="35">
        <f>Sheet3!$DA35/(New!BP35*0.108*0.302)/3600</f>
        <v>3.7522973273319167</v>
      </c>
      <c r="AO36" s="35">
        <f>Sheet3!$DA35/(New!BQ35*0.108*0.302)/3600</f>
        <v>3.7165548571925884</v>
      </c>
      <c r="AP36" s="35">
        <f>Sheet3!$DA35/(New!BR35*0.108*0.302)/3600</f>
        <v>3.6979227253470053</v>
      </c>
      <c r="AQ36" s="35">
        <f>Sheet3!$DA35/(New!BS35*0.108*0.302)/3600</f>
        <v>3.6692472908809588</v>
      </c>
      <c r="AR36" s="35">
        <f>Sheet3!$DA35/(New!BT35*0.108*0.302)/3600</f>
        <v>3.6463314921923171</v>
      </c>
      <c r="AS36" s="35">
        <f>Sheet3!$DA35/(New!BU35*0.108*0.302)/3600</f>
        <v>3.6170781725589354</v>
      </c>
    </row>
    <row r="37" spans="1:45" x14ac:dyDescent="0.3">
      <c r="A37" s="236" t="s">
        <v>673</v>
      </c>
      <c r="B37" s="236">
        <f>($U37*('Cooling water'!CO36+AVERAGE(_xlfn.ANCHORARRAY(Sheet3!R36))) -New!HU36*V37*(New!DO36-W37)) - ('Cooling water'!CO36*'Cooling water'!B36)</f>
        <v>-18397.245236364037</v>
      </c>
      <c r="C37" s="236" t="s">
        <v>669</v>
      </c>
      <c r="D37" s="236">
        <v>0</v>
      </c>
      <c r="F37" s="237" t="s">
        <v>674</v>
      </c>
      <c r="G37" s="237">
        <f>((($W37*New!LR36)/1000)) - (EXP(New!$LP$6-((New!$LQ$6)/(U37+New!$LP$8))))</f>
        <v>-0.59115681624151806</v>
      </c>
      <c r="H37" s="237" t="s">
        <v>669</v>
      </c>
      <c r="I37" s="237">
        <v>0</v>
      </c>
      <c r="K37" s="238" t="s">
        <v>675</v>
      </c>
      <c r="L37" s="238">
        <f>($X37*LN((1-W37)/(1-New!DO36))) - ((1-$W37) - (1-New!DO36))</f>
        <v>-0.15187305613179247</v>
      </c>
      <c r="M37" s="238" t="s">
        <v>669</v>
      </c>
      <c r="N37" s="238">
        <v>0</v>
      </c>
      <c r="P37" s="239" t="s">
        <v>676</v>
      </c>
      <c r="Q37" s="239">
        <f>($V37*New!BV36*New!LQ38/1000*$X37*New!B36) - (AVERAGE(_xlfn.ANCHORARRAY(Sheet3!R36))*New!$LP$3)</f>
        <v>-3933.1851295677548</v>
      </c>
      <c r="R37" s="239" t="s">
        <v>669</v>
      </c>
      <c r="S37" s="239">
        <v>0</v>
      </c>
      <c r="U37" s="35">
        <v>0</v>
      </c>
      <c r="V37" s="35">
        <v>0</v>
      </c>
      <c r="W37" s="35">
        <v>0</v>
      </c>
      <c r="X37" s="35">
        <v>0</v>
      </c>
      <c r="Y37" s="35">
        <v>0</v>
      </c>
      <c r="AD37" s="35">
        <f>AVERAGE(_xlfn.ANCHORARRAY(Sheet3!R36))</f>
        <v>218.32834468874574</v>
      </c>
      <c r="AK37" s="35">
        <f>Sheet3!$DA36/(New!BM36*0.108*0.302)/3600</f>
        <v>4.3604329408008189</v>
      </c>
      <c r="AL37" s="35">
        <f>Sheet3!$DA36/(New!BN36*0.108*0.302)/3600</f>
        <v>4.349388981652603</v>
      </c>
      <c r="AM37" s="35">
        <f>Sheet3!$DA36/(New!BO36*0.108*0.302)/3600</f>
        <v>4.2975695496714419</v>
      </c>
      <c r="AN37" s="35">
        <f>Sheet3!$DA36/(New!BP36*0.108*0.302)/3600</f>
        <v>4.2407418526909559</v>
      </c>
      <c r="AO37" s="35">
        <f>Sheet3!$DA36/(New!BQ36*0.108*0.302)/3600</f>
        <v>4.1985366096511934</v>
      </c>
      <c r="AP37" s="35">
        <f>Sheet3!$DA36/(New!BR36*0.108*0.302)/3600</f>
        <v>4.1711150801031911</v>
      </c>
      <c r="AQ37" s="35">
        <f>Sheet3!$DA36/(New!BS36*0.108*0.302)/3600</f>
        <v>4.1278058792101842</v>
      </c>
      <c r="AR37" s="35">
        <f>Sheet3!$DA36/(New!BT36*0.108*0.302)/3600</f>
        <v>4.0916795817234242</v>
      </c>
      <c r="AS37" s="35">
        <f>Sheet3!$DA36/(New!BU36*0.108*0.302)/3600</f>
        <v>4.0493890957158465</v>
      </c>
    </row>
    <row r="38" spans="1:45" x14ac:dyDescent="0.3">
      <c r="A38" s="236" t="s">
        <v>673</v>
      </c>
      <c r="B38" s="236">
        <f>($U38*('Cooling water'!CO37+AVERAGE(_xlfn.ANCHORARRAY(Sheet3!R37))) -New!HU37*V38*(New!DO37-W38)) - ('Cooling water'!CO37*'Cooling water'!B37)</f>
        <v>-19948.13971285856</v>
      </c>
      <c r="C38" s="236" t="s">
        <v>669</v>
      </c>
      <c r="D38" s="236">
        <v>0</v>
      </c>
      <c r="F38" s="237" t="s">
        <v>674</v>
      </c>
      <c r="G38" s="237">
        <f>((($W38*New!LR37)/1000)) - (EXP(New!$LP$6-((New!$LQ$6)/(U38+New!$LP$8))))</f>
        <v>-0.59115681624151806</v>
      </c>
      <c r="H38" s="237" t="s">
        <v>669</v>
      </c>
      <c r="I38" s="237">
        <v>0</v>
      </c>
      <c r="K38" s="238" t="s">
        <v>675</v>
      </c>
      <c r="L38" s="238">
        <f>($X38*LN((1-W38)/(1-New!DO37))) - ((1-$W38) - (1-New!DO37))</f>
        <v>-0.14944930426008252</v>
      </c>
      <c r="M38" s="238" t="s">
        <v>669</v>
      </c>
      <c r="N38" s="238">
        <v>0</v>
      </c>
      <c r="P38" s="239" t="s">
        <v>676</v>
      </c>
      <c r="Q38" s="239">
        <f>($V38*New!BV37*New!LQ39/1000*$X38*New!B37) - (AVERAGE(_xlfn.ANCHORARRAY(Sheet3!R37))*New!$LP$3)</f>
        <v>-3561.6492546353325</v>
      </c>
      <c r="R38" s="239" t="s">
        <v>669</v>
      </c>
      <c r="S38" s="239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AD38" s="35">
        <f>AVERAGE(_xlfn.ANCHORARRAY(Sheet3!R37))</f>
        <v>197.70464916099542</v>
      </c>
      <c r="AK38" s="35">
        <f>Sheet3!$DA37/(New!BM37*0.108*0.302)/3600</f>
        <v>5.0992485868857376</v>
      </c>
      <c r="AL38" s="35">
        <f>Sheet3!$DA37/(New!BN37*0.108*0.302)/3600</f>
        <v>5.0859047517579832</v>
      </c>
      <c r="AM38" s="35">
        <f>Sheet3!$DA37/(New!BO37*0.108*0.302)/3600</f>
        <v>5.0145995421736362</v>
      </c>
      <c r="AN38" s="35">
        <f>Sheet3!$DA37/(New!BP37*0.108*0.302)/3600</f>
        <v>4.9528062946073765</v>
      </c>
      <c r="AO38" s="35">
        <f>Sheet3!$DA37/(New!BQ37*0.108*0.302)/3600</f>
        <v>4.8735806944581723</v>
      </c>
      <c r="AP38" s="35">
        <f>Sheet3!$DA37/(New!BR37*0.108*0.302)/3600</f>
        <v>4.8334816799013627</v>
      </c>
      <c r="AQ38" s="35">
        <f>Sheet3!$DA37/(New!BS37*0.108*0.302)/3600</f>
        <v>4.7658421162346327</v>
      </c>
      <c r="AR38" s="35">
        <f>Sheet3!$DA37/(New!BT37*0.108*0.302)/3600</f>
        <v>4.7230522142672831</v>
      </c>
      <c r="AS38" s="35">
        <f>Sheet3!$DA37/(New!BU37*0.108*0.302)/3600</f>
        <v>4.6634011018133545</v>
      </c>
    </row>
    <row r="39" spans="1:45" x14ac:dyDescent="0.3">
      <c r="A39" s="236" t="s">
        <v>673</v>
      </c>
      <c r="B39" s="236">
        <f>($U39*('Cooling water'!CO38+AVERAGE(_xlfn.ANCHORARRAY(Sheet3!R38))) -New!HU38*V39*(New!DO38-W39)) - ('Cooling water'!CO38*'Cooling water'!B38)</f>
        <v>-21699.423223582042</v>
      </c>
      <c r="C39" s="236" t="s">
        <v>669</v>
      </c>
      <c r="D39" s="236">
        <v>0</v>
      </c>
      <c r="F39" s="237" t="s">
        <v>674</v>
      </c>
      <c r="G39" s="237">
        <f>((($W39*New!LR38)/1000)) - (EXP(New!$LP$6-((New!$LQ$6)/(U39+New!$LP$8))))</f>
        <v>-0.59115681624151806</v>
      </c>
      <c r="H39" s="237" t="s">
        <v>669</v>
      </c>
      <c r="I39" s="237">
        <v>0</v>
      </c>
      <c r="K39" s="238" t="s">
        <v>675</v>
      </c>
      <c r="L39" s="238">
        <f>($X39*LN((1-W39)/(1-New!DO38))) - ((1-$W39) - (1-New!DO38))</f>
        <v>-0.15154765954106597</v>
      </c>
      <c r="M39" s="238" t="s">
        <v>669</v>
      </c>
      <c r="N39" s="238">
        <v>0</v>
      </c>
      <c r="P39" s="239" t="s">
        <v>676</v>
      </c>
      <c r="Q39" s="239">
        <f>($V39*New!BV38*New!LQ40/1000*$X39*New!B38) - (AVERAGE(_xlfn.ANCHORARRAY(Sheet3!R38))*New!$LP$3)</f>
        <v>-3334.3171730843455</v>
      </c>
      <c r="R39" s="239" t="s">
        <v>669</v>
      </c>
      <c r="S39" s="239">
        <v>0</v>
      </c>
      <c r="U39" s="35">
        <v>0</v>
      </c>
      <c r="V39" s="35">
        <v>0</v>
      </c>
      <c r="W39" s="35">
        <v>0</v>
      </c>
      <c r="X39" s="35">
        <v>0</v>
      </c>
      <c r="Y39" s="35">
        <v>0</v>
      </c>
      <c r="AD39" s="35">
        <f>AVERAGE(_xlfn.ANCHORARRAY(Sheet3!R38))</f>
        <v>185.08560494500946</v>
      </c>
      <c r="AK39" s="35">
        <f>Sheet3!$DA38/(New!BM38*0.108*0.302)/3600</f>
        <v>5.733564820785797</v>
      </c>
      <c r="AL39" s="35">
        <f>Sheet3!$DA38/(New!BN38*0.108*0.302)/3600</f>
        <v>5.3565673925159922</v>
      </c>
      <c r="AM39" s="35">
        <f>Sheet3!$DA38/(New!BO38*0.108*0.302)/3600</f>
        <v>5.2599733526433337</v>
      </c>
      <c r="AN39" s="35">
        <f>Sheet3!$DA38/(New!BP38*0.108*0.302)/3600</f>
        <v>5.18344295585187</v>
      </c>
      <c r="AO39" s="35">
        <f>Sheet3!$DA38/(New!BQ38*0.108*0.302)/3600</f>
        <v>5.0885595589341683</v>
      </c>
      <c r="AP39" s="35">
        <f>Sheet3!$DA38/(New!BR38*0.108*0.302)/3600</f>
        <v>5.0412991609405395</v>
      </c>
      <c r="AQ39" s="35">
        <f>Sheet3!$DA38/(New!BS38*0.108*0.302)/3600</f>
        <v>4.9596514497989537</v>
      </c>
      <c r="AR39" s="35">
        <f>Sheet3!$DA38/(New!BT38*0.108*0.302)/3600</f>
        <v>4.9018063799946905</v>
      </c>
      <c r="AS39" s="35">
        <f>Sheet3!$DA38/(New!BU38*0.108*0.302)/3600</f>
        <v>4.8202631088275956</v>
      </c>
    </row>
    <row r="40" spans="1:45" x14ac:dyDescent="0.3">
      <c r="A40" s="236" t="s">
        <v>673</v>
      </c>
      <c r="B40" s="236">
        <f>($U40*('Cooling water'!CO39+AVERAGE(_xlfn.ANCHORARRAY(Sheet3!R39))) -New!HU39*V40*(New!DO39-W40)) - ('Cooling water'!CO39*'Cooling water'!B39)</f>
        <v>-22520.992814421974</v>
      </c>
      <c r="C40" s="236" t="s">
        <v>669</v>
      </c>
      <c r="D40" s="236">
        <v>0</v>
      </c>
      <c r="F40" s="237" t="s">
        <v>674</v>
      </c>
      <c r="G40" s="237">
        <f>((($W40*New!LR39)/1000)) - (EXP(New!$LP$6-((New!$LQ$6)/(U40+New!$LP$8))))</f>
        <v>-0.59115681624151806</v>
      </c>
      <c r="H40" s="237" t="s">
        <v>669</v>
      </c>
      <c r="I40" s="237">
        <v>0</v>
      </c>
      <c r="K40" s="238" t="s">
        <v>675</v>
      </c>
      <c r="L40" s="238">
        <f>($X40*LN((1-W40)/(1-New!DO39))) - ((1-$W40) - (1-New!DO39))</f>
        <v>-0.15290756289126473</v>
      </c>
      <c r="M40" s="238" t="s">
        <v>669</v>
      </c>
      <c r="N40" s="238">
        <v>0</v>
      </c>
      <c r="P40" s="239" t="s">
        <v>676</v>
      </c>
      <c r="Q40" s="239">
        <f>($V40*New!BV39*New!LQ41/1000*$X40*New!B39) - (AVERAGE(_xlfn.ANCHORARRAY(Sheet3!R39))*New!$LP$3)</f>
        <v>-3073.841069182929</v>
      </c>
      <c r="R40" s="239" t="s">
        <v>669</v>
      </c>
      <c r="S40" s="239">
        <v>0</v>
      </c>
      <c r="U40" s="35">
        <v>0</v>
      </c>
      <c r="V40" s="35">
        <v>0</v>
      </c>
      <c r="W40" s="35">
        <v>0</v>
      </c>
      <c r="X40" s="35">
        <v>0</v>
      </c>
      <c r="Y40" s="35">
        <v>0</v>
      </c>
      <c r="AD40" s="35">
        <f>AVERAGE(_xlfn.ANCHORARRAY(Sheet3!R39))</f>
        <v>170.62675932183896</v>
      </c>
      <c r="AK40" s="35">
        <f>Sheet3!$DA39/(New!BM39*0.108*0.302)/3600</f>
        <v>6.4268881523497772</v>
      </c>
      <c r="AL40" s="35">
        <f>Sheet3!$DA39/(New!BN39*0.108*0.302)/3600</f>
        <v>6.4211878559412821</v>
      </c>
      <c r="AM40" s="35">
        <f>Sheet3!$DA39/(New!BO39*0.108*0.302)/3600</f>
        <v>6.3057034780712327</v>
      </c>
      <c r="AN40" s="35">
        <f>Sheet3!$DA39/(New!BP39*0.108*0.302)/3600</f>
        <v>6.1857273673175195</v>
      </c>
      <c r="AO40" s="35">
        <f>Sheet3!$DA39/(New!BQ39*0.108*0.302)/3600</f>
        <v>6.0740068902027602</v>
      </c>
      <c r="AP40" s="35">
        <f>Sheet3!$DA39/(New!BR39*0.108*0.302)/3600</f>
        <v>5.9784621533779951</v>
      </c>
      <c r="AQ40" s="35">
        <f>Sheet3!$DA39/(New!BS39*0.108*0.302)/3600</f>
        <v>5.8791385846742532</v>
      </c>
      <c r="AR40" s="35">
        <f>Sheet3!$DA39/(New!BT39*0.108*0.302)/3600</f>
        <v>5.8320974234810112</v>
      </c>
      <c r="AS40" s="35">
        <f>Sheet3!$DA39/(New!BU39*0.108*0.302)/3600</f>
        <v>5.7312218638114496</v>
      </c>
    </row>
    <row r="41" spans="1:45" x14ac:dyDescent="0.3">
      <c r="A41" s="236" t="s">
        <v>673</v>
      </c>
      <c r="B41" s="236">
        <f>($U41*('Cooling water'!CO40+AVERAGE(_xlfn.ANCHORARRAY(Sheet3!R40))) -New!HU40*V41*(New!DO40-W41)) - ('Cooling water'!CO40*'Cooling water'!B40)</f>
        <v>-4124.6492638994432</v>
      </c>
      <c r="C41" s="236" t="s">
        <v>669</v>
      </c>
      <c r="D41" s="236">
        <v>0</v>
      </c>
      <c r="F41" s="237" t="s">
        <v>674</v>
      </c>
      <c r="G41" s="237">
        <f>((($W41*New!LR40)/1000)) - (EXP(New!$LP$6-((New!$LQ$6)/(U41+New!$LP$8))))</f>
        <v>-0.59115681624151806</v>
      </c>
      <c r="H41" s="237" t="s">
        <v>669</v>
      </c>
      <c r="I41" s="237">
        <v>0</v>
      </c>
      <c r="K41" s="238" t="s">
        <v>675</v>
      </c>
      <c r="L41" s="238">
        <f>($X41*LN((1-W41)/(1-New!DO40))) - ((1-$W41) - (1-New!DO40))</f>
        <v>-0.16017635834245281</v>
      </c>
      <c r="M41" s="238" t="s">
        <v>669</v>
      </c>
      <c r="N41" s="238">
        <v>0</v>
      </c>
      <c r="P41" s="239" t="s">
        <v>676</v>
      </c>
      <c r="Q41" s="239">
        <f>($V41*New!BV40*New!LQ42/1000*$X41*New!B40) - (AVERAGE(_xlfn.ANCHORARRAY(Sheet3!R40))*New!$LP$3)</f>
        <v>-3839.4416651358397</v>
      </c>
      <c r="R41" s="239" t="s">
        <v>669</v>
      </c>
      <c r="S41" s="239">
        <v>0</v>
      </c>
      <c r="U41" s="35">
        <v>0</v>
      </c>
      <c r="V41" s="35">
        <v>0</v>
      </c>
      <c r="W41" s="35">
        <v>0</v>
      </c>
      <c r="X41" s="35">
        <v>0</v>
      </c>
      <c r="Y41" s="35">
        <v>0</v>
      </c>
      <c r="AD41" s="35">
        <f>AVERAGE(_xlfn.ANCHORARRAY(Sheet3!R40))</f>
        <v>213.12471080409878</v>
      </c>
      <c r="AK41" s="35">
        <f>Sheet3!$DA40/(New!BM40*0.108*0.302)/3600</f>
        <v>1.2137761197655041</v>
      </c>
      <c r="AL41" s="35">
        <f>Sheet3!$DA40/(New!BN40*0.108*0.302)/3600</f>
        <v>1.2128767156151019</v>
      </c>
      <c r="AM41" s="35">
        <f>Sheet3!$DA40/(New!BO40*0.108*0.302)/3600</f>
        <v>1.1969840665184541</v>
      </c>
      <c r="AN41" s="35">
        <f>Sheet3!$DA40/(New!BP40*0.108*0.302)/3600</f>
        <v>1.1846795418082663</v>
      </c>
      <c r="AO41" s="35">
        <f>Sheet3!$DA40/(New!BQ40*0.108*0.302)/3600</f>
        <v>1.1694775769068293</v>
      </c>
      <c r="AP41" s="35">
        <f>Sheet3!$DA40/(New!BR40*0.108*0.302)/3600</f>
        <v>1.1611198680531629</v>
      </c>
      <c r="AQ41" s="35">
        <f>Sheet3!$DA40/(New!BS40*0.108*0.302)/3600</f>
        <v>1.1500957481943552</v>
      </c>
      <c r="AR41" s="35">
        <f>Sheet3!$DA40/(New!BT40*0.108*0.302)/3600</f>
        <v>1.1385388230052571</v>
      </c>
      <c r="AS41" s="35">
        <f>Sheet3!$DA40/(New!BU40*0.108*0.302)/3600</f>
        <v>1.1272928565492704</v>
      </c>
    </row>
    <row r="42" spans="1:45" x14ac:dyDescent="0.3">
      <c r="A42" s="236" t="s">
        <v>673</v>
      </c>
      <c r="B42" s="236">
        <f>($U42*('Cooling water'!CO41+AVERAGE(_xlfn.ANCHORARRAY(Sheet3!R41))) -New!HU41*V42*(New!DO41-W42)) - ('Cooling water'!CO41*'Cooling water'!B41)</f>
        <v>-4060.7532426636949</v>
      </c>
      <c r="C42" s="236" t="s">
        <v>669</v>
      </c>
      <c r="D42" s="236">
        <v>0</v>
      </c>
      <c r="F42" s="237" t="s">
        <v>674</v>
      </c>
      <c r="G42" s="237">
        <f>((($W42*New!LR41)/1000)) - (EXP(New!$LP$6-((New!$LQ$6)/(U42+New!$LP$8))))</f>
        <v>-0.59115681624151806</v>
      </c>
      <c r="H42" s="237" t="s">
        <v>669</v>
      </c>
      <c r="I42" s="237">
        <v>0</v>
      </c>
      <c r="K42" s="238" t="s">
        <v>675</v>
      </c>
      <c r="L42" s="238">
        <f>($X42*LN((1-W42)/(1-New!DO41))) - ((1-$W42) - (1-New!DO41))</f>
        <v>-0.15792835886009882</v>
      </c>
      <c r="M42" s="238" t="s">
        <v>669</v>
      </c>
      <c r="N42" s="238">
        <v>0</v>
      </c>
      <c r="P42" s="239" t="s">
        <v>676</v>
      </c>
      <c r="Q42" s="239">
        <f>($V42*New!BV41*New!LQ43/1000*$X42*New!B41) - (AVERAGE(_xlfn.ANCHORARRAY(Sheet3!R41))*New!$LP$3)</f>
        <v>-2798.4566391102612</v>
      </c>
      <c r="R42" s="239" t="s">
        <v>669</v>
      </c>
      <c r="S42" s="239">
        <v>0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AD42" s="35">
        <f>AVERAGE(_xlfn.ANCHORARRAY(Sheet3!R41))</f>
        <v>155.34036298141888</v>
      </c>
      <c r="AK42" s="35">
        <f>Sheet3!$DA41/(New!BM41*0.108*0.302)/3600</f>
        <v>1.3342142690807028</v>
      </c>
      <c r="AL42" s="35">
        <f>Sheet3!$DA41/(New!BN41*0.108*0.302)/3600</f>
        <v>1.3372353606330802</v>
      </c>
      <c r="AM42" s="35">
        <f>Sheet3!$DA41/(New!BO41*0.108*0.302)/3600</f>
        <v>1.3111883524482242</v>
      </c>
      <c r="AN42" s="35">
        <f>Sheet3!$DA41/(New!BP41*0.108*0.302)/3600</f>
        <v>1.2903795609463766</v>
      </c>
      <c r="AO42" s="35">
        <f>Sheet3!$DA41/(New!BQ41*0.108*0.302)/3600</f>
        <v>1.2674851371941465</v>
      </c>
      <c r="AP42" s="35">
        <f>Sheet3!$DA41/(New!BR41*0.108*0.302)/3600</f>
        <v>1.2560683678647708</v>
      </c>
      <c r="AQ42" s="35">
        <f>Sheet3!$DA41/(New!BS41*0.108*0.302)/3600</f>
        <v>1.2370739611917285</v>
      </c>
      <c r="AR42" s="35">
        <f>Sheet3!$DA41/(New!BT41*0.108*0.302)/3600</f>
        <v>1.2213729863913207</v>
      </c>
      <c r="AS42" s="35">
        <f>Sheet3!$DA41/(New!BU41*0.108*0.302)/3600</f>
        <v>1.202875470285008</v>
      </c>
    </row>
    <row r="43" spans="1:45" x14ac:dyDescent="0.3">
      <c r="A43" s="236" t="s">
        <v>673</v>
      </c>
      <c r="B43" s="236">
        <f>($U43*('Cooling water'!CO42+AVERAGE(_xlfn.ANCHORARRAY(Sheet3!R42))) -New!HU42*V43*(New!DO42-W43)) - ('Cooling water'!CO42*'Cooling water'!B42)</f>
        <v>-3973.5081849861663</v>
      </c>
      <c r="C43" s="236" t="s">
        <v>669</v>
      </c>
      <c r="D43" s="236">
        <v>0</v>
      </c>
      <c r="F43" s="237" t="s">
        <v>674</v>
      </c>
      <c r="G43" s="237">
        <f>((($W43*New!LR42)/1000)) - (EXP(New!$LP$6-((New!$LQ$6)/(U43+New!$LP$8))))</f>
        <v>-0.59115681624151806</v>
      </c>
      <c r="H43" s="237" t="s">
        <v>669</v>
      </c>
      <c r="I43" s="237">
        <v>0</v>
      </c>
      <c r="K43" s="238" t="s">
        <v>675</v>
      </c>
      <c r="L43" s="238">
        <f>($X43*LN((1-W43)/(1-New!DO42))) - ((1-$W43) - (1-New!DO42))</f>
        <v>-0.15456234420046133</v>
      </c>
      <c r="M43" s="238" t="s">
        <v>669</v>
      </c>
      <c r="N43" s="238">
        <v>0</v>
      </c>
      <c r="P43" s="239" t="s">
        <v>676</v>
      </c>
      <c r="Q43" s="239">
        <f>($V43*New!BV42*New!LQ44/1000*$X43*New!B42) - (AVERAGE(_xlfn.ANCHORARRAY(Sheet3!R42))*New!$LP$3)</f>
        <v>-2321.722100660455</v>
      </c>
      <c r="R43" s="239" t="s">
        <v>669</v>
      </c>
      <c r="S43" s="239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AD43" s="35">
        <f>AVERAGE(_xlfn.ANCHORARRAY(Sheet3!R42))</f>
        <v>128.87716351154344</v>
      </c>
      <c r="AK43" s="35">
        <f>Sheet3!$DA42/(New!BM42*0.108*0.302)/3600</f>
        <v>1.5211306952820838</v>
      </c>
      <c r="AL43" s="35">
        <f>Sheet3!$DA42/(New!BN42*0.108*0.302)/3600</f>
        <v>1.5173985757185959</v>
      </c>
      <c r="AM43" s="35">
        <f>Sheet3!$DA42/(New!BO42*0.108*0.302)/3600</f>
        <v>1.4846600243535311</v>
      </c>
      <c r="AN43" s="35">
        <f>Sheet3!$DA42/(New!BP42*0.108*0.302)/3600</f>
        <v>1.4555872850161329</v>
      </c>
      <c r="AO43" s="35">
        <f>Sheet3!$DA42/(New!BQ42*0.108*0.302)/3600</f>
        <v>1.4239514050700288</v>
      </c>
      <c r="AP43" s="35">
        <f>Sheet3!$DA42/(New!BR42*0.108*0.302)/3600</f>
        <v>1.4062819723069577</v>
      </c>
      <c r="AQ43" s="35">
        <f>Sheet3!$DA42/(New!BS42*0.108*0.302)/3600</f>
        <v>1.3791796001050951</v>
      </c>
      <c r="AR43" s="35">
        <f>Sheet3!$DA42/(New!BT42*0.108*0.302)/3600</f>
        <v>1.3599029908020071</v>
      </c>
      <c r="AS43" s="35">
        <f>Sheet3!$DA42/(New!BU42*0.108*0.302)/3600</f>
        <v>1.334554173026087</v>
      </c>
    </row>
    <row r="44" spans="1:45" x14ac:dyDescent="0.3">
      <c r="A44" s="236" t="s">
        <v>673</v>
      </c>
      <c r="B44" s="236">
        <f>($U44*('Cooling water'!CO43+AVERAGE(_xlfn.ANCHORARRAY(Sheet3!R43))) -New!HU43*V44*(New!DO43-W44)) - ('Cooling water'!CO43*'Cooling water'!B43)</f>
        <v>-3941.204684321473</v>
      </c>
      <c r="C44" s="236" t="s">
        <v>669</v>
      </c>
      <c r="D44" s="236">
        <v>0</v>
      </c>
      <c r="F44" s="237" t="s">
        <v>674</v>
      </c>
      <c r="G44" s="237">
        <f>((($W44*New!LR43)/1000)) - (EXP(New!$LP$6-((New!$LQ$6)/(U44+New!$LP$8))))</f>
        <v>-0.59115681624151806</v>
      </c>
      <c r="H44" s="237" t="s">
        <v>669</v>
      </c>
      <c r="I44" s="237">
        <v>0</v>
      </c>
      <c r="K44" s="238" t="s">
        <v>675</v>
      </c>
      <c r="L44" s="238">
        <f>($X44*LN((1-W44)/(1-New!DO43))) - ((1-$W44) - (1-New!DO43))</f>
        <v>-0.15520556296182164</v>
      </c>
      <c r="M44" s="238" t="s">
        <v>669</v>
      </c>
      <c r="N44" s="238">
        <v>0</v>
      </c>
      <c r="P44" s="239" t="s">
        <v>676</v>
      </c>
      <c r="Q44" s="239">
        <f>($V44*New!BV43*New!LQ45/1000*$X44*New!B43) - (AVERAGE(_xlfn.ANCHORARRAY(Sheet3!R43))*New!$LP$3)</f>
        <v>-1849.5958080684243</v>
      </c>
      <c r="R44" s="239" t="s">
        <v>669</v>
      </c>
      <c r="S44" s="239">
        <v>0</v>
      </c>
      <c r="U44" s="35">
        <v>0</v>
      </c>
      <c r="V44" s="35">
        <v>0</v>
      </c>
      <c r="W44" s="35">
        <v>0</v>
      </c>
      <c r="X44" s="35">
        <v>0</v>
      </c>
      <c r="Y44" s="35">
        <v>0</v>
      </c>
      <c r="AD44" s="35">
        <f>AVERAGE(_xlfn.ANCHORARRAY(Sheet3!R43))</f>
        <v>102.66976453335688</v>
      </c>
      <c r="AK44" s="35">
        <f>Sheet3!$DA43/(New!BM43*0.108*0.302)/3600</f>
        <v>1.9114658260557091</v>
      </c>
      <c r="AL44" s="35">
        <f>Sheet3!$DA43/(New!BN43*0.108*0.302)/3600</f>
        <v>1.9147271504257477</v>
      </c>
      <c r="AM44" s="35">
        <f>Sheet3!$DA43/(New!BO43*0.108*0.302)/3600</f>
        <v>1.8519446883827619</v>
      </c>
      <c r="AN44" s="35">
        <f>Sheet3!$DA43/(New!BP43*0.108*0.302)/3600</f>
        <v>1.7969605262627548</v>
      </c>
      <c r="AO44" s="35">
        <f>Sheet3!$DA43/(New!BQ43*0.108*0.302)/3600</f>
        <v>1.7523502222322</v>
      </c>
      <c r="AP44" s="35">
        <f>Sheet3!$DA43/(New!BR43*0.108*0.302)/3600</f>
        <v>1.721938500930198</v>
      </c>
      <c r="AQ44" s="35">
        <f>Sheet3!$DA43/(New!BS43*0.108*0.302)/3600</f>
        <v>1.6788168953873792</v>
      </c>
      <c r="AR44" s="35">
        <f>Sheet3!$DA43/(New!BT43*0.108*0.302)/3600</f>
        <v>1.6511196854058947</v>
      </c>
      <c r="AS44" s="35">
        <f>Sheet3!$DA43/(New!BU43*0.108*0.302)/3600</f>
        <v>1.6033091571044709</v>
      </c>
    </row>
    <row r="45" spans="1:45" x14ac:dyDescent="0.3">
      <c r="A45" s="236" t="s">
        <v>673</v>
      </c>
      <c r="B45" s="236">
        <f>($U45*('Cooling water'!CO44+AVERAGE(_xlfn.ANCHORARRAY(Sheet3!R44))) -New!HU44*V45*(New!DO44-W45)) - ('Cooling water'!CO44*'Cooling water'!B44)</f>
        <v>-23682.651636008941</v>
      </c>
      <c r="C45" s="236" t="s">
        <v>669</v>
      </c>
      <c r="D45" s="236">
        <v>0</v>
      </c>
      <c r="F45" s="237" t="s">
        <v>674</v>
      </c>
      <c r="G45" s="237">
        <f>((($W45*New!LR44)/1000)) - (EXP(New!$LP$6-((New!$LQ$6)/(U45+New!$LP$8))))</f>
        <v>-0.59115681624151806</v>
      </c>
      <c r="H45" s="237" t="s">
        <v>669</v>
      </c>
      <c r="I45" s="237">
        <v>0</v>
      </c>
      <c r="K45" s="238" t="s">
        <v>675</v>
      </c>
      <c r="L45" s="238">
        <f>($X45*LN((1-W45)/(1-New!DO44))) - ((1-$W45) - (1-New!DO44))</f>
        <v>-0.28667590576123536</v>
      </c>
      <c r="M45" s="238" t="s">
        <v>669</v>
      </c>
      <c r="N45" s="238">
        <v>0</v>
      </c>
      <c r="P45" s="239" t="s">
        <v>676</v>
      </c>
      <c r="Q45" s="239">
        <f>($V45*New!BV44*New!LQ46/1000*$X45*New!B44) - (AVERAGE(_xlfn.ANCHORARRAY(Sheet3!R44))*New!$LP$3)</f>
        <v>-2994.0314425705806</v>
      </c>
      <c r="R45" s="239" t="s">
        <v>669</v>
      </c>
      <c r="S45" s="239">
        <v>0</v>
      </c>
      <c r="U45" s="35">
        <v>0</v>
      </c>
      <c r="V45" s="35">
        <v>0</v>
      </c>
      <c r="W45" s="35">
        <v>0</v>
      </c>
      <c r="X45" s="35">
        <v>0</v>
      </c>
      <c r="Y45" s="35">
        <v>0</v>
      </c>
      <c r="AD45" s="35">
        <f>AVERAGE(_xlfn.ANCHORARRAY(Sheet3!R44))</f>
        <v>166.19658299031809</v>
      </c>
      <c r="AK45" s="35">
        <f>Sheet3!$DA44/(New!BM44*0.108*0.302)/3600</f>
        <v>3.2339451499626137</v>
      </c>
      <c r="AL45" s="35">
        <f>Sheet3!$DA44/(New!BN44*0.108*0.302)/3600</f>
        <v>3.2325494175393947</v>
      </c>
      <c r="AM45" s="35">
        <f>Sheet3!$DA44/(New!BO44*0.108*0.302)/3600</f>
        <v>3.1526755971750742</v>
      </c>
      <c r="AN45" s="35">
        <f>Sheet3!$DA44/(New!BP44*0.108*0.302)/3600</f>
        <v>3.0947452488038145</v>
      </c>
      <c r="AO45" s="35">
        <f>Sheet3!$DA44/(New!BQ44*0.108*0.302)/3600</f>
        <v>3.0202676817459788</v>
      </c>
      <c r="AP45" s="35">
        <f>Sheet3!$DA44/(New!BR44*0.108*0.302)/3600</f>
        <v>2.98169213452677</v>
      </c>
      <c r="AQ45" s="35">
        <f>Sheet3!$DA44/(New!BS44*0.108*0.302)/3600</f>
        <v>2.9290428411719365</v>
      </c>
      <c r="AR45" s="35">
        <f>Sheet3!$DA44/(New!BT44*0.108*0.302)/3600</f>
        <v>2.8859663130481024</v>
      </c>
      <c r="AS45" s="35">
        <f>Sheet3!$DA44/(New!BU44*0.108*0.302)/3600</f>
        <v>2.8271587969247483</v>
      </c>
    </row>
    <row r="46" spans="1:45" x14ac:dyDescent="0.3">
      <c r="A46" s="236" t="s">
        <v>673</v>
      </c>
      <c r="B46" s="236">
        <f>($U46*('Cooling water'!CO45+AVERAGE(_xlfn.ANCHORARRAY(Sheet3!R45))) -New!HU45*V46*(New!DO45-W46)) - ('Cooling water'!CO45*'Cooling water'!B45)</f>
        <v>-98901.632253084113</v>
      </c>
      <c r="C46" s="236" t="s">
        <v>669</v>
      </c>
      <c r="D46" s="236">
        <v>0</v>
      </c>
      <c r="F46" s="237" t="s">
        <v>674</v>
      </c>
      <c r="G46" s="237">
        <f>((($W46*New!LR45)/1000)) - (EXP(New!$LP$6-((New!$LQ$6)/(U46+New!$LP$8))))</f>
        <v>-0.59115681624151806</v>
      </c>
      <c r="H46" s="237" t="s">
        <v>669</v>
      </c>
      <c r="I46" s="237">
        <v>0</v>
      </c>
      <c r="K46" s="238" t="s">
        <v>675</v>
      </c>
      <c r="L46" s="238">
        <f>($X46*LN((1-W46)/(1-New!DO45))) - ((1-$W46) - (1-New!DO45))</f>
        <v>-0.28667590576123536</v>
      </c>
      <c r="M46" s="238" t="s">
        <v>669</v>
      </c>
      <c r="N46" s="238">
        <v>0</v>
      </c>
      <c r="P46" s="239" t="s">
        <v>676</v>
      </c>
      <c r="Q46" s="239">
        <f>($V46*New!BV45*New!LQ47/1000*$X46*New!B45) - (AVERAGE(_xlfn.ANCHORARRAY(Sheet3!R45))*New!$LP$3)</f>
        <v>-1998.8045785937284</v>
      </c>
      <c r="R46" s="239" t="s">
        <v>669</v>
      </c>
      <c r="S46" s="239">
        <v>0</v>
      </c>
      <c r="U46" s="35">
        <v>0</v>
      </c>
      <c r="V46" s="35">
        <v>0</v>
      </c>
      <c r="W46" s="35">
        <v>0</v>
      </c>
      <c r="X46" s="35">
        <v>0</v>
      </c>
      <c r="Y46" s="35">
        <v>0</v>
      </c>
      <c r="AD46" s="35">
        <f>AVERAGE(_xlfn.ANCHORARRAY(Sheet3!R45))</f>
        <v>110.95223861191941</v>
      </c>
      <c r="AK46" s="35">
        <f>Sheet3!$DA45/(New!BM45*0.108*0.302)/3600</f>
        <v>3.2339451499626137</v>
      </c>
      <c r="AL46" s="35">
        <f>Sheet3!$DA45/(New!BN45*0.108*0.302)/3600</f>
        <v>3.2316502389690682</v>
      </c>
      <c r="AM46" s="35">
        <f>Sheet3!$DA45/(New!BO45*0.108*0.302)/3600</f>
        <v>3.1563202963964558</v>
      </c>
      <c r="AN46" s="35">
        <f>Sheet3!$DA45/(New!BP45*0.108*0.302)/3600</f>
        <v>3.0979639673710269</v>
      </c>
      <c r="AO46" s="35">
        <f>Sheet3!$DA45/(New!BQ45*0.108*0.302)/3600</f>
        <v>3.029193210532644</v>
      </c>
      <c r="AP46" s="35">
        <f>Sheet3!$DA45/(New!BR45*0.108*0.302)/3600</f>
        <v>3.0004107056170741</v>
      </c>
      <c r="AQ46" s="35">
        <f>Sheet3!$DA45/(New!BS45*0.108*0.302)/3600</f>
        <v>2.9456630918326945</v>
      </c>
      <c r="AR46" s="35">
        <f>Sheet3!$DA45/(New!BT45*0.108*0.302)/3600</f>
        <v>2.9054688128282344</v>
      </c>
      <c r="AS46" s="35">
        <f>Sheet3!$DA45/(New!BU45*0.108*0.302)/3600</f>
        <v>2.8544544897946262</v>
      </c>
    </row>
    <row r="47" spans="1:45" x14ac:dyDescent="0.3">
      <c r="A47" s="236" t="s">
        <v>673</v>
      </c>
      <c r="B47" s="236">
        <f>($U47*('Cooling water'!CO46+AVERAGE(_xlfn.ANCHORARRAY(Sheet3!R46))) -New!HU46*V47*(New!DO46-W47)) - ('Cooling water'!CO46*'Cooling water'!B46)</f>
        <v>-6696.2941179558393</v>
      </c>
      <c r="C47" s="236" t="s">
        <v>669</v>
      </c>
      <c r="D47" s="236">
        <v>0</v>
      </c>
      <c r="F47" s="237" t="s">
        <v>674</v>
      </c>
      <c r="G47" s="237">
        <f>((($W47*New!LR46)/1000)) - (EXP(New!$LP$6-((New!$LQ$6)/(U47+New!$LP$8))))</f>
        <v>-0.59115681624151806</v>
      </c>
      <c r="H47" s="237" t="s">
        <v>669</v>
      </c>
      <c r="I47" s="237">
        <v>0</v>
      </c>
      <c r="K47" s="238" t="s">
        <v>675</v>
      </c>
      <c r="L47" s="238">
        <f>($X47*LN((1-W47)/(1-New!DO46))) - ((1-$W47) - (1-New!DO46))</f>
        <v>-0.28210248531085202</v>
      </c>
      <c r="M47" s="238" t="s">
        <v>669</v>
      </c>
      <c r="N47" s="238">
        <v>0</v>
      </c>
      <c r="P47" s="239" t="s">
        <v>676</v>
      </c>
      <c r="Q47" s="239">
        <f>($V47*New!BV46*New!LQ48/1000*$X47*New!B46) - (AVERAGE(_xlfn.ANCHORARRAY(Sheet3!R46))*New!$LP$3)</f>
        <v>-6728.880349607578</v>
      </c>
      <c r="R47" s="239" t="s">
        <v>669</v>
      </c>
      <c r="S47" s="239">
        <v>0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AD47" s="35">
        <f>AVERAGE(_xlfn.ANCHORARRAY(Sheet3!R46))</f>
        <v>373.51542323661272</v>
      </c>
      <c r="AK47" s="35">
        <f>Sheet3!$DA46/(New!BM46*0.108*0.302)/3600</f>
        <v>1.8952337688741343</v>
      </c>
      <c r="AL47" s="35">
        <f>Sheet3!$DA46/(New!BN46*0.108*0.302)/3600</f>
        <v>1.8928927627619871</v>
      </c>
      <c r="AM47" s="35">
        <f>Sheet3!$DA46/(New!BO46*0.108*0.302)/3600</f>
        <v>1.8757205978104667</v>
      </c>
      <c r="AN47" s="35">
        <f>Sheet3!$DA46/(New!BP46*0.108*0.302)/3600</f>
        <v>1.8568944628019735</v>
      </c>
      <c r="AO47" s="35">
        <f>Sheet3!$DA46/(New!BQ46*0.108*0.302)/3600</f>
        <v>1.8451814490655418</v>
      </c>
      <c r="AP47" s="35">
        <f>Sheet3!$DA46/(New!BR46*0.108*0.302)/3600</f>
        <v>1.8362348664406416</v>
      </c>
      <c r="AQ47" s="35">
        <f>Sheet3!$DA46/(New!BS46*0.108*0.302)/3600</f>
        <v>1.8220319609444604</v>
      </c>
      <c r="AR47" s="35">
        <f>Sheet3!$DA46/(New!BT46*0.108*0.302)/3600</f>
        <v>1.8060968034998377</v>
      </c>
      <c r="AS47" s="35">
        <f>Sheet3!$DA46/(New!BU46*0.108*0.302)/3600</f>
        <v>1.7942832356247811</v>
      </c>
    </row>
    <row r="48" spans="1:45" x14ac:dyDescent="0.3">
      <c r="A48" s="236" t="s">
        <v>673</v>
      </c>
      <c r="B48" s="236">
        <f>($U48*('Cooling water'!CO47+AVERAGE(_xlfn.ANCHORARRAY(Sheet3!R47))) -New!HU47*V48*(New!DO47-W48)) - ('Cooling water'!CO47*'Cooling water'!B47)</f>
        <v>-5800.9402832234646</v>
      </c>
      <c r="C48" s="236" t="s">
        <v>669</v>
      </c>
      <c r="D48" s="236">
        <v>0</v>
      </c>
      <c r="F48" s="237" t="s">
        <v>674</v>
      </c>
      <c r="G48" s="237">
        <f>((($W48*New!LR47)/1000)) - (EXP(New!$LP$6-((New!$LQ$6)/(U48+New!$LP$8))))</f>
        <v>-0.59115681624151806</v>
      </c>
      <c r="H48" s="237" t="s">
        <v>669</v>
      </c>
      <c r="I48" s="237">
        <v>0</v>
      </c>
      <c r="K48" s="238" t="s">
        <v>675</v>
      </c>
      <c r="L48" s="238">
        <f>($X48*LN((1-W48)/(1-New!DO47))) - ((1-$W48) - (1-New!DO47))</f>
        <v>-0.2854638329631024</v>
      </c>
      <c r="M48" s="238" t="s">
        <v>669</v>
      </c>
      <c r="N48" s="238">
        <v>0</v>
      </c>
      <c r="P48" s="239" t="s">
        <v>676</v>
      </c>
      <c r="Q48" s="239">
        <f>($V48*New!BV47*New!LQ49/1000*$X48*New!B47) - (AVERAGE(_xlfn.ANCHORARRAY(Sheet3!R47))*New!$LP$3)</f>
        <v>-5030.2869796178238</v>
      </c>
      <c r="R48" s="239" t="s">
        <v>669</v>
      </c>
      <c r="S48" s="239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AD48" s="35">
        <f>AVERAGE(_xlfn.ANCHORARRAY(Sheet3!R47))</f>
        <v>279.22769800820561</v>
      </c>
      <c r="AK48" s="35">
        <f>Sheet3!$DA47/(New!BM47*0.108*0.302)/3600</f>
        <v>2.2143989418534522</v>
      </c>
      <c r="AL48" s="35">
        <f>Sheet3!$DA47/(New!BN47*0.108*0.302)/3600</f>
        <v>2.2156276552291763</v>
      </c>
      <c r="AM48" s="35">
        <f>Sheet3!$DA47/(New!BO47*0.108*0.302)/3600</f>
        <v>2.1851626942639171</v>
      </c>
      <c r="AN48" s="35">
        <f>Sheet3!$DA47/(New!BP47*0.108*0.302)/3600</f>
        <v>2.1626156888094474</v>
      </c>
      <c r="AO48" s="35">
        <f>Sheet3!$DA47/(New!BQ47*0.108*0.302)/3600</f>
        <v>2.1317035328650609</v>
      </c>
      <c r="AP48" s="35">
        <f>Sheet3!$DA47/(New!BR47*0.108*0.302)/3600</f>
        <v>2.1170578472800079</v>
      </c>
      <c r="AQ48" s="35">
        <f>Sheet3!$DA47/(New!BS47*0.108*0.302)/3600</f>
        <v>2.0901586278785484</v>
      </c>
      <c r="AR48" s="35">
        <f>Sheet3!$DA47/(New!BT47*0.108*0.302)/3600</f>
        <v>1.997749326121218</v>
      </c>
      <c r="AS48" s="35">
        <f>Sheet3!$DA47/(New!BU47*0.108*0.302)/3600</f>
        <v>2.0466634374950585</v>
      </c>
    </row>
    <row r="49" spans="1:46" x14ac:dyDescent="0.3">
      <c r="A49" s="236" t="s">
        <v>673</v>
      </c>
      <c r="B49" s="236">
        <f>($U49*('Cooling water'!CO48+AVERAGE(_xlfn.ANCHORARRAY(Sheet3!R48))) -New!HU48*V49*(New!DO48-W49)) - ('Cooling water'!CO48*'Cooling water'!B48)</f>
        <v>-62950.877555840598</v>
      </c>
      <c r="C49" s="236" t="s">
        <v>669</v>
      </c>
      <c r="D49" s="236">
        <v>0</v>
      </c>
      <c r="F49" s="237" t="s">
        <v>674</v>
      </c>
      <c r="G49" s="237">
        <f>((($W49*New!LR48)/1000)) - (EXP(New!$LP$6-((New!$LQ$6)/(U49+New!$LP$8))))</f>
        <v>-0.59115681624151806</v>
      </c>
      <c r="H49" s="237" t="s">
        <v>669</v>
      </c>
      <c r="I49" s="237">
        <v>0</v>
      </c>
      <c r="K49" s="238" t="s">
        <v>675</v>
      </c>
      <c r="L49" s="238">
        <f>($X49*LN((1-W49)/(1-New!DO48))) - ((1-$W49) - (1-New!DO48))</f>
        <v>-0.2854638329631024</v>
      </c>
      <c r="M49" s="238" t="s">
        <v>669</v>
      </c>
      <c r="N49" s="238">
        <v>0</v>
      </c>
      <c r="P49" s="239" t="s">
        <v>676</v>
      </c>
      <c r="Q49" s="239">
        <f>($V49*New!BV48*New!LQ50/1000*$X49*New!B48) - (AVERAGE(_xlfn.ANCHORARRAY(Sheet3!R48))*New!$LP$3)</f>
        <v>-4201.4707572931384</v>
      </c>
      <c r="R49" s="239" t="s">
        <v>669</v>
      </c>
      <c r="S49" s="239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AD49" s="35">
        <f>AVERAGE(_xlfn.ANCHORARRAY(Sheet3!R48))</f>
        <v>233.22069149559468</v>
      </c>
      <c r="AK49" s="35">
        <f>Sheet3!$DA48/(New!BM48*0.108*0.302)/3600</f>
        <v>2.2143989418534522</v>
      </c>
      <c r="AL49" s="35">
        <f>Sheet3!$DA48/(New!BN48*0.108*0.302)/3600</f>
        <v>2.2094255350090597</v>
      </c>
      <c r="AM49" s="35">
        <f>Sheet3!$DA48/(New!BO48*0.108*0.302)/3600</f>
        <v>2.1833931600119016</v>
      </c>
      <c r="AN49" s="35">
        <f>Sheet3!$DA48/(New!BP48*0.108*0.302)/3600</f>
        <v>2.1638961162242984</v>
      </c>
      <c r="AO49" s="35">
        <f>Sheet3!$DA48/(New!BQ48*0.108*0.302)/3600</f>
        <v>2.1380742303704374</v>
      </c>
      <c r="AP49" s="35">
        <f>Sheet3!$DA48/(New!BR48*0.108*0.302)/3600</f>
        <v>2.12616444395058</v>
      </c>
      <c r="AQ49" s="35">
        <f>Sheet3!$DA48/(New!BS48*0.108*0.302)/3600</f>
        <v>2.1069101641780841</v>
      </c>
      <c r="AR49" s="35">
        <f>Sheet3!$DA48/(New!BT48*0.108*0.302)/3600</f>
        <v>2.0875847803795673</v>
      </c>
      <c r="AS49" s="35">
        <f>Sheet3!$DA48/(New!BU48*0.108*0.302)/3600</f>
        <v>2.0697814736081726</v>
      </c>
    </row>
    <row r="50" spans="1:46" x14ac:dyDescent="0.3">
      <c r="A50" s="236" t="s">
        <v>673</v>
      </c>
      <c r="B50" s="236">
        <f>($U50*('Cooling water'!CO49+AVERAGE(_xlfn.ANCHORARRAY(Sheet3!R49))) -New!HU49*V50*(New!DO49-W50)) - ('Cooling water'!CO49*'Cooling water'!B49)</f>
        <v>-15922.190844734661</v>
      </c>
      <c r="C50" s="236" t="s">
        <v>669</v>
      </c>
      <c r="D50" s="236">
        <v>0</v>
      </c>
      <c r="F50" s="237" t="s">
        <v>674</v>
      </c>
      <c r="G50" s="237">
        <f>((($W50*New!LR49)/1000)) - (EXP(New!$LP$6-((New!$LQ$6)/(U50+New!$LP$8))))</f>
        <v>-0.59115681624151806</v>
      </c>
      <c r="H50" s="237" t="s">
        <v>669</v>
      </c>
      <c r="I50" s="237">
        <v>0</v>
      </c>
      <c r="K50" s="238" t="s">
        <v>675</v>
      </c>
      <c r="L50" s="238">
        <f>($X50*LN((1-W50)/(1-New!DO49))) - ((1-$W50) - (1-New!DO49))</f>
        <v>-0.28551870478691521</v>
      </c>
      <c r="M50" s="238" t="s">
        <v>669</v>
      </c>
      <c r="N50" s="238">
        <v>0</v>
      </c>
      <c r="P50" s="239" t="s">
        <v>676</v>
      </c>
      <c r="Q50" s="239">
        <f>($V50*New!BV49*New!LQ51/1000*$X50*New!B49) - (AVERAGE(_xlfn.ANCHORARRAY(Sheet3!R49))*New!$LP$3)</f>
        <v>-3705.0463256611761</v>
      </c>
      <c r="R50" s="239" t="s">
        <v>669</v>
      </c>
      <c r="S50" s="239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AD50" s="35">
        <f>AVERAGE(_xlfn.ANCHORARRAY(Sheet3!R49))</f>
        <v>205.66451988127537</v>
      </c>
      <c r="AK50" s="35">
        <f>Sheet3!$DA49/(New!BM49*0.108*0.302)/3600</f>
        <v>2.4987357793757745</v>
      </c>
      <c r="AL50" s="35">
        <f>Sheet3!$DA49/(New!BN49*0.108*0.302)/3600</f>
        <v>2.4924716408370791</v>
      </c>
      <c r="AM50" s="35">
        <f>Sheet3!$DA49/(New!BO49*0.108*0.302)/3600</f>
        <v>2.4481049373745654</v>
      </c>
      <c r="AN50" s="35">
        <f>Sheet3!$DA49/(New!BP49*0.108*0.302)/3600</f>
        <v>2.4144412095841936</v>
      </c>
      <c r="AO50" s="35">
        <f>Sheet3!$DA49/(New!BQ49*0.108*0.302)/3600</f>
        <v>2.3659548738314697</v>
      </c>
      <c r="AP50" s="35">
        <f>Sheet3!$DA49/(New!BR49*0.108*0.302)/3600</f>
        <v>2.3495469425068389</v>
      </c>
      <c r="AQ50" s="35">
        <f>Sheet3!$DA49/(New!BS49*0.108*0.302)/3600</f>
        <v>2.3119389277899689</v>
      </c>
      <c r="AR50" s="35">
        <f>Sheet3!$DA49/(New!BT49*0.108*0.302)/3600</f>
        <v>2.2836261453261062</v>
      </c>
      <c r="AS50" s="35">
        <f>Sheet3!$DA49/(New!BU49*0.108*0.302)/3600</f>
        <v>2.2472017006153</v>
      </c>
    </row>
    <row r="51" spans="1:46" x14ac:dyDescent="0.3">
      <c r="A51" s="236" t="s">
        <v>673</v>
      </c>
      <c r="B51" s="236">
        <f>($U51*('Cooling water'!CO50+AVERAGE(_xlfn.ANCHORARRAY(Sheet3!R50))) -New!HU50*V51*(New!DO50-W51)) - ('Cooling water'!CO50*'Cooling water'!B50)</f>
        <v>-74356.670713125117</v>
      </c>
      <c r="C51" s="236" t="s">
        <v>669</v>
      </c>
      <c r="D51" s="236">
        <v>0</v>
      </c>
      <c r="F51" s="237" t="s">
        <v>674</v>
      </c>
      <c r="G51" s="237">
        <f>((($W51*New!LR50)/1000)) - (EXP(New!$LP$6-((New!$LQ$6)/(U51+New!$LP$8))))</f>
        <v>-0.59115681624151806</v>
      </c>
      <c r="H51" s="237" t="s">
        <v>669</v>
      </c>
      <c r="I51" s="237">
        <v>0</v>
      </c>
      <c r="K51" s="238" t="s">
        <v>675</v>
      </c>
      <c r="L51" s="238">
        <f>($X51*LN((1-W51)/(1-New!DO50))) - ((1-$W51) - (1-New!DO50))</f>
        <v>-0.28551870478691521</v>
      </c>
      <c r="M51" s="238" t="s">
        <v>669</v>
      </c>
      <c r="N51" s="238">
        <v>0</v>
      </c>
      <c r="P51" s="239" t="s">
        <v>676</v>
      </c>
      <c r="Q51" s="239">
        <f>($V51*New!BV50*New!LQ52/1000*$X51*New!B50) - (AVERAGE(_xlfn.ANCHORARRAY(Sheet3!R50))*New!$LP$3)</f>
        <v>-3053.9945795370854</v>
      </c>
      <c r="R51" s="239" t="s">
        <v>669</v>
      </c>
      <c r="S51" s="239">
        <v>0</v>
      </c>
      <c r="U51" s="35">
        <v>0</v>
      </c>
      <c r="V51" s="35">
        <v>0</v>
      </c>
      <c r="W51" s="35">
        <v>0</v>
      </c>
      <c r="X51" s="35">
        <v>0</v>
      </c>
      <c r="Y51" s="35">
        <v>0</v>
      </c>
      <c r="AD51" s="35">
        <f>AVERAGE(_xlfn.ANCHORARRAY(Sheet3!R50))</f>
        <v>169.52509461765669</v>
      </c>
      <c r="AK51" s="35">
        <f>Sheet3!$DA50/(New!BM50*0.108*0.302)/3600</f>
        <v>2.4987357793757745</v>
      </c>
      <c r="AL51" s="35">
        <f>Sheet3!$DA50/(New!BN50*0.108*0.302)/3600</f>
        <v>2.4876802469779529</v>
      </c>
      <c r="AM51" s="35">
        <f>Sheet3!$DA50/(New!BO50*0.108*0.302)/3600</f>
        <v>2.4480732877797844</v>
      </c>
      <c r="AN51" s="35">
        <f>Sheet3!$DA50/(New!BP50*0.108*0.302)/3600</f>
        <v>2.4182864514534623</v>
      </c>
      <c r="AO51" s="35">
        <f>Sheet3!$DA50/(New!BQ50*0.108*0.302)/3600</f>
        <v>2.3793922174670525</v>
      </c>
      <c r="AP51" s="35">
        <f>Sheet3!$DA50/(New!BR50*0.108*0.302)/3600</f>
        <v>2.3624398087772418</v>
      </c>
      <c r="AQ51" s="35">
        <f>Sheet3!$DA50/(New!BS50*0.108*0.302)/3600</f>
        <v>2.3286428835447355</v>
      </c>
      <c r="AR51" s="35">
        <f>Sheet3!$DA50/(New!BT50*0.108*0.302)/3600</f>
        <v>2.3084204583626753</v>
      </c>
      <c r="AS51" s="35">
        <f>Sheet3!$DA50/(New!BU50*0.108*0.302)/3600</f>
        <v>2.2804744007026585</v>
      </c>
    </row>
    <row r="52" spans="1:46" x14ac:dyDescent="0.3">
      <c r="A52" s="236" t="s">
        <v>673</v>
      </c>
      <c r="B52" s="236">
        <f>($U52*('Cooling water'!CO51+AVERAGE(_xlfn.ANCHORARRAY(Sheet3!R51))) -New!HU51*V52*(New!DO51-W52)) - ('Cooling water'!CO51*'Cooling water'!B51)</f>
        <v>-3908.6938542510215</v>
      </c>
      <c r="C52" s="236" t="s">
        <v>669</v>
      </c>
      <c r="D52" s="236">
        <v>0</v>
      </c>
      <c r="F52" s="237" t="s">
        <v>674</v>
      </c>
      <c r="G52" s="237">
        <f>((($W52*New!LR51)/1000)) - (EXP(New!$LP$6-((New!$LQ$6)/(U52+New!$LP$8))))</f>
        <v>-0.59115681624151806</v>
      </c>
      <c r="H52" s="237" t="s">
        <v>669</v>
      </c>
      <c r="I52" s="237">
        <v>0</v>
      </c>
      <c r="K52" s="238" t="s">
        <v>675</v>
      </c>
      <c r="L52" s="238">
        <f>($X52*LN((1-W52)/(1-New!DO51))) - ((1-$W52) - (1-New!DO51))</f>
        <v>-0.28407796147200193</v>
      </c>
      <c r="M52" s="238" t="s">
        <v>669</v>
      </c>
      <c r="N52" s="238">
        <v>0</v>
      </c>
      <c r="P52" s="239" t="s">
        <v>676</v>
      </c>
      <c r="Q52" s="239">
        <f>($V52*New!BV51*New!LQ53/1000*$X52*New!B51) - (AVERAGE(_xlfn.ANCHORARRAY(Sheet3!R51))*New!$LP$3)</f>
        <v>-7016.4865951728361</v>
      </c>
      <c r="R52" s="239" t="s">
        <v>669</v>
      </c>
      <c r="S52" s="239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AD52" s="35">
        <f>AVERAGE(_xlfn.ANCHORARRAY(Sheet3!R51))</f>
        <v>389.48024397295785</v>
      </c>
      <c r="AK52" s="35">
        <f>Sheet3!$DA51/(New!BM51*0.108*0.302)/3600</f>
        <v>1.9064965904547195</v>
      </c>
      <c r="AL52" s="35">
        <f>Sheet3!$DA51/(New!BN51*0.108*0.302)/3600</f>
        <v>1.8991033823349628</v>
      </c>
      <c r="AM52" s="35">
        <f>Sheet3!$DA51/(New!BO51*0.108*0.302)/3600</f>
        <v>1.8813495112694174</v>
      </c>
      <c r="AN52" s="35">
        <f>Sheet3!$DA51/(New!BP51*0.108*0.302)/3600</f>
        <v>1.8667407686454678</v>
      </c>
      <c r="AO52" s="35">
        <f>Sheet3!$DA51/(New!BQ51*0.108*0.302)/3600</f>
        <v>1.8557383075952476</v>
      </c>
      <c r="AP52" s="35">
        <f>Sheet3!$DA51/(New!BR51*0.108*0.302)/3600</f>
        <v>1.8419205172247479</v>
      </c>
      <c r="AQ52" s="35">
        <f>Sheet3!$DA51/(New!BS51*0.108*0.302)/3600</f>
        <v>1.8350273923652198</v>
      </c>
      <c r="AR52" s="35">
        <f>Sheet3!$DA51/(New!BT51*0.108*0.302)/3600</f>
        <v>1.8204126990652438</v>
      </c>
      <c r="AS52" s="35">
        <f>Sheet3!$DA51/(New!BU51*0.108*0.302)/3600</f>
        <v>1.8096882510467855</v>
      </c>
    </row>
    <row r="53" spans="1:46" x14ac:dyDescent="0.3">
      <c r="A53" s="236" t="s">
        <v>673</v>
      </c>
      <c r="B53" s="236">
        <f>($U53*('Cooling water'!CO52+AVERAGE(_xlfn.ANCHORARRAY(Sheet3!R52))) -New!HU52*V53*(New!DO52-W53)) - ('Cooling water'!CO52*'Cooling water'!B52)</f>
        <v>-3917.1254626394011</v>
      </c>
      <c r="C53" s="236" t="s">
        <v>669</v>
      </c>
      <c r="D53" s="236">
        <v>0</v>
      </c>
      <c r="F53" s="237" t="s">
        <v>674</v>
      </c>
      <c r="G53" s="237">
        <f>((($W53*New!LR52)/1000)) - (EXP(New!$LP$6-((New!$LQ$6)/(U53+New!$LP$8))))</f>
        <v>-0.59115681624151806</v>
      </c>
      <c r="H53" s="237" t="s">
        <v>669</v>
      </c>
      <c r="I53" s="237">
        <v>0</v>
      </c>
      <c r="K53" s="238" t="s">
        <v>675</v>
      </c>
      <c r="L53" s="238">
        <f>($X53*LN((1-W53)/(1-New!DO52))) - ((1-$W53) - (1-New!DO52))</f>
        <v>-0.28551870478691521</v>
      </c>
      <c r="M53" s="238" t="s">
        <v>669</v>
      </c>
      <c r="N53" s="238">
        <v>0</v>
      </c>
      <c r="P53" s="239" t="s">
        <v>676</v>
      </c>
      <c r="Q53" s="239">
        <f>($V53*New!BV52*New!LQ54/1000*$X53*New!B52) - (AVERAGE(_xlfn.ANCHORARRAY(Sheet3!R52))*New!$LP$3)</f>
        <v>-2288.0463978622943</v>
      </c>
      <c r="R53" s="239" t="s">
        <v>669</v>
      </c>
      <c r="S53" s="239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AD53" s="35">
        <f>AVERAGE(_xlfn.ANCHORARRAY(Sheet3!R52))</f>
        <v>127.00784889604741</v>
      </c>
      <c r="AK53" s="35">
        <f>Sheet3!$DA52/(New!BM52*0.108*0.302)/3600</f>
        <v>2.4987357793757745</v>
      </c>
      <c r="AL53" s="35">
        <f>Sheet3!$DA52/(New!BN52*0.108*0.302)/3600</f>
        <v>2.4916464374694933</v>
      </c>
      <c r="AM53" s="35">
        <f>Sheet3!$DA52/(New!BO52*0.108*0.302)/3600</f>
        <v>2.4557764030378872</v>
      </c>
      <c r="AN53" s="35">
        <f>Sheet3!$DA52/(New!BP52*0.108*0.302)/3600</f>
        <v>2.4204467603430198</v>
      </c>
      <c r="AO53" s="35">
        <f>Sheet3!$DA52/(New!BQ52*0.108*0.302)/3600</f>
        <v>2.3816568774330125</v>
      </c>
      <c r="AP53" s="35">
        <f>Sheet3!$DA52/(New!BR52*0.108*0.302)/3600</f>
        <v>2.353582382634468</v>
      </c>
      <c r="AQ53" s="35">
        <f>Sheet3!$DA52/(New!BS52*0.108*0.302)/3600</f>
        <v>2.3177393045177821</v>
      </c>
      <c r="AR53" s="35">
        <f>Sheet3!$DA52/(New!BT52*0.108*0.302)/3600</f>
        <v>2.3029055945151256</v>
      </c>
      <c r="AS53" s="35">
        <f>Sheet3!$DA52/(New!BU52*0.108*0.302)/3600</f>
        <v>2.2688300990540418</v>
      </c>
    </row>
    <row r="54" spans="1:46" x14ac:dyDescent="0.3">
      <c r="A54" s="236" t="s">
        <v>673</v>
      </c>
      <c r="B54" s="236">
        <f>($U54*('Cooling water'!CO53+AVERAGE(_xlfn.ANCHORARRAY(Sheet3!R53))) -New!HU53*V54*(New!DO53-W54)) - ('Cooling water'!CO53*'Cooling water'!B53)</f>
        <v>-3923.5731631716908</v>
      </c>
      <c r="C54" s="236" t="s">
        <v>669</v>
      </c>
      <c r="D54" s="236">
        <v>0</v>
      </c>
      <c r="F54" s="237" t="s">
        <v>674</v>
      </c>
      <c r="G54" s="237">
        <f>((($W54*New!LR53)/1000)) - (EXP(New!$LP$6-((New!$LQ$6)/(U54+New!$LP$8))))</f>
        <v>-0.59115681624151806</v>
      </c>
      <c r="H54" s="237" t="s">
        <v>669</v>
      </c>
      <c r="I54" s="237">
        <v>0</v>
      </c>
      <c r="K54" s="238" t="s">
        <v>675</v>
      </c>
      <c r="L54" s="238">
        <f>($X54*LN((1-W54)/(1-New!DO53))) - ((1-$W54) - (1-New!DO53))</f>
        <v>-0.28667590576123536</v>
      </c>
      <c r="M54" s="238" t="s">
        <v>669</v>
      </c>
      <c r="N54" s="238">
        <v>0</v>
      </c>
      <c r="P54" s="239" t="s">
        <v>676</v>
      </c>
      <c r="Q54" s="239">
        <f>($V54*New!BV53*New!LQ55/1000*$X54*New!B53) - (AVERAGE(_xlfn.ANCHORARRAY(Sheet3!R53))*New!$LP$3)</f>
        <v>-2893.5228254189828</v>
      </c>
      <c r="R54" s="239" t="s">
        <v>669</v>
      </c>
      <c r="S54" s="239">
        <v>0</v>
      </c>
      <c r="U54" s="35">
        <v>0</v>
      </c>
      <c r="V54" s="35">
        <v>0</v>
      </c>
      <c r="W54" s="35">
        <v>0</v>
      </c>
      <c r="X54" s="35">
        <v>0</v>
      </c>
      <c r="Y54" s="35">
        <v>0</v>
      </c>
      <c r="AD54" s="35">
        <f>AVERAGE(_xlfn.ANCHORARRAY(Sheet3!R53))</f>
        <v>160.61742022864183</v>
      </c>
      <c r="AK54" s="35">
        <f>Sheet3!$DA53/(New!BM53*0.108*0.302)/3600</f>
        <v>3.2339451499626137</v>
      </c>
      <c r="AL54" s="35">
        <f>Sheet3!$DA53/(New!BN53*0.108*0.302)/3600</f>
        <v>3.2307181422557747</v>
      </c>
      <c r="AM54" s="35">
        <f>Sheet3!$DA53/(New!BO53*0.108*0.302)/3600</f>
        <v>3.1544425156252611</v>
      </c>
      <c r="AN54" s="35">
        <f>Sheet3!$DA53/(New!BP53*0.108*0.302)/3600</f>
        <v>3.0978424987038569</v>
      </c>
      <c r="AO54" s="35">
        <f>Sheet3!$DA53/(New!BQ53*0.108*0.302)/3600</f>
        <v>3.0239063738141718</v>
      </c>
      <c r="AP54" s="35">
        <f>Sheet3!$DA53/(New!BR53*0.108*0.302)/3600</f>
        <v>2.9918273631641488</v>
      </c>
      <c r="AQ54" s="35">
        <f>Sheet3!$DA53/(New!BS53*0.108*0.302)/3600</f>
        <v>2.9344284506527094</v>
      </c>
      <c r="AR54" s="35">
        <f>Sheet3!$DA53/(New!BT53*0.108*0.302)/3600</f>
        <v>2.8916320376708033</v>
      </c>
      <c r="AS54" s="35">
        <f>Sheet3!$DA53/(New!BU53*0.108*0.302)/3600</f>
        <v>2.8334999095030242</v>
      </c>
    </row>
    <row r="55" spans="1:46" x14ac:dyDescent="0.3">
      <c r="A55" s="236" t="s">
        <v>673</v>
      </c>
      <c r="B55" s="236">
        <f>($U55*('Cooling water'!CO54+AVERAGE(_xlfn.ANCHORARRAY(Sheet3!R54))) -New!HU54*V55*(New!DO54-W55)) - ('Cooling water'!CO54*'Cooling water'!B54)</f>
        <v>-4360.5455227545108</v>
      </c>
      <c r="C55" s="236" t="s">
        <v>669</v>
      </c>
      <c r="D55" s="236">
        <v>0</v>
      </c>
      <c r="F55" s="237" t="s">
        <v>674</v>
      </c>
      <c r="G55" s="237">
        <f>((($W55*New!LR54)/1000)) - (EXP(New!$LP$6-((New!$LQ$6)/(U55+New!$LP$8))))</f>
        <v>-0.59115681624151806</v>
      </c>
      <c r="H55" s="237" t="s">
        <v>669</v>
      </c>
      <c r="I55" s="237">
        <v>0</v>
      </c>
      <c r="K55" s="238" t="s">
        <v>675</v>
      </c>
      <c r="L55" s="238">
        <f>($X55*LN((1-W55)/(1-New!DO54))) - ((1-$W55) - (1-New!DO54))</f>
        <v>-0.27805236441357195</v>
      </c>
      <c r="M55" s="238" t="s">
        <v>669</v>
      </c>
      <c r="N55" s="238">
        <v>0</v>
      </c>
      <c r="P55" s="239" t="s">
        <v>676</v>
      </c>
      <c r="Q55" s="239">
        <f>($V55*New!BV54*New!LQ56/1000*$X55*New!B54) - (AVERAGE(_xlfn.ANCHORARRAY(Sheet3!R54))*New!$LP$3)</f>
        <v>-3267.1841612417475</v>
      </c>
      <c r="R55" s="239" t="s">
        <v>669</v>
      </c>
      <c r="S55" s="239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AD55" s="35">
        <f>AVERAGE(_xlfn.ANCHORARRAY(Sheet3!R54))</f>
        <v>181.35909859793213</v>
      </c>
      <c r="AK55" s="35">
        <f>Sheet3!$DA54/(New!BM54*0.108*0.302)/3600</f>
        <v>1.1487094987854272</v>
      </c>
      <c r="AL55" s="35">
        <f>Sheet3!$DA54/(New!BN54*0.108*0.302)/3600</f>
        <v>1.1466588109115887</v>
      </c>
      <c r="AM55" s="35">
        <f>Sheet3!$DA54/(New!BO54*0.108*0.302)/3600</f>
        <v>1.137700977326491</v>
      </c>
      <c r="AN55" s="35">
        <f>Sheet3!$DA54/(New!BP54*0.108*0.302)/3600</f>
        <v>1.1287312597916239</v>
      </c>
      <c r="AO55" s="35">
        <f>Sheet3!$DA54/(New!BQ54*0.108*0.302)/3600</f>
        <v>1.1180978997461313</v>
      </c>
      <c r="AP55" s="35">
        <f>Sheet3!$DA54/(New!BR54*0.108*0.302)/3600</f>
        <v>1.1112273889525</v>
      </c>
      <c r="AQ55" s="35">
        <f>Sheet3!$DA54/(New!BS54*0.108*0.302)/3600</f>
        <v>1.10508484009474</v>
      </c>
      <c r="AR55" s="35">
        <f>Sheet3!$DA54/(New!BT54*0.108*0.302)/3600</f>
        <v>1.0983157972564248</v>
      </c>
      <c r="AS55" s="35">
        <f>Sheet3!$DA54/(New!BU54*0.108*0.302)/3600</f>
        <v>1.0877296678401578</v>
      </c>
    </row>
    <row r="56" spans="1:46" x14ac:dyDescent="0.3">
      <c r="A56" s="236" t="s">
        <v>673</v>
      </c>
      <c r="B56" s="236">
        <f>($U56*('Cooling water'!CO55+AVERAGE(_xlfn.ANCHORARRAY(Sheet3!R55))) -New!HU55*V56*(New!DO55-W56)) - ('Cooling water'!CO55*'Cooling water'!B55)</f>
        <v>-4324.0795869385856</v>
      </c>
      <c r="C56" s="236" t="s">
        <v>669</v>
      </c>
      <c r="D56" s="236">
        <v>0</v>
      </c>
      <c r="F56" s="237" t="s">
        <v>674</v>
      </c>
      <c r="G56" s="237">
        <f>((($W56*New!LR55)/1000)) - (EXP(New!$LP$6-((New!$LQ$6)/(U56+New!$LP$8))))</f>
        <v>-0.59115681624151806</v>
      </c>
      <c r="H56" s="237" t="s">
        <v>669</v>
      </c>
      <c r="I56" s="237">
        <v>0</v>
      </c>
      <c r="K56" s="238" t="s">
        <v>675</v>
      </c>
      <c r="L56" s="238">
        <f>($X56*LN((1-W56)/(1-New!DO55))) - ((1-$W56) - (1-New!DO55))</f>
        <v>-0.31135321100917435</v>
      </c>
      <c r="M56" s="238" t="s">
        <v>669</v>
      </c>
      <c r="N56" s="238">
        <v>0</v>
      </c>
      <c r="P56" s="239" t="s">
        <v>676</v>
      </c>
      <c r="Q56" s="239">
        <f>($V56*New!BV55*New!LQ57/1000*$X56*New!B55) - (AVERAGE(_xlfn.ANCHORARRAY(Sheet3!R55))*New!$LP$3)</f>
        <v>-3352.0752946677712</v>
      </c>
      <c r="R56" s="239" t="s">
        <v>669</v>
      </c>
      <c r="S56" s="239">
        <v>0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AD56" s="35">
        <f>AVERAGE(_xlfn.ANCHORARRAY(Sheet3!R55))</f>
        <v>186.07134580448354</v>
      </c>
      <c r="AK56" s="179">
        <f>Sheet3!$DA55/(New!BM55*0.108*0.302)/3600</f>
        <v>1.4060884441361816</v>
      </c>
      <c r="AL56" s="179">
        <f>Sheet3!$DA55/(New!BN55*0.108*0.302)/3600</f>
        <v>1.4023144875829778</v>
      </c>
      <c r="AM56" s="179">
        <f>Sheet3!$DA55/(New!BO55*0.108*0.302)/3600</f>
        <v>1.3754268652336039</v>
      </c>
      <c r="AN56" s="179">
        <f>Sheet3!$DA55/(New!BP55*0.108*0.302)/3600</f>
        <v>1.3547808638622807</v>
      </c>
      <c r="AO56" s="179">
        <f>Sheet3!$DA55/(New!BQ55*0.108*0.302)/3600</f>
        <v>1.3293044020005969</v>
      </c>
      <c r="AP56" s="179">
        <f>Sheet3!$DA55/(New!BR55*0.108*0.302)/3600</f>
        <v>1.3169318891905024</v>
      </c>
      <c r="AQ56" s="179">
        <f>Sheet3!$DA55/(New!BS55*0.108*0.302)/3600</f>
        <v>1.2948947149595085</v>
      </c>
      <c r="AR56" s="179">
        <f>Sheet3!$DA55/(New!BT55*0.108*0.302)/3600</f>
        <v>1.2808393124973934</v>
      </c>
      <c r="AS56" s="179">
        <f>Sheet3!$DA55/(New!BU55*0.108*0.302)/3600</f>
        <v>1.2597336294179502</v>
      </c>
      <c r="AT56" s="35">
        <f>AVERAGE(AL56:AS56)</f>
        <v>1.3267782705931017</v>
      </c>
    </row>
    <row r="57" spans="1:46" x14ac:dyDescent="0.3">
      <c r="A57" s="236" t="s">
        <v>673</v>
      </c>
      <c r="B57" s="236">
        <f>($U57*('Cooling water'!CO56+AVERAGE(_xlfn.ANCHORARRAY(Sheet3!R56))) -New!HU56*V57*(New!DO56-W57)) - ('Cooling water'!CO56*'Cooling water'!B56)</f>
        <v>-4284.8140167562597</v>
      </c>
      <c r="C57" s="236" t="s">
        <v>669</v>
      </c>
      <c r="D57" s="236">
        <v>0</v>
      </c>
      <c r="F57" s="237" t="s">
        <v>674</v>
      </c>
      <c r="G57" s="237">
        <f>((($W57*New!LR56)/1000)) - (EXP(New!$LP$6-((New!$LQ$6)/(U57+New!$LP$8))))</f>
        <v>-0.59115681624151806</v>
      </c>
      <c r="H57" s="237" t="s">
        <v>669</v>
      </c>
      <c r="I57" s="237">
        <v>0</v>
      </c>
      <c r="K57" s="238" t="s">
        <v>675</v>
      </c>
      <c r="L57" s="238">
        <f>($X57*LN((1-W57)/(1-New!DO56))) - ((1-$W57) - (1-New!DO56))</f>
        <v>-0.28839020309800389</v>
      </c>
      <c r="M57" s="238" t="s">
        <v>669</v>
      </c>
      <c r="N57" s="238">
        <v>0</v>
      </c>
      <c r="P57" s="239" t="s">
        <v>676</v>
      </c>
      <c r="Q57" s="239">
        <f>($V57*New!BV56*New!LH58/1000*$X57*New!B56) - (AVERAGE(_xlfn.ANCHORARRAY(Sheet3!R56))*New!$LP$3)</f>
        <v>-2441.5170079306818</v>
      </c>
      <c r="R57" s="239" t="s">
        <v>669</v>
      </c>
      <c r="S57" s="239">
        <v>0</v>
      </c>
      <c r="U57" s="35">
        <v>0</v>
      </c>
      <c r="V57" s="35">
        <v>0</v>
      </c>
      <c r="W57" s="35">
        <v>0</v>
      </c>
      <c r="X57" s="35">
        <v>0</v>
      </c>
      <c r="Y57" s="35">
        <v>0</v>
      </c>
      <c r="AD57" s="35">
        <f>AVERAGE(_xlfn.ANCHORARRAY(Sheet3!R56))</f>
        <v>135.52689469501425</v>
      </c>
      <c r="AK57" s="35">
        <f>Sheet3!$DA56/(New!BM56*0.108*0.302)/3600</f>
        <v>1.928832835002994</v>
      </c>
      <c r="AL57" s="35">
        <f>Sheet3!$DA56/(New!BN56*0.108*0.302)/3600</f>
        <v>1.9274913530437672</v>
      </c>
      <c r="AM57" s="35">
        <f>Sheet3!$DA56/(New!BO56*0.108*0.302)/3600</f>
        <v>1.8719551093719033</v>
      </c>
      <c r="AN57" s="35">
        <f>Sheet3!$DA56/(New!BP56*0.108*0.302)/3600</f>
        <v>1.8297658373632082</v>
      </c>
      <c r="AO57" s="35">
        <f>Sheet3!$DA56/(New!BQ56*0.108*0.302)/3600</f>
        <v>1.7813188971467329</v>
      </c>
      <c r="AP57" s="35">
        <f>Sheet3!$DA56/(New!BR56*0.108*0.302)/3600</f>
        <v>1.7588773476905848</v>
      </c>
      <c r="AQ57" s="35">
        <f>Sheet3!$DA56/(New!BS56*0.108*0.302)/3600</f>
        <v>1.7221274724748685</v>
      </c>
      <c r="AR57" s="35">
        <f>Sheet3!$DA56/(New!BT56*0.108*0.302)/3600</f>
        <v>1.6912564238813865</v>
      </c>
      <c r="AS57" s="35">
        <f>Sheet3!$DA56/(New!BU56*0.108*0.302)/3600</f>
        <v>1.6534043036105859</v>
      </c>
    </row>
    <row r="58" spans="1:46" x14ac:dyDescent="0.3">
      <c r="A58" s="236" t="s">
        <v>673</v>
      </c>
      <c r="B58" s="236">
        <f>($U58*('Cooling water'!CO57+AVERAGE(_xlfn.ANCHORARRAY(Sheet3!R57))) -New!HU57*V58*(New!DO57-W58)) - ('Cooling water'!CO57*'Cooling water'!B57)</f>
        <v>-3891.5074589381238</v>
      </c>
      <c r="C58" s="236" t="s">
        <v>669</v>
      </c>
      <c r="D58" s="236">
        <v>0</v>
      </c>
      <c r="F58" s="237" t="s">
        <v>674</v>
      </c>
      <c r="G58" s="237">
        <f>((($W58*New!LR57)/1000)) - (EXP(New!$LP$6-((New!$LQ$6)/(U58+New!$LP$8))))</f>
        <v>-0.59115681624151806</v>
      </c>
      <c r="H58" s="237" t="s">
        <v>669</v>
      </c>
      <c r="I58" s="237">
        <v>0</v>
      </c>
      <c r="K58" s="238" t="s">
        <v>675</v>
      </c>
      <c r="L58" s="238">
        <f>($X58*LN((1-W58)/(1-New!DO57))) - ((1-$W58) - (1-New!DO57))</f>
        <v>-0.28667590576123536</v>
      </c>
      <c r="M58" s="238" t="s">
        <v>669</v>
      </c>
      <c r="N58" s="238">
        <v>0</v>
      </c>
      <c r="P58" s="239" t="s">
        <v>676</v>
      </c>
      <c r="Q58" s="239">
        <f>($V58*New!BV57*New!LH59/1000*$X58*New!B57) - (AVERAGE(_xlfn.ANCHORARRAY(Sheet3!R57))*New!$LP$3)</f>
        <v>-10827.958424904145</v>
      </c>
      <c r="R58" s="239" t="s">
        <v>669</v>
      </c>
      <c r="S58" s="239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AD58" s="35">
        <f>AVERAGE(_xlfn.ANCHORARRAY(Sheet3!R57))</f>
        <v>601.05236885396312</v>
      </c>
      <c r="AK58" s="35">
        <f>Sheet3!$DA57/(New!BM57*0.108*0.302)/3600</f>
        <v>3.8753217194531073</v>
      </c>
      <c r="AL58" s="35">
        <f>Sheet3!$DA57/(New!BN57*0.108*0.302)/3600</f>
        <v>3.8620435764469745</v>
      </c>
      <c r="AM58" s="35">
        <f>Sheet3!$DA57/(New!BO57*0.108*0.302)/3600</f>
        <v>3.8439433129655338</v>
      </c>
      <c r="AN58" s="35">
        <f>Sheet3!$DA57/(New!BP57*0.108*0.302)/3600</f>
        <v>3.8280896295789106</v>
      </c>
      <c r="AO58" s="35">
        <f>Sheet3!$DA57/(New!BQ57*0.108*0.302)/3600</f>
        <v>3.8064757722518054</v>
      </c>
      <c r="AP58" s="35">
        <f>Sheet3!$DA57/(New!BR57*0.108*0.302)/3600</f>
        <v>3.7767490352580713</v>
      </c>
      <c r="AQ58" s="35">
        <f>Sheet3!$DA57/(New!BS57*0.108*0.302)/3600</f>
        <v>3.7740819789819797</v>
      </c>
      <c r="AR58" s="35">
        <f>Sheet3!$DA57/(New!BT57*0.108*0.302)/3600</f>
        <v>3.7570097597236738</v>
      </c>
      <c r="AS58" s="35">
        <f>Sheet3!$DA57/(New!BU57*0.108*0.302)/3600</f>
        <v>3.7353659287344669</v>
      </c>
    </row>
    <row r="59" spans="1:46" x14ac:dyDescent="0.3">
      <c r="A59" s="236" t="s">
        <v>673</v>
      </c>
      <c r="B59" s="236">
        <f>($U59*('Cooling water'!CO58+AVERAGE(_xlfn.ANCHORARRAY(Sheet3!R58))) -New!HU58*V59*(New!DO58-W59)) - ('Cooling water'!CO58*'Cooling water'!B58)</f>
        <v>-3594.7980487533609</v>
      </c>
      <c r="C59" s="236" t="s">
        <v>669</v>
      </c>
      <c r="D59" s="236">
        <v>0</v>
      </c>
      <c r="F59" s="237" t="s">
        <v>674</v>
      </c>
      <c r="G59" s="237">
        <f>((($W59*New!LI58)/1000)) - (EXP(New!$LP$6-((New!$LQ$6)/(U59+New!$LP$8))))</f>
        <v>-0.59115681624151806</v>
      </c>
      <c r="H59" s="237" t="s">
        <v>669</v>
      </c>
      <c r="I59" s="237">
        <v>0</v>
      </c>
      <c r="K59" s="238" t="s">
        <v>675</v>
      </c>
      <c r="L59" s="238">
        <f>($X59*LN((1-W59)/(1-New!DO58))) - ((1-$W59) - (1-New!DO58))</f>
        <v>-0.28667590576123536</v>
      </c>
      <c r="M59" s="238" t="s">
        <v>669</v>
      </c>
      <c r="N59" s="238">
        <v>0</v>
      </c>
      <c r="P59" s="239" t="s">
        <v>676</v>
      </c>
      <c r="Q59" s="239">
        <f>($V59*New!BV58*New!LH60/1000*$X59*New!B58) - (AVERAGE(_xlfn.ANCHORARRAY(Sheet3!R58))*New!$LP$3)</f>
        <v>-5553.2366193373373</v>
      </c>
      <c r="R59" s="239" t="s">
        <v>669</v>
      </c>
      <c r="S59" s="239">
        <v>0</v>
      </c>
      <c r="U59" s="35">
        <v>0</v>
      </c>
      <c r="V59" s="35">
        <v>0</v>
      </c>
      <c r="W59" s="35">
        <v>0</v>
      </c>
      <c r="X59" s="35">
        <v>0</v>
      </c>
      <c r="Y59" s="35">
        <v>0</v>
      </c>
      <c r="AD59" s="35">
        <f>AVERAGE(_xlfn.ANCHORARRAY(Sheet3!R58))</f>
        <v>308.25626529765958</v>
      </c>
      <c r="AK59" s="35">
        <f>Sheet3!$DA58/(New!BM58*0.108*0.302)/3600</f>
        <v>5.0904191021587266</v>
      </c>
      <c r="AL59" s="35">
        <f>Sheet3!$DA58/(New!BN58*0.108*0.302)/3600</f>
        <v>5.0791036712428914</v>
      </c>
      <c r="AM59" s="35">
        <f>Sheet3!$DA58/(New!BO58*0.108*0.302)/3600</f>
        <v>5.0238745360732535</v>
      </c>
      <c r="AN59" s="35">
        <f>Sheet3!$DA58/(New!BP58*0.108*0.302)/3600</f>
        <v>4.9709764170400215</v>
      </c>
      <c r="AO59" s="35">
        <f>Sheet3!$DA58/(New!BQ58*0.108*0.302)/3600</f>
        <v>4.9078609262323436</v>
      </c>
      <c r="AP59" s="35">
        <f>Sheet3!$DA58/(New!BR58*0.108*0.302)/3600</f>
        <v>4.8701782123662953</v>
      </c>
      <c r="AQ59" s="35">
        <f>Sheet3!$DA58/(New!BS58*0.108*0.302)/3600</f>
        <v>4.8233292138350921</v>
      </c>
      <c r="AR59" s="35">
        <f>Sheet3!$DA58/(New!BT58*0.108*0.302)/3600</f>
        <v>4.7784130261019859</v>
      </c>
      <c r="AS59" s="35">
        <f>Sheet3!$DA58/(New!BU58*0.108*0.302)/3600</f>
        <v>4.7333480326651571</v>
      </c>
    </row>
    <row r="60" spans="1:46" x14ac:dyDescent="0.3">
      <c r="A60" s="236" t="s">
        <v>673</v>
      </c>
      <c r="B60" s="236">
        <f>($U60*('Cooling water'!CO59+AVERAGE(_xlfn.ANCHORARRAY(Sheet3!R59))) -New!HU59*V60*(New!DO59-W60)) - ('Cooling water'!CO59*'Cooling water'!B59)</f>
        <v>-8771.0132801815435</v>
      </c>
      <c r="C60" s="236" t="s">
        <v>669</v>
      </c>
      <c r="D60" s="236">
        <v>0</v>
      </c>
      <c r="F60" s="237" t="s">
        <v>674</v>
      </c>
      <c r="G60" s="237">
        <f>((($W60*New!LI59)/1000)) - (EXP(New!$LP$6-((New!$LQ$6)/(U60+New!$LP$8))))</f>
        <v>-0.59115681624151806</v>
      </c>
      <c r="H60" s="237" t="s">
        <v>669</v>
      </c>
      <c r="I60" s="237">
        <v>0</v>
      </c>
      <c r="K60" s="238" t="s">
        <v>675</v>
      </c>
      <c r="L60" s="238">
        <f>($X60*LN((1-W60)/(1-New!DO59))) - ((1-$W60) - (1-New!DO59))</f>
        <v>-0.28667590576123536</v>
      </c>
      <c r="M60" s="238" t="s">
        <v>669</v>
      </c>
      <c r="N60" s="238">
        <v>0</v>
      </c>
      <c r="P60" s="239" t="s">
        <v>676</v>
      </c>
      <c r="Q60" s="239">
        <f>($V60*New!BV59*New!LH61/1000*$X60*New!B59) - (AVERAGE(_xlfn.ANCHORARRAY(Sheet3!R59))*New!$LP$3)</f>
        <v>-4357.9148344190189</v>
      </c>
      <c r="R60" s="239" t="s">
        <v>669</v>
      </c>
      <c r="S60" s="239">
        <v>0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AD60" s="35">
        <f>AVERAGE(_xlfn.ANCHORARRAY(Sheet3!R59))</f>
        <v>241.90479236297634</v>
      </c>
      <c r="AK60" s="35">
        <f>Sheet3!$DA59/(New!BM59*0.108*0.302)/3600</f>
        <v>6.4678902999252275</v>
      </c>
      <c r="AL60" s="35">
        <f>Sheet3!$DA59/(New!BN59*0.108*0.302)/3600</f>
        <v>6.4675974445635056</v>
      </c>
      <c r="AM60" s="35">
        <f>Sheet3!$DA59/(New!BO59*0.108*0.302)/3600</f>
        <v>6.3696184145102945</v>
      </c>
      <c r="AN60" s="35">
        <f>Sheet3!$DA59/(New!BP59*0.108*0.302)/3600</f>
        <v>6.2792858576921562</v>
      </c>
      <c r="AO60" s="35">
        <f>Sheet3!$DA59/(New!BQ59*0.108*0.302)/3600</f>
        <v>6.1663426031545407</v>
      </c>
      <c r="AP60" s="35">
        <f>Sheet3!$DA59/(New!BR59*0.108*0.302)/3600</f>
        <v>6.0993495172649261</v>
      </c>
      <c r="AQ60" s="35">
        <f>Sheet3!$DA59/(New!BS59*0.108*0.302)/3600</f>
        <v>6.0184675397247887</v>
      </c>
      <c r="AR60" s="35">
        <f>Sheet3!$DA59/(New!BT59*0.108*0.302)/3600</f>
        <v>5.9531848609959486</v>
      </c>
      <c r="AS60" s="35">
        <f>Sheet3!$DA59/(New!BU59*0.108*0.302)/3600</f>
        <v>5.8738929460789802</v>
      </c>
    </row>
    <row r="61" spans="1:46" x14ac:dyDescent="0.3">
      <c r="A61" s="35" t="s">
        <v>673</v>
      </c>
      <c r="B61" s="35">
        <f>($U61*('Cooling water'!CO60+AVERAGE(_xlfn.ANCHORARRAY(Sheet3!R60))) -New!HU60*V61*(New!DO60-W61)) - ('Cooling water'!CO60*'Cooling water'!B60)</f>
        <v>-14183.378025769249</v>
      </c>
      <c r="C61" s="35" t="s">
        <v>669</v>
      </c>
      <c r="D61" s="35">
        <v>0</v>
      </c>
      <c r="F61" s="35" t="s">
        <v>674</v>
      </c>
      <c r="G61" s="35">
        <f>((($W61*New!LI60)/1000)) - (EXP(New!$LP$6-((New!$LQ$6)/(U61+New!$LP$8))))</f>
        <v>-0.59115681624151806</v>
      </c>
      <c r="H61" s="35" t="s">
        <v>669</v>
      </c>
      <c r="I61" s="35">
        <v>0</v>
      </c>
      <c r="K61" s="35" t="s">
        <v>675</v>
      </c>
      <c r="L61" s="35">
        <f>($X61*LN((1-W61)/(1-New!DO60))) - ((1-$W61) - (1-New!DO60))</f>
        <v>-0.28407796147200193</v>
      </c>
      <c r="M61" s="35" t="s">
        <v>669</v>
      </c>
      <c r="N61" s="35">
        <v>0</v>
      </c>
      <c r="P61" s="35" t="s">
        <v>676</v>
      </c>
      <c r="Q61" s="35">
        <f>($V61*New!BV60*New!LH62/1000*$X61*New!B60) - (AVERAGE(_xlfn.ANCHORARRAY(Sheet3!R60))*New!$LP$3)</f>
        <v>-6463.3674160037417</v>
      </c>
      <c r="R61" s="35" t="s">
        <v>669</v>
      </c>
      <c r="S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AD61" s="35">
        <f>AVERAGE(_xlfn.ANCHORARRAY(Sheet3!R60))</f>
        <v>358.7769867334855</v>
      </c>
      <c r="AK61" s="35">
        <f>Sheet3!$DA60/(New!BM60*0.108*0.302)/3600</f>
        <v>1.9064965904547195</v>
      </c>
      <c r="AL61" s="35">
        <f>Sheet3!$DA60/(New!BN60*0.108*0.302)/3600</f>
        <v>1.9030710327461704</v>
      </c>
      <c r="AM61" s="35">
        <f>Sheet3!$DA60/(New!BO60*0.108*0.302)/3600</f>
        <v>1.8808531016430472</v>
      </c>
      <c r="AN61" s="35">
        <f>Sheet3!$DA60/(New!BP60*0.108*0.302)/3600</f>
        <v>1.8491173005450214</v>
      </c>
      <c r="AO61" s="35">
        <f>Sheet3!$DA60/(New!BQ60*0.108*0.302)/3600</f>
        <v>1.8416670450905073</v>
      </c>
      <c r="AP61" s="35">
        <f>Sheet3!$DA60/(New!BR60*0.108*0.302)/3600</f>
        <v>1.8328250302135667</v>
      </c>
      <c r="AQ61" s="35">
        <f>Sheet3!$DA60/(New!BS60*0.108*0.302)/3600</f>
        <v>1.814804425623824</v>
      </c>
      <c r="AR61" s="35">
        <f>Sheet3!$DA60/(New!BT60*0.108*0.302)/3600</f>
        <v>1.7981365899471224</v>
      </c>
      <c r="AS61" s="35">
        <f>Sheet3!$DA60/(New!BU60*0.108*0.302)/3600</f>
        <v>1.7856749401168761</v>
      </c>
    </row>
    <row r="62" spans="1:46" x14ac:dyDescent="0.3">
      <c r="A62" s="236" t="s">
        <v>673</v>
      </c>
      <c r="B62" s="236">
        <f>($U62*('Cooling water'!CO61+AVERAGE(_xlfn.ANCHORARRAY(Sheet3!R61))) -New!HU61*V62*(New!DO61-W62)) - ('Cooling water'!CO61*'Cooling water'!B61)</f>
        <v>-15297.599946710076</v>
      </c>
      <c r="C62" s="236" t="s">
        <v>669</v>
      </c>
      <c r="D62" s="236">
        <v>0</v>
      </c>
      <c r="F62" s="237" t="s">
        <v>674</v>
      </c>
      <c r="G62" s="237">
        <f>((($W62*New!LI61)/1000)) - (EXP(New!$LP$6-((New!$LQ$6)/(U62+New!$LP$8))))</f>
        <v>-0.59115681624151806</v>
      </c>
      <c r="H62" s="237" t="s">
        <v>669</v>
      </c>
      <c r="I62" s="237">
        <v>0</v>
      </c>
      <c r="K62" s="238" t="s">
        <v>675</v>
      </c>
      <c r="L62" s="238">
        <f>($X62*LN((1-W62)/(1-New!DO61))) - ((1-$W62) - (1-New!DO61))</f>
        <v>-0.28551870478691521</v>
      </c>
      <c r="M62" s="238" t="s">
        <v>669</v>
      </c>
      <c r="N62" s="238">
        <v>0</v>
      </c>
      <c r="P62" s="239" t="s">
        <v>676</v>
      </c>
      <c r="Q62" s="239">
        <f>($V62*New!BV61*New!LH63/1000*$X62*New!B61) - (AVERAGE(_xlfn.ANCHORARRAY(Sheet3!R61))*New!$LP$3)</f>
        <v>-6093.4014333727619</v>
      </c>
      <c r="R62" s="239" t="s">
        <v>669</v>
      </c>
      <c r="S62" s="239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AD62" s="35">
        <f>AVERAGE(_xlfn.ANCHORARRAY(Sheet3!R61))</f>
        <v>338.24043482502145</v>
      </c>
      <c r="AK62" s="35">
        <f>Sheet3!$DA61/(New!BM61*0.108*0.302)/3600</f>
        <v>2.4987357793757745</v>
      </c>
      <c r="AL62" s="35">
        <f>Sheet3!$DA61/(New!BN61*0.108*0.302)/3600</f>
        <v>2.4913545886696014</v>
      </c>
      <c r="AM62" s="35">
        <f>Sheet3!$DA61/(New!BO61*0.108*0.302)/3600</f>
        <v>2.4439507102150677</v>
      </c>
      <c r="AN62" s="35">
        <f>Sheet3!$DA61/(New!BP61*0.108*0.302)/3600</f>
        <v>2.4084561122187433</v>
      </c>
      <c r="AO62" s="35">
        <f>Sheet3!$DA61/(New!BQ61*0.108*0.302)/3600</f>
        <v>2.3601036476207771</v>
      </c>
      <c r="AP62" s="35">
        <f>Sheet3!$DA61/(New!BR61*0.108*0.302)/3600</f>
        <v>2.3400916375337513</v>
      </c>
      <c r="AQ62" s="35">
        <f>Sheet3!$DA61/(New!BS61*0.108*0.302)/3600</f>
        <v>2.2988145831321489</v>
      </c>
      <c r="AR62" s="35">
        <f>Sheet3!$DA61/(New!BT61*0.108*0.302)/3600</f>
        <v>2.2745128221741955</v>
      </c>
      <c r="AS62" s="35">
        <f>Sheet3!$DA61/(New!BU61*0.108*0.302)/3600</f>
        <v>2.2368052781773486</v>
      </c>
    </row>
    <row r="63" spans="1:46" x14ac:dyDescent="0.3">
      <c r="A63" s="236" t="s">
        <v>673</v>
      </c>
      <c r="B63" s="236">
        <f>($U63*('Cooling water'!CO62+AVERAGE(_xlfn.ANCHORARRAY(Sheet3!R62))) -New!HU62*V63*(New!DO62-W63)) - ('Cooling water'!CO62*'Cooling water'!B62)</f>
        <v>-19294.19704130838</v>
      </c>
      <c r="C63" s="236" t="s">
        <v>669</v>
      </c>
      <c r="D63" s="236">
        <v>0</v>
      </c>
      <c r="F63" s="237" t="s">
        <v>674</v>
      </c>
      <c r="G63" s="237">
        <f>((($W63*New!LI62)/1000)) - (EXP(New!$LP$6-((New!$LQ$6)/(U63+New!$LP$8))))</f>
        <v>-0.59115681624151806</v>
      </c>
      <c r="H63" s="237" t="s">
        <v>669</v>
      </c>
      <c r="I63" s="237">
        <v>0</v>
      </c>
      <c r="K63" s="238" t="s">
        <v>675</v>
      </c>
      <c r="L63" s="238">
        <f>($X63*LN((1-W63)/(1-New!DO62))) - ((1-$W63) - (1-New!DO62))</f>
        <v>-0.28667590576123536</v>
      </c>
      <c r="M63" s="238" t="s">
        <v>669</v>
      </c>
      <c r="N63" s="238">
        <v>0</v>
      </c>
      <c r="P63" s="239" t="s">
        <v>676</v>
      </c>
      <c r="Q63" s="239">
        <f>($V63*New!BV62*New!LH64/1000*$X63*New!B62) - (AVERAGE(_xlfn.ANCHORARRAY(Sheet3!R62))*New!$LP$3)</f>
        <v>-3608.0418529628919</v>
      </c>
      <c r="R63" s="239" t="s">
        <v>669</v>
      </c>
      <c r="S63" s="239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AD63" s="35">
        <f>AVERAGE(_xlfn.ANCHORARRAY(Sheet3!R62))</f>
        <v>200.2798697176182</v>
      </c>
      <c r="AK63" s="35">
        <f>Sheet3!$DA62/(New!BM62*0.108*0.302)/3600</f>
        <v>3.2339451499626137</v>
      </c>
      <c r="AL63" s="35">
        <f>Sheet3!$DA62/(New!BN62*0.108*0.302)/3600</f>
        <v>3.2322946044134446</v>
      </c>
      <c r="AM63" s="35">
        <f>Sheet3!$DA62/(New!BO62*0.108*0.302)/3600</f>
        <v>3.1523163707519188</v>
      </c>
      <c r="AN63" s="35">
        <f>Sheet3!$DA62/(New!BP62*0.108*0.302)/3600</f>
        <v>3.0908880555213076</v>
      </c>
      <c r="AO63" s="35">
        <f>Sheet3!$DA62/(New!BQ62*0.108*0.302)/3600</f>
        <v>3.0121731862907346</v>
      </c>
      <c r="AP63" s="35">
        <f>Sheet3!$DA62/(New!BR62*0.108*0.302)/3600</f>
        <v>2.972299543494243</v>
      </c>
      <c r="AQ63" s="35">
        <f>Sheet3!$DA62/(New!BS62*0.108*0.302)/3600</f>
        <v>2.9161670444880543</v>
      </c>
      <c r="AR63" s="35">
        <f>Sheet3!$DA62/(New!BT62*0.108*0.302)/3600</f>
        <v>2.8646824047851811</v>
      </c>
      <c r="AS63" s="35">
        <f>Sheet3!$DA62/(New!BU62*0.108*0.302)/3600</f>
        <v>2.809832175675802</v>
      </c>
    </row>
    <row r="64" spans="1:46" x14ac:dyDescent="0.3">
      <c r="A64" s="236" t="s">
        <v>673</v>
      </c>
      <c r="B64" s="236">
        <f>($U64*('Cooling water'!CO63+AVERAGE(_xlfn.ANCHORARRAY(Sheet3!R63))) -New!HU63*V64*(New!DO63-W64)) - ('Cooling water'!CO63*'Cooling water'!B63)</f>
        <v>-3546.2998114826191</v>
      </c>
      <c r="C64" s="236" t="s">
        <v>669</v>
      </c>
      <c r="D64" s="236">
        <v>0</v>
      </c>
      <c r="F64" s="237" t="s">
        <v>674</v>
      </c>
      <c r="G64" s="237">
        <f>((($W64*New!LI63)/1000)) - (EXP(New!$LP$6-((New!$LQ$6)/(U64+New!$LP$8))))</f>
        <v>-0.59115681624151806</v>
      </c>
      <c r="H64" s="237" t="s">
        <v>669</v>
      </c>
      <c r="I64" s="237">
        <v>0</v>
      </c>
      <c r="K64" s="238" t="s">
        <v>675</v>
      </c>
      <c r="L64" s="238">
        <f>($X64*LN((1-W64)/(1-New!DO63))) - ((1-$W64) - (1-New!DO63))</f>
        <v>-0.27805236441357195</v>
      </c>
      <c r="M64" s="238" t="s">
        <v>669</v>
      </c>
      <c r="N64" s="238">
        <v>0</v>
      </c>
      <c r="P64" s="239" t="s">
        <v>676</v>
      </c>
      <c r="Q64" s="239">
        <f>($V64*New!BV63*New!LH65/1000*$X64*New!B63) - (AVERAGE(_xlfn.ANCHORARRAY(Sheet3!R63))*New!$LP$3)</f>
        <v>-5974.2653411669644</v>
      </c>
      <c r="R64" s="239" t="s">
        <v>669</v>
      </c>
      <c r="S64" s="239">
        <v>0</v>
      </c>
      <c r="U64" s="35">
        <v>0</v>
      </c>
      <c r="V64" s="35">
        <v>0</v>
      </c>
      <c r="W64" s="35">
        <v>0</v>
      </c>
      <c r="X64" s="35">
        <v>0</v>
      </c>
      <c r="Y64" s="35">
        <v>0</v>
      </c>
      <c r="AD64" s="35">
        <f>AVERAGE(_xlfn.ANCHORARRAY(Sheet3!R63))</f>
        <v>331.62727400316203</v>
      </c>
      <c r="AK64" s="35">
        <f>Sheet3!$DA63/(New!BM63*0.108*0.302)/3600</f>
        <v>1.1487094987854272</v>
      </c>
      <c r="AL64" s="35">
        <f>Sheet3!$DA63/(New!BN63*0.108*0.302)/3600</f>
        <v>1.1454318982193914</v>
      </c>
      <c r="AM64" s="35">
        <f>Sheet3!$DA63/(New!BO63*0.108*0.302)/3600</f>
        <v>1.1306684017356314</v>
      </c>
      <c r="AN64" s="35">
        <f>Sheet3!$DA63/(New!BP63*0.108*0.302)/3600</f>
        <v>1.1207429678616636</v>
      </c>
      <c r="AO64" s="35">
        <f>Sheet3!$DA63/(New!BQ63*0.108*0.302)/3600</f>
        <v>1.1061978666183121</v>
      </c>
      <c r="AP64" s="35">
        <f>Sheet3!$DA63/(New!BR63*0.108*0.302)/3600</f>
        <v>1.0989386910222665</v>
      </c>
      <c r="AQ64" s="35">
        <f>Sheet3!$DA63/(New!BS63*0.108*0.302)/3600</f>
        <v>1.0860158351852933</v>
      </c>
      <c r="AR64" s="35">
        <f>Sheet3!$DA63/(New!BT63*0.108*0.302)/3600</f>
        <v>1.0695122987203511</v>
      </c>
      <c r="AS64" s="35">
        <f>Sheet3!$DA63/(New!BU63*0.108*0.302)/3600</f>
        <v>1.0661330926871209</v>
      </c>
    </row>
    <row r="65" spans="1:45" x14ac:dyDescent="0.3">
      <c r="A65" s="236" t="s">
        <v>673</v>
      </c>
      <c r="B65" s="236">
        <f>($U65*('Cooling water'!CO64+AVERAGE(_xlfn.ANCHORARRAY(Sheet3!R64))) -New!HU64*V65*(New!DO64-W65)) - ('Cooling water'!CO64*'Cooling water'!B64)</f>
        <v>-9320.1203857563723</v>
      </c>
      <c r="C65" s="236" t="s">
        <v>669</v>
      </c>
      <c r="D65" s="236">
        <v>0</v>
      </c>
      <c r="F65" s="237" t="s">
        <v>674</v>
      </c>
      <c r="G65" s="237">
        <f>((($W65*New!LI64)/1000)) - (EXP(New!$LP$6-((New!$LQ$6)/(U65+New!$LP$8))))</f>
        <v>-0.59115681624151806</v>
      </c>
      <c r="H65" s="237" t="s">
        <v>669</v>
      </c>
      <c r="I65" s="237">
        <v>0</v>
      </c>
      <c r="K65" s="238" t="s">
        <v>675</v>
      </c>
      <c r="L65" s="238">
        <f>($X65*LN((1-W65)/(1-New!DO64))) - ((1-$W65) - (1-New!DO64))</f>
        <v>-0.28858194702023421</v>
      </c>
      <c r="M65" s="238" t="s">
        <v>669</v>
      </c>
      <c r="N65" s="238">
        <v>0</v>
      </c>
      <c r="P65" s="239" t="s">
        <v>676</v>
      </c>
      <c r="Q65" s="239">
        <f>($V65*New!BV64*New!LH66/1000*$X65*New!B64) - (AVERAGE(_xlfn.ANCHORARRAY(Sheet3!R64))*New!$LP$3)</f>
        <v>-3920.3752272062852</v>
      </c>
      <c r="R65" s="239" t="s">
        <v>669</v>
      </c>
      <c r="S65" s="239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AD65" s="35">
        <f>AVERAGE(_xlfn.ANCHORARRAY(Sheet3!R64))</f>
        <v>217.61727600367945</v>
      </c>
      <c r="AK65" s="35">
        <f>Sheet3!$DA64/(New!BM64*0.108*0.302)/3600</f>
        <v>1.5170392901049983</v>
      </c>
      <c r="AL65" s="35">
        <f>Sheet3!$DA64/(New!BN64*0.108*0.302)/3600</f>
        <v>1.5087327315510162</v>
      </c>
      <c r="AM65" s="35">
        <f>Sheet3!$DA64/(New!BO64*0.108*0.302)/3600</f>
        <v>1.4782792365876467</v>
      </c>
      <c r="AN65" s="35">
        <f>Sheet3!$DA64/(New!BP64*0.108*0.302)/3600</f>
        <v>1.4529482798034201</v>
      </c>
      <c r="AO65" s="35">
        <f>Sheet3!$DA64/(New!BQ64*0.108*0.302)/3600</f>
        <v>1.420689756172796</v>
      </c>
      <c r="AP65" s="35">
        <f>Sheet3!$DA64/(New!BR64*0.108*0.302)/3600</f>
        <v>1.403704124881793</v>
      </c>
      <c r="AQ65" s="35">
        <f>Sheet3!$DA64/(New!BS64*0.108*0.302)/3600</f>
        <v>1.3761274319007306</v>
      </c>
      <c r="AR65" s="35">
        <f>Sheet3!$DA64/(New!BT64*0.108*0.302)/3600</f>
        <v>1.3586760791908232</v>
      </c>
      <c r="AS65" s="35">
        <f>Sheet3!$DA64/(New!BU64*0.108*0.302)/3600</f>
        <v>1.3317587123420662</v>
      </c>
    </row>
    <row r="66" spans="1:45" x14ac:dyDescent="0.3">
      <c r="A66" s="236" t="s">
        <v>673</v>
      </c>
      <c r="B66" s="236">
        <f>($U66*('Cooling water'!CO65+AVERAGE(_xlfn.ANCHORARRAY(Sheet3!R65))) -New!HU65*V66*(New!DO65-W66)) - ('Cooling water'!CO65*'Cooling water'!B65)</f>
        <v>-9684.4379629991654</v>
      </c>
      <c r="C66" s="236" t="s">
        <v>669</v>
      </c>
      <c r="D66" s="236">
        <v>0</v>
      </c>
      <c r="F66" s="237" t="s">
        <v>674</v>
      </c>
      <c r="G66" s="237">
        <f>((($W66*New!LI65)/1000)) - (EXP(New!$LP$6-((New!$LQ$6)/(U66+New!$LP$8))))</f>
        <v>-0.59115681624151806</v>
      </c>
      <c r="H66" s="237" t="s">
        <v>669</v>
      </c>
      <c r="I66" s="237">
        <v>0</v>
      </c>
      <c r="K66" s="238" t="s">
        <v>675</v>
      </c>
      <c r="L66" s="238">
        <f>($X66*LN((1-W66)/(1-New!DO65))) - ((1-$W66) - (1-New!DO65))</f>
        <v>-0.28839020309800389</v>
      </c>
      <c r="M66" s="238" t="s">
        <v>669</v>
      </c>
      <c r="N66" s="238">
        <v>0</v>
      </c>
      <c r="P66" s="239" t="s">
        <v>676</v>
      </c>
      <c r="Q66" s="239">
        <f>($V66*New!BV65*New!LH67/1000*$X66*New!B65) - (AVERAGE(_xlfn.ANCHORARRAY(Sheet3!R65))*New!$LP$3)</f>
        <v>-3032.8994419789851</v>
      </c>
      <c r="R66" s="239" t="s">
        <v>669</v>
      </c>
      <c r="S66" s="239">
        <v>0</v>
      </c>
      <c r="U66" s="35">
        <v>0</v>
      </c>
      <c r="V66" s="35">
        <v>0</v>
      </c>
      <c r="W66" s="35">
        <v>0</v>
      </c>
      <c r="X66" s="35">
        <v>0</v>
      </c>
      <c r="Y66" s="35">
        <v>0</v>
      </c>
      <c r="AD66" s="35">
        <f>AVERAGE(_xlfn.ANCHORARRAY(Sheet3!R65))</f>
        <v>168.3541183446564</v>
      </c>
      <c r="AK66" s="35">
        <f>Sheet3!$DA65/(New!BM65*0.108*0.302)/3600</f>
        <v>1.928832835002994</v>
      </c>
      <c r="AL66" s="35">
        <f>Sheet3!$DA65/(New!BN65*0.108*0.302)/3600</f>
        <v>1.9263502562430097</v>
      </c>
      <c r="AM66" s="35">
        <f>Sheet3!$DA65/(New!BO65*0.108*0.302)/3600</f>
        <v>1.8675738780506483</v>
      </c>
      <c r="AN66" s="35">
        <f>Sheet3!$DA65/(New!BP65*0.108*0.302)/3600</f>
        <v>1.824210758881988</v>
      </c>
      <c r="AO66" s="35">
        <f>Sheet3!$DA65/(New!BQ65*0.108*0.302)/3600</f>
        <v>1.7696059099893886</v>
      </c>
      <c r="AP66" s="35">
        <f>Sheet3!$DA65/(New!BR65*0.108*0.302)/3600</f>
        <v>1.7431097835377485</v>
      </c>
      <c r="AQ66" s="35">
        <f>Sheet3!$DA65/(New!BS65*0.108*0.302)/3600</f>
        <v>1.7027195940210367</v>
      </c>
      <c r="AR66" s="35">
        <f>Sheet3!$DA65/(New!BT65*0.108*0.302)/3600</f>
        <v>1.6713320688244795</v>
      </c>
      <c r="AS66" s="35">
        <f>Sheet3!$DA65/(New!BU65*0.108*0.302)/3600</f>
        <v>1.6313053634347832</v>
      </c>
    </row>
    <row r="67" spans="1:45" x14ac:dyDescent="0.3">
      <c r="A67" s="236" t="s">
        <v>673</v>
      </c>
      <c r="B67" s="236">
        <f>($U67*('Cooling water'!CO66+AVERAGE(_xlfn.ANCHORARRAY(Sheet3!R66))) -New!HU66*V67*(New!DO66-W67)) - ('Cooling water'!CO66*'Cooling water'!B66)</f>
        <v>-30820.502102064554</v>
      </c>
      <c r="C67" s="236" t="s">
        <v>669</v>
      </c>
      <c r="D67" s="236">
        <v>0</v>
      </c>
      <c r="F67" s="237" t="s">
        <v>674</v>
      </c>
      <c r="G67" s="237">
        <f>((($W67*New!LI66)/1000)) - (EXP(New!$LP$6-((New!$LQ$6)/(U67+New!$LP$8))))</f>
        <v>-0.59115681624151806</v>
      </c>
      <c r="H67" s="237" t="s">
        <v>669</v>
      </c>
      <c r="I67" s="237">
        <v>0</v>
      </c>
      <c r="K67" s="238" t="s">
        <v>675</v>
      </c>
      <c r="L67" s="238">
        <f>($X67*LN((1-W67)/(1-New!DO66))) - ((1-$W67) - (1-New!DO66))</f>
        <v>-0.28667590576123536</v>
      </c>
      <c r="M67" s="238" t="s">
        <v>669</v>
      </c>
      <c r="N67" s="238">
        <v>0</v>
      </c>
      <c r="P67" s="239" t="s">
        <v>676</v>
      </c>
      <c r="Q67" s="239">
        <f>($V67*New!BV66*New!LH68/1000*$X67*New!B66) - (AVERAGE(_xlfn.ANCHORARRAY(Sheet3!R66))*New!$LP$3)</f>
        <v>-9786.0136039406261</v>
      </c>
      <c r="R67" s="239" t="s">
        <v>669</v>
      </c>
      <c r="S67" s="239">
        <v>0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AD67" s="35">
        <f>AVERAGE(_xlfn.ANCHORARRAY(Sheet3!R66))</f>
        <v>543.21474348823904</v>
      </c>
      <c r="AK67" s="35">
        <f>Sheet3!$DA66/(New!BM66*0.108*0.302)/3600</f>
        <v>3.8753217194531073</v>
      </c>
      <c r="AL67" s="35">
        <f>Sheet3!$DA66/(New!BN66*0.108*0.302)/3600</f>
        <v>3.8650347167224761</v>
      </c>
      <c r="AM67" s="35">
        <f>Sheet3!$DA66/(New!BO66*0.108*0.302)/3600</f>
        <v>3.8358310870544714</v>
      </c>
      <c r="AN67" s="35">
        <f>Sheet3!$DA66/(New!BP66*0.108*0.302)/3600</f>
        <v>3.8142991580160195</v>
      </c>
      <c r="AO67" s="35">
        <f>Sheet3!$DA66/(New!BQ66*0.108*0.302)/3600</f>
        <v>3.7832158431271217</v>
      </c>
      <c r="AP67" s="35">
        <f>Sheet3!$DA66/(New!BR66*0.108*0.302)/3600</f>
        <v>3.7647675519303934</v>
      </c>
      <c r="AQ67" s="35">
        <f>Sheet3!$DA66/(New!BS66*0.108*0.302)/3600</f>
        <v>3.7417784120945239</v>
      </c>
      <c r="AR67" s="35">
        <f>Sheet3!$DA66/(New!BT66*0.108*0.302)/3600</f>
        <v>3.6991191000323371</v>
      </c>
      <c r="AS67" s="35">
        <f>Sheet3!$DA66/(New!BU66*0.108*0.302)/3600</f>
        <v>3.6975402086098104</v>
      </c>
    </row>
    <row r="68" spans="1:45" x14ac:dyDescent="0.3">
      <c r="A68" s="236" t="s">
        <v>673</v>
      </c>
      <c r="B68" s="236">
        <f>($U68*('Cooling water'!CO67+AVERAGE(_xlfn.ANCHORARRAY(Sheet3!R67))) -New!HU67*V68*(New!DO67-W68)) - ('Cooling water'!CO67*'Cooling water'!B67)</f>
        <v>-28986.978412706791</v>
      </c>
      <c r="C68" s="236" t="s">
        <v>669</v>
      </c>
      <c r="D68" s="236">
        <v>0</v>
      </c>
      <c r="F68" s="237" t="s">
        <v>674</v>
      </c>
      <c r="G68" s="237">
        <f>((($W68*New!LI67)/1000)) - (EXP(New!$LP$6-((New!$LQ$6)/(U68+New!$LP$8))))</f>
        <v>-0.59115681624151806</v>
      </c>
      <c r="H68" s="237" t="s">
        <v>669</v>
      </c>
      <c r="I68" s="237">
        <v>0</v>
      </c>
      <c r="K68" s="238" t="s">
        <v>675</v>
      </c>
      <c r="L68" s="238">
        <f>($X68*LN((1-W68)/(1-New!DO67))) - ((1-$W68) - (1-New!DO67))</f>
        <v>-0.28667590576123536</v>
      </c>
      <c r="M68" s="238" t="s">
        <v>669</v>
      </c>
      <c r="N68" s="238">
        <v>0</v>
      </c>
      <c r="P68" s="239" t="s">
        <v>676</v>
      </c>
      <c r="Q68" s="239">
        <f>($V68*New!BV67*New!LH69/1000*$X68*New!B67) - (AVERAGE(_xlfn.ANCHORARRAY(Sheet3!R67))*New!$LP$3)</f>
        <v>-6575.7567904250718</v>
      </c>
      <c r="R68" s="239" t="s">
        <v>669</v>
      </c>
      <c r="S68" s="239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AD68" s="35">
        <f>AVERAGE(_xlfn.ANCHORARRAY(Sheet3!R67))</f>
        <v>365.01564198862457</v>
      </c>
      <c r="AK68" s="35">
        <f>Sheet3!$DA67/(New!BM67*0.108*0.302)/3600</f>
        <v>5.0904191021587266</v>
      </c>
      <c r="AL68" s="35">
        <f>Sheet3!$DA67/(New!BN67*0.108*0.302)/3600</f>
        <v>5.0722283965551478</v>
      </c>
      <c r="AM68" s="35">
        <f>Sheet3!$DA67/(New!BO67*0.108*0.302)/3600</f>
        <v>5.013852302287229</v>
      </c>
      <c r="AN68" s="35">
        <f>Sheet3!$DA67/(New!BP67*0.108*0.302)/3600</f>
        <v>4.9559584930086347</v>
      </c>
      <c r="AO68" s="35">
        <f>Sheet3!$DA67/(New!BQ67*0.108*0.302)/3600</f>
        <v>4.8832457679960326</v>
      </c>
      <c r="AP68" s="35">
        <f>Sheet3!$DA67/(New!BR67*0.108*0.302)/3600</f>
        <v>4.8328025391496521</v>
      </c>
      <c r="AQ68" s="35">
        <f>Sheet3!$DA67/(New!BS67*0.108*0.302)/3600</f>
        <v>4.7883685773365166</v>
      </c>
      <c r="AR68" s="35">
        <f>Sheet3!$DA67/(New!BT67*0.108*0.302)/3600</f>
        <v>4.7396897306669965</v>
      </c>
      <c r="AS68" s="35">
        <f>Sheet3!$DA67/(New!BU67*0.108*0.302)/3600</f>
        <v>4.692045926589242</v>
      </c>
    </row>
    <row r="69" spans="1:45" x14ac:dyDescent="0.3">
      <c r="A69" s="236" t="s">
        <v>673</v>
      </c>
      <c r="B69" s="236">
        <f>($U69*('Cooling water'!CO68+AVERAGE(_xlfn.ANCHORARRAY(Sheet3!R68))) -New!HU68*V69*(New!DO68-W69)) - ('Cooling water'!CO68*'Cooling water'!B68)</f>
        <v>-3488.9788150627755</v>
      </c>
      <c r="C69" s="236" t="s">
        <v>669</v>
      </c>
      <c r="D69" s="236">
        <v>0</v>
      </c>
      <c r="F69" s="237" t="s">
        <v>674</v>
      </c>
      <c r="G69" s="237">
        <f>((($W69*New!LI68)/1000)) - (EXP(New!$LP$6-((New!$LQ$6)/(U69+New!$LP$8))))</f>
        <v>-0.59115681624151806</v>
      </c>
      <c r="H69" s="237" t="s">
        <v>669</v>
      </c>
      <c r="I69" s="237">
        <v>0</v>
      </c>
      <c r="K69" s="238" t="s">
        <v>675</v>
      </c>
      <c r="L69" s="238">
        <f>($X69*LN((1-W69)/(1-New!DO68))) - ((1-$W69) - (1-New!DO68))</f>
        <v>-0.27805236441357195</v>
      </c>
      <c r="M69" s="238" t="s">
        <v>669</v>
      </c>
      <c r="N69" s="238">
        <v>0</v>
      </c>
      <c r="P69" s="239" t="s">
        <v>676</v>
      </c>
      <c r="Q69" s="239">
        <f>($V69*New!BV68*New!LH70/1000*$X69*New!B68) - (AVERAGE(_xlfn.ANCHORARRAY(Sheet3!R68))*New!$LP$3)</f>
        <v>-6736.646860231861</v>
      </c>
      <c r="R69" s="239" t="s">
        <v>669</v>
      </c>
      <c r="S69" s="239">
        <v>0</v>
      </c>
      <c r="U69" s="35">
        <v>0</v>
      </c>
      <c r="V69" s="35">
        <v>0</v>
      </c>
      <c r="W69" s="35">
        <v>0</v>
      </c>
      <c r="X69" s="35">
        <v>0</v>
      </c>
      <c r="Y69" s="35">
        <v>0</v>
      </c>
      <c r="AD69" s="35">
        <f>AVERAGE(_xlfn.ANCHORARRAY(Sheet3!R68))</f>
        <v>373.94653678778025</v>
      </c>
      <c r="AK69" s="35">
        <f>Sheet3!$DA68/(New!BM68*0.108*0.302)/3600</f>
        <v>1.1487094987854272</v>
      </c>
      <c r="AL69" s="35">
        <f>Sheet3!$DA68/(New!BN68*0.108*0.302)/3600</f>
        <v>1.1436846433738168</v>
      </c>
      <c r="AM69" s="35">
        <f>Sheet3!$DA68/(New!BO68*0.108*0.302)/3600</f>
        <v>1.1329214202493036</v>
      </c>
      <c r="AN69" s="35">
        <f>Sheet3!$DA68/(New!BP68*0.108*0.302)/3600</f>
        <v>1.1239214263898178</v>
      </c>
      <c r="AO69" s="35">
        <f>Sheet3!$DA68/(New!BQ68*0.108*0.302)/3600</f>
        <v>1.1104477834823805</v>
      </c>
      <c r="AP69" s="35">
        <f>Sheet3!$DA68/(New!BR68*0.108*0.302)/3600</f>
        <v>1.1018746426498209</v>
      </c>
      <c r="AQ69" s="35">
        <f>Sheet3!$DA68/(New!BS68*0.108*0.302)/3600</f>
        <v>1.0924475740543287</v>
      </c>
      <c r="AR69" s="35">
        <f>Sheet3!$DA68/(New!BT68*0.108*0.302)/3600</f>
        <v>1.0823184294726866</v>
      </c>
      <c r="AS69" s="35">
        <f>Sheet3!$DA68/(New!BU68*0.108*0.302)/3600</f>
        <v>1.0726044484594259</v>
      </c>
    </row>
    <row r="70" spans="1:45" x14ac:dyDescent="0.3">
      <c r="A70" s="236" t="s">
        <v>673</v>
      </c>
      <c r="B70" s="236">
        <f>($U70*('Cooling water'!CO69+AVERAGE(_xlfn.ANCHORARRAY(Sheet3!R69))) -New!HU69*V70*(New!DO69-W70)) - ('Cooling water'!CO69*'Cooling water'!B69)</f>
        <v>-3492.143328813067</v>
      </c>
      <c r="C70" s="236" t="s">
        <v>669</v>
      </c>
      <c r="D70" s="236">
        <v>0</v>
      </c>
      <c r="F70" s="237" t="s">
        <v>674</v>
      </c>
      <c r="G70" s="237">
        <f>((($W70*New!LI69)/1000)) - (EXP(New!$LP$6-((New!$LQ$6)/(U70+New!$LP$8))))</f>
        <v>-0.59115681624151806</v>
      </c>
      <c r="H70" s="237" t="s">
        <v>669</v>
      </c>
      <c r="I70" s="237">
        <v>0</v>
      </c>
      <c r="K70" s="238" t="s">
        <v>675</v>
      </c>
      <c r="L70" s="238">
        <f>($X70*LN((1-W70)/(1-New!DO69))) - ((1-$W70) - (1-New!DO69))</f>
        <v>-0.28858194702023421</v>
      </c>
      <c r="M70" s="238" t="s">
        <v>669</v>
      </c>
      <c r="N70" s="238">
        <v>0</v>
      </c>
      <c r="P70" s="239" t="s">
        <v>676</v>
      </c>
      <c r="Q70" s="239">
        <f>($V70*New!BV69*New!LH71/1000*$X70*New!B69) - (AVERAGE(_xlfn.ANCHORARRAY(Sheet3!R69))*New!$LP$3)</f>
        <v>-3843.8811996715381</v>
      </c>
      <c r="R70" s="239" t="s">
        <v>669</v>
      </c>
      <c r="S70" s="239">
        <v>0</v>
      </c>
      <c r="U70" s="35">
        <v>0</v>
      </c>
      <c r="V70" s="35">
        <v>0</v>
      </c>
      <c r="W70" s="35">
        <v>0</v>
      </c>
      <c r="X70" s="35">
        <v>0</v>
      </c>
      <c r="Y70" s="35">
        <v>0</v>
      </c>
      <c r="AD70" s="35">
        <f>AVERAGE(_xlfn.ANCHORARRAY(Sheet3!R69))</f>
        <v>213.37114624876702</v>
      </c>
      <c r="AK70" s="35">
        <f>Sheet3!$DA69/(New!BM69*0.108*0.302)/3600</f>
        <v>1.5170392901049983</v>
      </c>
      <c r="AL70" s="35">
        <f>Sheet3!$DA69/(New!BN69*0.108*0.302)/3600</f>
        <v>1.5123691521095628</v>
      </c>
      <c r="AM70" s="35">
        <f>Sheet3!$DA69/(New!BO69*0.108*0.302)/3600</f>
        <v>1.4786543388457878</v>
      </c>
      <c r="AN70" s="35">
        <f>Sheet3!$DA69/(New!BP69*0.108*0.302)/3600</f>
        <v>1.4546636297577531</v>
      </c>
      <c r="AO70" s="35">
        <f>Sheet3!$DA69/(New!BQ69*0.108*0.302)/3600</f>
        <v>1.4227119190754984</v>
      </c>
      <c r="AP70" s="35">
        <f>Sheet3!$DA69/(New!BR69*0.108*0.302)/3600</f>
        <v>1.4055725178909857</v>
      </c>
      <c r="AQ70" s="35">
        <f>Sheet3!$DA69/(New!BS69*0.108*0.302)/3600</f>
        <v>1.3795383968925401</v>
      </c>
      <c r="AR70" s="35">
        <f>Sheet3!$DA69/(New!BT69*0.108*0.302)/3600</f>
        <v>1.3613930253224125</v>
      </c>
      <c r="AS70" s="35">
        <f>Sheet3!$DA69/(New!BU69*0.108*0.302)/3600</f>
        <v>1.3357599061319829</v>
      </c>
    </row>
    <row r="71" spans="1:45" x14ac:dyDescent="0.3">
      <c r="A71" s="236" t="s">
        <v>673</v>
      </c>
      <c r="B71" s="236">
        <f>($U71*('Cooling water'!CO70+AVERAGE(_xlfn.ANCHORARRAY(Sheet3!R70))) -New!HU70*V71*(New!DO70-W71)) - ('Cooling water'!CO70*'Cooling water'!B70)</f>
        <v>-3544.9083542127337</v>
      </c>
      <c r="C71" s="236" t="s">
        <v>669</v>
      </c>
      <c r="D71" s="236">
        <v>0</v>
      </c>
      <c r="F71" s="237" t="s">
        <v>674</v>
      </c>
      <c r="G71" s="237">
        <f>((($W71*New!LI70)/1000)) - (EXP(New!$LP$6-((New!$LQ$6)/(U71+New!$LP$8))))</f>
        <v>-0.59115681624151806</v>
      </c>
      <c r="H71" s="237" t="s">
        <v>669</v>
      </c>
      <c r="I71" s="237">
        <v>0</v>
      </c>
      <c r="K71" s="238" t="s">
        <v>675</v>
      </c>
      <c r="L71" s="238">
        <f>($X71*LN((1-W71)/(1-New!DO70))) - ((1-$W71) - (1-New!DO70))</f>
        <v>-0.28839020309800389</v>
      </c>
      <c r="M71" s="238" t="s">
        <v>669</v>
      </c>
      <c r="N71" s="238">
        <v>0</v>
      </c>
      <c r="P71" s="239" t="s">
        <v>676</v>
      </c>
      <c r="Q71" s="239">
        <f>($V71*New!BV70*New!LH72/1000*$X71*New!B70) - (AVERAGE(_xlfn.ANCHORARRAY(Sheet3!R70))*New!$LP$3)</f>
        <v>-3123.0532642320227</v>
      </c>
      <c r="R71" s="239" t="s">
        <v>669</v>
      </c>
      <c r="S71" s="239">
        <v>0</v>
      </c>
      <c r="U71" s="35">
        <v>0</v>
      </c>
      <c r="V71" s="35">
        <v>0</v>
      </c>
      <c r="W71" s="35">
        <v>0</v>
      </c>
      <c r="X71" s="35">
        <v>0</v>
      </c>
      <c r="Y71" s="35">
        <v>0</v>
      </c>
      <c r="AD71" s="35">
        <f>AVERAGE(_xlfn.ANCHORARRAY(Sheet3!R70))</f>
        <v>173.3584937125741</v>
      </c>
      <c r="AK71" s="35">
        <f>Sheet3!$DA70/(New!BM70*0.108*0.302)/3600</f>
        <v>1.928832835002994</v>
      </c>
      <c r="AL71" s="35">
        <f>Sheet3!$DA70/(New!BN70*0.108*0.302)/3600</f>
        <v>1.9285348423935309</v>
      </c>
      <c r="AM71" s="35">
        <f>Sheet3!$DA70/(New!BO70*0.108*0.302)/3600</f>
        <v>1.8715472605443311</v>
      </c>
      <c r="AN71" s="35">
        <f>Sheet3!$DA70/(New!BP70*0.108*0.302)/3600</f>
        <v>1.8280552225872644</v>
      </c>
      <c r="AO71" s="35">
        <f>Sheet3!$DA70/(New!BQ70*0.108*0.302)/3600</f>
        <v>1.7750561976011221</v>
      </c>
      <c r="AP71" s="35">
        <f>Sheet3!$DA70/(New!BR70*0.108*0.302)/3600</f>
        <v>1.7478855283932972</v>
      </c>
      <c r="AQ71" s="35">
        <f>Sheet3!$DA70/(New!BS70*0.108*0.302)/3600</f>
        <v>1.7050891989370744</v>
      </c>
      <c r="AR71" s="35">
        <f>Sheet3!$DA70/(New!BT70*0.108*0.302)/3600</f>
        <v>1.6759546834394845</v>
      </c>
      <c r="AS71" s="35">
        <f>Sheet3!$DA70/(New!BU70*0.108*0.302)/3600</f>
        <v>1.633950108057604</v>
      </c>
    </row>
    <row r="72" spans="1:45" x14ac:dyDescent="0.3">
      <c r="A72" s="236" t="s">
        <v>673</v>
      </c>
      <c r="B72" s="236">
        <f>($U72*('Cooling water'!CO71+AVERAGE(_xlfn.ANCHORARRAY(Sheet3!R71))) -New!HU71*V72*(New!DO71-W72)) - ('Cooling water'!CO71*'Cooling water'!B71)</f>
        <v>-9775.9153548582744</v>
      </c>
      <c r="C72" s="236" t="s">
        <v>669</v>
      </c>
      <c r="D72" s="236">
        <v>0</v>
      </c>
      <c r="F72" s="237" t="s">
        <v>674</v>
      </c>
      <c r="G72" s="237">
        <f>((($W72*New!LI71)/1000)) - (EXP(New!$LP$6-((New!$LQ$6)/(U72+New!$LP$8))))</f>
        <v>-0.59115681624151806</v>
      </c>
      <c r="H72" s="237" t="s">
        <v>669</v>
      </c>
      <c r="I72" s="237">
        <v>0</v>
      </c>
      <c r="K72" s="238" t="s">
        <v>675</v>
      </c>
      <c r="L72" s="238">
        <f>($X72*LN((1-W72)/(1-New!DO71))) - ((1-$W72) - (1-New!DO71))</f>
        <v>-0.28407796147200193</v>
      </c>
      <c r="M72" s="238" t="s">
        <v>669</v>
      </c>
      <c r="N72" s="238">
        <v>0</v>
      </c>
      <c r="P72" s="239" t="s">
        <v>676</v>
      </c>
      <c r="Q72" s="239">
        <f>($V72*New!BV71*New!LH73/1000*$X72*New!B71) - (AVERAGE(_xlfn.ANCHORARRAY(Sheet3!R71))*New!$LP$3)</f>
        <v>-6095.2749815553716</v>
      </c>
      <c r="R72" s="239" t="s">
        <v>669</v>
      </c>
      <c r="S72" s="239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AD72" s="35">
        <f>AVERAGE(_xlfn.ANCHORARRAY(Sheet3!R71))</f>
        <v>338.34443416904645</v>
      </c>
      <c r="AK72" s="35">
        <f>Sheet3!$DA71/(New!BM71*0.108*0.302)/3600</f>
        <v>1.9064965904547195</v>
      </c>
      <c r="AL72" s="35">
        <f>Sheet3!$DA71/(New!BN71*0.108*0.302)/3600</f>
        <v>1.9053276406780073</v>
      </c>
      <c r="AM72" s="35">
        <f>Sheet3!$DA71/(New!BO71*0.108*0.302)/3600</f>
        <v>1.8851310743654237</v>
      </c>
      <c r="AN72" s="35">
        <f>Sheet3!$DA71/(New!BP71*0.108*0.302)/3600</f>
        <v>1.8652536426019113</v>
      </c>
      <c r="AO72" s="35">
        <f>Sheet3!$DA71/(New!BQ71*0.108*0.302)/3600</f>
        <v>1.8443851464807313</v>
      </c>
      <c r="AP72" s="35">
        <f>Sheet3!$DA71/(New!BR71*0.108*0.302)/3600</f>
        <v>1.8338758167362199</v>
      </c>
      <c r="AQ72" s="35">
        <f>Sheet3!$DA71/(New!BS71*0.108*0.302)/3600</f>
        <v>1.814768071567143</v>
      </c>
      <c r="AR72" s="35">
        <f>Sheet3!$DA71/(New!BT71*0.108*0.302)/3600</f>
        <v>1.8019376927614539</v>
      </c>
      <c r="AS72" s="35">
        <f>Sheet3!$DA71/(New!BU71*0.108*0.302)/3600</f>
        <v>1.7878314014455226</v>
      </c>
    </row>
    <row r="73" spans="1:45" x14ac:dyDescent="0.3">
      <c r="A73" s="236" t="s">
        <v>673</v>
      </c>
      <c r="B73" s="236">
        <f>($U73*('Cooling water'!CO72+AVERAGE(_xlfn.ANCHORARRAY(Sheet3!R72))) -New!HU72*V73*(New!DO72-W73)) - ('Cooling water'!CO72*'Cooling water'!B72)</f>
        <v>-11489.160972908294</v>
      </c>
      <c r="C73" s="236" t="s">
        <v>669</v>
      </c>
      <c r="D73" s="236">
        <v>0</v>
      </c>
      <c r="F73" s="237" t="s">
        <v>674</v>
      </c>
      <c r="G73" s="237">
        <f>((($W73*New!LI72)/1000)) - (EXP(New!$LP$6-((New!$LQ$6)/(U73+New!$LP$8))))</f>
        <v>-0.59115681624151806</v>
      </c>
      <c r="H73" s="237" t="s">
        <v>669</v>
      </c>
      <c r="I73" s="237">
        <v>0</v>
      </c>
      <c r="K73" s="238" t="s">
        <v>675</v>
      </c>
      <c r="L73" s="238">
        <f>($X73*LN((1-W73)/(1-New!DO72))) - ((1-$W73) - (1-New!DO72))</f>
        <v>-0.28551870478691521</v>
      </c>
      <c r="M73" s="238" t="s">
        <v>669</v>
      </c>
      <c r="N73" s="238">
        <v>0</v>
      </c>
      <c r="P73" s="239" t="s">
        <v>676</v>
      </c>
      <c r="Q73" s="239">
        <f>($V73*New!BV72*New!LH74/1000*$X73*New!B72) - (AVERAGE(_xlfn.ANCHORARRAY(Sheet3!R72))*New!$LP$3)</f>
        <v>-4059.550772109943</v>
      </c>
      <c r="R73" s="239" t="s">
        <v>669</v>
      </c>
      <c r="S73" s="239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AD73" s="35">
        <f>AVERAGE(_xlfn.ANCHORARRAY(Sheet3!R72))</f>
        <v>225.34281277324135</v>
      </c>
      <c r="AK73" s="35">
        <f>Sheet3!$DA72/(New!BM72*0.108*0.302)/3600</f>
        <v>2.4987357793757745</v>
      </c>
      <c r="AL73" s="35">
        <f>Sheet3!$DA72/(New!BN72*0.108*0.302)/3600</f>
        <v>2.4959351944126875</v>
      </c>
      <c r="AM73" s="35">
        <f>Sheet3!$DA72/(New!BO72*0.108*0.302)/3600</f>
        <v>2.4486635093666931</v>
      </c>
      <c r="AN73" s="35">
        <f>Sheet3!$DA72/(New!BP72*0.108*0.302)/3600</f>
        <v>2.414811987695491</v>
      </c>
      <c r="AO73" s="35">
        <f>Sheet3!$DA72/(New!BQ72*0.108*0.302)/3600</f>
        <v>2.3617165509501299</v>
      </c>
      <c r="AP73" s="35">
        <f>Sheet3!$DA72/(New!BR72*0.108*0.302)/3600</f>
        <v>2.3402969455157572</v>
      </c>
      <c r="AQ73" s="35">
        <f>Sheet3!$DA72/(New!BS72*0.108*0.302)/3600</f>
        <v>2.2993521179701508</v>
      </c>
      <c r="AR73" s="35">
        <f>Sheet3!$DA72/(New!BT72*0.108*0.302)/3600</f>
        <v>2.2727929999533942</v>
      </c>
      <c r="AS73" s="35">
        <f>Sheet3!$DA72/(New!BU72*0.108*0.302)/3600</f>
        <v>2.2367061294968171</v>
      </c>
    </row>
    <row r="74" spans="1:45" x14ac:dyDescent="0.3">
      <c r="A74" s="236" t="s">
        <v>673</v>
      </c>
      <c r="B74" s="236">
        <f>($U74*('Cooling water'!CO73+AVERAGE(_xlfn.ANCHORARRAY(Sheet3!R73))) -New!HU73*V74*(New!DO73-W74)) - ('Cooling water'!CO73*'Cooling water'!B73)</f>
        <v>-12592.596413812875</v>
      </c>
      <c r="C74" s="236" t="s">
        <v>669</v>
      </c>
      <c r="D74" s="236">
        <v>0</v>
      </c>
      <c r="F74" s="237" t="s">
        <v>674</v>
      </c>
      <c r="G74" s="237">
        <f>((($W74*New!LI73)/1000)) - (EXP(New!$LP$6-((New!$LQ$6)/(U74+New!$LP$8))))</f>
        <v>-0.59115681624151806</v>
      </c>
      <c r="H74" s="237" t="s">
        <v>669</v>
      </c>
      <c r="I74" s="237">
        <v>0</v>
      </c>
      <c r="K74" s="238" t="s">
        <v>675</v>
      </c>
      <c r="L74" s="238">
        <f>($X74*LN((1-W74)/(1-New!DO73))) - ((1-$W74) - (1-New!DO73))</f>
        <v>-0.28667590576123536</v>
      </c>
      <c r="M74" s="238" t="s">
        <v>669</v>
      </c>
      <c r="N74" s="238">
        <v>0</v>
      </c>
      <c r="P74" s="239" t="s">
        <v>676</v>
      </c>
      <c r="Q74" s="239">
        <f>($V74*New!BV73*New!LH75/1000*$X74*New!B73) - (AVERAGE(_xlfn.ANCHORARRAY(Sheet3!R73))*New!$LP$3)</f>
        <v>-3592.2954902466363</v>
      </c>
      <c r="R74" s="239" t="s">
        <v>669</v>
      </c>
      <c r="S74" s="239">
        <v>0</v>
      </c>
      <c r="U74" s="35">
        <v>0</v>
      </c>
      <c r="V74" s="35">
        <v>0</v>
      </c>
      <c r="W74" s="35">
        <v>0</v>
      </c>
      <c r="X74" s="35">
        <v>0</v>
      </c>
      <c r="Y74" s="35">
        <v>0</v>
      </c>
      <c r="AD74" s="35">
        <f>AVERAGE(_xlfn.ANCHORARRAY(Sheet3!R73))</f>
        <v>199.40580018021851</v>
      </c>
      <c r="AK74" s="35">
        <f>Sheet3!$DA73/(New!BM73*0.108*0.302)/3600</f>
        <v>3.2339451499626137</v>
      </c>
      <c r="AL74" s="35">
        <f>Sheet3!$DA73/(New!BN73*0.108*0.302)/3600</f>
        <v>3.2280158650852977</v>
      </c>
      <c r="AM74" s="35">
        <f>Sheet3!$DA73/(New!BO73*0.108*0.302)/3600</f>
        <v>3.1483247630047591</v>
      </c>
      <c r="AN74" s="35">
        <f>Sheet3!$DA73/(New!BP73*0.108*0.302)/3600</f>
        <v>3.094115300748614</v>
      </c>
      <c r="AO74" s="35">
        <f>Sheet3!$DA73/(New!BQ73*0.108*0.302)/3600</f>
        <v>3.0169441007248472</v>
      </c>
      <c r="AP74" s="35">
        <f>Sheet3!$DA73/(New!BR73*0.108*0.302)/3600</f>
        <v>2.9785754752444689</v>
      </c>
      <c r="AQ74" s="35">
        <f>Sheet3!$DA73/(New!BS73*0.108*0.302)/3600</f>
        <v>2.9223338811779569</v>
      </c>
      <c r="AR74" s="35">
        <f>Sheet3!$DA73/(New!BT73*0.108*0.302)/3600</f>
        <v>2.8738470558968676</v>
      </c>
      <c r="AS74" s="35">
        <f>Sheet3!$DA73/(New!BU73*0.108*0.302)/3600</f>
        <v>2.8168555228173764</v>
      </c>
    </row>
    <row r="75" spans="1:45" x14ac:dyDescent="0.3">
      <c r="A75" s="236" t="s">
        <v>673</v>
      </c>
      <c r="B75" s="236">
        <f>($U75*('Cooling water'!CO74+AVERAGE(_xlfn.ANCHORARRAY(Sheet3!R74))) -New!HU74*V75*(New!DO74-W75)) - ('Cooling water'!CO74*'Cooling water'!B74)</f>
        <v>-28005.364544390784</v>
      </c>
      <c r="C75" s="236" t="s">
        <v>669</v>
      </c>
      <c r="D75" s="236">
        <v>0</v>
      </c>
      <c r="F75" s="237" t="s">
        <v>674</v>
      </c>
      <c r="G75" s="237">
        <f>((($W75*New!LI74)/1000)) - (EXP(New!$LP$6-((New!$LQ$6)/(U75+New!$LP$8))))</f>
        <v>-0.59115681624151806</v>
      </c>
      <c r="H75" s="237" t="s">
        <v>669</v>
      </c>
      <c r="I75" s="237">
        <v>0</v>
      </c>
      <c r="K75" s="238" t="s">
        <v>675</v>
      </c>
      <c r="L75" s="238">
        <f>($X75*LN((1-W75)/(1-New!DO74))) - ((1-$W75) - (1-New!DO74))</f>
        <v>-0.28667590576123536</v>
      </c>
      <c r="M75" s="238" t="s">
        <v>669</v>
      </c>
      <c r="N75" s="238">
        <v>0</v>
      </c>
      <c r="P75" s="239" t="s">
        <v>676</v>
      </c>
      <c r="Q75" s="239">
        <f>($V75*New!BV74*New!LH76/1000*$X75*New!B74) - (AVERAGE(_xlfn.ANCHORARRAY(Sheet3!R74))*New!$LP$3)</f>
        <v>-5047.1323931305433</v>
      </c>
      <c r="R75" s="239" t="s">
        <v>669</v>
      </c>
      <c r="S75" s="239">
        <v>0</v>
      </c>
      <c r="U75" s="35">
        <v>0</v>
      </c>
      <c r="V75" s="35">
        <v>0</v>
      </c>
      <c r="W75" s="35">
        <v>0</v>
      </c>
      <c r="X75" s="35">
        <v>0</v>
      </c>
      <c r="Y75" s="35">
        <v>0</v>
      </c>
      <c r="AD75" s="35">
        <f>AVERAGE(_xlfn.ANCHORARRAY(Sheet3!R74))</f>
        <v>280.16277508357166</v>
      </c>
      <c r="AK75" s="35">
        <f>Sheet3!$DA74/(New!BM74*0.108*0.302)/3600</f>
        <v>6.4678902999252275</v>
      </c>
      <c r="AL75" s="35">
        <f>Sheet3!$DA74/(New!BN74*0.108*0.302)/3600</f>
        <v>6.453691595570124</v>
      </c>
      <c r="AM75" s="35">
        <f>Sheet3!$DA74/(New!BO74*0.108*0.302)/3600</f>
        <v>6.3535317195973926</v>
      </c>
      <c r="AN75" s="35">
        <f>Sheet3!$DA74/(New!BP74*0.108*0.302)/3600</f>
        <v>6.2578856392072275</v>
      </c>
      <c r="AO75" s="35">
        <f>Sheet3!$DA74/(New!BQ74*0.108*0.302)/3600</f>
        <v>6.142098210742331</v>
      </c>
      <c r="AP75" s="35">
        <f>Sheet3!$DA74/(New!BR74*0.108*0.302)/3600</f>
        <v>6.0534262978122122</v>
      </c>
      <c r="AQ75" s="35">
        <f>Sheet3!$DA74/(New!BS74*0.108*0.302)/3600</f>
        <v>5.9791292190231617</v>
      </c>
      <c r="AR75" s="35">
        <f>Sheet3!$DA74/(New!BT74*0.108*0.302)/3600</f>
        <v>5.9126352565597982</v>
      </c>
      <c r="AS75" s="35">
        <f>Sheet3!$DA74/(New!BU74*0.108*0.302)/3600</f>
        <v>5.8240821880073055</v>
      </c>
    </row>
    <row r="76" spans="1:45" x14ac:dyDescent="0.3">
      <c r="A76" s="236" t="s">
        <v>673</v>
      </c>
      <c r="B76" s="236">
        <f>($U76*('Cooling water'!CO75+AVERAGE(_xlfn.ANCHORARRAY(Sheet3!R75))) -New!HU75*V76*(New!DO75-W76)) - ('Cooling water'!CO75*'Cooling water'!B75)</f>
        <v>-21084.891327771682</v>
      </c>
      <c r="C76" s="236" t="s">
        <v>669</v>
      </c>
      <c r="D76" s="236">
        <v>0</v>
      </c>
      <c r="F76" s="237" t="s">
        <v>674</v>
      </c>
      <c r="G76" s="237">
        <f>((($W76*New!LI75)/1000)) - (EXP(New!$LP$6-((New!$LQ$6)/(U76+New!$LP$8))))</f>
        <v>-0.59115681624151806</v>
      </c>
      <c r="H76" s="237" t="s">
        <v>669</v>
      </c>
      <c r="I76" s="237">
        <v>0</v>
      </c>
      <c r="K76" s="238" t="s">
        <v>675</v>
      </c>
      <c r="L76" s="238">
        <f>($X76*LN((1-W76)/(1-New!DO75))) - ((1-$W76) - (1-New!DO75))</f>
        <v>-0.28667590576123536</v>
      </c>
      <c r="M76" s="238" t="s">
        <v>669</v>
      </c>
      <c r="N76" s="238">
        <v>0</v>
      </c>
      <c r="P76" s="239" t="s">
        <v>676</v>
      </c>
      <c r="Q76" s="239">
        <f>($V76*New!BV75*New!LH77/1000*$X76*New!B75) - (AVERAGE(_xlfn.ANCHORARRAY(Sheet3!R75))*New!$LP$3)</f>
        <v>-9733.2769197052057</v>
      </c>
      <c r="R76" s="239" t="s">
        <v>669</v>
      </c>
      <c r="S76" s="239">
        <v>0</v>
      </c>
      <c r="U76" s="35">
        <v>0</v>
      </c>
      <c r="V76" s="35">
        <v>0</v>
      </c>
      <c r="W76" s="35">
        <v>0</v>
      </c>
      <c r="X76" s="35">
        <v>0</v>
      </c>
      <c r="Y76" s="35">
        <v>0</v>
      </c>
      <c r="AD76" s="35">
        <f>AVERAGE(_xlfn.ANCHORARRAY(Sheet3!R75))</f>
        <v>540.28736717764116</v>
      </c>
      <c r="AK76" s="35">
        <f>Sheet3!$DA75/(New!BM75*0.108*0.302)/3600</f>
        <v>3.8753217194531073</v>
      </c>
      <c r="AL76" s="35">
        <f>Sheet3!$DA75/(New!BN75*0.108*0.302)/3600</f>
        <v>3.8608256461293591</v>
      </c>
      <c r="AM76" s="35">
        <f>Sheet3!$DA75/(New!BO75*0.108*0.302)/3600</f>
        <v>3.8332473869523609</v>
      </c>
      <c r="AN76" s="35">
        <f>Sheet3!$DA75/(New!BP75*0.108*0.302)/3600</f>
        <v>3.813645575974379</v>
      </c>
      <c r="AO76" s="35">
        <f>Sheet3!$DA75/(New!BQ75*0.108*0.302)/3600</f>
        <v>3.7843900651706508</v>
      </c>
      <c r="AP76" s="35">
        <f>Sheet3!$DA75/(New!BR75*0.108*0.302)/3600</f>
        <v>3.7679515769294372</v>
      </c>
      <c r="AQ76" s="35">
        <f>Sheet3!$DA75/(New!BS75*0.108*0.302)/3600</f>
        <v>3.7444733000583468</v>
      </c>
      <c r="AR76" s="35">
        <f>Sheet3!$DA75/(New!BT75*0.108*0.302)/3600</f>
        <v>3.723462129913405</v>
      </c>
      <c r="AS76" s="35">
        <f>Sheet3!$DA75/(New!BU75*0.108*0.302)/3600</f>
        <v>3.696160042439772</v>
      </c>
    </row>
    <row r="77" spans="1:45" x14ac:dyDescent="0.3">
      <c r="A77" s="236" t="s">
        <v>673</v>
      </c>
      <c r="B77" s="236">
        <f>($U77*('Cooling water'!CO76+AVERAGE(_xlfn.ANCHORARRAY(Sheet3!R76))) -New!HU76*V77*(New!DO76-W77)) - ('Cooling water'!CO76*'Cooling water'!B76)</f>
        <v>-19705.977420530031</v>
      </c>
      <c r="C77" s="236" t="s">
        <v>669</v>
      </c>
      <c r="D77" s="236">
        <v>0</v>
      </c>
      <c r="F77" s="237" t="s">
        <v>674</v>
      </c>
      <c r="G77" s="237">
        <f>((($W77*New!LI76)/1000)) - (EXP(New!$LP$6-((New!$LQ$6)/(U77+New!$LP$8))))</f>
        <v>-0.59115681624151806</v>
      </c>
      <c r="H77" s="237" t="s">
        <v>669</v>
      </c>
      <c r="I77" s="237">
        <v>0</v>
      </c>
      <c r="K77" s="238" t="s">
        <v>675</v>
      </c>
      <c r="L77" s="238">
        <f>($X77*LN((1-W77)/(1-New!DO76))) - ((1-$W77) - (1-New!DO76))</f>
        <v>-0.28667590576123536</v>
      </c>
      <c r="M77" s="238" t="s">
        <v>669</v>
      </c>
      <c r="N77" s="238">
        <v>0</v>
      </c>
      <c r="P77" s="239" t="s">
        <v>676</v>
      </c>
      <c r="Q77" s="239">
        <f>($V77*New!BV76*New!LH78/1000*$X77*New!B76) - (AVERAGE(_xlfn.ANCHORARRAY(Sheet3!R76))*New!$LP$3)</f>
        <v>-9000.8022293345639</v>
      </c>
      <c r="R77" s="239" t="s">
        <v>669</v>
      </c>
      <c r="S77" s="239">
        <v>0</v>
      </c>
      <c r="U77" s="35">
        <v>0</v>
      </c>
      <c r="V77" s="35">
        <v>0</v>
      </c>
      <c r="W77" s="35">
        <v>0</v>
      </c>
      <c r="X77" s="35">
        <v>0</v>
      </c>
      <c r="Y77" s="35">
        <v>0</v>
      </c>
      <c r="AD77" s="35">
        <f>AVERAGE(_xlfn.ANCHORARRAY(Sheet3!R76))</f>
        <v>499.6282114534867</v>
      </c>
      <c r="AK77" s="35">
        <f>Sheet3!$DA76/(New!BM76*0.108*0.302)/3600</f>
        <v>3.8753217194531073</v>
      </c>
      <c r="AL77" s="35">
        <f>Sheet3!$DA76/(New!BN76*0.108*0.302)/3600</f>
        <v>3.8678582914221034</v>
      </c>
      <c r="AM77" s="35">
        <f>Sheet3!$DA76/(New!BO76*0.108*0.302)/3600</f>
        <v>3.8409045188508983</v>
      </c>
      <c r="AN77" s="35">
        <f>Sheet3!$DA76/(New!BP76*0.108*0.302)/3600</f>
        <v>3.8173568386239913</v>
      </c>
      <c r="AO77" s="35">
        <f>Sheet3!$DA76/(New!BQ76*0.108*0.302)/3600</f>
        <v>3.785898462242177</v>
      </c>
      <c r="AP77" s="35">
        <f>Sheet3!$DA76/(New!BR76*0.108*0.302)/3600</f>
        <v>3.7672102280181545</v>
      </c>
      <c r="AQ77" s="35">
        <f>Sheet3!$DA76/(New!BS76*0.108*0.302)/3600</f>
        <v>3.7432447684174583</v>
      </c>
      <c r="AR77" s="35">
        <f>Sheet3!$DA76/(New!BT76*0.108*0.302)/3600</f>
        <v>3.7222016929198491</v>
      </c>
      <c r="AS77" s="35">
        <f>Sheet3!$DA76/(New!BU76*0.108*0.302)/3600</f>
        <v>3.6972189920086231</v>
      </c>
    </row>
    <row r="78" spans="1:45" x14ac:dyDescent="0.3">
      <c r="A78" s="236" t="s">
        <v>673</v>
      </c>
      <c r="B78" s="236">
        <f>($U78*('Cooling water'!CO77+AVERAGE(_xlfn.ANCHORARRAY(Sheet3!R77))) -New!HU77*V78*(New!DO77-W78)) - ('Cooling water'!CO77*'Cooling water'!B77)</f>
        <v>-24095.673415329198</v>
      </c>
      <c r="C78" s="236" t="s">
        <v>669</v>
      </c>
      <c r="D78" s="236">
        <v>0</v>
      </c>
      <c r="F78" s="237" t="s">
        <v>674</v>
      </c>
      <c r="G78" s="237">
        <f>((($W78*New!LI77)/1000)) - (EXP(New!$LP$6-((New!$LQ$6)/(U78+New!$LP$8))))</f>
        <v>-0.59115681624151806</v>
      </c>
      <c r="H78" s="237" t="s">
        <v>669</v>
      </c>
      <c r="I78" s="237">
        <v>0</v>
      </c>
      <c r="K78" s="238" t="s">
        <v>675</v>
      </c>
      <c r="L78" s="238">
        <f>($X78*LN((1-W78)/(1-New!DO77))) - ((1-$W78) - (1-New!DO77))</f>
        <v>-0.28667590576123536</v>
      </c>
      <c r="M78" s="238" t="s">
        <v>669</v>
      </c>
      <c r="N78" s="238">
        <v>0</v>
      </c>
      <c r="P78" s="239" t="s">
        <v>676</v>
      </c>
      <c r="Q78" s="239">
        <f>($V78*New!BV77*New!LH79/1000*$X78*New!B77) - (AVERAGE(_xlfn.ANCHORARRAY(Sheet3!R77))*New!$LP$3)</f>
        <v>-6414.8047028109158</v>
      </c>
      <c r="R78" s="239" t="s">
        <v>669</v>
      </c>
      <c r="S78" s="239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AD78" s="35">
        <f>AVERAGE(_xlfn.ANCHORARRAY(Sheet3!R77))</f>
        <v>356.08130462453045</v>
      </c>
      <c r="AK78" s="35">
        <f>Sheet3!$DA77/(New!BM77*0.108*0.302)/3600</f>
        <v>5.0904191021587266</v>
      </c>
      <c r="AL78" s="35">
        <f>Sheet3!$DA77/(New!BN77*0.108*0.302)/3600</f>
        <v>5.0715059417605666</v>
      </c>
      <c r="AM78" s="35">
        <f>Sheet3!$DA77/(New!BO77*0.108*0.302)/3600</f>
        <v>5.0145540314432964</v>
      </c>
      <c r="AN78" s="35">
        <f>Sheet3!$DA77/(New!BP77*0.108*0.302)/3600</f>
        <v>4.9563443139345429</v>
      </c>
      <c r="AO78" s="35">
        <f>Sheet3!$DA77/(New!BQ77*0.108*0.302)/3600</f>
        <v>4.8866539471681429</v>
      </c>
      <c r="AP78" s="35">
        <f>Sheet3!$DA77/(New!BR77*0.108*0.302)/3600</f>
        <v>4.8422158585338542</v>
      </c>
      <c r="AQ78" s="35">
        <f>Sheet3!$DA77/(New!BS77*0.108*0.302)/3600</f>
        <v>4.7887794892274158</v>
      </c>
      <c r="AR78" s="35">
        <f>Sheet3!$DA77/(New!BT77*0.108*0.302)/3600</f>
        <v>4.7380496368919713</v>
      </c>
      <c r="AS78" s="35">
        <f>Sheet3!$DA77/(New!BU77*0.108*0.302)/3600</f>
        <v>4.6904643109911701</v>
      </c>
    </row>
    <row r="79" spans="1:45" x14ac:dyDescent="0.3">
      <c r="A79" s="236" t="s">
        <v>673</v>
      </c>
      <c r="B79" s="236">
        <f>($U79*('Cooling water'!CO78+AVERAGE(_xlfn.ANCHORARRAY(Sheet3!R78))) -New!HU78*V79*(New!DO78-W79)) - ('Cooling water'!CO78*'Cooling water'!B78)</f>
        <v>-3936.7317799173934</v>
      </c>
      <c r="C79" s="236" t="s">
        <v>669</v>
      </c>
      <c r="D79" s="236">
        <v>0</v>
      </c>
      <c r="F79" s="237" t="s">
        <v>674</v>
      </c>
      <c r="G79" s="237">
        <f>((($W79*New!LI78)/1000)) - (EXP(New!$LP$6-((New!$LQ$6)/(U79+New!$LP$8))))</f>
        <v>-0.59115681624151806</v>
      </c>
      <c r="H79" s="237" t="s">
        <v>669</v>
      </c>
      <c r="I79" s="237">
        <v>0</v>
      </c>
      <c r="K79" s="238" t="s">
        <v>675</v>
      </c>
      <c r="L79" s="238">
        <f>($X79*LN((1-W79)/(1-New!DO78))) - ((1-$W79) - (1-New!DO78))</f>
        <v>-0.16017635834245281</v>
      </c>
      <c r="M79" s="238" t="s">
        <v>669</v>
      </c>
      <c r="N79" s="238">
        <v>0</v>
      </c>
      <c r="P79" s="239" t="s">
        <v>676</v>
      </c>
      <c r="Q79" s="239">
        <f>($V79*New!BV78*New!LH80/1000*$X79*New!B78) - (AVERAGE(_xlfn.ANCHORARRAY(Sheet3!R78))*New!$LP$3)</f>
        <v>-3713.3207247711912</v>
      </c>
      <c r="R79" s="239" t="s">
        <v>669</v>
      </c>
      <c r="S79" s="239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AD79" s="35">
        <f>AVERAGE(_xlfn.ANCHORARRAY(Sheet3!R78))</f>
        <v>206.12382596565035</v>
      </c>
      <c r="AK79" s="35">
        <f>Sheet3!$DA78/(New!BM78*0.108*0.302)/3600</f>
        <v>1.2137761197655041</v>
      </c>
      <c r="AL79" s="35">
        <f>Sheet3!$DA78/(New!BN78*0.108*0.302)/3600</f>
        <v>1.211744400116838</v>
      </c>
      <c r="AM79" s="35">
        <f>Sheet3!$DA78/(New!BO78*0.108*0.302)/3600</f>
        <v>1.1986822045071324</v>
      </c>
      <c r="AN79" s="35">
        <f>Sheet3!$DA78/(New!BP78*0.108*0.302)/3600</f>
        <v>1.1875396854909137</v>
      </c>
      <c r="AO79" s="35">
        <f>Sheet3!$DA78/(New!BQ78*0.108*0.302)/3600</f>
        <v>1.1733177962391275</v>
      </c>
      <c r="AP79" s="35">
        <f>Sheet3!$DA78/(New!BR78*0.108*0.302)/3600</f>
        <v>1.1676633533381826</v>
      </c>
      <c r="AQ79" s="35">
        <f>Sheet3!$DA78/(New!BS78*0.108*0.302)/3600</f>
        <v>1.1567175341839142</v>
      </c>
      <c r="AR79" s="35">
        <f>Sheet3!$DA78/(New!BT78*0.108*0.302)/3600</f>
        <v>1.1470173680902762</v>
      </c>
      <c r="AS79" s="35">
        <f>Sheet3!$DA78/(New!BU78*0.108*0.302)/3600</f>
        <v>1.1357344382779395</v>
      </c>
    </row>
    <row r="80" spans="1:45" x14ac:dyDescent="0.3">
      <c r="A80" s="236" t="s">
        <v>673</v>
      </c>
      <c r="B80" s="236">
        <f>($U80*('Cooling water'!CO79+AVERAGE(_xlfn.ANCHORARRAY(Sheet3!R79))) -New!HU79*V80*(New!DO79-W80)) - ('Cooling water'!CO79*'Cooling water'!B79)</f>
        <v>-3832.1079149027091</v>
      </c>
      <c r="C80" s="236" t="s">
        <v>669</v>
      </c>
      <c r="D80" s="236">
        <v>0</v>
      </c>
      <c r="F80" s="237" t="s">
        <v>674</v>
      </c>
      <c r="G80" s="237">
        <f>((($W80*New!LI79)/1000)) - (EXP(New!$LP$6-((New!$LQ$6)/(U80+New!$LP$8))))</f>
        <v>-0.59115681624151806</v>
      </c>
      <c r="H80" s="237" t="s">
        <v>669</v>
      </c>
      <c r="I80" s="237">
        <v>0</v>
      </c>
      <c r="K80" s="238" t="s">
        <v>675</v>
      </c>
      <c r="L80" s="238">
        <f>($X80*LN((1-W80)/(1-New!DO79))) - ((1-$W80) - (1-New!DO79))</f>
        <v>-0.1535442104175827</v>
      </c>
      <c r="M80" s="238" t="s">
        <v>669</v>
      </c>
      <c r="N80" s="238">
        <v>0</v>
      </c>
      <c r="P80" s="239" t="s">
        <v>676</v>
      </c>
      <c r="Q80" s="239">
        <f>($V80*New!BV79*New!LH81/1000*$X80*New!B79) - (AVERAGE(_xlfn.ANCHORARRAY(Sheet3!R79))*New!$LP$3)</f>
        <v>-2119.239256908902</v>
      </c>
      <c r="R80" s="239" t="s">
        <v>669</v>
      </c>
      <c r="S80" s="239">
        <v>0</v>
      </c>
      <c r="U80" s="35">
        <v>0</v>
      </c>
      <c r="V80" s="35">
        <v>0</v>
      </c>
      <c r="W80" s="35">
        <v>0</v>
      </c>
      <c r="X80" s="35">
        <v>0</v>
      </c>
      <c r="Y80" s="35">
        <v>0</v>
      </c>
      <c r="AD80" s="35">
        <f>AVERAGE(_xlfn.ANCHORARRAY(Sheet3!R79))</f>
        <v>117.63748303685273</v>
      </c>
      <c r="AK80" s="35">
        <f>Sheet3!$DA79/(New!BM79*0.108*0.302)/3600</f>
        <v>1.5312171358247031</v>
      </c>
      <c r="AL80" s="35">
        <f>Sheet3!$DA79/(New!BN79*0.108*0.302)/3600</f>
        <v>1.5303834062259201</v>
      </c>
      <c r="AM80" s="35">
        <f>Sheet3!$DA79/(New!BO79*0.108*0.302)/3600</f>
        <v>1.4952578194937574</v>
      </c>
      <c r="AN80" s="35">
        <f>Sheet3!$DA79/(New!BP79*0.108*0.302)/3600</f>
        <v>1.4687471745078196</v>
      </c>
      <c r="AO80" s="35">
        <f>Sheet3!$DA79/(New!BQ79*0.108*0.302)/3600</f>
        <v>1.4381214967593037</v>
      </c>
      <c r="AP80" s="35">
        <f>Sheet3!$DA79/(New!BR79*0.108*0.302)/3600</f>
        <v>1.4195506765687664</v>
      </c>
      <c r="AQ80" s="35">
        <f>Sheet3!$DA79/(New!BS79*0.108*0.302)/3600</f>
        <v>1.3961316687961101</v>
      </c>
      <c r="AR80" s="35">
        <f>Sheet3!$DA79/(New!BT79*0.108*0.302)/3600</f>
        <v>1.3774218253932971</v>
      </c>
      <c r="AS80" s="35">
        <f>Sheet3!$DA79/(New!BU79*0.108*0.302)/3600</f>
        <v>1.3524920198573533</v>
      </c>
    </row>
    <row r="81" spans="1:45" x14ac:dyDescent="0.3">
      <c r="A81" s="236" t="s">
        <v>673</v>
      </c>
      <c r="B81" s="236">
        <f>($U81*('Cooling water'!CO80+AVERAGE(_xlfn.ANCHORARRAY(Sheet3!R80))) -New!HU80*V81*(New!DO80-W81)) - ('Cooling water'!CO80*'Cooling water'!B80)</f>
        <v>-3878.0780571680425</v>
      </c>
      <c r="C81" s="236" t="s">
        <v>669</v>
      </c>
      <c r="D81" s="236">
        <v>0</v>
      </c>
      <c r="F81" s="237" t="s">
        <v>674</v>
      </c>
      <c r="G81" s="237">
        <f>((($W81*New!LI80)/1000)) - (EXP(New!$LP$6-((New!$LQ$6)/(U81+New!$LP$8))))</f>
        <v>-0.59115681624151806</v>
      </c>
      <c r="H81" s="237" t="s">
        <v>669</v>
      </c>
      <c r="I81" s="237">
        <v>0</v>
      </c>
      <c r="K81" s="238" t="s">
        <v>675</v>
      </c>
      <c r="L81" s="238">
        <f>($X81*LN((1-W81)/(1-New!DO80))) - ((1-$W81) - (1-New!DO80))</f>
        <v>-0.15520556296182164</v>
      </c>
      <c r="M81" s="238" t="s">
        <v>669</v>
      </c>
      <c r="N81" s="238">
        <v>0</v>
      </c>
      <c r="P81" s="239" t="s">
        <v>676</v>
      </c>
      <c r="Q81" s="239">
        <f>($V81*New!BV80*New!LH82/1000*$X81*New!B80) - (AVERAGE(_xlfn.ANCHORARRAY(Sheet3!R80))*New!$LP$3)</f>
        <v>-1793.9578323729424</v>
      </c>
      <c r="R81" s="239" t="s">
        <v>669</v>
      </c>
      <c r="S81" s="239">
        <v>0</v>
      </c>
      <c r="U81" s="35">
        <v>0</v>
      </c>
      <c r="V81" s="35">
        <v>0</v>
      </c>
      <c r="W81" s="35">
        <v>0</v>
      </c>
      <c r="X81" s="35">
        <v>0</v>
      </c>
      <c r="Y81" s="35">
        <v>0</v>
      </c>
      <c r="AD81" s="35">
        <f>AVERAGE(_xlfn.ANCHORARRAY(Sheet3!R80))</f>
        <v>99.581339571076455</v>
      </c>
      <c r="AK81" s="35">
        <f>Sheet3!$DA80/(New!BM80*0.108*0.302)/3600</f>
        <v>1.9114658260557091</v>
      </c>
      <c r="AL81" s="35">
        <f>Sheet3!$DA80/(New!BN80*0.108*0.302)/3600</f>
        <v>1.9012176629927902</v>
      </c>
      <c r="AM81" s="35">
        <f>Sheet3!$DA80/(New!BO80*0.108*0.302)/3600</f>
        <v>1.8413138221991077</v>
      </c>
      <c r="AN81" s="35">
        <f>Sheet3!$DA80/(New!BP80*0.108*0.302)/3600</f>
        <v>1.7995799227249216</v>
      </c>
      <c r="AO81" s="35">
        <f>Sheet3!$DA80/(New!BQ80*0.108*0.302)/3600</f>
        <v>1.7451190336377549</v>
      </c>
      <c r="AP81" s="35">
        <f>Sheet3!$DA80/(New!BR80*0.108*0.302)/3600</f>
        <v>1.725173763730941</v>
      </c>
      <c r="AQ81" s="35">
        <f>Sheet3!$DA80/(New!BS80*0.108*0.302)/3600</f>
        <v>1.6846072657008697</v>
      </c>
      <c r="AR81" s="35">
        <f>Sheet3!$DA80/(New!BT80*0.108*0.302)/3600</f>
        <v>1.6546816810058356</v>
      </c>
      <c r="AS81" s="35">
        <f>Sheet3!$DA80/(New!BU80*0.108*0.302)/3600</f>
        <v>1.6137776881229273</v>
      </c>
    </row>
    <row r="82" spans="1:45" x14ac:dyDescent="0.3">
      <c r="A82" s="236" t="s">
        <v>673</v>
      </c>
      <c r="B82" s="236">
        <f>($U82*('Cooling water'!CO81+AVERAGE(_xlfn.ANCHORARRAY(Sheet3!R81))) -New!HU81*V82*(New!DO81-W82)) - ('Cooling water'!CO81*'Cooling water'!B81)</f>
        <v>-3497.0239369867036</v>
      </c>
      <c r="C82" s="236" t="s">
        <v>669</v>
      </c>
      <c r="D82" s="236">
        <v>0</v>
      </c>
      <c r="F82" s="237" t="s">
        <v>674</v>
      </c>
      <c r="G82" s="237">
        <f>((($W82*New!LI81)/1000)) - (EXP(New!$LP$6-((New!$LQ$6)/(U82+New!$LP$8))))</f>
        <v>-0.59115681624151806</v>
      </c>
      <c r="H82" s="237" t="s">
        <v>669</v>
      </c>
      <c r="I82" s="237">
        <v>0</v>
      </c>
      <c r="K82" s="238" t="s">
        <v>675</v>
      </c>
      <c r="L82" s="238">
        <f>($X82*LN((1-W82)/(1-New!DO81))) - ((1-$W82) - (1-New!DO81))</f>
        <v>-0.15292063168773173</v>
      </c>
      <c r="M82" s="238" t="s">
        <v>669</v>
      </c>
      <c r="N82" s="238">
        <v>0</v>
      </c>
      <c r="P82" s="239" t="s">
        <v>676</v>
      </c>
      <c r="Q82" s="239">
        <f>($V82*New!BV81*New!LH83/1000*$X82*New!B81) - (AVERAGE(_xlfn.ANCHORARRAY(Sheet3!R81))*New!$LP$3)</f>
        <v>-4361.7334764652933</v>
      </c>
      <c r="R82" s="239" t="s">
        <v>669</v>
      </c>
      <c r="S82" s="239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AD82" s="35">
        <f>AVERAGE(_xlfn.ANCHORARRAY(Sheet3!R81))</f>
        <v>242.11676250154278</v>
      </c>
      <c r="AK82" s="35">
        <f>Sheet3!$DA81/(New!BM81*0.108*0.302)/3600</f>
        <v>1.9070504407549036</v>
      </c>
      <c r="AL82" s="35">
        <f>Sheet3!$DA81/(New!BN81*0.108*0.302)/3600</f>
        <v>1.9035080427803837</v>
      </c>
      <c r="AM82" s="35">
        <f>Sheet3!$DA81/(New!BO81*0.108*0.302)/3600</f>
        <v>1.8848545558936314</v>
      </c>
      <c r="AN82" s="35">
        <f>Sheet3!$DA81/(New!BP81*0.108*0.302)/3600</f>
        <v>1.8690772822279298</v>
      </c>
      <c r="AO82" s="35">
        <f>Sheet3!$DA81/(New!BQ81*0.108*0.302)/3600</f>
        <v>1.8497575964242616</v>
      </c>
      <c r="AP82" s="35">
        <f>Sheet3!$DA81/(New!BR81*0.108*0.302)/3600</f>
        <v>1.8425519742262868</v>
      </c>
      <c r="AQ82" s="35">
        <f>Sheet3!$DA81/(New!BS81*0.108*0.302)/3600</f>
        <v>1.8267595661849949</v>
      </c>
      <c r="AR82" s="35">
        <f>Sheet3!$DA81/(New!BT81*0.108*0.302)/3600</f>
        <v>1.8120128046246724</v>
      </c>
      <c r="AS82" s="35">
        <f>Sheet3!$DA81/(New!BU81*0.108*0.302)/3600</f>
        <v>1.7959141457965175</v>
      </c>
    </row>
    <row r="83" spans="1:45" x14ac:dyDescent="0.3">
      <c r="A83" s="236" t="s">
        <v>673</v>
      </c>
      <c r="B83" s="236">
        <f>($U83*('Cooling water'!CO82+AVERAGE(_xlfn.ANCHORARRAY(Sheet3!R82))) -New!HU82*V83*(New!DO82-W83)) - ('Cooling water'!CO82*'Cooling water'!B82)</f>
        <v>-3429.2415359664442</v>
      </c>
      <c r="C83" s="236" t="s">
        <v>669</v>
      </c>
      <c r="D83" s="236">
        <v>0</v>
      </c>
      <c r="F83" s="237" t="s">
        <v>674</v>
      </c>
      <c r="G83" s="237">
        <f>((($W83*New!LI82)/1000)) - (EXP(New!$LP$6-((New!$LQ$6)/(U83+New!$LP$8))))</f>
        <v>-0.59115681624151806</v>
      </c>
      <c r="H83" s="237" t="s">
        <v>669</v>
      </c>
      <c r="I83" s="237">
        <v>0</v>
      </c>
      <c r="K83" s="238" t="s">
        <v>675</v>
      </c>
      <c r="L83" s="238">
        <f>($X83*LN((1-W83)/(1-New!DO82))) - ((1-$W83) - (1-New!DO82))</f>
        <v>-0.15154765954106597</v>
      </c>
      <c r="M83" s="238" t="s">
        <v>669</v>
      </c>
      <c r="N83" s="238">
        <v>0</v>
      </c>
      <c r="P83" s="239" t="s">
        <v>676</v>
      </c>
      <c r="Q83" s="239">
        <f>($V83*New!BV82*New!LH84/1000*$X83*New!B82) - (AVERAGE(_xlfn.ANCHORARRAY(Sheet3!R82))*New!$LP$3)</f>
        <v>-2762.3617351132884</v>
      </c>
      <c r="R83" s="239" t="s">
        <v>669</v>
      </c>
      <c r="S83" s="239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AD83" s="35">
        <f>AVERAGE(_xlfn.ANCHORARRAY(Sheet3!R82))</f>
        <v>153.33676020612202</v>
      </c>
      <c r="AK83" s="35">
        <f>Sheet3!$DA82/(New!BM82*0.108*0.302)/3600</f>
        <v>2.567817959023353</v>
      </c>
      <c r="AL83" s="35">
        <f>Sheet3!$DA82/(New!BN82*0.108*0.302)/3600</f>
        <v>2.5651977133840753</v>
      </c>
      <c r="AM83" s="35">
        <f>Sheet3!$DA82/(New!BO82*0.108*0.302)/3600</f>
        <v>2.5188621715323833</v>
      </c>
      <c r="AN83" s="35">
        <f>Sheet3!$DA82/(New!BP82*0.108*0.302)/3600</f>
        <v>2.4846378670080966</v>
      </c>
      <c r="AO83" s="35">
        <f>Sheet3!$DA82/(New!BQ82*0.108*0.302)/3600</f>
        <v>2.4383072899193348</v>
      </c>
      <c r="AP83" s="35">
        <f>Sheet3!$DA82/(New!BR82*0.108*0.302)/3600</f>
        <v>2.4167970242818448</v>
      </c>
      <c r="AQ83" s="35">
        <f>Sheet3!$DA82/(New!BS82*0.108*0.302)/3600</f>
        <v>2.3791088814969314</v>
      </c>
      <c r="AR83" s="35">
        <f>Sheet3!$DA82/(New!BT82*0.108*0.302)/3600</f>
        <v>2.3510588292608725</v>
      </c>
      <c r="AS83" s="35">
        <f>Sheet3!$DA82/(New!BU82*0.108*0.302)/3600</f>
        <v>2.3163181104193513</v>
      </c>
    </row>
    <row r="84" spans="1:45" x14ac:dyDescent="0.3">
      <c r="A84" s="236" t="s">
        <v>673</v>
      </c>
      <c r="B84" s="236">
        <f>($U84*('Cooling water'!CO83+AVERAGE(_xlfn.ANCHORARRAY(Sheet3!R83))) -New!HU83*V84*(New!DO83-W84)) - ('Cooling water'!CO83*'Cooling water'!B83)</f>
        <v>-3274.2440829517695</v>
      </c>
      <c r="C84" s="236" t="s">
        <v>669</v>
      </c>
      <c r="D84" s="236">
        <v>0</v>
      </c>
      <c r="F84" s="237" t="s">
        <v>674</v>
      </c>
      <c r="G84" s="237">
        <f>((($W84*New!LI83)/1000)) - (EXP(New!$LP$6-((New!$LQ$6)/(U84+New!$LP$8))))</f>
        <v>-0.59115681624151806</v>
      </c>
      <c r="H84" s="237" t="s">
        <v>669</v>
      </c>
      <c r="I84" s="237">
        <v>0</v>
      </c>
      <c r="K84" s="238" t="s">
        <v>675</v>
      </c>
      <c r="L84" s="238">
        <f>($X84*LN((1-W84)/(1-New!DO83))) - ((1-$W84) - (1-New!DO83))</f>
        <v>-0.15154765954106597</v>
      </c>
      <c r="M84" s="238" t="s">
        <v>669</v>
      </c>
      <c r="N84" s="238">
        <v>0</v>
      </c>
      <c r="P84" s="239" t="s">
        <v>676</v>
      </c>
      <c r="Q84" s="239">
        <f>($V84*New!BV83*New!LH85/1000*$X84*New!B83) - (AVERAGE(_xlfn.ANCHORARRAY(Sheet3!R83))*New!$LP$3)</f>
        <v>-2352.0467471891657</v>
      </c>
      <c r="R84" s="239" t="s">
        <v>669</v>
      </c>
      <c r="S84" s="239">
        <v>0</v>
      </c>
      <c r="U84" s="35">
        <v>0</v>
      </c>
      <c r="V84" s="35">
        <v>0</v>
      </c>
      <c r="W84" s="35">
        <v>0</v>
      </c>
      <c r="X84" s="35">
        <v>0</v>
      </c>
      <c r="Y84" s="35">
        <v>0</v>
      </c>
      <c r="AD84" s="35">
        <f>AVERAGE(_xlfn.ANCHORARRAY(Sheet3!R83))</f>
        <v>130.56046334660925</v>
      </c>
      <c r="AK84" s="35">
        <f>Sheet3!$DA83/(New!BM83*0.108*0.302)/3600</f>
        <v>3.1811046246752626</v>
      </c>
      <c r="AL84" s="35">
        <f>Sheet3!$DA83/(New!BN83*0.108*0.302)/3600</f>
        <v>3.1818297513168909</v>
      </c>
      <c r="AM84" s="35">
        <f>Sheet3!$DA83/(New!BO83*0.108*0.302)/3600</f>
        <v>3.1052173317928897</v>
      </c>
      <c r="AN84" s="35">
        <f>Sheet3!$DA83/(New!BP83*0.108*0.302)/3600</f>
        <v>3.0491484935648971</v>
      </c>
      <c r="AO84" s="35">
        <f>Sheet3!$DA83/(New!BQ83*0.108*0.302)/3600</f>
        <v>2.9743663616612306</v>
      </c>
      <c r="AP84" s="35">
        <f>Sheet3!$DA83/(New!BR83*0.108*0.302)/3600</f>
        <v>2.9390321152556185</v>
      </c>
      <c r="AQ84" s="35">
        <f>Sheet3!$DA83/(New!BS83*0.108*0.302)/3600</f>
        <v>2.8820662120662019</v>
      </c>
      <c r="AR84" s="35">
        <f>Sheet3!$DA83/(New!BT83*0.108*0.302)/3600</f>
        <v>2.8356489125750008</v>
      </c>
      <c r="AS84" s="35">
        <f>Sheet3!$DA83/(New!BU83*0.108*0.302)/3600</f>
        <v>2.7805375153458884</v>
      </c>
    </row>
    <row r="85" spans="1:45" x14ac:dyDescent="0.3">
      <c r="A85" s="236" t="s">
        <v>673</v>
      </c>
      <c r="B85" s="236">
        <f>($U85*('Cooling water'!CO84+AVERAGE(_xlfn.ANCHORARRAY(Sheet3!R84))) -New!HU84*V85*(New!DO84-W85)) - ('Cooling water'!CO84*'Cooling water'!B84)</f>
        <v>-3175.5238995953564</v>
      </c>
      <c r="C85" s="236" t="s">
        <v>669</v>
      </c>
      <c r="D85" s="236">
        <v>0</v>
      </c>
      <c r="F85" s="237" t="s">
        <v>674</v>
      </c>
      <c r="G85" s="237">
        <f>((($W85*New!LI84)/1000)) - (EXP(New!$LP$6-((New!$LQ$6)/(U85+New!$LP$8))))</f>
        <v>-0.59115681624151806</v>
      </c>
      <c r="H85" s="237" t="s">
        <v>669</v>
      </c>
      <c r="I85" s="237">
        <v>0</v>
      </c>
      <c r="K85" s="238" t="s">
        <v>675</v>
      </c>
      <c r="L85" s="238">
        <f>($X85*LN((1-W85)/(1-New!DO84))) - ((1-$W85) - (1-New!DO84))</f>
        <v>-0.15189270296631463</v>
      </c>
      <c r="M85" s="238" t="s">
        <v>669</v>
      </c>
      <c r="N85" s="238">
        <v>0</v>
      </c>
      <c r="P85" s="239" t="s">
        <v>676</v>
      </c>
      <c r="Q85" s="239">
        <f>($V85*New!BV84*New!LH86/1000*$X85*New!B84) - (AVERAGE(_xlfn.ANCHORARRAY(Sheet3!R84))*New!$LP$3)</f>
        <v>-5264.075861104242</v>
      </c>
      <c r="R85" s="239" t="s">
        <v>669</v>
      </c>
      <c r="S85" s="239">
        <v>0</v>
      </c>
      <c r="U85" s="35">
        <v>0</v>
      </c>
      <c r="V85" s="35">
        <v>0</v>
      </c>
      <c r="W85" s="35">
        <v>0</v>
      </c>
      <c r="X85" s="35">
        <v>0</v>
      </c>
      <c r="Y85" s="35">
        <v>0</v>
      </c>
      <c r="AD85" s="35">
        <f>AVERAGE(_xlfn.ANCHORARRAY(Sheet3!R84))</f>
        <v>292.20515465469009</v>
      </c>
      <c r="AK85" s="35">
        <f>Sheet3!$DA84/(New!BM84*0.108*0.302)/3600</f>
        <v>3.7941994338185574</v>
      </c>
      <c r="AL85" s="35">
        <f>Sheet3!$DA84/(New!BN84*0.108*0.302)/3600</f>
        <v>3.7943646980705554</v>
      </c>
      <c r="AM85" s="35">
        <f>Sheet3!$DA84/(New!BO84*0.108*0.302)/3600</f>
        <v>3.7631947486181594</v>
      </c>
      <c r="AN85" s="35">
        <f>Sheet3!$DA84/(New!BP84*0.108*0.302)/3600</f>
        <v>3.7343341332985638</v>
      </c>
      <c r="AO85" s="35">
        <f>Sheet3!$DA84/(New!BQ84*0.108*0.302)/3600</f>
        <v>3.706541134501844</v>
      </c>
      <c r="AP85" s="35">
        <f>Sheet3!$DA84/(New!BR84*0.108*0.302)/3600</f>
        <v>3.6797909431751128</v>
      </c>
      <c r="AQ85" s="35">
        <f>Sheet3!$DA84/(New!BS84*0.108*0.302)/3600</f>
        <v>3.6644100432107329</v>
      </c>
      <c r="AR85" s="35">
        <f>Sheet3!$DA84/(New!BT84*0.108*0.302)/3600</f>
        <v>3.6411091266628568</v>
      </c>
      <c r="AS85" s="35">
        <f>Sheet3!$DA84/(New!BU84*0.108*0.302)/3600</f>
        <v>3.6165139347743707</v>
      </c>
    </row>
    <row r="86" spans="1:45" x14ac:dyDescent="0.3">
      <c r="A86" s="236" t="s">
        <v>673</v>
      </c>
      <c r="B86" s="236">
        <f>($U86*('Cooling water'!CO85+AVERAGE(_xlfn.ANCHORARRAY(Sheet3!R85))) -New!HU85*V86*(New!DO85-W86)) - ('Cooling water'!CO85*'Cooling water'!B85)</f>
        <v>-3272.6424425383289</v>
      </c>
      <c r="C86" s="236" t="s">
        <v>669</v>
      </c>
      <c r="D86" s="236">
        <v>0</v>
      </c>
      <c r="F86" s="237" t="s">
        <v>674</v>
      </c>
      <c r="G86" s="237">
        <f>((($W86*New!LI85)/1000)) - (EXP(New!$LP$6-((New!$LQ$6)/(U86+New!$LP$8))))</f>
        <v>-0.59115681624151806</v>
      </c>
      <c r="H86" s="237" t="s">
        <v>669</v>
      </c>
      <c r="I86" s="237">
        <v>0</v>
      </c>
      <c r="K86" s="238" t="s">
        <v>675</v>
      </c>
      <c r="L86" s="238">
        <f>($X86*LN((1-W86)/(1-New!DO85))) - ((1-$W86) - (1-New!DO85))</f>
        <v>-0.14944930426008252</v>
      </c>
      <c r="M86" s="238" t="s">
        <v>669</v>
      </c>
      <c r="N86" s="238">
        <v>0</v>
      </c>
      <c r="P86" s="239" t="s">
        <v>676</v>
      </c>
      <c r="Q86" s="239">
        <f>($V86*New!BV85*New!LH87/1000*$X86*New!B85) - (AVERAGE(_xlfn.ANCHORARRAY(Sheet3!R85))*New!$LP$3)</f>
        <v>-3427.6901075813444</v>
      </c>
      <c r="R86" s="239" t="s">
        <v>669</v>
      </c>
      <c r="S86" s="239">
        <v>0</v>
      </c>
      <c r="U86" s="35">
        <v>0</v>
      </c>
      <c r="V86" s="35">
        <v>0</v>
      </c>
      <c r="W86" s="35">
        <v>0</v>
      </c>
      <c r="X86" s="35">
        <v>0</v>
      </c>
      <c r="Y86" s="35">
        <v>0</v>
      </c>
      <c r="AD86" s="35">
        <f>AVERAGE(_xlfn.ANCHORARRAY(Sheet3!R85))</f>
        <v>190.26867097315261</v>
      </c>
      <c r="AK86" s="35">
        <f>Sheet3!$DA85/(New!BM85*0.108*0.302)/3600</f>
        <v>5.0992485868857376</v>
      </c>
      <c r="AL86" s="35">
        <f>Sheet3!$DA85/(New!BN85*0.108*0.302)/3600</f>
        <v>5.0920274501457943</v>
      </c>
      <c r="AM86" s="35">
        <f>Sheet3!$DA85/(New!BO85*0.108*0.302)/3600</f>
        <v>5.0230442856918618</v>
      </c>
      <c r="AN86" s="35">
        <f>Sheet3!$DA85/(New!BP85*0.108*0.302)/3600</f>
        <v>4.9639560635279993</v>
      </c>
      <c r="AO86" s="35">
        <f>Sheet3!$DA85/(New!BQ85*0.108*0.302)/3600</f>
        <v>4.891639492555818</v>
      </c>
      <c r="AP86" s="35">
        <f>Sheet3!$DA85/(New!BR85*0.108*0.302)/3600</f>
        <v>4.849563417830991</v>
      </c>
      <c r="AQ86" s="35">
        <f>Sheet3!$DA85/(New!BS85*0.108*0.302)/3600</f>
        <v>4.7932216353127872</v>
      </c>
      <c r="AR86" s="35">
        <f>Sheet3!$DA85/(New!BT85*0.108*0.302)/3600</f>
        <v>4.7419792791957773</v>
      </c>
      <c r="AS86" s="35">
        <f>Sheet3!$DA85/(New!BU85*0.108*0.302)/3600</f>
        <v>4.6849832775611704</v>
      </c>
    </row>
    <row r="87" spans="1:45" x14ac:dyDescent="0.3">
      <c r="A87" s="236" t="s">
        <v>673</v>
      </c>
      <c r="B87" s="236">
        <f>($U87*('Cooling water'!CO86+AVERAGE(_xlfn.ANCHORARRAY(Sheet3!R86))) -New!HU86*V87*(New!DO86-W87)) - ('Cooling water'!CO86*'Cooling water'!B86)</f>
        <v>-7522.4127449774396</v>
      </c>
      <c r="C87" s="236" t="s">
        <v>669</v>
      </c>
      <c r="D87" s="236">
        <v>0</v>
      </c>
      <c r="F87" s="237" t="s">
        <v>674</v>
      </c>
      <c r="G87" s="237">
        <f>((($W87*New!LI86)/1000)) - (EXP(New!$LP$6-((New!$LQ$6)/(U87+New!$LP$8))))</f>
        <v>-0.59115681624151806</v>
      </c>
      <c r="H87" s="237" t="s">
        <v>669</v>
      </c>
      <c r="I87" s="237">
        <v>0</v>
      </c>
      <c r="K87" s="238" t="s">
        <v>675</v>
      </c>
      <c r="L87" s="238">
        <f>($X87*LN((1-W87)/(1-New!DO86))) - ((1-$W87) - (1-New!DO86))</f>
        <v>-0.15318247754852943</v>
      </c>
      <c r="M87" s="238" t="s">
        <v>669</v>
      </c>
      <c r="N87" s="238">
        <v>0</v>
      </c>
      <c r="P87" s="239" t="s">
        <v>676</v>
      </c>
      <c r="Q87" s="239">
        <f>($V87*New!BV86*New!LH88/1000*$X87*New!B86) - (AVERAGE(_xlfn.ANCHORARRAY(Sheet3!R86))*New!$LP$3)</f>
        <v>-3039.3105186526113</v>
      </c>
      <c r="R87" s="239" t="s">
        <v>669</v>
      </c>
      <c r="S87" s="239">
        <v>0</v>
      </c>
      <c r="U87" s="35">
        <v>0</v>
      </c>
      <c r="V87" s="35">
        <v>0</v>
      </c>
      <c r="W87" s="35">
        <v>0</v>
      </c>
      <c r="X87" s="35">
        <v>0</v>
      </c>
      <c r="Y87" s="35">
        <v>0</v>
      </c>
      <c r="AD87" s="35">
        <f>AVERAGE(_xlfn.ANCHORARRAY(Sheet3!R86))</f>
        <v>168.70999270899867</v>
      </c>
      <c r="AK87" s="35">
        <f>Sheet3!$DA86/(New!BM86*0.108*0.302)/3600</f>
        <v>6.4153538973752022</v>
      </c>
      <c r="AL87" s="35">
        <f>Sheet3!$DA86/(New!BN86*0.108*0.302)/3600</f>
        <v>6.4086916326444809</v>
      </c>
      <c r="AM87" s="35">
        <f>Sheet3!$DA86/(New!BO86*0.108*0.302)/3600</f>
        <v>6.3010224810819562</v>
      </c>
      <c r="AN87" s="35">
        <f>Sheet3!$DA86/(New!BP86*0.108*0.302)/3600</f>
        <v>6.2054958034696632</v>
      </c>
      <c r="AO87" s="35">
        <f>Sheet3!$DA86/(New!BQ86*0.108*0.302)/3600</f>
        <v>6.0833583692772031</v>
      </c>
      <c r="AP87" s="35">
        <f>Sheet3!$DA86/(New!BR86*0.108*0.302)/3600</f>
        <v>6.0185205789696452</v>
      </c>
      <c r="AQ87" s="35">
        <f>Sheet3!$DA86/(New!BS86*0.108*0.302)/3600</f>
        <v>5.926735699975513</v>
      </c>
      <c r="AR87" s="35">
        <f>Sheet3!$DA86/(New!BT86*0.108*0.302)/3600</f>
        <v>5.8509193737892167</v>
      </c>
      <c r="AS87" s="35">
        <f>Sheet3!$DA86/(New!BU86*0.108*0.302)/3600</f>
        <v>5.7624088776694142</v>
      </c>
    </row>
    <row r="88" spans="1:45" x14ac:dyDescent="0.3">
      <c r="A88" s="236" t="s">
        <v>673</v>
      </c>
      <c r="B88" s="236">
        <f>($U88*('Cooling water'!CO87+AVERAGE(_xlfn.ANCHORARRAY(Sheet3!R87))) -New!HU87*V88*(New!DO87-W88)) - ('Cooling water'!CO87*'Cooling water'!B87)</f>
        <v>-7712.2397470614987</v>
      </c>
      <c r="C88" s="236" t="s">
        <v>669</v>
      </c>
      <c r="D88" s="236">
        <v>0</v>
      </c>
      <c r="F88" s="237" t="s">
        <v>674</v>
      </c>
      <c r="G88" s="237">
        <f>((($W88*New!LI87)/1000)) - (EXP(New!$LP$6-((New!$LQ$6)/(U88+New!$LP$8))))</f>
        <v>-0.59115681624151806</v>
      </c>
      <c r="H88" s="237" t="s">
        <v>669</v>
      </c>
      <c r="I88" s="237">
        <v>0</v>
      </c>
      <c r="K88" s="238" t="s">
        <v>675</v>
      </c>
      <c r="L88" s="238">
        <f>($X88*LN((1-W88)/(1-New!DO87))) - ((1-$W88) - (1-New!DO87))</f>
        <v>-0.16017635834245281</v>
      </c>
      <c r="M88" s="238" t="s">
        <v>669</v>
      </c>
      <c r="N88" s="238">
        <v>0</v>
      </c>
      <c r="P88" s="239" t="s">
        <v>676</v>
      </c>
      <c r="Q88" s="239">
        <f>($V88*New!BV87*New!LH89/1000*$X88*New!B87) - (AVERAGE(_xlfn.ANCHORARRAY(Sheet3!R87))*New!$LP$3)</f>
        <v>-3665.6301797230185</v>
      </c>
      <c r="R88" s="239" t="s">
        <v>669</v>
      </c>
      <c r="S88" s="239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AD88" s="35">
        <f>AVERAGE(_xlfn.ANCHORARRAY(Sheet3!R87))</f>
        <v>203.47655729797492</v>
      </c>
      <c r="AK88" s="35">
        <f>Sheet3!$DA87/(New!BM87*0.108*0.302)/3600</f>
        <v>1.2137761197655041</v>
      </c>
      <c r="AL88" s="35">
        <f>Sheet3!$DA87/(New!BN87*0.108*0.302)/3600</f>
        <v>1.210807191527089</v>
      </c>
      <c r="AM88" s="35">
        <f>Sheet3!$DA87/(New!BO87*0.108*0.302)/3600</f>
        <v>1.1924814625995352</v>
      </c>
      <c r="AN88" s="35">
        <f>Sheet3!$DA87/(New!BP87*0.108*0.302)/3600</f>
        <v>1.1790994357704436</v>
      </c>
      <c r="AO88" s="35">
        <f>Sheet3!$DA87/(New!BQ87*0.108*0.302)/3600</f>
        <v>1.1608827307424061</v>
      </c>
      <c r="AP88" s="35">
        <f>Sheet3!$DA87/(New!BR87*0.108*0.302)/3600</f>
        <v>1.1532850035933453</v>
      </c>
      <c r="AQ88" s="35">
        <f>Sheet3!$DA87/(New!BS87*0.108*0.302)/3600</f>
        <v>1.1385889205349404</v>
      </c>
      <c r="AR88" s="35">
        <f>Sheet3!$DA87/(New!BT87*0.108*0.302)/3600</f>
        <v>1.1230698612189691</v>
      </c>
      <c r="AS88" s="35">
        <f>Sheet3!$DA87/(New!BU87*0.108*0.302)/3600</f>
        <v>1.1152403040914571</v>
      </c>
    </row>
    <row r="89" spans="1:45" x14ac:dyDescent="0.3">
      <c r="A89" s="236" t="s">
        <v>673</v>
      </c>
      <c r="B89" s="236">
        <f>($U89*('Cooling water'!CO88+AVERAGE(_xlfn.ANCHORARRAY(Sheet3!R88))) -New!HU88*V89*(New!DO88-W89)) - ('Cooling water'!CO88*'Cooling water'!B88)</f>
        <v>-8696.8892505809563</v>
      </c>
      <c r="C89" s="236" t="s">
        <v>669</v>
      </c>
      <c r="D89" s="236">
        <v>0</v>
      </c>
      <c r="F89" s="237" t="s">
        <v>674</v>
      </c>
      <c r="G89" s="237">
        <f>((($W89*New!LI88)/1000)) - (EXP(New!$LP$6-((New!$LQ$6)/(U89+New!$LP$8))))</f>
        <v>-0.59115681624151806</v>
      </c>
      <c r="H89" s="237" t="s">
        <v>669</v>
      </c>
      <c r="I89" s="237">
        <v>0</v>
      </c>
      <c r="K89" s="238" t="s">
        <v>675</v>
      </c>
      <c r="L89" s="238">
        <f>($X89*LN((1-W89)/(1-New!DO88))) - ((1-$W89) - (1-New!DO88))</f>
        <v>-0.15456234420046133</v>
      </c>
      <c r="M89" s="238" t="s">
        <v>669</v>
      </c>
      <c r="N89" s="238">
        <v>0</v>
      </c>
      <c r="P89" s="239" t="s">
        <v>676</v>
      </c>
      <c r="Q89" s="239">
        <f>($V89*New!BV88*New!LH90/1000*$X89*New!B88) - (AVERAGE(_xlfn.ANCHORARRAY(Sheet3!R88))*New!$LP$3)</f>
        <v>-2407.0606691740409</v>
      </c>
      <c r="R89" s="239" t="s">
        <v>669</v>
      </c>
      <c r="S89" s="239">
        <v>0</v>
      </c>
      <c r="U89" s="35">
        <v>0</v>
      </c>
      <c r="V89" s="35">
        <v>0</v>
      </c>
      <c r="W89" s="35">
        <v>0</v>
      </c>
      <c r="X89" s="35">
        <v>0</v>
      </c>
      <c r="Y89" s="35">
        <v>0</v>
      </c>
      <c r="AD89" s="35">
        <f>AVERAGE(_xlfn.ANCHORARRAY(Sheet3!R88))</f>
        <v>133.61424752561982</v>
      </c>
      <c r="AK89" s="35">
        <f>Sheet3!$DA88/(New!BM88*0.108*0.302)/3600</f>
        <v>1.5211306952820838</v>
      </c>
      <c r="AL89" s="35">
        <f>Sheet3!$DA88/(New!BN88*0.108*0.302)/3600</f>
        <v>1.5219326489503071</v>
      </c>
      <c r="AM89" s="35">
        <f>Sheet3!$DA88/(New!BO88*0.108*0.302)/3600</f>
        <v>1.4839703874864698</v>
      </c>
      <c r="AN89" s="35">
        <f>Sheet3!$DA88/(New!BP88*0.108*0.302)/3600</f>
        <v>1.4530608132602179</v>
      </c>
      <c r="AO89" s="35">
        <f>Sheet3!$DA88/(New!BQ88*0.108*0.302)/3600</f>
        <v>1.4177033289011998</v>
      </c>
      <c r="AP89" s="35">
        <f>Sheet3!$DA88/(New!BR88*0.108*0.302)/3600</f>
        <v>1.3994292482545854</v>
      </c>
      <c r="AQ89" s="35">
        <f>Sheet3!$DA88/(New!BS88*0.108*0.302)/3600</f>
        <v>1.3715529239430386</v>
      </c>
      <c r="AR89" s="35">
        <f>Sheet3!$DA88/(New!BT88*0.108*0.302)/3600</f>
        <v>1.3516972576648751</v>
      </c>
      <c r="AS89" s="35">
        <f>Sheet3!$DA88/(New!BU88*0.108*0.302)/3600</f>
        <v>1.3267759211171302</v>
      </c>
    </row>
    <row r="90" spans="1:45" x14ac:dyDescent="0.3">
      <c r="A90" s="236" t="s">
        <v>673</v>
      </c>
      <c r="B90" s="236">
        <f>($U90*('Cooling water'!CO89+AVERAGE(_xlfn.ANCHORARRAY(Sheet3!R89))) -New!HU89*V90*(New!DO89-W90)) - ('Cooling water'!CO89*'Cooling water'!B89)</f>
        <v>-9188.8996148003298</v>
      </c>
      <c r="C90" s="236" t="s">
        <v>669</v>
      </c>
      <c r="D90" s="236">
        <v>0</v>
      </c>
      <c r="F90" s="237" t="s">
        <v>674</v>
      </c>
      <c r="G90" s="237">
        <f>((($W90*New!LI89)/1000)) - (EXP(New!$LP$6-((New!$LQ$6)/(U90+New!$LP$8))))</f>
        <v>-0.59115681624151806</v>
      </c>
      <c r="H90" s="237" t="s">
        <v>669</v>
      </c>
      <c r="I90" s="237">
        <v>0</v>
      </c>
      <c r="K90" s="238" t="s">
        <v>675</v>
      </c>
      <c r="L90" s="238">
        <f>($X90*LN((1-W90)/(1-New!DO89))) - ((1-$W90) - (1-New!DO89))</f>
        <v>-0.15063150432677985</v>
      </c>
      <c r="M90" s="238" t="s">
        <v>669</v>
      </c>
      <c r="N90" s="238">
        <v>0</v>
      </c>
      <c r="P90" s="239" t="s">
        <v>676</v>
      </c>
      <c r="Q90" s="239">
        <f>($V90*New!BV89*New!LH91/1000*$X90*New!B89) - (AVERAGE(_xlfn.ANCHORARRAY(Sheet3!R89))*New!$LP$3)</f>
        <v>-1967.6170462767948</v>
      </c>
      <c r="R90" s="239" t="s">
        <v>669</v>
      </c>
      <c r="S90" s="239">
        <v>0</v>
      </c>
      <c r="U90" s="35">
        <v>0</v>
      </c>
      <c r="V90" s="35">
        <v>0</v>
      </c>
      <c r="W90" s="35">
        <v>0</v>
      </c>
      <c r="X90" s="35">
        <v>0</v>
      </c>
      <c r="Y90" s="35">
        <v>0</v>
      </c>
      <c r="AD90" s="35">
        <f>AVERAGE(_xlfn.ANCHORARRAY(Sheet3!R89))</f>
        <v>109.22104059266138</v>
      </c>
      <c r="AK90" s="35">
        <f>Sheet3!$DA89/(New!BM89*0.108*0.302)/3600</f>
        <v>1.9079620119925194</v>
      </c>
      <c r="AL90" s="35">
        <f>Sheet3!$DA89/(New!BN89*0.108*0.302)/3600</f>
        <v>1.9081726659337783</v>
      </c>
      <c r="AM90" s="35">
        <f>Sheet3!$DA89/(New!BO89*0.108*0.302)/3600</f>
        <v>1.8395730709683793</v>
      </c>
      <c r="AN90" s="35">
        <f>Sheet3!$DA89/(New!BP89*0.108*0.302)/3600</f>
        <v>1.7892222286357611</v>
      </c>
      <c r="AO90" s="35">
        <f>Sheet3!$DA89/(New!BQ89*0.108*0.302)/3600</f>
        <v>1.7381900868469808</v>
      </c>
      <c r="AP90" s="35">
        <f>Sheet3!$DA89/(New!BR89*0.108*0.302)/3600</f>
        <v>1.7119442969255962</v>
      </c>
      <c r="AQ90" s="35">
        <f>Sheet3!$DA89/(New!BS89*0.108*0.302)/3600</f>
        <v>1.6647842021366863</v>
      </c>
      <c r="AR90" s="35">
        <f>Sheet3!$DA89/(New!BT89*0.108*0.302)/3600</f>
        <v>1.6324117962151401</v>
      </c>
      <c r="AS90" s="35">
        <f>Sheet3!$DA89/(New!BU89*0.108*0.302)/3600</f>
        <v>1.588214795818121</v>
      </c>
    </row>
    <row r="91" spans="1:45" x14ac:dyDescent="0.3">
      <c r="A91" s="236" t="s">
        <v>673</v>
      </c>
      <c r="B91" s="236">
        <f>($U91*('Cooling water'!CO90+AVERAGE(_xlfn.ANCHORARRAY(Sheet3!R90))) -New!HU90*V91*(New!DO90-W91)) - ('Cooling water'!CO90*'Cooling water'!B90)</f>
        <v>-16664.243242207755</v>
      </c>
      <c r="C91" s="236" t="s">
        <v>669</v>
      </c>
      <c r="D91" s="236">
        <v>0</v>
      </c>
      <c r="F91" s="237" t="s">
        <v>674</v>
      </c>
      <c r="G91" s="237">
        <f>((($W91*New!LI90)/1000)) - (EXP(New!$LP$6-((New!$LQ$6)/(U91+New!$LP$8))))</f>
        <v>-0.59115681624151806</v>
      </c>
      <c r="H91" s="237" t="s">
        <v>669</v>
      </c>
      <c r="I91" s="237">
        <v>0</v>
      </c>
      <c r="K91" s="238" t="s">
        <v>675</v>
      </c>
      <c r="L91" s="238">
        <f>($X91*LN((1-W91)/(1-New!DO90))) - ((1-$W91) - (1-New!DO90))</f>
        <v>-0.15209915048212741</v>
      </c>
      <c r="M91" s="238" t="s">
        <v>669</v>
      </c>
      <c r="N91" s="238">
        <v>0</v>
      </c>
      <c r="P91" s="239" t="s">
        <v>676</v>
      </c>
      <c r="Q91" s="239">
        <f>($V91*New!BV90*New!LH92/1000*$X91*New!B90) - (AVERAGE(_xlfn.ANCHORARRAY(Sheet3!R90))*New!$LP$3)</f>
        <v>-2582.2120520727622</v>
      </c>
      <c r="R91" s="239" t="s">
        <v>669</v>
      </c>
      <c r="S91" s="239">
        <v>0</v>
      </c>
      <c r="U91" s="35">
        <v>0</v>
      </c>
      <c r="V91" s="35">
        <v>0</v>
      </c>
      <c r="W91" s="35">
        <v>0</v>
      </c>
      <c r="X91" s="35">
        <v>0</v>
      </c>
      <c r="Y91" s="35">
        <v>0</v>
      </c>
      <c r="AD91" s="35">
        <f>AVERAGE(_xlfn.ANCHORARRAY(Sheet3!R90))</f>
        <v>143.33677780031985</v>
      </c>
      <c r="AK91" s="35">
        <f>Sheet3!$DA90/(New!BM90*0.108*0.302)/3600</f>
        <v>3.1695703697006881</v>
      </c>
      <c r="AL91" s="35">
        <f>Sheet3!$DA90/(New!BN90*0.108*0.302)/3600</f>
        <v>3.1668340350419855</v>
      </c>
      <c r="AM91" s="35">
        <f>Sheet3!$DA90/(New!BO90*0.108*0.302)/3600</f>
        <v>3.0815105363958035</v>
      </c>
      <c r="AN91" s="35">
        <f>Sheet3!$DA90/(New!BP90*0.108*0.302)/3600</f>
        <v>3.0210243079091428</v>
      </c>
      <c r="AO91" s="35">
        <f>Sheet3!$DA90/(New!BQ90*0.108*0.302)/3600</f>
        <v>2.9392760718177837</v>
      </c>
      <c r="AP91" s="35">
        <f>Sheet3!$DA90/(New!BR90*0.108*0.302)/3600</f>
        <v>2.9013483448887412</v>
      </c>
      <c r="AQ91" s="35">
        <f>Sheet3!$DA90/(New!BS90*0.108*0.302)/3600</f>
        <v>2.8347158900908478</v>
      </c>
      <c r="AR91" s="35">
        <f>Sheet3!$DA90/(New!BT90*0.108*0.302)/3600</f>
        <v>2.7815161343698618</v>
      </c>
      <c r="AS91" s="35">
        <f>Sheet3!$DA90/(New!BU90*0.108*0.302)/3600</f>
        <v>2.7195846222789091</v>
      </c>
    </row>
    <row r="92" spans="1:45" x14ac:dyDescent="0.3">
      <c r="A92" s="236" t="s">
        <v>673</v>
      </c>
      <c r="B92" s="236">
        <f>($U92*('Cooling water'!CO91+AVERAGE(_xlfn.ANCHORARRAY(Sheet3!R91))) -New!HU91*V92*(New!DO91-W92)) - ('Cooling water'!CO91*'Cooling water'!B91)</f>
        <v>-13122.623340320801</v>
      </c>
      <c r="C92" s="236" t="s">
        <v>669</v>
      </c>
      <c r="D92" s="236">
        <v>0</v>
      </c>
      <c r="F92" s="237" t="s">
        <v>674</v>
      </c>
      <c r="G92" s="237">
        <f>((($W92*New!LI91)/1000)) - (EXP(New!$LP$6-((New!$LQ$6)/(U92+New!$LP$8))))</f>
        <v>-0.59115681624151806</v>
      </c>
      <c r="H92" s="237" t="s">
        <v>669</v>
      </c>
      <c r="I92" s="237">
        <v>0</v>
      </c>
      <c r="K92" s="238" t="s">
        <v>675</v>
      </c>
      <c r="L92" s="238">
        <f>($X92*LN((1-W92)/(1-New!DO91))) - ((1-$W92) - (1-New!DO91))</f>
        <v>-0.15223104996770953</v>
      </c>
      <c r="M92" s="238" t="s">
        <v>669</v>
      </c>
      <c r="N92" s="238">
        <v>0</v>
      </c>
      <c r="P92" s="239" t="s">
        <v>676</v>
      </c>
      <c r="Q92" s="239">
        <f>($V92*New!BV91*New!LH93/1000*$X92*New!B91) - (AVERAGE(_xlfn.ANCHORARRAY(Sheet3!R91))*New!$LP$3)</f>
        <v>-4155.2150795641564</v>
      </c>
      <c r="R92" s="239" t="s">
        <v>669</v>
      </c>
      <c r="S92" s="239">
        <v>0</v>
      </c>
      <c r="U92" s="35">
        <v>0</v>
      </c>
      <c r="V92" s="35">
        <v>0</v>
      </c>
      <c r="W92" s="35">
        <v>0</v>
      </c>
      <c r="X92" s="35">
        <v>0</v>
      </c>
      <c r="Y92" s="35">
        <v>0</v>
      </c>
      <c r="AD92" s="35">
        <f>AVERAGE(_xlfn.ANCHORARRAY(Sheet3!R91))</f>
        <v>230.65307130525429</v>
      </c>
      <c r="AK92" s="35">
        <f>Sheet3!$DA91/(New!BM91*0.108*0.302)/3600</f>
        <v>1.9156890668655679</v>
      </c>
      <c r="AL92" s="35">
        <f>Sheet3!$DA91/(New!BN91*0.108*0.302)/3600</f>
        <v>1.9141308914380244</v>
      </c>
      <c r="AM92" s="35">
        <f>Sheet3!$DA91/(New!BO91*0.108*0.302)/3600</f>
        <v>1.8901133491680044</v>
      </c>
      <c r="AN92" s="35">
        <f>Sheet3!$DA91/(New!BP91*0.108*0.302)/3600</f>
        <v>1.87164763266835</v>
      </c>
      <c r="AO92" s="35">
        <f>Sheet3!$DA91/(New!BQ91*0.108*0.302)/3600</f>
        <v>1.8476566134220445</v>
      </c>
      <c r="AP92" s="35">
        <f>Sheet3!$DA91/(New!BR91*0.108*0.302)/3600</f>
        <v>1.8324630637149386</v>
      </c>
      <c r="AQ92" s="35">
        <f>Sheet3!$DA91/(New!BS91*0.108*0.302)/3600</f>
        <v>1.8173475904891392</v>
      </c>
      <c r="AR92" s="35">
        <f>Sheet3!$DA91/(New!BT91*0.108*0.302)/3600</f>
        <v>1.8031333771636504</v>
      </c>
      <c r="AS92" s="35">
        <f>Sheet3!$DA91/(New!BU91*0.108*0.302)/3600</f>
        <v>1.785846474554817</v>
      </c>
    </row>
    <row r="93" spans="1:45" x14ac:dyDescent="0.3">
      <c r="A93" s="236" t="s">
        <v>673</v>
      </c>
      <c r="B93" s="236">
        <f>($U93*('Cooling water'!CO92+AVERAGE(_xlfn.ANCHORARRAY(Sheet3!R92))) -New!HU92*V93*(New!DO92-W93)) - ('Cooling water'!CO92*'Cooling water'!B92)</f>
        <v>-16205.696711490466</v>
      </c>
      <c r="C93" s="236" t="s">
        <v>669</v>
      </c>
      <c r="D93" s="236">
        <v>0</v>
      </c>
      <c r="F93" s="237" t="s">
        <v>674</v>
      </c>
      <c r="G93" s="237">
        <f>((($W93*New!LI92)/1000)) - (EXP(New!$LP$6-((New!$LQ$6)/(U93+New!$LP$8))))</f>
        <v>-0.59115681624151806</v>
      </c>
      <c r="H93" s="237" t="s">
        <v>669</v>
      </c>
      <c r="I93" s="237">
        <v>0</v>
      </c>
      <c r="K93" s="238" t="s">
        <v>675</v>
      </c>
      <c r="L93" s="238">
        <f>($X93*LN((1-W93)/(1-New!DO92))) - ((1-$W93) - (1-New!DO92))</f>
        <v>-0.15095470642085274</v>
      </c>
      <c r="M93" s="238" t="s">
        <v>669</v>
      </c>
      <c r="N93" s="238">
        <v>0</v>
      </c>
      <c r="P93" s="239" t="s">
        <v>676</v>
      </c>
      <c r="Q93" s="239">
        <f>($V93*New!BV92*New!LH94/1000*$X93*New!B92) - (AVERAGE(_xlfn.ANCHORARRAY(Sheet3!R92))*New!$LP$3)</f>
        <v>-2913.4742836388828</v>
      </c>
      <c r="R93" s="239" t="s">
        <v>669</v>
      </c>
      <c r="S93" s="239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AD93" s="35">
        <f>AVERAGE(_xlfn.ANCHORARRAY(Sheet3!R92))</f>
        <v>161.72491166466182</v>
      </c>
      <c r="AK93" s="35">
        <f>Sheet3!$DA92/(New!BM92*0.108*0.302)/3600</f>
        <v>2.5779043995659729</v>
      </c>
      <c r="AL93" s="35">
        <f>Sheet3!$DA92/(New!BN92*0.108*0.302)/3600</f>
        <v>2.5621514679883624</v>
      </c>
      <c r="AM93" s="35">
        <f>Sheet3!$DA92/(New!BO92*0.108*0.302)/3600</f>
        <v>2.5255449908268868</v>
      </c>
      <c r="AN93" s="35">
        <f>Sheet3!$DA92/(New!BP92*0.108*0.302)/3600</f>
        <v>2.4847327305724609</v>
      </c>
      <c r="AO93" s="35">
        <f>Sheet3!$DA92/(New!BQ92*0.108*0.302)/3600</f>
        <v>2.4332175293504923</v>
      </c>
      <c r="AP93" s="35">
        <f>Sheet3!$DA92/(New!BR92*0.108*0.302)/3600</f>
        <v>2.4057959363929351</v>
      </c>
      <c r="AQ93" s="35">
        <f>Sheet3!$DA92/(New!BS92*0.108*0.302)/3600</f>
        <v>2.3673584662088594</v>
      </c>
      <c r="AR93" s="35">
        <f>Sheet3!$DA92/(New!BT92*0.108*0.302)/3600</f>
        <v>2.3394644246466885</v>
      </c>
      <c r="AS93" s="35">
        <f>Sheet3!$DA92/(New!BU92*0.108*0.302)/3600</f>
        <v>2.303487262702852</v>
      </c>
    </row>
    <row r="94" spans="1:45" x14ac:dyDescent="0.3">
      <c r="A94" s="236" t="s">
        <v>673</v>
      </c>
      <c r="B94" s="236">
        <f>($U94*('Cooling water'!CO93+AVERAGE(_xlfn.ANCHORARRAY(Sheet3!R93))) -New!HU93*V94*(New!DO93-W94)) - ('Cooling water'!CO93*'Cooling water'!B93)</f>
        <v>-3178.2537049069406</v>
      </c>
      <c r="C94" s="236" t="s">
        <v>669</v>
      </c>
      <c r="D94" s="236">
        <v>0</v>
      </c>
      <c r="F94" s="237" t="s">
        <v>674</v>
      </c>
      <c r="G94" s="237">
        <f>((($W94*New!LI93)/1000)) - (EXP(New!$LP$6-((New!$LQ$6)/(U94+New!$LP$8))))</f>
        <v>-0.59115681624151806</v>
      </c>
      <c r="H94" s="237" t="s">
        <v>669</v>
      </c>
      <c r="I94" s="237">
        <v>0</v>
      </c>
      <c r="K94" s="238" t="s">
        <v>675</v>
      </c>
      <c r="L94" s="238">
        <f>($X94*LN((1-W94)/(1-New!DO93))) - ((1-$W94) - (1-New!DO93))</f>
        <v>-0.16017635834245281</v>
      </c>
      <c r="M94" s="238" t="s">
        <v>669</v>
      </c>
      <c r="N94" s="238">
        <v>0</v>
      </c>
      <c r="P94" s="239" t="s">
        <v>676</v>
      </c>
      <c r="Q94" s="239">
        <f>($V94*New!BV93*New!LH95/1000*$X94*New!B93) - (AVERAGE(_xlfn.ANCHORARRAY(Sheet3!R93))*New!$LP$3)</f>
        <v>-3792.0426609077631</v>
      </c>
      <c r="R94" s="239" t="s">
        <v>669</v>
      </c>
      <c r="S94" s="239">
        <v>0</v>
      </c>
      <c r="U94" s="35">
        <v>0</v>
      </c>
      <c r="V94" s="35">
        <v>0</v>
      </c>
      <c r="W94" s="35">
        <v>0</v>
      </c>
      <c r="X94" s="35">
        <v>0</v>
      </c>
      <c r="Y94" s="35">
        <v>0</v>
      </c>
      <c r="AD94" s="35">
        <f>AVERAGE(_xlfn.ANCHORARRAY(Sheet3!R93))</f>
        <v>210.49362536262907</v>
      </c>
      <c r="AK94" s="35">
        <f>Sheet3!$DA93/(New!BM93*0.108*0.302)/3600</f>
        <v>1.2137761197655041</v>
      </c>
      <c r="AL94" s="35">
        <f>Sheet3!$DA93/(New!BN93*0.108*0.302)/3600</f>
        <v>1.2138098659690506</v>
      </c>
      <c r="AM94" s="35">
        <f>Sheet3!$DA93/(New!BO93*0.108*0.302)/3600</f>
        <v>1.1965046099884027</v>
      </c>
      <c r="AN94" s="35">
        <f>Sheet3!$DA93/(New!BP93*0.108*0.302)/3600</f>
        <v>1.1834851774202713</v>
      </c>
      <c r="AO94" s="35">
        <f>Sheet3!$DA93/(New!BQ93*0.108*0.302)/3600</f>
        <v>1.1656400286279567</v>
      </c>
      <c r="AP94" s="35">
        <f>Sheet3!$DA93/(New!BR93*0.108*0.302)/3600</f>
        <v>1.156207186549653</v>
      </c>
      <c r="AQ94" s="35">
        <f>Sheet3!$DA93/(New!BS93*0.108*0.302)/3600</f>
        <v>1.1458111490484377</v>
      </c>
      <c r="AR94" s="35">
        <f>Sheet3!$DA93/(New!BT93*0.108*0.302)/3600</f>
        <v>1.1336874132188099</v>
      </c>
      <c r="AS94" s="35">
        <f>Sheet3!$DA93/(New!BU93*0.108*0.302)/3600</f>
        <v>1.1205495301054449</v>
      </c>
    </row>
    <row r="95" spans="1:45" x14ac:dyDescent="0.3">
      <c r="A95" s="236" t="s">
        <v>673</v>
      </c>
      <c r="B95" s="236">
        <f>($U95*('Cooling water'!CO94+AVERAGE(_xlfn.ANCHORARRAY(Sheet3!R94))) -New!HU94*V95*(New!DO94-W95)) - ('Cooling water'!CO94*'Cooling water'!B94)</f>
        <v>-3190.2867608142838</v>
      </c>
      <c r="C95" s="236" t="s">
        <v>669</v>
      </c>
      <c r="D95" s="236">
        <v>0</v>
      </c>
      <c r="F95" s="237" t="s">
        <v>674</v>
      </c>
      <c r="G95" s="237">
        <f>((($W95*New!LI94)/1000)) - (EXP(New!$LP$6-((New!$LQ$6)/(U95+New!$LP$8))))</f>
        <v>-0.59115681624151806</v>
      </c>
      <c r="H95" s="237" t="s">
        <v>669</v>
      </c>
      <c r="I95" s="237">
        <v>0</v>
      </c>
      <c r="K95" s="238" t="s">
        <v>675</v>
      </c>
      <c r="L95" s="238">
        <f>($X95*LN((1-W95)/(1-New!DO94))) - ((1-$W95) - (1-New!DO94))</f>
        <v>-0.1535442104175827</v>
      </c>
      <c r="M95" s="238" t="s">
        <v>669</v>
      </c>
      <c r="N95" s="238">
        <v>0</v>
      </c>
      <c r="P95" s="239" t="s">
        <v>676</v>
      </c>
      <c r="Q95" s="239">
        <f>($V95*New!BV94*New!LH96/1000*$X95*New!B94) - (AVERAGE(_xlfn.ANCHORARRAY(Sheet3!R94))*New!$LP$3)</f>
        <v>-2361.317809814092</v>
      </c>
      <c r="R95" s="239" t="s">
        <v>669</v>
      </c>
      <c r="S95" s="239">
        <v>0</v>
      </c>
      <c r="U95" s="35">
        <v>0</v>
      </c>
      <c r="V95" s="35">
        <v>0</v>
      </c>
      <c r="W95" s="35">
        <v>0</v>
      </c>
      <c r="X95" s="35">
        <v>0</v>
      </c>
      <c r="Y95" s="35">
        <v>0</v>
      </c>
      <c r="AD95" s="35">
        <f>AVERAGE(_xlfn.ANCHORARRAY(Sheet3!R94))</f>
        <v>131.07509352284717</v>
      </c>
      <c r="AK95" s="35">
        <f>Sheet3!$DA94/(New!BM94*0.108*0.302)/3600</f>
        <v>1.5312171358247031</v>
      </c>
      <c r="AL95" s="35">
        <f>Sheet3!$DA94/(New!BN94*0.108*0.302)/3600</f>
        <v>1.5257704525541766</v>
      </c>
      <c r="AM95" s="35">
        <f>Sheet3!$DA94/(New!BO94*0.108*0.302)/3600</f>
        <v>1.4889555973888611</v>
      </c>
      <c r="AN95" s="35">
        <f>Sheet3!$DA94/(New!BP94*0.108*0.302)/3600</f>
        <v>1.4600325067140045</v>
      </c>
      <c r="AO95" s="35">
        <f>Sheet3!$DA94/(New!BQ94*0.108*0.302)/3600</f>
        <v>1.4256208380416944</v>
      </c>
      <c r="AP95" s="35">
        <f>Sheet3!$DA94/(New!BR94*0.108*0.302)/3600</f>
        <v>1.4054492448971814</v>
      </c>
      <c r="AQ95" s="35">
        <f>Sheet3!$DA94/(New!BS94*0.108*0.302)/3600</f>
        <v>1.3803182520368278</v>
      </c>
      <c r="AR95" s="35">
        <f>Sheet3!$DA94/(New!BT94*0.108*0.302)/3600</f>
        <v>1.360413498500465</v>
      </c>
      <c r="AS95" s="35">
        <f>Sheet3!$DA94/(New!BU94*0.108*0.302)/3600</f>
        <v>1.3343752421788886</v>
      </c>
    </row>
    <row r="96" spans="1:45" x14ac:dyDescent="0.3">
      <c r="A96" s="236" t="s">
        <v>673</v>
      </c>
      <c r="B96" s="236">
        <f>($U96*('Cooling water'!CO95+AVERAGE(_xlfn.ANCHORARRAY(Sheet3!R95))) -New!HU95*V96*(New!DO95-W96)) - ('Cooling water'!CO95*'Cooling water'!B95)</f>
        <v>-26607.242438869649</v>
      </c>
      <c r="C96" s="236" t="s">
        <v>669</v>
      </c>
      <c r="D96" s="236">
        <v>0</v>
      </c>
      <c r="F96" s="237" t="s">
        <v>674</v>
      </c>
      <c r="G96" s="237">
        <f>((($W96*New!LI95)/1000)) - (EXP(New!$LP$6-((New!$LQ$6)/(U96+New!$LP$8))))</f>
        <v>-0.59115681624151806</v>
      </c>
      <c r="H96" s="237" t="s">
        <v>669</v>
      </c>
      <c r="I96" s="237">
        <v>0</v>
      </c>
      <c r="K96" s="238" t="s">
        <v>675</v>
      </c>
      <c r="L96" s="238">
        <f>($X96*LN((1-W96)/(1-New!DO95))) - ((1-$W96) - (1-New!DO95))</f>
        <v>-0.15154765954106597</v>
      </c>
      <c r="M96" s="238" t="s">
        <v>669</v>
      </c>
      <c r="N96" s="238">
        <v>0</v>
      </c>
      <c r="P96" s="239" t="s">
        <v>676</v>
      </c>
      <c r="Q96" s="239">
        <f>($V96*New!BV95*New!LH97/1000*$X96*New!B95) - (AVERAGE(_xlfn.ANCHORARRAY(Sheet3!R95))*New!$LP$3)</f>
        <v>-4891.2446489817994</v>
      </c>
      <c r="R96" s="239" t="s">
        <v>669</v>
      </c>
      <c r="S96" s="239">
        <v>0</v>
      </c>
      <c r="U96" s="35">
        <v>0</v>
      </c>
      <c r="V96" s="35">
        <v>0</v>
      </c>
      <c r="W96" s="35">
        <v>0</v>
      </c>
      <c r="X96" s="35">
        <v>0</v>
      </c>
      <c r="Y96" s="35">
        <v>0</v>
      </c>
      <c r="AD96" s="35">
        <f>AVERAGE(_xlfn.ANCHORARRAY(Sheet3!R95))</f>
        <v>271.50955586909794</v>
      </c>
      <c r="AK96" s="35">
        <f>Sheet3!$DA95/(New!BM95*0.108*0.302)/3600</f>
        <v>3.802838059929222</v>
      </c>
      <c r="AL96" s="35">
        <f>Sheet3!$DA95/(New!BN95*0.108*0.302)/3600</f>
        <v>3.796408060101657</v>
      </c>
      <c r="AM96" s="35">
        <f>Sheet3!$DA95/(New!BO95*0.108*0.302)/3600</f>
        <v>3.7589896253738759</v>
      </c>
      <c r="AN96" s="35">
        <f>Sheet3!$DA95/(New!BP95*0.108*0.302)/3600</f>
        <v>3.7296154012520302</v>
      </c>
      <c r="AO96" s="35">
        <f>Sheet3!$DA95/(New!BQ95*0.108*0.302)/3600</f>
        <v>3.6859108240837091</v>
      </c>
      <c r="AP96" s="35">
        <f>Sheet3!$DA95/(New!BR95*0.108*0.302)/3600</f>
        <v>3.6708005443210965</v>
      </c>
      <c r="AQ96" s="35">
        <f>Sheet3!$DA95/(New!BS95*0.108*0.302)/3600</f>
        <v>3.6401146636657984</v>
      </c>
      <c r="AR96" s="35">
        <f>Sheet3!$DA95/(New!BT95*0.108*0.302)/3600</f>
        <v>3.6157455075372931</v>
      </c>
      <c r="AS96" s="35">
        <f>Sheet3!$DA95/(New!BU95*0.108*0.302)/3600</f>
        <v>3.5826873462156916</v>
      </c>
    </row>
    <row r="97" spans="1:45" x14ac:dyDescent="0.3">
      <c r="A97" s="236" t="s">
        <v>673</v>
      </c>
      <c r="B97" s="236">
        <f>($U97*('Cooling water'!CO96+AVERAGE(_xlfn.ANCHORARRAY(Sheet3!R96))) -New!HU96*V97*(New!DO96-W97)) - ('Cooling water'!CO96*'Cooling water'!B96)</f>
        <v>-3147.4076890877195</v>
      </c>
      <c r="C97" s="236" t="s">
        <v>669</v>
      </c>
      <c r="D97" s="236">
        <v>0</v>
      </c>
      <c r="F97" s="237" t="s">
        <v>674</v>
      </c>
      <c r="G97" s="237">
        <f>((($W97*New!LI96)/1000)) - (EXP(New!$LP$6-((New!$LQ$6)/(U97+New!$LP$8))))</f>
        <v>-0.59115681624151806</v>
      </c>
      <c r="H97" s="237" t="s">
        <v>669</v>
      </c>
      <c r="I97" s="237">
        <v>0</v>
      </c>
      <c r="K97" s="238" t="s">
        <v>675</v>
      </c>
      <c r="L97" s="238">
        <f>($X97*LN((1-W97)/(1-New!DO96))) - ((1-$W97) - (1-New!DO96))</f>
        <v>-0.14972635946767887</v>
      </c>
      <c r="M97" s="238" t="s">
        <v>669</v>
      </c>
      <c r="N97" s="238">
        <v>0</v>
      </c>
      <c r="P97" s="239" t="s">
        <v>676</v>
      </c>
      <c r="Q97" s="239">
        <f>($V97*New!BV96*New!LH98/1000*$X97*New!B96) - (AVERAGE(_xlfn.ANCHORARRAY(Sheet3!R96))*New!$LP$3)</f>
        <v>-2018.5300847758454</v>
      </c>
      <c r="R97" s="239" t="s">
        <v>669</v>
      </c>
      <c r="S97" s="239">
        <v>0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AD97" s="35">
        <f>AVERAGE(_xlfn.ANCHORARRAY(Sheet3!R96))</f>
        <v>112.04718760898392</v>
      </c>
      <c r="AK97" s="35">
        <f>Sheet3!$DA96/(New!BM96*0.108*0.302)/3600</f>
        <v>1.9194962669670943</v>
      </c>
      <c r="AL97" s="35">
        <f>Sheet3!$DA96/(New!BN96*0.108*0.302)/3600</f>
        <v>1.920318251443029</v>
      </c>
      <c r="AM97" s="35">
        <f>Sheet3!$DA96/(New!BO96*0.108*0.302)/3600</f>
        <v>1.8571885926806768</v>
      </c>
      <c r="AN97" s="35">
        <f>Sheet3!$DA96/(New!BP96*0.108*0.302)/3600</f>
        <v>1.8125800385065838</v>
      </c>
      <c r="AO97" s="35">
        <f>Sheet3!$DA96/(New!BQ96*0.108*0.302)/3600</f>
        <v>1.7514469144283014</v>
      </c>
      <c r="AP97" s="35">
        <f>Sheet3!$DA96/(New!BR96*0.108*0.302)/3600</f>
        <v>1.7277270202446284</v>
      </c>
      <c r="AQ97" s="35">
        <f>Sheet3!$DA96/(New!BS96*0.108*0.302)/3600</f>
        <v>1.6855585355415619</v>
      </c>
      <c r="AR97" s="35">
        <f>Sheet3!$DA96/(New!BT96*0.108*0.302)/3600</f>
        <v>1.6528938812364946</v>
      </c>
      <c r="AS97" s="35">
        <f>Sheet3!$DA96/(New!BU96*0.108*0.302)/3600</f>
        <v>1.6126900696642417</v>
      </c>
    </row>
    <row r="98" spans="1:45" x14ac:dyDescent="0.3">
      <c r="A98" s="236" t="s">
        <v>673</v>
      </c>
      <c r="B98" s="236">
        <f>($U98*('Cooling water'!CO97+AVERAGE(_xlfn.ANCHORARRAY(Sheet3!R97))) -New!HU97*V98*(New!DO97-W98)) - ('Cooling water'!CO97*'Cooling water'!B97)</f>
        <v>-12340.393871694438</v>
      </c>
      <c r="C98" s="236" t="s">
        <v>669</v>
      </c>
      <c r="D98" s="236">
        <v>0</v>
      </c>
      <c r="F98" s="237" t="s">
        <v>674</v>
      </c>
      <c r="G98" s="237">
        <f>((($W98*New!LI97)/1000)) - (EXP(New!$LP$6-((New!$LQ$6)/(U98+New!$LP$8))))</f>
        <v>-0.59115681624151806</v>
      </c>
      <c r="H98" s="237" t="s">
        <v>669</v>
      </c>
      <c r="I98" s="237">
        <v>0</v>
      </c>
      <c r="K98" s="238" t="s">
        <v>675</v>
      </c>
      <c r="L98" s="238">
        <f>($X98*LN((1-W98)/(1-New!DO97))) - ((1-$W98) - (1-New!DO97))</f>
        <v>-0.15100015341467987</v>
      </c>
      <c r="M98" s="238" t="s">
        <v>669</v>
      </c>
      <c r="N98" s="238">
        <v>0</v>
      </c>
      <c r="P98" s="239" t="s">
        <v>676</v>
      </c>
      <c r="Q98" s="239">
        <f>($V98*New!BV97*New!LH99/1000*$X98*New!B97) - (AVERAGE(_xlfn.ANCHORARRAY(Sheet3!R97))*New!$LP$3)</f>
        <v>-2555.3240334308034</v>
      </c>
      <c r="R98" s="239" t="s">
        <v>669</v>
      </c>
      <c r="S98" s="239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AD98" s="35">
        <f>AVERAGE(_xlfn.ANCHORARRAY(Sheet3!R97))</f>
        <v>141.84424276607291</v>
      </c>
      <c r="AK98" s="35">
        <f>Sheet3!$DA97/(New!BM97*0.108*0.302)/3600</f>
        <v>3.1926388796498375</v>
      </c>
      <c r="AL98" s="35">
        <f>Sheet3!$DA97/(New!BN97*0.108*0.302)/3600</f>
        <v>3.1912972293319926</v>
      </c>
      <c r="AM98" s="35">
        <f>Sheet3!$DA97/(New!BO97*0.108*0.302)/3600</f>
        <v>3.1068666145561221</v>
      </c>
      <c r="AN98" s="35">
        <f>Sheet3!$DA97/(New!BP97*0.108*0.302)/3600</f>
        <v>3.0502377374728145</v>
      </c>
      <c r="AO98" s="35">
        <f>Sheet3!$DA97/(New!BQ97*0.108*0.302)/3600</f>
        <v>2.969207063816</v>
      </c>
      <c r="AP98" s="35">
        <f>Sheet3!$DA97/(New!BR97*0.108*0.302)/3600</f>
        <v>2.9223765806336726</v>
      </c>
      <c r="AQ98" s="35">
        <f>Sheet3!$DA97/(New!BS97*0.108*0.302)/3600</f>
        <v>2.8708885366508028</v>
      </c>
      <c r="AR98" s="35">
        <f>Sheet3!$DA97/(New!BT97*0.108*0.302)/3600</f>
        <v>2.8249719444281904</v>
      </c>
      <c r="AS98" s="35">
        <f>Sheet3!$DA97/(New!BU97*0.108*0.302)/3600</f>
        <v>2.7683907048183007</v>
      </c>
    </row>
    <row r="99" spans="1:45" x14ac:dyDescent="0.3">
      <c r="A99" s="236" t="s">
        <v>673</v>
      </c>
      <c r="B99" s="236">
        <f>($U99*('Cooling water'!CO98+AVERAGE(_xlfn.ANCHORARRAY(Sheet3!R98))) -New!HU98*V99*(New!DO98-W99)) - ('Cooling water'!CO98*'Cooling water'!B98)</f>
        <v>-8880.4465619032362</v>
      </c>
      <c r="C99" s="236" t="s">
        <v>669</v>
      </c>
      <c r="D99" s="236">
        <v>0</v>
      </c>
      <c r="F99" s="237" t="s">
        <v>674</v>
      </c>
      <c r="G99" s="237">
        <f>((($W99*New!LI98)/1000)) - (EXP(New!$LP$6-((New!$LQ$6)/(U99+New!$LP$8))))</f>
        <v>-0.59115681624151806</v>
      </c>
      <c r="H99" s="237" t="s">
        <v>669</v>
      </c>
      <c r="I99" s="237">
        <v>0</v>
      </c>
      <c r="K99" s="238" t="s">
        <v>675</v>
      </c>
      <c r="L99" s="238">
        <f>($X99*LN((1-W99)/(1-New!DO98))) - ((1-$W99) - (1-New!DO98))</f>
        <v>-0.15223104996770953</v>
      </c>
      <c r="M99" s="238" t="s">
        <v>669</v>
      </c>
      <c r="N99" s="238">
        <v>0</v>
      </c>
      <c r="P99" s="239" t="s">
        <v>676</v>
      </c>
      <c r="Q99" s="239">
        <f>($V99*New!BV98*New!LH100/1000*$X99*New!B98) - (AVERAGE(_xlfn.ANCHORARRAY(Sheet3!R98))*New!$LP$3)</f>
        <v>-4411.6369972251478</v>
      </c>
      <c r="R99" s="239" t="s">
        <v>669</v>
      </c>
      <c r="S99" s="239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AD99" s="35">
        <f>AVERAGE(_xlfn.ANCHORARRAY(Sheet3!R98))</f>
        <v>244.88687189703845</v>
      </c>
      <c r="AK99" s="35">
        <f>Sheet3!$DA98/(New!BM98*0.108*0.302)/3600</f>
        <v>1.9156890668655679</v>
      </c>
      <c r="AL99" s="35">
        <f>Sheet3!$DA98/(New!BN98*0.108*0.302)/3600</f>
        <v>1.9155445027010694</v>
      </c>
      <c r="AM99" s="35">
        <f>Sheet3!$DA98/(New!BO98*0.108*0.302)/3600</f>
        <v>1.8930908909651796</v>
      </c>
      <c r="AN99" s="35">
        <f>Sheet3!$DA98/(New!BP98*0.108*0.302)/3600</f>
        <v>1.8746078787656468</v>
      </c>
      <c r="AO99" s="35">
        <f>Sheet3!$DA98/(New!BQ98*0.108*0.302)/3600</f>
        <v>1.8516089874272459</v>
      </c>
      <c r="AP99" s="35">
        <f>Sheet3!$DA98/(New!BR98*0.108*0.302)/3600</f>
        <v>1.8399962143319979</v>
      </c>
      <c r="AQ99" s="35">
        <f>Sheet3!$DA98/(New!BS98*0.108*0.302)/3600</f>
        <v>1.8226291500053682</v>
      </c>
      <c r="AR99" s="35">
        <f>Sheet3!$DA98/(New!BT98*0.108*0.302)/3600</f>
        <v>1.8070367401207974</v>
      </c>
      <c r="AS99" s="35">
        <f>Sheet3!$DA98/(New!BU98*0.108*0.302)/3600</f>
        <v>1.7917049466054129</v>
      </c>
    </row>
    <row r="100" spans="1:45" x14ac:dyDescent="0.3">
      <c r="A100" s="236" t="s">
        <v>673</v>
      </c>
      <c r="B100" s="236">
        <f>($U100*('Cooling water'!CO99+AVERAGE(_xlfn.ANCHORARRAY(Sheet3!R99))) -New!HU99*V100*(New!DO99-W100)) - ('Cooling water'!CO99*'Cooling water'!B99)</f>
        <v>-11291.975355020906</v>
      </c>
      <c r="C100" s="236" t="s">
        <v>669</v>
      </c>
      <c r="D100" s="236">
        <v>0</v>
      </c>
      <c r="F100" s="237" t="s">
        <v>674</v>
      </c>
      <c r="G100" s="237">
        <f>((($W100*New!LI99)/1000)) - (EXP(New!$LP$6-((New!$LQ$6)/(U100+New!$LP$8))))</f>
        <v>-0.59115681624151806</v>
      </c>
      <c r="H100" s="237" t="s">
        <v>669</v>
      </c>
      <c r="I100" s="237">
        <v>0</v>
      </c>
      <c r="K100" s="238" t="s">
        <v>675</v>
      </c>
      <c r="L100" s="238">
        <f>($X100*LN((1-W100)/(1-New!DO99))) - ((1-$W100) - (1-New!DO99))</f>
        <v>-0.14978261220927414</v>
      </c>
      <c r="M100" s="238" t="s">
        <v>669</v>
      </c>
      <c r="N100" s="238">
        <v>0</v>
      </c>
      <c r="P100" s="239" t="s">
        <v>676</v>
      </c>
      <c r="Q100" s="239">
        <f>($V100*New!BV99*New!LH101/1000*$X100*New!B99) - (AVERAGE(_xlfn.ANCHORARRAY(Sheet3!R99))*New!$LP$3)</f>
        <v>-2911.0207561197972</v>
      </c>
      <c r="R100" s="239" t="s">
        <v>669</v>
      </c>
      <c r="S100" s="239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0</v>
      </c>
      <c r="AD100" s="35">
        <f>AVERAGE(_xlfn.ANCHORARRAY(Sheet3!R99))</f>
        <v>161.58871807492628</v>
      </c>
      <c r="AK100" s="35">
        <f>Sheet3!$DA99/(New!BM99*0.108*0.302)/3600</f>
        <v>2.5980772806512116</v>
      </c>
      <c r="AL100" s="35">
        <f>Sheet3!$DA99/(New!BN99*0.108*0.302)/3600</f>
        <v>2.5930601293371138</v>
      </c>
      <c r="AM100" s="35">
        <f>Sheet3!$DA99/(New!BO99*0.108*0.302)/3600</f>
        <v>2.5497271186757064</v>
      </c>
      <c r="AN100" s="35">
        <f>Sheet3!$DA99/(New!BP99*0.108*0.302)/3600</f>
        <v>2.50845370779466</v>
      </c>
      <c r="AO100" s="35">
        <f>Sheet3!$DA99/(New!BQ99*0.108*0.302)/3600</f>
        <v>2.4564215356585133</v>
      </c>
      <c r="AP100" s="35">
        <f>Sheet3!$DA99/(New!BR99*0.108*0.302)/3600</f>
        <v>2.4304785099532937</v>
      </c>
      <c r="AQ100" s="35">
        <f>Sheet3!$DA99/(New!BS99*0.108*0.302)/3600</f>
        <v>2.3909754463903168</v>
      </c>
      <c r="AR100" s="35">
        <f>Sheet3!$DA99/(New!BT99*0.108*0.302)/3600</f>
        <v>2.3620713666462199</v>
      </c>
      <c r="AS100" s="35">
        <f>Sheet3!$DA99/(New!BU99*0.108*0.302)/3600</f>
        <v>2.3265804047270886</v>
      </c>
    </row>
    <row r="101" spans="1:45" x14ac:dyDescent="0.3">
      <c r="A101" s="236" t="s">
        <v>673</v>
      </c>
      <c r="B101" s="236">
        <f>($U101*('Cooling water'!CO100+AVERAGE(_xlfn.ANCHORARRAY(Sheet3!R100))) -New!HU100*V101*(New!DO100-W101)) - ('Cooling water'!CO100*'Cooling water'!B100)</f>
        <v>-19821.30016841886</v>
      </c>
      <c r="C101" s="236" t="s">
        <v>669</v>
      </c>
      <c r="D101" s="236">
        <v>0</v>
      </c>
      <c r="F101" s="237" t="s">
        <v>674</v>
      </c>
      <c r="G101" s="237">
        <f>((($W101*New!LI100)/1000)) - (EXP(New!$LP$6-((New!$LQ$6)/(U101+New!$LP$8))))</f>
        <v>-0.59115681624151806</v>
      </c>
      <c r="H101" s="237" t="s">
        <v>669</v>
      </c>
      <c r="I101" s="237">
        <v>0</v>
      </c>
      <c r="K101" s="238" t="s">
        <v>675</v>
      </c>
      <c r="L101" s="238">
        <f>($X101*LN((1-W101)/(1-New!DO100))) - ((1-$W101) - (1-New!DO100))</f>
        <v>-0.15189270296631463</v>
      </c>
      <c r="M101" s="238" t="s">
        <v>669</v>
      </c>
      <c r="N101" s="238">
        <v>0</v>
      </c>
      <c r="P101" s="239" t="s">
        <v>676</v>
      </c>
      <c r="Q101" s="239">
        <f>($V101*New!BV100*New!LH102/1000*$X101*New!B100) - (AVERAGE(_xlfn.ANCHORARRAY(Sheet3!R100))*New!$LP$3)</f>
        <v>-5155.162408046871</v>
      </c>
      <c r="R101" s="239" t="s">
        <v>669</v>
      </c>
      <c r="S101" s="239">
        <v>0</v>
      </c>
      <c r="U101" s="35">
        <v>0</v>
      </c>
      <c r="V101" s="35">
        <v>0</v>
      </c>
      <c r="W101" s="35">
        <v>0</v>
      </c>
      <c r="X101" s="35">
        <v>0</v>
      </c>
      <c r="Y101" s="35">
        <v>0</v>
      </c>
      <c r="AD101" s="35">
        <f>AVERAGE(_xlfn.ANCHORARRAY(Sheet3!R100))</f>
        <v>286.15944535369806</v>
      </c>
      <c r="AK101" s="35">
        <f>Sheet3!$DA100/(New!BM100*0.108*0.302)/3600</f>
        <v>3.7941994338185574</v>
      </c>
      <c r="AL101" s="35">
        <f>Sheet3!$DA100/(New!BN100*0.108*0.302)/3600</f>
        <v>3.7869248929008896</v>
      </c>
      <c r="AM101" s="35">
        <f>Sheet3!$DA100/(New!BO100*0.108*0.302)/3600</f>
        <v>3.7506922844404431</v>
      </c>
      <c r="AN101" s="35">
        <f>Sheet3!$DA100/(New!BP100*0.108*0.302)/3600</f>
        <v>3.7223583260823654</v>
      </c>
      <c r="AO101" s="35">
        <f>Sheet3!$DA100/(New!BQ100*0.108*0.302)/3600</f>
        <v>3.6855485338642673</v>
      </c>
      <c r="AP101" s="35">
        <f>Sheet3!$DA100/(New!BR100*0.108*0.302)/3600</f>
        <v>3.6609619613697073</v>
      </c>
      <c r="AQ101" s="35">
        <f>Sheet3!$DA100/(New!BS100*0.108*0.302)/3600</f>
        <v>3.6379701131283513</v>
      </c>
      <c r="AR101" s="35">
        <f>Sheet3!$DA100/(New!BT100*0.108*0.302)/3600</f>
        <v>3.605927438420109</v>
      </c>
      <c r="AS101" s="35">
        <f>Sheet3!$DA100/(New!BU100*0.108*0.302)/3600</f>
        <v>3.5867380578172874</v>
      </c>
    </row>
    <row r="102" spans="1:45" x14ac:dyDescent="0.3">
      <c r="A102" s="236" t="s">
        <v>673</v>
      </c>
      <c r="B102" s="236">
        <f>($U102*('Cooling water'!CO101+AVERAGE(_xlfn.ANCHORARRAY(Sheet3!R101))) -New!HU101*V102*(New!DO101-W102)) - ('Cooling water'!CO101*'Cooling water'!B101)</f>
        <v>-22786.449023855468</v>
      </c>
      <c r="C102" s="236" t="s">
        <v>669</v>
      </c>
      <c r="D102" s="236">
        <v>0</v>
      </c>
      <c r="F102" s="237" t="s">
        <v>674</v>
      </c>
      <c r="G102" s="237">
        <f>((($W102*New!LI101)/1000)) - (EXP(New!$LP$6-((New!$LQ$6)/(U102+New!$LP$8))))</f>
        <v>-0.59115681624151806</v>
      </c>
      <c r="H102" s="237" t="s">
        <v>669</v>
      </c>
      <c r="I102" s="237">
        <v>0</v>
      </c>
      <c r="K102" s="238" t="s">
        <v>675</v>
      </c>
      <c r="L102" s="238">
        <f>($X102*LN((1-W102)/(1-New!DO101))) - ((1-$W102) - (1-New!DO101))</f>
        <v>-0.14944930426008252</v>
      </c>
      <c r="M102" s="238" t="s">
        <v>669</v>
      </c>
      <c r="N102" s="238">
        <v>0</v>
      </c>
      <c r="P102" s="239" t="s">
        <v>676</v>
      </c>
      <c r="Q102" s="239">
        <f>($V102*New!BV101*New!LH103/1000*$X102*New!B101) - (AVERAGE(_xlfn.ANCHORARRAY(Sheet3!R101))*New!$LP$3)</f>
        <v>-3832.5733624612826</v>
      </c>
      <c r="R102" s="239" t="s">
        <v>669</v>
      </c>
      <c r="S102" s="239">
        <v>0</v>
      </c>
      <c r="U102" s="35">
        <v>0</v>
      </c>
      <c r="V102" s="35">
        <v>0</v>
      </c>
      <c r="W102" s="35">
        <v>0</v>
      </c>
      <c r="X102" s="35">
        <v>0</v>
      </c>
      <c r="Y102" s="35">
        <v>0</v>
      </c>
      <c r="AD102" s="35">
        <f>AVERAGE(_xlfn.ANCHORARRAY(Sheet3!R101))</f>
        <v>212.74345614550555</v>
      </c>
      <c r="AK102" s="35">
        <f>Sheet3!$DA101/(New!BM101*0.108*0.302)/3600</f>
        <v>5.0992485868857376</v>
      </c>
      <c r="AL102" s="35">
        <f>Sheet3!$DA101/(New!BN101*0.108*0.302)/3600</f>
        <v>5.0898058707108209</v>
      </c>
      <c r="AM102" s="35">
        <f>Sheet3!$DA101/(New!BO101*0.108*0.302)/3600</f>
        <v>5.0185449867581458</v>
      </c>
      <c r="AN102" s="35">
        <f>Sheet3!$DA101/(New!BP101*0.108*0.302)/3600</f>
        <v>4.9548127178102099</v>
      </c>
      <c r="AO102" s="35">
        <f>Sheet3!$DA101/(New!BQ101*0.108*0.302)/3600</f>
        <v>4.8749365805737401</v>
      </c>
      <c r="AP102" s="35">
        <f>Sheet3!$DA101/(New!BR101*0.108*0.302)/3600</f>
        <v>4.8276830520576066</v>
      </c>
      <c r="AQ102" s="35">
        <f>Sheet3!$DA101/(New!BS101*0.108*0.302)/3600</f>
        <v>4.7693928434031569</v>
      </c>
      <c r="AR102" s="35">
        <f>Sheet3!$DA101/(New!BT101*0.108*0.302)/3600</f>
        <v>4.7190530467216263</v>
      </c>
      <c r="AS102" s="35">
        <f>Sheet3!$DA101/(New!BU101*0.108*0.302)/3600</f>
        <v>4.6620974845814551</v>
      </c>
    </row>
    <row r="103" spans="1:45" x14ac:dyDescent="0.3">
      <c r="A103" s="236" t="s">
        <v>673</v>
      </c>
      <c r="B103" s="236">
        <f>($U103*('Cooling water'!CO102+AVERAGE(_xlfn.ANCHORARRAY(Sheet3!R102))) -New!HU102*V103*(New!DO102-W103)) - ('Cooling water'!CO102*'Cooling water'!B102)</f>
        <v>-26200.897616532038</v>
      </c>
      <c r="C103" s="236" t="s">
        <v>669</v>
      </c>
      <c r="D103" s="236">
        <v>0</v>
      </c>
      <c r="F103" s="237" t="s">
        <v>674</v>
      </c>
      <c r="G103" s="237">
        <f>((($W103*New!LI102)/1000)) - (EXP(New!$LP$6-((New!$LQ$6)/(U103+New!$LP$8))))</f>
        <v>-0.59115681624151806</v>
      </c>
      <c r="H103" s="237" t="s">
        <v>669</v>
      </c>
      <c r="I103" s="237">
        <v>0</v>
      </c>
      <c r="K103" s="238" t="s">
        <v>675</v>
      </c>
      <c r="L103" s="238">
        <f>($X103*LN((1-W103)/(1-New!DO102))) - ((1-$W103) - (1-New!DO102))</f>
        <v>-0.15318247754852943</v>
      </c>
      <c r="M103" s="238" t="s">
        <v>669</v>
      </c>
      <c r="N103" s="238">
        <v>0</v>
      </c>
      <c r="P103" s="239" t="s">
        <v>676</v>
      </c>
      <c r="Q103" s="239">
        <f>($V103*New!BV102*New!LH104/1000*$X103*New!B102) - (AVERAGE(_xlfn.ANCHORARRAY(Sheet3!R102))*New!$LP$3)</f>
        <v>-3352.8427543708649</v>
      </c>
      <c r="R103" s="239" t="s">
        <v>669</v>
      </c>
      <c r="S103" s="239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AD103" s="35">
        <f>AVERAGE(_xlfn.ANCHORARRAY(Sheet3!R102))</f>
        <v>186.11394695369773</v>
      </c>
      <c r="AK103" s="35">
        <f>Sheet3!$DA102/(New!BM102*0.108*0.302)/3600</f>
        <v>6.4153538973752022</v>
      </c>
      <c r="AL103" s="35">
        <f>Sheet3!$DA102/(New!BN102*0.108*0.302)/3600</f>
        <v>6.420935948608709</v>
      </c>
      <c r="AM103" s="35">
        <f>Sheet3!$DA102/(New!BO102*0.108*0.302)/3600</f>
        <v>6.3080071336723229</v>
      </c>
      <c r="AN103" s="35">
        <f>Sheet3!$DA102/(New!BP102*0.108*0.302)/3600</f>
        <v>6.204264573892698</v>
      </c>
      <c r="AO103" s="35">
        <f>Sheet3!$DA102/(New!BQ102*0.108*0.302)/3600</f>
        <v>6.0733491122713579</v>
      </c>
      <c r="AP103" s="35">
        <f>Sheet3!$DA102/(New!BR102*0.108*0.302)/3600</f>
        <v>5.9937297588645544</v>
      </c>
      <c r="AQ103" s="35">
        <f>Sheet3!$DA102/(New!BS102*0.108*0.302)/3600</f>
        <v>5.8864969253540878</v>
      </c>
      <c r="AR103" s="35">
        <f>Sheet3!$DA102/(New!BT102*0.108*0.302)/3600</f>
        <v>5.8241075480954239</v>
      </c>
      <c r="AS103" s="35">
        <f>Sheet3!$DA102/(New!BU102*0.108*0.302)/3600</f>
        <v>5.7329894374412538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938CC-ED5E-4C8E-9601-1DD94740749D}">
  <sheetPr codeName="Sheet6"/>
  <dimension ref="A1:BA10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3" sqref="L3"/>
    </sheetView>
  </sheetViews>
  <sheetFormatPr defaultRowHeight="14.4" x14ac:dyDescent="0.3"/>
  <cols>
    <col min="1" max="1" width="13.109375" style="172" customWidth="1"/>
    <col min="2" max="10" width="11.5546875" style="172" customWidth="1"/>
    <col min="11" max="11" width="11.5546875" style="183" bestFit="1" customWidth="1"/>
    <col min="12" max="19" width="11.5546875" style="183" customWidth="1"/>
    <col min="20" max="20" width="11.5546875" style="183" bestFit="1" customWidth="1"/>
    <col min="21" max="28" width="11.5546875" style="183" customWidth="1"/>
    <col min="29" max="29" width="11.5546875" style="183" bestFit="1" customWidth="1"/>
    <col min="30" max="37" width="11.5546875" style="183" customWidth="1"/>
    <col min="38" max="38" width="11.5546875" style="183" bestFit="1" customWidth="1"/>
    <col min="39" max="39" width="9.5546875" style="183" customWidth="1"/>
    <col min="40" max="40" width="9.6640625" style="183" customWidth="1"/>
    <col min="41" max="41" width="9.88671875" style="183" customWidth="1"/>
    <col min="42" max="42" width="10.5546875" style="183" customWidth="1"/>
    <col min="43" max="45" width="8.88671875" style="183"/>
    <col min="46" max="46" width="13.44140625" style="183" customWidth="1"/>
    <col min="47" max="53" width="15.6640625" style="183" bestFit="1" customWidth="1"/>
    <col min="54" max="16384" width="8.88671875" style="183"/>
  </cols>
  <sheetData>
    <row r="1" spans="1:53" s="172" customFormat="1" ht="43.2" x14ac:dyDescent="0.3">
      <c r="A1" s="241" t="s">
        <v>194</v>
      </c>
      <c r="B1" s="247" t="s">
        <v>686</v>
      </c>
      <c r="C1" s="278" t="s">
        <v>719</v>
      </c>
      <c r="D1" s="278" t="s">
        <v>720</v>
      </c>
      <c r="E1" s="278" t="s">
        <v>721</v>
      </c>
      <c r="F1" s="278" t="s">
        <v>722</v>
      </c>
      <c r="G1" s="278" t="s">
        <v>723</v>
      </c>
      <c r="H1" s="278" t="s">
        <v>724</v>
      </c>
      <c r="I1" s="278" t="s">
        <v>725</v>
      </c>
      <c r="J1" s="278" t="s">
        <v>726</v>
      </c>
      <c r="K1" s="244" t="s">
        <v>671</v>
      </c>
      <c r="L1" s="280" t="s">
        <v>735</v>
      </c>
      <c r="M1" s="280" t="s">
        <v>736</v>
      </c>
      <c r="N1" s="280" t="s">
        <v>737</v>
      </c>
      <c r="O1" s="280" t="s">
        <v>738</v>
      </c>
      <c r="P1" s="280" t="s">
        <v>739</v>
      </c>
      <c r="Q1" s="280" t="s">
        <v>740</v>
      </c>
      <c r="R1" s="280" t="s">
        <v>741</v>
      </c>
      <c r="S1" s="280" t="s">
        <v>742</v>
      </c>
      <c r="T1" s="244" t="s">
        <v>670</v>
      </c>
      <c r="U1" s="241" t="s">
        <v>691</v>
      </c>
      <c r="V1" s="241" t="s">
        <v>692</v>
      </c>
      <c r="W1" s="241" t="s">
        <v>693</v>
      </c>
      <c r="X1" s="241" t="s">
        <v>694</v>
      </c>
      <c r="Y1" s="241" t="s">
        <v>695</v>
      </c>
      <c r="Z1" s="241" t="s">
        <v>696</v>
      </c>
      <c r="AA1" s="241" t="s">
        <v>697</v>
      </c>
      <c r="AB1" s="241" t="s">
        <v>698</v>
      </c>
      <c r="AC1" s="244" t="s">
        <v>684</v>
      </c>
      <c r="AD1" s="279" t="s">
        <v>727</v>
      </c>
      <c r="AE1" s="279" t="s">
        <v>728</v>
      </c>
      <c r="AF1" s="279" t="s">
        <v>729</v>
      </c>
      <c r="AG1" s="279" t="s">
        <v>730</v>
      </c>
      <c r="AH1" s="279" t="s">
        <v>731</v>
      </c>
      <c r="AI1" s="279" t="s">
        <v>732</v>
      </c>
      <c r="AJ1" s="279" t="s">
        <v>733</v>
      </c>
      <c r="AK1" s="279" t="s">
        <v>734</v>
      </c>
      <c r="AL1" s="242" t="s">
        <v>685</v>
      </c>
      <c r="AM1" s="172" t="s">
        <v>350</v>
      </c>
      <c r="AN1" s="172" t="s">
        <v>351</v>
      </c>
      <c r="AO1" s="172" t="s">
        <v>352</v>
      </c>
      <c r="AP1" s="172" t="s">
        <v>353</v>
      </c>
      <c r="AQ1" s="172" t="s">
        <v>354</v>
      </c>
      <c r="AR1" s="172" t="s">
        <v>355</v>
      </c>
      <c r="AS1" s="172" t="s">
        <v>356</v>
      </c>
      <c r="AT1" s="172" t="s">
        <v>357</v>
      </c>
      <c r="AU1" s="242" t="s">
        <v>699</v>
      </c>
    </row>
    <row r="2" spans="1:53" ht="16.8" x14ac:dyDescent="0.3">
      <c r="A2" s="261">
        <f>Sheet3!A2</f>
        <v>44888</v>
      </c>
      <c r="B2" s="248">
        <f>EXP(New!$LP$6-((New!$LQ$6)/(AC2+New!$LP$8)))/New!$LS$2</f>
        <v>0.20982782008612158</v>
      </c>
      <c r="C2" s="312">
        <f>EXP(New!$LP$6-((New!$LQ$6)/(AD2+New!$LP$8)))/New!$LS$2</f>
        <v>0.23683438000075113</v>
      </c>
      <c r="D2" s="312">
        <f>EXP(New!$LP$6-((New!$LQ$6)/(AE2+New!$LP$8)))/New!$LS$2</f>
        <v>0.22760408462974419</v>
      </c>
      <c r="E2" s="312">
        <f>EXP(New!$LP$6-((New!$LQ$6)/(AF2+New!$LP$8)))/New!$LS$2</f>
        <v>0.24772096243832048</v>
      </c>
      <c r="F2" s="312">
        <f>EXP(New!$LP$6-((New!$LQ$6)/(AG2+New!$LP$8)))/New!$LS$2</f>
        <v>0.23188367381329622</v>
      </c>
      <c r="G2" s="312">
        <f>EXP(New!$LP$6-((New!$LQ$6)/(AH2+New!$LP$8)))/New!$LS$2</f>
        <v>0.21462652837573223</v>
      </c>
      <c r="H2" s="312">
        <f>EXP(New!$LP$6-((New!$LQ$6)/(AI2+New!$LP$8)))/New!$LS$2</f>
        <v>0.19615034347877711</v>
      </c>
      <c r="I2" s="312">
        <f>EXP(New!$LP$6-((New!$LQ$6)/(AJ2+New!$LP$8)))/New!$LS$2</f>
        <v>0.17778343573773031</v>
      </c>
      <c r="J2" s="312">
        <f>EXP(New!$LP$6-((New!$LQ$6)/(AK2+New!$LP$8)))/New!$LS$2</f>
        <v>0.16014676092881375</v>
      </c>
      <c r="K2" s="245">
        <f>((New!FH2*New!$LP$3*LN((1-B2)/(1-New!DO2))) / (New!BV2*1000*New!$LQ$3*(1-B2-1+New!DO2)*New!B2^(2/3)))</f>
        <v>5.6994997153571682E-2</v>
      </c>
      <c r="L2" s="4">
        <f>((New!FI2*New!$LP$3*LN((1-C2)/(1-New!DP2))) / (New!BW2*1000*New!$LQ$3*(1-C2-1+New!DP2)*New!C2^(2/3)))</f>
        <v>5.8021005579000771E-2</v>
      </c>
      <c r="M2" s="4">
        <f>((New!FJ2*New!$LP$3*LN((1-D2)/(1-New!DQ2))) / (New!BX2*1000*New!$LQ$3*(1-D2-1+New!DQ2)*New!D2^(2/3)))</f>
        <v>5.7616413578187323E-2</v>
      </c>
      <c r="N2" s="4">
        <f>((New!FK2*New!$LP$3*LN((1-E2)/(1-New!DR2))) / (New!BY2*1000*New!$LQ$3*(1-E2-1+New!DR2)*New!E2^(2/3)))</f>
        <v>5.8443667261767036E-2</v>
      </c>
      <c r="O2" s="4">
        <f>((New!FL2*New!$LP$3*LN((1-F2)/(1-New!DS2))) / (New!BZ2*1000*New!$LQ$3*(1-F2-1+New!DS2)*New!F2^(2/3)))</f>
        <v>5.7769294966128468E-2</v>
      </c>
      <c r="P2" s="4">
        <f>((New!FM2*New!$LP$3*LN((1-G2)/(1-New!DT2))) / (New!CA2*1000*New!$LQ$3*(1-G2-1+New!DT2)*New!G2^(2/3)))</f>
        <v>5.7124673908874914E-2</v>
      </c>
      <c r="Q2" s="4">
        <f>((New!FN2*New!$LP$3*LN((1-H2)/(1-New!DU2))) / (New!CB2*1000*New!$LQ$3*(1-H2-1+New!DU2)*New!H2^(2/3)))</f>
        <v>5.6341907399192301E-2</v>
      </c>
      <c r="R2" s="4">
        <f>((New!FO2*New!$LP$3*LN((1-I2)/(1-New!DV2))) / (New!CC2*1000*New!$LQ$3*(1-I2-1+New!DV2)*New!I2^(2/3)))</f>
        <v>5.5769299611994595E-2</v>
      </c>
      <c r="S2" s="4">
        <f>((New!FP2*New!$LP$3*LN((1-J2)/(1-New!DW2))) / (New!CD2*1000*New!$LQ$3*(1-J2-1+New!DW2)*New!J2^(2/3)))</f>
        <v>5.5007866141947123E-2</v>
      </c>
      <c r="T2" s="245">
        <f>(New!FH2*Sheet3!DF2+New!HU2*1000*K2*(New!DO2-B2)+'Cooling water'!CO2*'Cooling water'!B2) / (New!FH2+'Cooling water'!CO2)</f>
        <v>64.672120946685524</v>
      </c>
      <c r="U2" s="4">
        <f>(New!FI2*Sheet3!BZ2+New!HV2*1000*L2*(New!DP2-C2)+Sheet3!CI2*'Cooling water'!CP2) / (New!FI2+'Cooling water'!CP2)</f>
        <v>62.587290756771644</v>
      </c>
      <c r="V2" s="4">
        <f>(New!FJ2*Sheet3!CA2+New!HW2*1000*M2*(New!DQ2-D2)+Sheet3!CJ2*'Cooling water'!CQ2) / (New!FJ2+'Cooling water'!CQ2)</f>
        <v>62.144793473137256</v>
      </c>
      <c r="W2" s="4">
        <f>(New!FK2*Sheet3!CB2+New!HX2*1000*N2*(New!DR2-E2)+Sheet3!CK2*'Cooling water'!CR2) / (New!FK2+'Cooling water'!CR2)</f>
        <v>58.38446997382357</v>
      </c>
      <c r="X2" s="4">
        <f>(New!FL2*Sheet3!CC2+New!HY2*1000*O2*(New!DS2-F2)+Sheet3!CL2*'Cooling water'!CS2) / (New!FL2+'Cooling water'!CS2)</f>
        <v>76.940955759751006</v>
      </c>
      <c r="Y2" s="4">
        <f>(New!FM2*Sheet3!CD2+New!HZ2*1000*P2*(New!DT2-G2)+Sheet3!CM2*'Cooling water'!CT2) / (New!FM2+'Cooling water'!CT2)</f>
        <v>77.263078382878007</v>
      </c>
      <c r="Z2" s="4">
        <f>(New!FN2*Sheet3!CE2+New!IA2*1000*Q2*(New!DU2-H2)+Sheet3!CN2*'Cooling water'!CU2) / (New!FN2+'Cooling water'!CU2)</f>
        <v>77.217669981738283</v>
      </c>
      <c r="AA2" s="4">
        <f>(New!FO2*Sheet3!CF2+New!IB2*1000*R2*(New!DV2-I2)+Sheet3!CO2*'Cooling water'!CV2) / (New!FO2+'Cooling water'!CV2)</f>
        <v>77.147625505042043</v>
      </c>
      <c r="AB2" s="4">
        <f>(New!FP2*Sheet3!CG2+New!IC2*1000*S2*(New!DW2-J2)+Sheet3!CP2*'Cooling water'!CW2) / (New!FP2+'Cooling water'!CW2)</f>
        <v>76.786357979621158</v>
      </c>
      <c r="AC2" s="245">
        <f>AVERAGE(AD2:AK2)</f>
        <v>61.408516125000006</v>
      </c>
      <c r="AD2" s="311">
        <v>64.071298999999996</v>
      </c>
      <c r="AE2" s="311">
        <v>63.191581999999997</v>
      </c>
      <c r="AF2" s="311">
        <v>65.072293000000002</v>
      </c>
      <c r="AG2" s="311">
        <v>63.603147</v>
      </c>
      <c r="AH2" s="311">
        <v>61.902112000000002</v>
      </c>
      <c r="AI2" s="311">
        <v>59.947107000000003</v>
      </c>
      <c r="AJ2" s="311">
        <v>57.841977999999997</v>
      </c>
      <c r="AK2" s="311">
        <v>55.638610999999997</v>
      </c>
      <c r="AL2" s="243">
        <f>AVERAGE(Sheet3!BR2:BY2)</f>
        <v>43.372877995369279</v>
      </c>
      <c r="AM2" s="183" cm="1">
        <f t="array" ref="AM2:AT2">TRANSPOSE('[1]Keithley Measurments'!$W$6:$W$13)</f>
        <v>49.995803045410419</v>
      </c>
      <c r="AN2" s="183">
        <v>51.309438193788587</v>
      </c>
      <c r="AO2" s="183">
        <v>48.553106797074555</v>
      </c>
      <c r="AP2" s="183">
        <v>44.21359779311198</v>
      </c>
      <c r="AQ2" s="183">
        <v>42.362407103371879</v>
      </c>
      <c r="AR2" s="183">
        <v>40.647585109263403</v>
      </c>
      <c r="AS2" s="183">
        <v>36.551029259502847</v>
      </c>
      <c r="AT2" s="183">
        <v>33.350056661430557</v>
      </c>
      <c r="AU2" s="183">
        <f t="shared" ref="AU2:AU32" si="0">AC2-AL2</f>
        <v>18.035638129630726</v>
      </c>
      <c r="AV2" s="260"/>
      <c r="AW2" s="172" t="s">
        <v>700</v>
      </c>
      <c r="AX2" s="281"/>
      <c r="AY2" s="281"/>
      <c r="AZ2" s="281"/>
      <c r="BA2" s="281"/>
    </row>
    <row r="3" spans="1:53" ht="16.8" x14ac:dyDescent="0.3">
      <c r="A3" s="282" t="str">
        <f>Sheet3!A3</f>
        <v>2022.11.24-1</v>
      </c>
      <c r="B3" s="248">
        <f>EXP(New!$LP$6-((New!$LQ$6)/(AC3+New!$LP$8)))/New!$LS$2</f>
        <v>0.10975330822085544</v>
      </c>
      <c r="C3" s="312">
        <f>EXP(New!$LP$6-((New!$LQ$6)/(AD3+New!$LP$8)))/New!$LS$2</f>
        <v>0.12560136148513404</v>
      </c>
      <c r="D3" s="312">
        <f>EXP(New!$LP$6-((New!$LQ$6)/(AE3+New!$LP$8)))/New!$LS$2</f>
        <v>0.11926027222733947</v>
      </c>
      <c r="E3" s="312">
        <f>EXP(New!$LP$6-((New!$LQ$6)/(AF3+New!$LP$8)))/New!$LS$2</f>
        <v>0.11302782510924637</v>
      </c>
      <c r="F3" s="312">
        <f>EXP(New!$LP$6-((New!$LQ$6)/(AG3+New!$LP$8)))/New!$LS$2</f>
        <v>0.10707207596921813</v>
      </c>
      <c r="G3" s="312">
        <f>EXP(New!$LP$6-((New!$LQ$6)/(AH3+New!$LP$8)))/New!$LS$2</f>
        <v>0.10142912683788158</v>
      </c>
      <c r="H3" s="312">
        <f>EXP(New!$LP$6-((New!$LQ$6)/(AI3+New!$LP$8)))/New!$LS$2</f>
        <v>9.6312730806872651E-2</v>
      </c>
      <c r="I3" s="312">
        <f>EXP(New!$LP$6-((New!$LQ$6)/(AJ3+New!$LP$8)))/New!$LS$2</f>
        <v>0.11371982131641169</v>
      </c>
      <c r="J3" s="312">
        <f>EXP(New!$LP$6-((New!$LQ$6)/(AK3+New!$LP$8)))/New!$LS$2</f>
        <v>0.10413990239215808</v>
      </c>
      <c r="K3" s="245">
        <f>((New!FH3*New!$LP$3*LN((1-B3)/(1-New!DO3))) / (New!BV3*1000*New!$LQ$3*(1-B3-1+New!DO3)*New!B3^(2/3)))</f>
        <v>6.4867599233723885E-2</v>
      </c>
      <c r="L3" s="4">
        <f>((New!FI3*New!$LP$3*LN((1-C3)/(1-New!DP3))) / (New!BW3*1000*New!$LQ$3*(1-C3-1+New!DP3)*New!C3^(2/3)))</f>
        <v>6.5472452781408216E-2</v>
      </c>
      <c r="M3" s="4">
        <f>((New!FJ3*New!$LP$3*LN((1-D3)/(1-New!DQ3))) / (New!BX3*1000*New!$LQ$3*(1-D3-1+New!DQ3)*New!D3^(2/3)))</f>
        <v>6.519182849061983E-2</v>
      </c>
      <c r="N3" s="4">
        <f>((New!FK3*New!$LP$3*LN((1-E3)/(1-New!DR3))) / (New!BY3*1000*New!$LQ$3*(1-E3-1+New!DR3)*New!E3^(2/3)))</f>
        <v>6.4991115760559576E-2</v>
      </c>
      <c r="O3" s="4">
        <f>((New!FL3*New!$LP$3*LN((1-F3)/(1-New!DS3))) / (New!BZ3*1000*New!$LQ$3*(1-F3-1+New!DS3)*New!F3^(2/3)))</f>
        <v>6.4719238850358546E-2</v>
      </c>
      <c r="P3" s="4">
        <f>((New!FM3*New!$LP$3*LN((1-G3)/(1-New!DT3))) / (New!CA3*1000*New!$LQ$3*(1-G3-1+New!DT3)*New!G3^(2/3)))</f>
        <v>6.4530916862150969E-2</v>
      </c>
      <c r="Q3" s="4">
        <f>((New!FN3*New!$LP$3*LN((1-H3)/(1-New!DU3))) / (New!CB3*1000*New!$LQ$3*(1-H3-1+New!DU3)*New!H3^(2/3)))</f>
        <v>6.4303791921823353E-2</v>
      </c>
      <c r="R3" s="4">
        <f>((New!FO3*New!$LP$3*LN((1-I3)/(1-New!DV3))) / (New!CC3*1000*New!$LQ$3*(1-I3-1+New!DV3)*New!I3^(2/3)))</f>
        <v>6.4987487451530726E-2</v>
      </c>
      <c r="S3" s="4">
        <f>((New!FP3*New!$LP$3*LN((1-J3)/(1-New!DW3))) / (New!CD3*1000*New!$LQ$3*(1-J3-1+New!DW3)*New!J3^(2/3)))</f>
        <v>6.4592641998895819E-2</v>
      </c>
      <c r="T3" s="245">
        <f>(New!FH3*Sheet3!DF3+New!HU3*1000*K3*(New!DO3-B3)+'Cooling water'!CO3*'Cooling water'!B3) / (New!FH3+'Cooling water'!CO3)</f>
        <v>70.366530706898274</v>
      </c>
      <c r="U3" s="4">
        <f>(New!FI3*Sheet3!BZ3+New!HV3*1000*L3*(New!DP3-C3)+Sheet3!CI3*'Cooling water'!CP3) / (New!FI3+'Cooling water'!CP3)</f>
        <v>49.544195885673027</v>
      </c>
      <c r="V3" s="4">
        <f>(New!FJ3*Sheet3!CA3+New!HW3*1000*M3*(New!DQ3-D3)+Sheet3!CJ3*'Cooling water'!CQ3) / (New!FJ3+'Cooling water'!CQ3)</f>
        <v>48.776905374206393</v>
      </c>
      <c r="W3" s="4">
        <f>(New!FK3*Sheet3!CB3+New!HX3*1000*N3*(New!DR3-E3)+Sheet3!CK3*'Cooling water'!CR3) / (New!FK3+'Cooling water'!CR3)</f>
        <v>48.017904826769644</v>
      </c>
      <c r="X3" s="4">
        <f>(New!FL3*Sheet3!CC3+New!HY3*1000*O3*(New!DS3-F3)+Sheet3!CL3*'Cooling water'!CS3) / (New!FL3+'Cooling water'!CS3)</f>
        <v>47.268696366842249</v>
      </c>
      <c r="Y3" s="4">
        <f>(New!FM3*Sheet3!CD3+New!HZ3*1000*P3*(New!DT3-G3)+Sheet3!CM3*'Cooling water'!CT3) / (New!FM3+'Cooling water'!CT3)</f>
        <v>46.644942938116664</v>
      </c>
      <c r="Z3" s="4">
        <f>(New!FN3*Sheet3!CE3+New!IA3*1000*Q3*(New!DU3-H3)+Sheet3!CN3*'Cooling water'!CU3) / (New!FN3+'Cooling water'!CU3)</f>
        <v>45.973773378244779</v>
      </c>
      <c r="AA3" s="4">
        <f>(New!FO3*Sheet3!CF3+New!IB3*1000*R3*(New!DV3-I3)+Sheet3!CO3*'Cooling water'!CV3) / (New!FO3+'Cooling water'!CV3)</f>
        <v>43.116029586581966</v>
      </c>
      <c r="AB3" s="4">
        <f>(New!FP3*Sheet3!CG3+New!IC3*1000*S3*(New!DW3-J3)+Sheet3!CP3*'Cooling water'!CW3) / (New!FP3+'Cooling water'!CW3)</f>
        <v>70.103829631210189</v>
      </c>
      <c r="AC3" s="245">
        <f t="shared" ref="AC3:AC66" si="1">AVERAGE(AD3:AK3)</f>
        <v>47.947172500000001</v>
      </c>
      <c r="AD3" s="311">
        <v>50.644052000000002</v>
      </c>
      <c r="AE3" s="311">
        <v>49.601967000000002</v>
      </c>
      <c r="AF3" s="311">
        <v>48.530515999999999</v>
      </c>
      <c r="AG3" s="311">
        <v>47.458325000000002</v>
      </c>
      <c r="AH3" s="311">
        <v>46.394267999999997</v>
      </c>
      <c r="AI3" s="311">
        <v>45.384731000000002</v>
      </c>
      <c r="AJ3" s="311">
        <v>48.651938999999999</v>
      </c>
      <c r="AK3" s="311">
        <v>46.911582000000003</v>
      </c>
      <c r="AL3" s="243">
        <f>AVERAGE(Sheet3!BR3:BY3)</f>
        <v>34.864665987479789</v>
      </c>
      <c r="AM3" s="183" cm="1">
        <f t="array" ref="AM3:AT3">TRANSPOSE('[3]Keithley Matavimai'!$W$6:$W$13)</f>
        <v>43.152355372794752</v>
      </c>
      <c r="AN3" s="183">
        <v>39.104120649667827</v>
      </c>
      <c r="AO3" s="183">
        <v>37.451917052761111</v>
      </c>
      <c r="AP3" s="183">
        <v>33.72065681962539</v>
      </c>
      <c r="AQ3" s="183">
        <v>33.590042553793957</v>
      </c>
      <c r="AR3" s="183">
        <v>33.090341690060292</v>
      </c>
      <c r="AS3" s="183">
        <v>31.301956273371971</v>
      </c>
      <c r="AT3" s="183">
        <v>27.50593748776306</v>
      </c>
      <c r="AU3" s="183">
        <f t="shared" si="0"/>
        <v>13.082506512520212</v>
      </c>
      <c r="AX3" s="281"/>
      <c r="AY3" s="281"/>
      <c r="AZ3" s="281"/>
      <c r="BA3" s="281"/>
    </row>
    <row r="4" spans="1:53" ht="16.8" x14ac:dyDescent="0.3">
      <c r="A4" s="282" t="str">
        <f>Sheet3!A4</f>
        <v>2022.11.24-2</v>
      </c>
      <c r="B4" s="248">
        <f>EXP(New!$LP$6-((New!$LQ$6)/(AC4+New!$LP$8)))/New!$LS$2</f>
        <v>0.11158060304385156</v>
      </c>
      <c r="C4" s="312">
        <f>EXP(New!$LP$6-((New!$LQ$6)/(AD4+New!$LP$8)))/New!$LS$2</f>
        <v>0.12823461125256294</v>
      </c>
      <c r="D4" s="312">
        <f>EXP(New!$LP$6-((New!$LQ$6)/(AE4+New!$LP$8)))/New!$LS$2</f>
        <v>0.12159125228267473</v>
      </c>
      <c r="E4" s="312">
        <f>EXP(New!$LP$6-((New!$LQ$6)/(AF4+New!$LP$8)))/New!$LS$2</f>
        <v>0.11493275843284413</v>
      </c>
      <c r="F4" s="312">
        <f>EXP(New!$LP$6-((New!$LQ$6)/(AG4+New!$LP$8)))/New!$LS$2</f>
        <v>0.10869245133556976</v>
      </c>
      <c r="G4" s="312">
        <f>EXP(New!$LP$6-((New!$LQ$6)/(AH4+New!$LP$8)))/New!$LS$2</f>
        <v>0.10308022163251351</v>
      </c>
      <c r="H4" s="312">
        <f>EXP(New!$LP$6-((New!$LQ$6)/(AI4+New!$LP$8)))/New!$LS$2</f>
        <v>9.772178489386274E-2</v>
      </c>
      <c r="I4" s="312">
        <f>EXP(New!$LP$6-((New!$LQ$6)/(AJ4+New!$LP$8)))/New!$LS$2</f>
        <v>0.11552071566762752</v>
      </c>
      <c r="J4" s="312">
        <f>EXP(New!$LP$6-((New!$LQ$6)/(AK4+New!$LP$8)))/New!$LS$2</f>
        <v>0.10557473650171116</v>
      </c>
      <c r="K4" s="245">
        <f>((New!FH4*New!$LP$3*LN((1-B4)/(1-New!DO4))) / (New!BV4*1000*New!$LQ$3*(1-B4-1+New!DO4)*New!B4^(2/3)))</f>
        <v>6.489697073092969E-2</v>
      </c>
      <c r="L4" s="4">
        <f>((New!FI4*New!$LP$3*LN((1-C4)/(1-New!DP4))) / (New!BW4*1000*New!$LQ$3*(1-C4-1+New!DP4)*New!C4^(2/3)))</f>
        <v>6.5530017071577989E-2</v>
      </c>
      <c r="M4" s="4">
        <f>((New!FJ4*New!$LP$3*LN((1-D4)/(1-New!DQ4))) / (New!BX4*1000*New!$LQ$3*(1-D4-1+New!DQ4)*New!D4^(2/3)))</f>
        <v>6.5232736447340969E-2</v>
      </c>
      <c r="N4" s="4">
        <f>((New!FK4*New!$LP$3*LN((1-E4)/(1-New!DR4))) / (New!BY4*1000*New!$LQ$3*(1-E4-1+New!DR4)*New!E4^(2/3)))</f>
        <v>6.5000263623328891E-2</v>
      </c>
      <c r="O4" s="4">
        <f>((New!FL4*New!$LP$3*LN((1-F4)/(1-New!DS4))) / (New!BZ4*1000*New!$LQ$3*(1-F4-1+New!DS4)*New!F4^(2/3)))</f>
        <v>6.4728078734333255E-2</v>
      </c>
      <c r="P4" s="4">
        <f>((New!FM4*New!$LP$3*LN((1-G4)/(1-New!DT4))) / (New!CA4*1000*New!$LQ$3*(1-G4-1+New!DT4)*New!G4^(2/3)))</f>
        <v>6.4535816556139991E-2</v>
      </c>
      <c r="Q4" s="4">
        <f>((New!FN4*New!$LP$3*LN((1-H4)/(1-New!DU4))) / (New!CB4*1000*New!$LQ$3*(1-H4-1+New!DU4)*New!H4^(2/3)))</f>
        <v>6.4305007122133953E-2</v>
      </c>
      <c r="R4" s="4">
        <f>((New!FO4*New!$LP$3*LN((1-I4)/(1-New!DV4))) / (New!CC4*1000*New!$LQ$3*(1-I4-1+New!DV4)*New!I4^(2/3)))</f>
        <v>6.4999750748771443E-2</v>
      </c>
      <c r="S4" s="4">
        <f>((New!FP4*New!$LP$3*LN((1-J4)/(1-New!DW4))) / (New!CD4*1000*New!$LQ$3*(1-J4-1+New!DW4)*New!J4^(2/3)))</f>
        <v>6.4589212422155595E-2</v>
      </c>
      <c r="T4" s="245">
        <f>(New!FH4*Sheet3!DF4+New!HU4*1000*K4*(New!DO4-B4)+'Cooling water'!CO4*'Cooling water'!B4) / (New!FH4+'Cooling water'!CO4)</f>
        <v>71.072203124766915</v>
      </c>
      <c r="U4" s="4">
        <f>(New!FI4*Sheet3!BZ4+New!HV4*1000*L4*(New!DP4-C4)+Sheet3!CI4*'Cooling water'!CP4) / (New!FI4+'Cooling water'!CP4)</f>
        <v>49.995238838450518</v>
      </c>
      <c r="V4" s="4">
        <f>(New!FJ4*Sheet3!CA4+New!HW4*1000*M4*(New!DQ4-D4)+Sheet3!CJ4*'Cooling water'!CQ4) / (New!FJ4+'Cooling water'!CQ4)</f>
        <v>49.220188257747033</v>
      </c>
      <c r="W4" s="4">
        <f>(New!FK4*Sheet3!CB4+New!HX4*1000*N4*(New!DR4-E4)+Sheet3!CK4*'Cooling water'!CR4) / (New!FK4+'Cooling water'!CR4)</f>
        <v>48.519886038538445</v>
      </c>
      <c r="X4" s="4">
        <f>(New!FL4*Sheet3!CC4+New!HY4*1000*O4*(New!DS4-F4)+Sheet3!CL4*'Cooling water'!CS4) / (New!FL4+'Cooling water'!CS4)</f>
        <v>47.640335026044262</v>
      </c>
      <c r="Y4" s="4">
        <f>(New!FM4*Sheet3!CD4+New!HZ4*1000*P4*(New!DT4-G4)+Sheet3!CM4*'Cooling water'!CT4) / (New!FM4+'Cooling water'!CT4)</f>
        <v>46.973252054140836</v>
      </c>
      <c r="Z4" s="4">
        <f>(New!FN4*Sheet3!CE4+New!IA4*1000*Q4*(New!DU4-H4)+Sheet3!CN4*'Cooling water'!CU4) / (New!FN4+'Cooling water'!CU4)</f>
        <v>46.215794618055156</v>
      </c>
      <c r="AA4" s="4">
        <f>(New!FO4*Sheet3!CF4+New!IB4*1000*R4*(New!DV4-I4)+Sheet3!CO4*'Cooling water'!CV4) / (New!FO4+'Cooling water'!CV4)</f>
        <v>43.305551943032214</v>
      </c>
      <c r="AB4" s="4">
        <f>(New!FP4*Sheet3!CG4+New!IC4*1000*S4*(New!DW4-J4)+Sheet3!CP4*'Cooling water'!CW4) / (New!FP4+'Cooling water'!CW4)</f>
        <v>70.403735788290675</v>
      </c>
      <c r="AC4" s="245">
        <f t="shared" si="1"/>
        <v>48.274505750000003</v>
      </c>
      <c r="AD4" s="311">
        <v>51.063628999999999</v>
      </c>
      <c r="AE4" s="311">
        <v>49.990420999999998</v>
      </c>
      <c r="AF4" s="311">
        <v>48.863253999999998</v>
      </c>
      <c r="AG4" s="311">
        <v>47.754989999999999</v>
      </c>
      <c r="AH4" s="311">
        <v>46.710745000000003</v>
      </c>
      <c r="AI4" s="311">
        <v>45.667256000000002</v>
      </c>
      <c r="AJ4" s="311">
        <v>48.965001000000001</v>
      </c>
      <c r="AK4" s="311">
        <v>47.180750000000003</v>
      </c>
      <c r="AL4" s="243">
        <f>AVERAGE(Sheet3!BR4:BY4)</f>
        <v>35.045693553609162</v>
      </c>
      <c r="AM4" s="183" cm="1">
        <f t="array" ref="AM4:AT4">TRANSPOSE('[4]Keithley Matavimai'!$W$6:$W$13)</f>
        <v>43.344156813619072</v>
      </c>
      <c r="AN4" s="183">
        <v>39.080401060414822</v>
      </c>
      <c r="AO4" s="183">
        <v>37.921021321482705</v>
      </c>
      <c r="AP4" s="183">
        <v>33.897013569179308</v>
      </c>
      <c r="AQ4" s="183">
        <v>33.772323998870633</v>
      </c>
      <c r="AR4" s="183">
        <v>33.420040179687625</v>
      </c>
      <c r="AS4" s="183">
        <v>31.421589721010491</v>
      </c>
      <c r="AT4" s="183">
        <v>27.509001764608666</v>
      </c>
      <c r="AU4" s="183">
        <f t="shared" si="0"/>
        <v>13.228812196390841</v>
      </c>
      <c r="AX4" s="281"/>
      <c r="AY4" s="281"/>
      <c r="AZ4" s="281"/>
      <c r="BA4" s="281"/>
    </row>
    <row r="5" spans="1:53" ht="16.8" x14ac:dyDescent="0.3">
      <c r="A5" s="282">
        <f>Sheet3!A5</f>
        <v>44890</v>
      </c>
      <c r="B5" s="248">
        <f>EXP(New!$LP$6-((New!$LQ$6)/(AC5+New!$LP$8)))/New!$LS$2</f>
        <v>0.1103654410892931</v>
      </c>
      <c r="C5" s="312">
        <f>EXP(New!$LP$6-((New!$LQ$6)/(AD5+New!$LP$8)))/New!$LS$2</f>
        <v>0.13179899460217973</v>
      </c>
      <c r="D5" s="312">
        <f>EXP(New!$LP$6-((New!$LQ$6)/(AE5+New!$LP$8)))/New!$LS$2</f>
        <v>0.12396681904526857</v>
      </c>
      <c r="E5" s="312">
        <f>EXP(New!$LP$6-((New!$LQ$6)/(AF5+New!$LP$8)))/New!$LS$2</f>
        <v>0.11654591474941287</v>
      </c>
      <c r="F5" s="312">
        <f>EXP(New!$LP$6-((New!$LQ$6)/(AG5+New!$LP$8)))/New!$LS$2</f>
        <v>0.10983817488405778</v>
      </c>
      <c r="G5" s="312">
        <f>EXP(New!$LP$6-((New!$LQ$6)/(AH5+New!$LP$8)))/New!$LS$2</f>
        <v>0.10384350011403674</v>
      </c>
      <c r="H5" s="312">
        <f>EXP(New!$LP$6-((New!$LQ$6)/(AI5+New!$LP$8)))/New!$LS$2</f>
        <v>9.8822146904231023E-2</v>
      </c>
      <c r="I5" s="312">
        <f>EXP(New!$LP$6-((New!$LQ$6)/(AJ5+New!$LP$8)))/New!$LS$2</f>
        <v>9.4376384600612997E-2</v>
      </c>
      <c r="J5" s="312">
        <f>EXP(New!$LP$6-((New!$LQ$6)/(AK5+New!$LP$8)))/New!$LS$2</f>
        <v>0.10797111788699562</v>
      </c>
      <c r="K5" s="245">
        <f>((New!FH5*New!$LP$3*LN((1-B5)/(1-New!DO5))) / (New!BV5*1000*New!$LQ$3*(1-B5-1+New!DO5)*New!B5^(2/3)))</f>
        <v>6.4824717038655028E-2</v>
      </c>
      <c r="L5" s="4">
        <f>((New!FI5*New!$LP$3*LN((1-C5)/(1-New!DP5))) / (New!BW5*1000*New!$LQ$3*(1-C5-1+New!DP5)*New!C5^(2/3)))</f>
        <v>6.5642499425710182E-2</v>
      </c>
      <c r="M5" s="4">
        <f>((New!FJ5*New!$LP$3*LN((1-D5)/(1-New!DQ5))) / (New!BX5*1000*New!$LQ$3*(1-D5-1+New!DQ5)*New!D5^(2/3)))</f>
        <v>6.5294824115556455E-2</v>
      </c>
      <c r="N5" s="4">
        <f>((New!FK5*New!$LP$3*LN((1-E5)/(1-New!DR5))) / (New!BY5*1000*New!$LQ$3*(1-E5-1+New!DR5)*New!E5^(2/3)))</f>
        <v>6.502706196442494E-2</v>
      </c>
      <c r="O5" s="4">
        <f>((New!FL5*New!$LP$3*LN((1-F5)/(1-New!DS5))) / (New!BZ5*1000*New!$LQ$3*(1-F5-1+New!DS5)*New!F5^(2/3)))</f>
        <v>6.4737350646611777E-2</v>
      </c>
      <c r="P5" s="4">
        <f>((New!FM5*New!$LP$3*LN((1-G5)/(1-New!DT5))) / (New!CA5*1000*New!$LQ$3*(1-G5-1+New!DT5)*New!G5^(2/3)))</f>
        <v>6.4528674166166117E-2</v>
      </c>
      <c r="Q5" s="4">
        <f>((New!FN5*New!$LP$3*LN((1-H5)/(1-New!DU5))) / (New!CB5*1000*New!$LQ$3*(1-H5-1+New!DU5)*New!H5^(2/3)))</f>
        <v>6.430845570828965E-2</v>
      </c>
      <c r="R5" s="4">
        <f>((New!FO5*New!$LP$3*LN((1-I5)/(1-New!DV5))) / (New!CC5*1000*New!$LQ$3*(1-I5-1+New!DV5)*New!I5^(2/3)))</f>
        <v>6.4178763451439913E-2</v>
      </c>
      <c r="S5" s="4">
        <f>((New!FP5*New!$LP$3*LN((1-J5)/(1-New!DW5))) / (New!CD5*1000*New!$LQ$3*(1-J5-1+New!DW5)*New!J5^(2/3)))</f>
        <v>6.4640781522209173E-2</v>
      </c>
      <c r="T5" s="245">
        <f>(New!FH5*Sheet3!DF5+New!HU5*1000*K5*(New!DO5-B5)+'Cooling water'!CO5*'Cooling water'!B5) / (New!FH5+'Cooling water'!CO5)</f>
        <v>73.237090735051908</v>
      </c>
      <c r="U5" s="4">
        <f>(New!FI5*Sheet3!BZ5+New!HV5*1000*L5*(New!DP5-C5)+Sheet3!CI5*'Cooling water'!CP5) / (New!FI5+'Cooling water'!CP5)</f>
        <v>50.773640110930934</v>
      </c>
      <c r="V5" s="4">
        <f>(New!FJ5*Sheet3!CA5+New!HW5*1000*M5*(New!DQ5-D5)+Sheet3!CJ5*'Cooling water'!CQ5) / (New!FJ5+'Cooling water'!CQ5)</f>
        <v>49.745712775970226</v>
      </c>
      <c r="W5" s="4">
        <f>(New!FK5*Sheet3!CB5+New!HX5*1000*N5*(New!DR5-E5)+Sheet3!CK5*'Cooling water'!CR5) / (New!FK5+'Cooling water'!CR5)</f>
        <v>48.857840453686123</v>
      </c>
      <c r="X5" s="4">
        <f>(New!FL5*Sheet3!CC5+New!HY5*1000*O5*(New!DS5-F5)+Sheet3!CL5*'Cooling water'!CS5) / (New!FL5+'Cooling water'!CS5)</f>
        <v>47.869602763334463</v>
      </c>
      <c r="Y5" s="4">
        <f>(New!FM5*Sheet3!CD5+New!HZ5*1000*P5*(New!DT5-G5)+Sheet3!CM5*'Cooling water'!CT5) / (New!FM5+'Cooling water'!CT5)</f>
        <v>47.187972988875124</v>
      </c>
      <c r="Z5" s="4">
        <f>(New!FN5*Sheet3!CE5+New!IA5*1000*Q5*(New!DU5-H5)+Sheet3!CN5*'Cooling water'!CU5) / (New!FN5+'Cooling water'!CU5)</f>
        <v>46.402564703249936</v>
      </c>
      <c r="AA5" s="4">
        <f>(New!FO5*Sheet3!CF5+New!IB5*1000*R5*(New!DV5-I5)+Sheet3!CO5*'Cooling water'!CV5) / (New!FO5+'Cooling water'!CV5)</f>
        <v>45.89437847593819</v>
      </c>
      <c r="AB5" s="4">
        <f>(New!FP5*Sheet3!CG5+New!IC5*1000*S5*(New!DW5-J5)+Sheet3!CP5*'Cooling water'!CW5) / (New!FP5+'Cooling water'!CW5)</f>
        <v>70.721360263052063</v>
      </c>
      <c r="AC5" s="245">
        <f t="shared" si="1"/>
        <v>48.057343124999996</v>
      </c>
      <c r="AD5" s="311">
        <v>51.620002999999997</v>
      </c>
      <c r="AE5" s="311">
        <v>50.379812000000001</v>
      </c>
      <c r="AF5" s="311">
        <v>49.141359000000001</v>
      </c>
      <c r="AG5" s="311">
        <v>47.962477999999997</v>
      </c>
      <c r="AH5" s="311">
        <v>46.855583000000003</v>
      </c>
      <c r="AI5" s="311">
        <v>45.885469000000001</v>
      </c>
      <c r="AJ5" s="311">
        <v>44.990645000000001</v>
      </c>
      <c r="AK5" s="311">
        <v>47.623396</v>
      </c>
      <c r="AL5" s="243">
        <f>AVERAGE(Sheet3!BR5:BY5)</f>
        <v>34.917481450562647</v>
      </c>
      <c r="AM5" s="183" cm="1">
        <f t="array" ref="AM5:AT5">TRANSPOSE('[6]Keithley Matavimai'!$W$6:$W$13)</f>
        <v>43.658503068620462</v>
      </c>
      <c r="AN5" s="183">
        <v>39.33178688226554</v>
      </c>
      <c r="AO5" s="183">
        <v>38.237961008399516</v>
      </c>
      <c r="AP5" s="183">
        <v>34.113577253608788</v>
      </c>
      <c r="AQ5" s="183">
        <v>34.099981102696916</v>
      </c>
      <c r="AR5" s="183">
        <v>33.693804510170246</v>
      </c>
      <c r="AS5" s="183">
        <v>29.949942876967828</v>
      </c>
      <c r="AT5" s="183">
        <v>26.254294901771857</v>
      </c>
      <c r="AU5" s="183">
        <f t="shared" si="0"/>
        <v>13.139861674437348</v>
      </c>
      <c r="AX5" s="281"/>
      <c r="AY5" s="281"/>
      <c r="AZ5" s="281"/>
      <c r="BA5" s="281"/>
    </row>
    <row r="6" spans="1:53" ht="16.8" x14ac:dyDescent="0.3">
      <c r="A6" s="282">
        <f>Sheet3!A6</f>
        <v>44893</v>
      </c>
      <c r="B6" s="248">
        <f>EXP(New!$LP$6-((New!$LQ$6)/(AC6+New!$LP$8)))/New!$LS$2</f>
        <v>0.11411957105279348</v>
      </c>
      <c r="C6" s="312">
        <f>EXP(New!$LP$6-((New!$LQ$6)/(AD6+New!$LP$8)))/New!$LS$2</f>
        <v>0.13077947808996673</v>
      </c>
      <c r="D6" s="312">
        <f>EXP(New!$LP$6-((New!$LQ$6)/(AE6+New!$LP$8)))/New!$LS$2</f>
        <v>0.12519393148969166</v>
      </c>
      <c r="E6" s="312">
        <f>EXP(New!$LP$6-((New!$LQ$6)/(AF6+New!$LP$8)))/New!$LS$2</f>
        <v>0.11876480573311074</v>
      </c>
      <c r="F6" s="312">
        <f>EXP(New!$LP$6-((New!$LQ$6)/(AG6+New!$LP$8)))/New!$LS$2</f>
        <v>0.1121595383606703</v>
      </c>
      <c r="G6" s="312">
        <f>EXP(New!$LP$6-((New!$LQ$6)/(AH6+New!$LP$8)))/New!$LS$2</f>
        <v>0.10577108454363039</v>
      </c>
      <c r="H6" s="312">
        <f>EXP(New!$LP$6-((New!$LQ$6)/(AI6+New!$LP$8)))/New!$LS$2</f>
        <v>9.9895185968065792E-2</v>
      </c>
      <c r="I6" s="312">
        <f>EXP(New!$LP$6-((New!$LQ$6)/(AJ6+New!$LP$8)))/New!$LS$2</f>
        <v>0.1172418166390311</v>
      </c>
      <c r="J6" s="312">
        <f>EXP(New!$LP$6-((New!$LQ$6)/(AK6+New!$LP$8)))/New!$LS$2</f>
        <v>0.10602170803342831</v>
      </c>
      <c r="K6" s="245">
        <f>((New!FH6*New!$LP$3*LN((1-B6)/(1-New!DO6))) / (New!BV6*1000*New!$LQ$3*(1-B6-1+New!DO6)*New!B6^(2/3)))</f>
        <v>6.7347830679974324E-2</v>
      </c>
      <c r="L6" s="4">
        <f>((New!FI6*New!$LP$3*LN((1-C6)/(1-New!DP6))) / (New!BW6*1000*New!$LQ$3*(1-C6-1+New!DP6)*New!C6^(2/3)))</f>
        <v>6.8005402794195383E-2</v>
      </c>
      <c r="M6" s="4">
        <f>((New!FJ6*New!$LP$3*LN((1-D6)/(1-New!DQ6))) / (New!BX6*1000*New!$LQ$3*(1-D6-1+New!DQ6)*New!D6^(2/3)))</f>
        <v>6.773265284372787E-2</v>
      </c>
      <c r="N6" s="4">
        <f>((New!FK6*New!$LP$3*LN((1-E6)/(1-New!DR6))) / (New!BY6*1000*New!$LQ$3*(1-E6-1+New!DR6)*New!E6^(2/3)))</f>
        <v>6.7487796996880955E-2</v>
      </c>
      <c r="O6" s="4">
        <f>((New!FL6*New!$LP$3*LN((1-F6)/(1-New!DS6))) / (New!BZ6*1000*New!$LQ$3*(1-F6-1+New!DS6)*New!F6^(2/3)))</f>
        <v>6.7186930163550707E-2</v>
      </c>
      <c r="P6" s="4">
        <f>((New!FM6*New!$LP$3*LN((1-G6)/(1-New!DT6))) / (New!CA6*1000*New!$LQ$3*(1-G6-1+New!DT6)*New!G6^(2/3)))</f>
        <v>6.6950324464821853E-2</v>
      </c>
      <c r="Q6" s="4">
        <f>((New!FN6*New!$LP$3*LN((1-H6)/(1-New!DU6))) / (New!CB6*1000*New!$LQ$3*(1-H6-1+New!DU6)*New!H6^(2/3)))</f>
        <v>6.6689863881806602E-2</v>
      </c>
      <c r="R6" s="4">
        <f>((New!FO6*New!$LP$3*LN((1-I6)/(1-New!DV6))) / (New!CC6*1000*New!$LQ$3*(1-I6-1+New!DV6)*New!I6^(2/3)))</f>
        <v>6.7387116893384544E-2</v>
      </c>
      <c r="S6" s="4">
        <f>((New!FP6*New!$LP$3*LN((1-J6)/(1-New!DW6))) / (New!CD6*1000*New!$LQ$3*(1-J6-1+New!DW6)*New!J6^(2/3)))</f>
        <v>6.6920913498020498E-2</v>
      </c>
      <c r="T6" s="245">
        <f>(New!FH6*Sheet3!DF6+New!HU6*1000*K6*(New!DO6-B6)+'Cooling water'!CO6*'Cooling water'!B6) / (New!FH6+'Cooling water'!CO6)</f>
        <v>71.587561492656121</v>
      </c>
      <c r="U6" s="4">
        <f>(New!FI6*Sheet3!BZ6+New!HV6*1000*L6*(New!DP6-C6)+Sheet3!CI6*'Cooling water'!CP6) / (New!FI6+'Cooling water'!CP6)</f>
        <v>50.335574254584095</v>
      </c>
      <c r="V6" s="4">
        <f>(New!FJ6*Sheet3!CA6+New!HW6*1000*M6*(New!DQ6-D6)+Sheet3!CJ6*'Cooling water'!CQ6) / (New!FJ6+'Cooling water'!CQ6)</f>
        <v>49.76454691193311</v>
      </c>
      <c r="W6" s="4">
        <f>(New!FK6*Sheet3!CB6+New!HX6*1000*N6*(New!DR6-E6)+Sheet3!CK6*'Cooling water'!CR6) / (New!FK6+'Cooling water'!CR6)</f>
        <v>49.176306171149434</v>
      </c>
      <c r="X6" s="4">
        <f>(New!FL6*Sheet3!CC6+New!HY6*1000*O6*(New!DS6-F6)+Sheet3!CL6*'Cooling water'!CS6) / (New!FL6+'Cooling water'!CS6)</f>
        <v>48.273826817897437</v>
      </c>
      <c r="Y6" s="4">
        <f>(New!FM6*Sheet3!CD6+New!HZ6*1000*P6*(New!DT6-G6)+Sheet3!CM6*'Cooling water'!CT6) / (New!FM6+'Cooling water'!CT6)</f>
        <v>47.583543792202313</v>
      </c>
      <c r="Z6" s="4">
        <f>(New!FN6*Sheet3!CE6+New!IA6*1000*Q6*(New!DU6-H6)+Sheet3!CN6*'Cooling water'!CU6) / (New!FN6+'Cooling water'!CU6)</f>
        <v>46.676983500267362</v>
      </c>
      <c r="AA6" s="4">
        <f>(New!FO6*Sheet3!CF6+New!IB6*1000*R6*(New!DV6-I6)+Sheet3!CO6*'Cooling water'!CV6) / (New!FO6+'Cooling water'!CV6)</f>
        <v>43.62166082902332</v>
      </c>
      <c r="AB6" s="4">
        <f>(New!FP6*Sheet3!CG6+New!IC6*1000*S6*(New!DW6-J6)+Sheet3!CP6*'Cooling water'!CW6) / (New!FP6+'Cooling water'!CW6)</f>
        <v>70.909858078228623</v>
      </c>
      <c r="AC6" s="245">
        <f t="shared" si="1"/>
        <v>48.721794499999994</v>
      </c>
      <c r="AD6" s="311">
        <v>51.462189000000002</v>
      </c>
      <c r="AE6" s="311">
        <v>50.578462999999999</v>
      </c>
      <c r="AF6" s="311">
        <v>49.518563</v>
      </c>
      <c r="AG6" s="311">
        <v>48.377257</v>
      </c>
      <c r="AH6" s="311">
        <v>47.21734</v>
      </c>
      <c r="AI6" s="311">
        <v>46.096268000000002</v>
      </c>
      <c r="AJ6" s="311">
        <v>49.260316000000003</v>
      </c>
      <c r="AK6" s="311">
        <v>47.263959999999997</v>
      </c>
      <c r="AL6" s="243">
        <f>AVERAGE(Sheet3!BR6:BY6)</f>
        <v>35.698564388334503</v>
      </c>
      <c r="AM6" s="183" cm="1">
        <f t="array" ref="AM6:AT6">TRANSPOSE('[8]Keithley Measurments'!$W$6:$W$13)</f>
        <v>44.562302913929251</v>
      </c>
      <c r="AN6" s="183">
        <v>40.462714326735799</v>
      </c>
      <c r="AO6" s="183">
        <v>39.032658613483555</v>
      </c>
      <c r="AP6" s="183">
        <v>34.876464131126113</v>
      </c>
      <c r="AQ6" s="183">
        <v>34.662884699235526</v>
      </c>
      <c r="AR6" s="183">
        <v>34.213748163336028</v>
      </c>
      <c r="AS6" s="183">
        <v>32.498420855694953</v>
      </c>
      <c r="AT6" s="183">
        <v>25.279321403134823</v>
      </c>
      <c r="AU6" s="183">
        <f t="shared" si="0"/>
        <v>13.023230111665491</v>
      </c>
      <c r="AX6" s="281"/>
      <c r="AY6" s="281"/>
      <c r="AZ6" s="281"/>
      <c r="BA6" s="281"/>
    </row>
    <row r="7" spans="1:53" ht="16.8" x14ac:dyDescent="0.3">
      <c r="A7" s="282">
        <f>Sheet3!A7</f>
        <v>44893</v>
      </c>
      <c r="B7" s="248">
        <f>EXP(New!$LP$6-((New!$LQ$6)/(AC7+New!$LP$8)))/New!$LS$2</f>
        <v>0.11428293607032554</v>
      </c>
      <c r="C7" s="312">
        <f>EXP(New!$LP$6-((New!$LQ$6)/(AD7+New!$LP$8)))/New!$LS$2</f>
        <v>0.13148710725499971</v>
      </c>
      <c r="D7" s="312">
        <f>EXP(New!$LP$6-((New!$LQ$6)/(AE7+New!$LP$8)))/New!$LS$2</f>
        <v>0.1253522431630964</v>
      </c>
      <c r="E7" s="312">
        <f>EXP(New!$LP$6-((New!$LQ$6)/(AF7+New!$LP$8)))/New!$LS$2</f>
        <v>0.11868939073615295</v>
      </c>
      <c r="F7" s="312">
        <f>EXP(New!$LP$6-((New!$LQ$6)/(AG7+New!$LP$8)))/New!$LS$2</f>
        <v>0.11208012299516668</v>
      </c>
      <c r="G7" s="312">
        <f>EXP(New!$LP$6-((New!$LQ$6)/(AH7+New!$LP$8)))/New!$LS$2</f>
        <v>0.10583694362484782</v>
      </c>
      <c r="H7" s="312">
        <f>EXP(New!$LP$6-((New!$LQ$6)/(AI7+New!$LP$8)))/New!$LS$2</f>
        <v>0.10001763140042373</v>
      </c>
      <c r="I7" s="312">
        <f>EXP(New!$LP$6-((New!$LQ$6)/(AJ7+New!$LP$8)))/New!$LS$2</f>
        <v>0.11783305191836184</v>
      </c>
      <c r="J7" s="312">
        <f>EXP(New!$LP$6-((New!$LQ$6)/(AK7+New!$LP$8)))/New!$LS$2</f>
        <v>0.10592892568971247</v>
      </c>
      <c r="K7" s="245">
        <f>((New!FH7*New!$LP$3*LN((1-B7)/(1-New!DO7))) / (New!BV7*1000*New!$LQ$3*(1-B7-1+New!DO7)*New!B7^(2/3)))</f>
        <v>6.7984420599380146E-2</v>
      </c>
      <c r="L7" s="4">
        <f>((New!FI7*New!$LP$3*LN((1-C7)/(1-New!DP7))) / (New!BW7*1000*New!$LQ$3*(1-C7-1+New!DP7)*New!C7^(2/3)))</f>
        <v>6.866931846861736E-2</v>
      </c>
      <c r="M7" s="4">
        <f>((New!FJ7*New!$LP$3*LN((1-D7)/(1-New!DQ7))) / (New!BX7*1000*New!$LQ$3*(1-D7-1+New!DQ7)*New!D7^(2/3)))</f>
        <v>6.8367152458722227E-2</v>
      </c>
      <c r="N7" s="4">
        <f>((New!FK7*New!$LP$3*LN((1-E7)/(1-New!DR7))) / (New!BY7*1000*New!$LQ$3*(1-E7-1+New!DR7)*New!E7^(2/3)))</f>
        <v>6.81045063412207E-2</v>
      </c>
      <c r="O7" s="4">
        <f>((New!FL7*New!$LP$3*LN((1-F7)/(1-New!DS7))) / (New!BZ7*1000*New!$LQ$3*(1-F7-1+New!DS7)*New!F7^(2/3)))</f>
        <v>6.7799427612937238E-2</v>
      </c>
      <c r="P7" s="4">
        <f>((New!FM7*New!$LP$3*LN((1-G7)/(1-New!DT7))) / (New!CA7*1000*New!$LQ$3*(1-G7-1+New!DT7)*New!G7^(2/3)))</f>
        <v>6.7563790219414485E-2</v>
      </c>
      <c r="Q7" s="4">
        <f>((New!FN7*New!$LP$3*LN((1-H7)/(1-New!DU7))) / (New!CB7*1000*New!$LQ$3*(1-H7-1+New!DU7)*New!H7^(2/3)))</f>
        <v>6.7295616617732326E-2</v>
      </c>
      <c r="R7" s="4">
        <f>((New!FO7*New!$LP$3*LN((1-I7)/(1-New!DV7))) / (New!CC7*1000*New!$LQ$3*(1-I7-1+New!DV7)*New!I7^(2/3)))</f>
        <v>6.8015967335000621E-2</v>
      </c>
      <c r="S7" s="4">
        <f>((New!FP7*New!$LP$3*LN((1-J7)/(1-New!DW7))) / (New!CD7*1000*New!$LQ$3*(1-J7-1+New!DW7)*New!J7^(2/3)))</f>
        <v>6.7509391087405751E-2</v>
      </c>
      <c r="T7" s="245">
        <f>(New!FH7*Sheet3!DF7+New!HU7*1000*K7*(New!DO7-B7)+'Cooling water'!CO7*'Cooling water'!B7) / (New!FH7+'Cooling water'!CO7)</f>
        <v>72.274841202163131</v>
      </c>
      <c r="U7" s="4">
        <f>(New!FI7*Sheet3!BZ7+New!HV7*1000*L7*(New!DP7-C7)+Sheet3!CI7*'Cooling water'!CP7) / (New!FI7+'Cooling water'!CP7)</f>
        <v>50.51303517036078</v>
      </c>
      <c r="V7" s="4">
        <f>(New!FJ7*Sheet3!CA7+New!HW7*1000*M7*(New!DQ7-D7)+Sheet3!CJ7*'Cooling water'!CQ7) / (New!FJ7+'Cooling water'!CQ7)</f>
        <v>49.910835875058595</v>
      </c>
      <c r="W7" s="4">
        <f>(New!FK7*Sheet3!CB7+New!HX7*1000*N7*(New!DR7-E7)+Sheet3!CK7*'Cooling water'!CR7) / (New!FK7+'Cooling water'!CR7)</f>
        <v>49.234881484044315</v>
      </c>
      <c r="X7" s="4">
        <f>(New!FL7*Sheet3!CC7+New!HY7*1000*O7*(New!DS7-F7)+Sheet3!CL7*'Cooling water'!CS7) / (New!FL7+'Cooling water'!CS7)</f>
        <v>48.232333897464187</v>
      </c>
      <c r="Y7" s="4">
        <f>(New!FM7*Sheet3!CD7+New!HZ7*1000*P7*(New!DT7-G7)+Sheet3!CM7*'Cooling water'!CT7) / (New!FM7+'Cooling water'!CT7)</f>
        <v>47.521079149626495</v>
      </c>
      <c r="Z7" s="4">
        <f>(New!FN7*Sheet3!CE7+New!IA7*1000*Q7*(New!DU7-H7)+Sheet3!CN7*'Cooling water'!CU7) / (New!FN7+'Cooling water'!CU7)</f>
        <v>46.662350297576999</v>
      </c>
      <c r="AA7" s="4">
        <f>(New!FO7*Sheet3!CF7+New!IB7*1000*R7*(New!DV7-I7)+Sheet3!CO7*'Cooling water'!CV7) / (New!FO7+'Cooling water'!CV7)</f>
        <v>43.498018706262258</v>
      </c>
      <c r="AB7" s="4">
        <f>(New!FP7*Sheet3!CG7+New!IC7*1000*S7*(New!DW7-J7)+Sheet3!CP7*'Cooling water'!CW7) / (New!FP7+'Cooling water'!CW7)</f>
        <v>71.041178988006521</v>
      </c>
      <c r="AC7" s="245">
        <f t="shared" si="1"/>
        <v>48.750281999999999</v>
      </c>
      <c r="AD7" s="311">
        <v>51.571835999999998</v>
      </c>
      <c r="AE7" s="311">
        <v>50.603969999999997</v>
      </c>
      <c r="AF7" s="311">
        <v>49.505842000000001</v>
      </c>
      <c r="AG7" s="311">
        <v>48.363188999999998</v>
      </c>
      <c r="AH7" s="311">
        <v>47.229599999999998</v>
      </c>
      <c r="AI7" s="311">
        <v>46.120199</v>
      </c>
      <c r="AJ7" s="311">
        <v>49.360908000000002</v>
      </c>
      <c r="AK7" s="311">
        <v>47.246712000000002</v>
      </c>
      <c r="AL7" s="243">
        <f>AVERAGE(Sheet3!BR7:BY7)</f>
        <v>36.2369297931942</v>
      </c>
      <c r="AM7" s="183" cm="1">
        <f t="array" ref="AM7:AT7">TRANSPOSE('[9]Keithley Matavimai'!$W$6:$W$13)</f>
        <v>44.798946742641029</v>
      </c>
      <c r="AN7" s="183">
        <v>40.491391159799036</v>
      </c>
      <c r="AO7" s="183">
        <v>39.208686718534722</v>
      </c>
      <c r="AP7" s="183">
        <v>34.839913096549488</v>
      </c>
      <c r="AQ7" s="183">
        <v>34.704001956410714</v>
      </c>
      <c r="AR7" s="183">
        <v>34.392226275168071</v>
      </c>
      <c r="AS7" s="183">
        <v>32.514109013521313</v>
      </c>
      <c r="AT7" s="183">
        <v>28.946163382929218</v>
      </c>
      <c r="AU7" s="183">
        <f t="shared" si="0"/>
        <v>12.513352206805799</v>
      </c>
      <c r="AX7" s="281"/>
      <c r="AY7" s="281"/>
      <c r="AZ7" s="281"/>
      <c r="BA7" s="281"/>
    </row>
    <row r="8" spans="1:53" ht="16.8" x14ac:dyDescent="0.3">
      <c r="A8" s="282" t="str">
        <f>Sheet3!A8</f>
        <v>30.11.2022</v>
      </c>
      <c r="B8" s="248">
        <f>EXP(New!$LP$6-((New!$LQ$6)/(AC8+New!$LP$8)))/New!$LS$2</f>
        <v>0.11971825376722696</v>
      </c>
      <c r="C8" s="312">
        <f>EXP(New!$LP$6-((New!$LQ$6)/(AD8+New!$LP$8)))/New!$LS$2</f>
        <v>0.14327304440927088</v>
      </c>
      <c r="D8" s="312">
        <f>EXP(New!$LP$6-((New!$LQ$6)/(AE8+New!$LP$8)))/New!$LS$2</f>
        <v>0.13407940172466606</v>
      </c>
      <c r="E8" s="312">
        <f>EXP(New!$LP$6-((New!$LQ$6)/(AF8+New!$LP$8)))/New!$LS$2</f>
        <v>0.12577355826153952</v>
      </c>
      <c r="F8" s="312">
        <f>EXP(New!$LP$6-((New!$LQ$6)/(AG8+New!$LP$8)))/New!$LS$2</f>
        <v>0.11856982804176353</v>
      </c>
      <c r="G8" s="312">
        <f>EXP(New!$LP$6-((New!$LQ$6)/(AH8+New!$LP$8)))/New!$LS$2</f>
        <v>0.11260307056668667</v>
      </c>
      <c r="H8" s="312">
        <f>EXP(New!$LP$6-((New!$LQ$6)/(AI8+New!$LP$8)))/New!$LS$2</f>
        <v>0.10723112623651951</v>
      </c>
      <c r="I8" s="312">
        <f>EXP(New!$LP$6-((New!$LQ$6)/(AJ8+New!$LP$8)))/New!$LS$2</f>
        <v>0.10289785161453779</v>
      </c>
      <c r="J8" s="312">
        <f>EXP(New!$LP$6-((New!$LQ$6)/(AK8+New!$LP$8)))/New!$LS$2</f>
        <v>0.11780802671838965</v>
      </c>
      <c r="K8" s="245">
        <f>((New!FH8*New!$LP$3*LN((1-B8)/(1-New!DO8))) / (New!BV8*1000*New!$LQ$3*(1-B8-1+New!DO8)*New!B8^(2/3)))</f>
        <v>7.0192450268468889E-2</v>
      </c>
      <c r="L8" s="4">
        <f>((New!FI8*New!$LP$3*LN((1-C8)/(1-New!DP8))) / (New!BW8*1000*New!$LQ$3*(1-C8-1+New!DP8)*New!C8^(2/3)))</f>
        <v>7.1175219225798253E-2</v>
      </c>
      <c r="M8" s="4">
        <f>((New!FJ8*New!$LP$3*LN((1-D8)/(1-New!DQ8))) / (New!BX8*1000*New!$LQ$3*(1-D8-1+New!DQ8)*New!D8^(2/3)))</f>
        <v>7.0725681646432698E-2</v>
      </c>
      <c r="N8" s="4">
        <f>((New!FK8*New!$LP$3*LN((1-E8)/(1-New!DR8))) / (New!BY8*1000*New!$LQ$3*(1-E8-1+New!DR8)*New!E8^(2/3)))</f>
        <v>7.0378064377441471E-2</v>
      </c>
      <c r="O8" s="4">
        <f>((New!FL8*New!$LP$3*LN((1-F8)/(1-New!DS8))) / (New!BZ8*1000*New!$LQ$3*(1-F8-1+New!DS8)*New!F8^(2/3)))</f>
        <v>7.0030399775265206E-2</v>
      </c>
      <c r="P8" s="4">
        <f>((New!FM8*New!$LP$3*LN((1-G8)/(1-New!DT8))) / (New!CA8*1000*New!$LQ$3*(1-G8-1+New!DT8)*New!G8^(2/3)))</f>
        <v>6.9793481525170689E-2</v>
      </c>
      <c r="Q8" s="4">
        <f>((New!FN8*New!$LP$3*LN((1-H8)/(1-New!DU8))) / (New!CB8*1000*New!$LQ$3*(1-H8-1+New!DU8)*New!H8^(2/3)))</f>
        <v>6.9533902809219034E-2</v>
      </c>
      <c r="R8" s="4">
        <f>((New!FO8*New!$LP$3*LN((1-I8)/(1-New!DV8))) / (New!CC8*1000*New!$LQ$3*(1-I8-1+New!DV8)*New!I8^(2/3)))</f>
        <v>6.9376092577962026E-2</v>
      </c>
      <c r="S8" s="4">
        <f>((New!FP8*New!$LP$3*LN((1-J8)/(1-New!DW8))) / (New!CD8*1000*New!$LQ$3*(1-J8-1+New!DW8)*New!J8^(2/3)))</f>
        <v>6.9942374716345818E-2</v>
      </c>
      <c r="T8" s="245">
        <f>(New!FH8*Sheet3!DF8+New!HU8*1000*K8*(New!DO8-B8)+'Cooling water'!CO8*'Cooling water'!B8) / (New!FH8+'Cooling water'!CO8)</f>
        <v>78.361243017105011</v>
      </c>
      <c r="U8" s="4">
        <f>(New!FI8*Sheet3!BZ8+New!HV8*1000*L8*(New!DP8-C8)+Sheet3!CI8*'Cooling water'!CP8) / (New!FI8+'Cooling water'!CP8)</f>
        <v>52.780940673454687</v>
      </c>
      <c r="V8" s="4">
        <f>(New!FJ8*Sheet3!CA8+New!HW8*1000*M8*(New!DQ8-D8)+Sheet3!CJ8*'Cooling water'!CQ8) / (New!FJ8+'Cooling water'!CQ8)</f>
        <v>51.476652222745813</v>
      </c>
      <c r="W8" s="4">
        <f>(New!FK8*Sheet3!CB8+New!HX8*1000*N8*(New!DR8-E8)+Sheet3!CK8*'Cooling water'!CR8) / (New!FK8+'Cooling water'!CR8)</f>
        <v>50.494859881218481</v>
      </c>
      <c r="X8" s="4">
        <f>(New!FL8*Sheet3!CC8+New!HY8*1000*O8*(New!DS8-F8)+Sheet3!CL8*'Cooling water'!CS8) / (New!FL8+'Cooling water'!CS8)</f>
        <v>49.354706877606873</v>
      </c>
      <c r="Y8" s="4">
        <f>(New!FM8*Sheet3!CD8+New!HZ8*1000*P8*(New!DT8-G8)+Sheet3!CM8*'Cooling water'!CT8) / (New!FM8+'Cooling water'!CT8)</f>
        <v>48.625717027256286</v>
      </c>
      <c r="Z8" s="4">
        <f>(New!FN8*Sheet3!CE8+New!IA8*1000*Q8*(New!DU8-H8)+Sheet3!CN8*'Cooling water'!CU8) / (New!FN8+'Cooling water'!CU8)</f>
        <v>47.82652369224715</v>
      </c>
      <c r="AA8" s="4">
        <f>(New!FO8*Sheet3!CF8+New!IB8*1000*R8*(New!DV8-I8)+Sheet3!CO8*'Cooling water'!CV8) / (New!FO8+'Cooling water'!CV8)</f>
        <v>47.419140432488746</v>
      </c>
      <c r="AB8" s="4">
        <f>(New!FP8*Sheet3!CG8+New!IC8*1000*S8*(New!DW8-J8)+Sheet3!CP8*'Cooling water'!CW8) / (New!FP8+'Cooling water'!CW8)</f>
        <v>73.705531376913555</v>
      </c>
      <c r="AC8" s="245">
        <f t="shared" si="1"/>
        <v>49.678797999999993</v>
      </c>
      <c r="AD8" s="311">
        <v>53.327804</v>
      </c>
      <c r="AE8" s="311">
        <v>51.969256000000001</v>
      </c>
      <c r="AF8" s="311">
        <v>50.671717999999998</v>
      </c>
      <c r="AG8" s="311">
        <v>49.485660000000003</v>
      </c>
      <c r="AH8" s="311">
        <v>48.455669999999998</v>
      </c>
      <c r="AI8" s="311">
        <v>47.487614000000001</v>
      </c>
      <c r="AJ8" s="311">
        <v>46.676003000000001</v>
      </c>
      <c r="AK8" s="311">
        <v>49.356659000000001</v>
      </c>
      <c r="AL8" s="243">
        <f>AVERAGE(Sheet3!BR8:BY8)</f>
        <v>36.284194891327189</v>
      </c>
      <c r="AM8" s="183" cm="1">
        <f t="array" ref="AM8:AT8">TRANSPOSE('[10]Keithley Matavimai'!$W$6:$W$13)</f>
        <v>44.920022588284361</v>
      </c>
      <c r="AN8" s="183">
        <v>40.425049386350906</v>
      </c>
      <c r="AO8" s="183">
        <v>39.437608643156466</v>
      </c>
      <c r="AP8" s="183">
        <v>34.680091724558459</v>
      </c>
      <c r="AQ8" s="183">
        <v>35.045363310724575</v>
      </c>
      <c r="AR8" s="183">
        <v>34.672971192277785</v>
      </c>
      <c r="AS8" s="183">
        <v>32.586616784875332</v>
      </c>
      <c r="AT8" s="183">
        <v>28.505835500389626</v>
      </c>
      <c r="AU8" s="183">
        <f t="shared" si="0"/>
        <v>13.394603108672804</v>
      </c>
      <c r="AX8" s="281"/>
      <c r="AY8" s="281"/>
      <c r="AZ8" s="281"/>
      <c r="BA8" s="281"/>
    </row>
    <row r="9" spans="1:53" ht="16.8" x14ac:dyDescent="0.3">
      <c r="A9" s="282" t="str">
        <f>Sheet3!A9</f>
        <v>30.11.2022</v>
      </c>
      <c r="B9" s="248">
        <f>EXP(New!$LP$6-((New!$LQ$6)/(AC9+New!$LP$8)))/New!$LS$2</f>
        <v>0.12111653186111591</v>
      </c>
      <c r="C9" s="312">
        <f>EXP(New!$LP$6-((New!$LQ$6)/(AD9+New!$LP$8)))/New!$LS$2</f>
        <v>0.14490898454571796</v>
      </c>
      <c r="D9" s="312">
        <f>EXP(New!$LP$6-((New!$LQ$6)/(AE9+New!$LP$8)))/New!$LS$2</f>
        <v>0.1357813845009575</v>
      </c>
      <c r="E9" s="312">
        <f>EXP(New!$LP$6-((New!$LQ$6)/(AF9+New!$LP$8)))/New!$LS$2</f>
        <v>0.12714738107854689</v>
      </c>
      <c r="F9" s="312">
        <f>EXP(New!$LP$6-((New!$LQ$6)/(AG9+New!$LP$8)))/New!$LS$2</f>
        <v>0.11978843261095301</v>
      </c>
      <c r="G9" s="312">
        <f>EXP(New!$LP$6-((New!$LQ$6)/(AH9+New!$LP$8)))/New!$LS$2</f>
        <v>0.11354918694882507</v>
      </c>
      <c r="H9" s="312">
        <f>EXP(New!$LP$6-((New!$LQ$6)/(AI9+New!$LP$8)))/New!$LS$2</f>
        <v>0.10856450949785783</v>
      </c>
      <c r="I9" s="312">
        <f>EXP(New!$LP$6-((New!$LQ$6)/(AJ9+New!$LP$8)))/New!$LS$2</f>
        <v>0.10414706746347015</v>
      </c>
      <c r="J9" s="312">
        <f>EXP(New!$LP$6-((New!$LQ$6)/(AK9+New!$LP$8)))/New!$LS$2</f>
        <v>0.11959265153124655</v>
      </c>
      <c r="K9" s="245">
        <f>((New!FH9*New!$LP$3*LN((1-B9)/(1-New!DO9))) / (New!BV9*1000*New!$LQ$3*(1-B9-1+New!DO9)*New!B9^(2/3)))</f>
        <v>7.0250441650223497E-2</v>
      </c>
      <c r="L9" s="4">
        <f>((New!FI9*New!$LP$3*LN((1-C9)/(1-New!DP9))) / (New!BW9*1000*New!$LQ$3*(1-C9-1+New!DP9)*New!C9^(2/3)))</f>
        <v>7.1259034164054991E-2</v>
      </c>
      <c r="M9" s="4">
        <f>((New!FJ9*New!$LP$3*LN((1-D9)/(1-New!DQ9))) / (New!BX9*1000*New!$LQ$3*(1-D9-1+New!DQ9)*New!D9^(2/3)))</f>
        <v>7.080694733408352E-2</v>
      </c>
      <c r="N9" s="4">
        <f>((New!FK9*New!$LP$3*LN((1-E9)/(1-New!DR9))) / (New!BY9*1000*New!$LQ$3*(1-E9-1+New!DR9)*New!E9^(2/3)))</f>
        <v>7.0437797797037127E-2</v>
      </c>
      <c r="O9" s="4">
        <f>((New!FL9*New!$LP$3*LN((1-F9)/(1-New!DS9))) / (New!BZ9*1000*New!$LQ$3*(1-F9-1+New!DS9)*New!F9^(2/3)))</f>
        <v>7.0077452806946008E-2</v>
      </c>
      <c r="P9" s="4">
        <f>((New!FM9*New!$LP$3*LN((1-G9)/(1-New!DT9))) / (New!CA9*1000*New!$LQ$3*(1-G9-1+New!DT9)*New!G9^(2/3)))</f>
        <v>6.9825395287769626E-2</v>
      </c>
      <c r="Q9" s="4">
        <f>((New!FN9*New!$LP$3*LN((1-H9)/(1-New!DU9))) / (New!CB9*1000*New!$LQ$3*(1-H9-1+New!DU9)*New!H9^(2/3)))</f>
        <v>6.9577421294379382E-2</v>
      </c>
      <c r="R9" s="4">
        <f>((New!FO9*New!$LP$3*LN((1-I9)/(1-New!DV9))) / (New!CC9*1000*New!$LQ$3*(1-I9-1+New!DV9)*New!I9^(2/3)))</f>
        <v>6.9412163836470114E-2</v>
      </c>
      <c r="S9" s="4">
        <f>((New!FP9*New!$LP$3*LN((1-J9)/(1-New!DW9))) / (New!CD9*1000*New!$LQ$3*(1-J9-1+New!DW9)*New!J9^(2/3)))</f>
        <v>7.0002596038449535E-2</v>
      </c>
      <c r="T9" s="245">
        <f>(New!FH9*Sheet3!DF9+New!HU9*1000*K9*(New!DO9-B9)+'Cooling water'!CO9*'Cooling water'!B9) / (New!FH9+'Cooling water'!CO9)</f>
        <v>78.0543128141029</v>
      </c>
      <c r="U9" s="4">
        <f>(New!FI9*Sheet3!BZ9+New!HV9*1000*L9*(New!DP9-C9)+Sheet3!CI9*'Cooling water'!CP9) / (New!FI9+'Cooling water'!CP9)</f>
        <v>53.111004202052747</v>
      </c>
      <c r="V9" s="4">
        <f>(New!FJ9*Sheet3!CA9+New!HW9*1000*M9*(New!DQ9-D9)+Sheet3!CJ9*'Cooling water'!CQ9) / (New!FJ9+'Cooling water'!CQ9)</f>
        <v>51.777602863160247</v>
      </c>
      <c r="W9" s="4">
        <f>(New!FK9*Sheet3!CB9+New!HX9*1000*N9*(New!DR9-E9)+Sheet3!CK9*'Cooling water'!CR9) / (New!FK9+'Cooling water'!CR9)</f>
        <v>50.709010743852609</v>
      </c>
      <c r="X9" s="4">
        <f>(New!FL9*Sheet3!CC9+New!HY9*1000*O9*(New!DS9-F9)+Sheet3!CL9*'Cooling water'!CS9) / (New!FL9+'Cooling water'!CS9)</f>
        <v>49.549970091517714</v>
      </c>
      <c r="Y9" s="4">
        <f>(New!FM9*Sheet3!CD9+New!HZ9*1000*P9*(New!DT9-G9)+Sheet3!CM9*'Cooling water'!CT9) / (New!FM9+'Cooling water'!CT9)</f>
        <v>48.862883333157335</v>
      </c>
      <c r="Z9" s="4">
        <f>(New!FN9*Sheet3!CE9+New!IA9*1000*Q9*(New!DU9-H9)+Sheet3!CN9*'Cooling water'!CU9) / (New!FN9+'Cooling water'!CU9)</f>
        <v>48.024117337046889</v>
      </c>
      <c r="AA9" s="4">
        <f>(New!FO9*Sheet3!CF9+New!IB9*1000*R9*(New!DV9-I9)+Sheet3!CO9*'Cooling water'!CV9) / (New!FO9+'Cooling water'!CV9)</f>
        <v>47.645100383094217</v>
      </c>
      <c r="AB9" s="4">
        <f>(New!FP9*Sheet3!CG9+New!IC9*1000*S9*(New!DW9-J9)+Sheet3!CP9*'Cooling water'!CW9) / (New!FP9+'Cooling water'!CW9)</f>
        <v>73.898457381680913</v>
      </c>
      <c r="AC9" s="245">
        <f t="shared" si="1"/>
        <v>49.911828874999998</v>
      </c>
      <c r="AD9" s="311">
        <v>53.561711000000003</v>
      </c>
      <c r="AE9" s="311">
        <v>52.226632000000002</v>
      </c>
      <c r="AF9" s="311">
        <v>50.891292</v>
      </c>
      <c r="AG9" s="311">
        <v>49.690548999999997</v>
      </c>
      <c r="AH9" s="311">
        <v>48.622056999999998</v>
      </c>
      <c r="AI9" s="311">
        <v>47.731704000000001</v>
      </c>
      <c r="AJ9" s="311">
        <v>46.912934</v>
      </c>
      <c r="AK9" s="311">
        <v>49.657752000000002</v>
      </c>
      <c r="AL9" s="243">
        <f>AVERAGE(Sheet3!BR9:BY9)</f>
        <v>35.773466945043594</v>
      </c>
      <c r="AM9" s="183" cm="1">
        <f t="array" ref="AM9:AT9">TRANSPOSE('[11]Keithley Matavimai'!$W$6:$W$13)</f>
        <v>44.18414259892549</v>
      </c>
      <c r="AN9" s="183">
        <v>40.060880679600785</v>
      </c>
      <c r="AO9" s="183">
        <v>38.867730365858385</v>
      </c>
      <c r="AP9" s="183">
        <v>34.399420158716772</v>
      </c>
      <c r="AQ9" s="183">
        <v>34.761057395787681</v>
      </c>
      <c r="AR9" s="183">
        <v>34.400363617313268</v>
      </c>
      <c r="AS9" s="183">
        <v>32.075902851873415</v>
      </c>
      <c r="AT9" s="183">
        <v>27.438237892273008</v>
      </c>
      <c r="AU9" s="183">
        <f t="shared" si="0"/>
        <v>14.138361929956403</v>
      </c>
      <c r="AX9" s="281"/>
      <c r="AY9" s="281"/>
      <c r="AZ9" s="281"/>
      <c r="BA9" s="281"/>
    </row>
    <row r="10" spans="1:53" ht="16.8" x14ac:dyDescent="0.3">
      <c r="A10" s="282" t="str">
        <f>Sheet3!A10</f>
        <v>01.12.2022</v>
      </c>
      <c r="B10" s="248">
        <f>EXP(New!$LP$6-((New!$LQ$6)/(AC10+New!$LP$8)))/New!$LS$2</f>
        <v>0.11939740165420391</v>
      </c>
      <c r="C10" s="312">
        <f>EXP(New!$LP$6-((New!$LQ$6)/(AD10+New!$LP$8)))/New!$LS$2</f>
        <v>0.14626006438163239</v>
      </c>
      <c r="D10" s="312">
        <f>EXP(New!$LP$6-((New!$LQ$6)/(AE10+New!$LP$8)))/New!$LS$2</f>
        <v>0.13681346083372406</v>
      </c>
      <c r="E10" s="312">
        <f>EXP(New!$LP$6-((New!$LQ$6)/(AF10+New!$LP$8)))/New!$LS$2</f>
        <v>0.12772031498162864</v>
      </c>
      <c r="F10" s="312">
        <f>EXP(New!$LP$6-((New!$LQ$6)/(AG10+New!$LP$8)))/New!$LS$2</f>
        <v>0.11923269739104719</v>
      </c>
      <c r="G10" s="312">
        <f>EXP(New!$LP$6-((New!$LQ$6)/(AH10+New!$LP$8)))/New!$LS$2</f>
        <v>0.11166277715384894</v>
      </c>
      <c r="H10" s="312">
        <f>EXP(New!$LP$6-((New!$LQ$6)/(AI10+New!$LP$8)))/New!$LS$2</f>
        <v>0.10492624788318433</v>
      </c>
      <c r="I10" s="312">
        <f>EXP(New!$LP$6-((New!$LQ$6)/(AJ10+New!$LP$8)))/New!$LS$2</f>
        <v>9.9751992172871062E-2</v>
      </c>
      <c r="J10" s="312">
        <f>EXP(New!$LP$6-((New!$LQ$6)/(AK10+New!$LP$8)))/New!$LS$2</f>
        <v>0.11496572681351186</v>
      </c>
      <c r="K10" s="245">
        <f>((New!FH10*New!$LP$3*LN((1-B10)/(1-New!DO10))) / (New!BV10*1000*New!$LQ$3*(1-B10-1+New!DO10)*New!B10^(2/3)))</f>
        <v>6.9300912138170009E-2</v>
      </c>
      <c r="L10" s="4">
        <f>((New!FI10*New!$LP$3*LN((1-C10)/(1-New!DP10))) / (New!BW10*1000*New!$LQ$3*(1-C10-1+New!DP10)*New!C10^(2/3)))</f>
        <v>7.0413208131683544E-2</v>
      </c>
      <c r="M10" s="4">
        <f>((New!FJ10*New!$LP$3*LN((1-D10)/(1-New!DQ10))) / (New!BX10*1000*New!$LQ$3*(1-D10-1+New!DQ10)*New!D10^(2/3)))</f>
        <v>6.9928184010390512E-2</v>
      </c>
      <c r="N10" s="4">
        <f>((New!FK10*New!$LP$3*LN((1-E10)/(1-New!DR10))) / (New!BY10*1000*New!$LQ$3*(1-E10-1+New!DR10)*New!E10^(2/3)))</f>
        <v>6.9530232928951483E-2</v>
      </c>
      <c r="O10" s="4">
        <f>((New!FL10*New!$LP$3*LN((1-F10)/(1-New!DS10))) / (New!BZ10*1000*New!$LQ$3*(1-F10-1+New!DS10)*New!F10^(2/3)))</f>
        <v>6.911540977804273E-2</v>
      </c>
      <c r="P10" s="4">
        <f>((New!FM10*New!$LP$3*LN((1-G10)/(1-New!DT10))) / (New!CA10*1000*New!$LQ$3*(1-G10-1+New!DT10)*New!G10^(2/3)))</f>
        <v>6.880668669680122E-2</v>
      </c>
      <c r="Q10" s="4">
        <f>((New!FN10*New!$LP$3*LN((1-H10)/(1-New!DU10))) / (New!CB10*1000*New!$LQ$3*(1-H10-1+New!DU10)*New!H10^(2/3)))</f>
        <v>6.847384658765715E-2</v>
      </c>
      <c r="R10" s="4">
        <f>((New!FO10*New!$LP$3*LN((1-I10)/(1-New!DV10))) / (New!CC10*1000*New!$LQ$3*(1-I10-1+New!DV10)*New!I10^(2/3)))</f>
        <v>6.8275271593903161E-2</v>
      </c>
      <c r="S10" s="4">
        <f>((New!FP10*New!$LP$3*LN((1-J10)/(1-New!DW10))) / (New!CD10*1000*New!$LQ$3*(1-J10-1+New!DW10)*New!J10^(2/3)))</f>
        <v>6.8821786952915159E-2</v>
      </c>
      <c r="T10" s="245">
        <f>(New!FH10*Sheet3!DF10+New!HU10*1000*K10*(New!DO10-B10)+'Cooling water'!CO10*'Cooling water'!B10) / (New!FH10+'Cooling water'!CO10)</f>
        <v>76.969853088616091</v>
      </c>
      <c r="U10" s="4">
        <f>(New!FI10*Sheet3!BZ10+New!HV10*1000*L10*(New!DP10-C10)+Sheet3!CI10*'Cooling water'!CP10) / (New!FI10+'Cooling water'!CP10)</f>
        <v>53.351438847741221</v>
      </c>
      <c r="V10" s="4">
        <f>(New!FJ10*Sheet3!CA10+New!HW10*1000*M10*(New!DQ10-D10)+Sheet3!CJ10*'Cooling water'!CQ10) / (New!FJ10+'Cooling water'!CQ10)</f>
        <v>52.153792930367359</v>
      </c>
      <c r="W10" s="4">
        <f>(New!FK10*Sheet3!CB10+New!HX10*1000*N10*(New!DR10-E10)+Sheet3!CK10*'Cooling water'!CR10) / (New!FK10+'Cooling water'!CR10)</f>
        <v>51.030104885419405</v>
      </c>
      <c r="X10" s="4">
        <f>(New!FL10*Sheet3!CC10+New!HY10*1000*O10*(New!DS10-F10)+Sheet3!CL10*'Cooling water'!CS10) / (New!FL10+'Cooling water'!CS10)</f>
        <v>49.664124142980704</v>
      </c>
      <c r="Y10" s="4">
        <f>(New!FM10*Sheet3!CD10+New!HZ10*1000*P10*(New!DT10-G10)+Sheet3!CM10*'Cooling water'!CT10) / (New!FM10+'Cooling water'!CT10)</f>
        <v>48.668932559765352</v>
      </c>
      <c r="Z10" s="4">
        <f>(New!FN10*Sheet3!CE10+New!IA10*1000*Q10*(New!DU10-H10)+Sheet3!CN10*'Cooling water'!CU10) / (New!FN10+'Cooling water'!CU10)</f>
        <v>47.56240389947331</v>
      </c>
      <c r="AA10" s="4">
        <f>(New!FO10*Sheet3!CF10+New!IB10*1000*R10*(New!DV10-I10)+Sheet3!CO10*'Cooling water'!CV10) / (New!FO10+'Cooling water'!CV10)</f>
        <v>46.745189542061766</v>
      </c>
      <c r="AB10" s="4">
        <f>(New!FP10*Sheet3!CG10+New!IC10*1000*S10*(New!DW10-J10)+Sheet3!CP10*'Cooling water'!CW10) / (New!FP10+'Cooling water'!CW10)</f>
        <v>43.861930040514821</v>
      </c>
      <c r="AC10" s="245">
        <f t="shared" si="1"/>
        <v>49.624998249999997</v>
      </c>
      <c r="AD10" s="311">
        <v>53.753197</v>
      </c>
      <c r="AE10" s="311">
        <v>52.381366</v>
      </c>
      <c r="AF10" s="311">
        <v>50.982264000000001</v>
      </c>
      <c r="AG10" s="311">
        <v>49.597332999999999</v>
      </c>
      <c r="AH10" s="311">
        <v>48.289118000000002</v>
      </c>
      <c r="AI10" s="311">
        <v>47.059486999999997</v>
      </c>
      <c r="AJ10" s="311">
        <v>46.068249999999999</v>
      </c>
      <c r="AK10" s="311">
        <v>48.868971000000002</v>
      </c>
      <c r="AL10" s="243">
        <f>AVERAGE(Sheet3!BR10:BY10)</f>
        <v>38.812383767739696</v>
      </c>
      <c r="AM10" s="183" cm="1">
        <f t="array" ref="AM10:AT10">TRANSPOSE('[12]Keithley Matavimai'!$W$6:$W$13)</f>
        <v>47.866766249184103</v>
      </c>
      <c r="AN10" s="183">
        <v>43.811022429272448</v>
      </c>
      <c r="AO10" s="183">
        <v>42.406330262584078</v>
      </c>
      <c r="AP10" s="183">
        <v>37.471795605560565</v>
      </c>
      <c r="AQ10" s="183">
        <v>37.826497140607344</v>
      </c>
      <c r="AR10" s="183">
        <v>37.523172996536658</v>
      </c>
      <c r="AS10" s="183">
        <v>34.259881559626066</v>
      </c>
      <c r="AT10" s="183">
        <v>29.333603898546311</v>
      </c>
      <c r="AU10" s="183">
        <f t="shared" si="0"/>
        <v>10.812614482260301</v>
      </c>
      <c r="AX10" s="281"/>
      <c r="AY10" s="281"/>
      <c r="AZ10" s="281"/>
      <c r="BA10" s="281"/>
    </row>
    <row r="11" spans="1:53" ht="16.8" x14ac:dyDescent="0.3">
      <c r="A11" s="282" t="str">
        <f>Sheet3!A11</f>
        <v>02.12.2022</v>
      </c>
      <c r="B11" s="248">
        <f>EXP(New!$LP$6-((New!$LQ$6)/(AC11+New!$LP$8)))/New!$LS$2</f>
        <v>0.11464528644151194</v>
      </c>
      <c r="C11" s="312">
        <f>EXP(New!$LP$6-((New!$LQ$6)/(AD11+New!$LP$8)))/New!$LS$2</f>
        <v>0.14502537089548584</v>
      </c>
      <c r="D11" s="312">
        <f>EXP(New!$LP$6-((New!$LQ$6)/(AE11+New!$LP$8)))/New!$LS$2</f>
        <v>0.1354263737935589</v>
      </c>
      <c r="E11" s="312">
        <f>EXP(New!$LP$6-((New!$LQ$6)/(AF11+New!$LP$8)))/New!$LS$2</f>
        <v>0.12615759550142228</v>
      </c>
      <c r="F11" s="312">
        <f>EXP(New!$LP$6-((New!$LQ$6)/(AG11+New!$LP$8)))/New!$LS$2</f>
        <v>0.11744423547881307</v>
      </c>
      <c r="G11" s="312">
        <f>EXP(New!$LP$6-((New!$LQ$6)/(AH11+New!$LP$8)))/New!$LS$2</f>
        <v>0.1096034379161778</v>
      </c>
      <c r="H11" s="312">
        <f>EXP(New!$LP$6-((New!$LQ$6)/(AI11+New!$LP$8)))/New!$LS$2</f>
        <v>0.10258143788506682</v>
      </c>
      <c r="I11" s="312">
        <f>EXP(New!$LP$6-((New!$LQ$6)/(AJ11+New!$LP$8)))/New!$LS$2</f>
        <v>9.7092368411992772E-2</v>
      </c>
      <c r="J11" s="312">
        <f>EXP(New!$LP$6-((New!$LQ$6)/(AK11+New!$LP$8)))/New!$LS$2</f>
        <v>9.2729605370933957E-2</v>
      </c>
      <c r="K11" s="245">
        <f>((New!FH11*New!$LP$3*LN((1-B11)/(1-New!DO11))) / (New!BV11*1000*New!$LQ$3*(1-B11-1+New!DO11)*New!B11^(2/3)))</f>
        <v>6.9983226345357183E-2</v>
      </c>
      <c r="L11" s="4">
        <f>((New!FI11*New!$LP$3*LN((1-C11)/(1-New!DP11))) / (New!BW11*1000*New!$LQ$3*(1-C11-1+New!DP11)*New!C11^(2/3)))</f>
        <v>7.1253495350841564E-2</v>
      </c>
      <c r="M11" s="4">
        <f>((New!FJ11*New!$LP$3*LN((1-D11)/(1-New!DQ11))) / (New!BX11*1000*New!$LQ$3*(1-D11-1+New!DQ11)*New!D11^(2/3)))</f>
        <v>7.0759070874398561E-2</v>
      </c>
      <c r="N11" s="4">
        <f>((New!FK11*New!$LP$3*LN((1-E11)/(1-New!DR11))) / (New!BY11*1000*New!$LQ$3*(1-E11-1+New!DR11)*New!E11^(2/3)))</f>
        <v>7.0353109576349354E-2</v>
      </c>
      <c r="O11" s="4">
        <f>((New!FL11*New!$LP$3*LN((1-F11)/(1-New!DS11))) / (New!BZ11*1000*New!$LQ$3*(1-F11-1+New!DS11)*New!F11^(2/3)))</f>
        <v>6.9919532369721454E-2</v>
      </c>
      <c r="P11" s="4">
        <f>((New!FM11*New!$LP$3*LN((1-G11)/(1-New!DT11))) / (New!CA11*1000*New!$LQ$3*(1-G11-1+New!DT11)*New!G11^(2/3)))</f>
        <v>6.9597295249660962E-2</v>
      </c>
      <c r="Q11" s="4">
        <f>((New!FN11*New!$LP$3*LN((1-H11)/(1-New!DU11))) / (New!CB11*1000*New!$LQ$3*(1-H11-1+New!DU11)*New!H11^(2/3)))</f>
        <v>6.9253377168429303E-2</v>
      </c>
      <c r="R11" s="4">
        <f>((New!FO11*New!$LP$3*LN((1-I11)/(1-New!DV11))) / (New!CC11*1000*New!$LQ$3*(1-I11-1+New!DV11)*New!I11^(2/3)))</f>
        <v>6.9041243516079681E-2</v>
      </c>
      <c r="S11" s="4">
        <f>((New!FP11*New!$LP$3*LN((1-J11)/(1-New!DW11))) / (New!CD11*1000*New!$LQ$3*(1-J11-1+New!DW11)*New!J11^(2/3)))</f>
        <v>6.8815469261056611E-2</v>
      </c>
      <c r="T11" s="245">
        <f>(New!FH11*Sheet3!DF11+New!HU11*1000*K11*(New!DO11-B11)+'Cooling water'!CO11*'Cooling water'!B11) / (New!FH11+'Cooling water'!CO11)</f>
        <v>80.434024011357991</v>
      </c>
      <c r="U11" s="4">
        <f>(New!FI11*Sheet3!BZ11+New!HV11*1000*L11*(New!DP11-C11)+Sheet3!CI11*'Cooling water'!CP11) / (New!FI11+'Cooling water'!CP11)</f>
        <v>53.189999311341467</v>
      </c>
      <c r="V11" s="4">
        <f>(New!FJ11*Sheet3!CA11+New!HW11*1000*M11*(New!DQ11-D11)+Sheet3!CJ11*'Cooling water'!CQ11) / (New!FJ11+'Cooling water'!CQ11)</f>
        <v>51.982522409694866</v>
      </c>
      <c r="W11" s="4">
        <f>(New!FK11*Sheet3!CB11+New!HX11*1000*N11*(New!DR11-E11)+Sheet3!CK11*'Cooling water'!CR11) / (New!FK11+'Cooling water'!CR11)</f>
        <v>50.83171500673496</v>
      </c>
      <c r="X11" s="4">
        <f>(New!FL11*Sheet3!CC11+New!HY11*1000*O11*(New!DS11-F11)+Sheet3!CL11*'Cooling water'!CS11) / (New!FL11+'Cooling water'!CS11)</f>
        <v>49.431331218082633</v>
      </c>
      <c r="Y11" s="4">
        <f>(New!FM11*Sheet3!CD11+New!HZ11*1000*P11*(New!DT11-G11)+Sheet3!CM11*'Cooling water'!CT11) / (New!FM11+'Cooling water'!CT11)</f>
        <v>48.382645955684431</v>
      </c>
      <c r="Z11" s="4">
        <f>(New!FN11*Sheet3!CE11+New!IA11*1000*Q11*(New!DU11-H11)+Sheet3!CN11*'Cooling water'!CU11) / (New!FN11+'Cooling water'!CU11)</f>
        <v>47.230877459578984</v>
      </c>
      <c r="AA11" s="4">
        <f>(New!FO11*Sheet3!CF11+New!IB11*1000*R11*(New!DV11-I11)+Sheet3!CO11*'Cooling water'!CV11) / (New!FO11+'Cooling water'!CV11)</f>
        <v>46.34892265409799</v>
      </c>
      <c r="AB11" s="4">
        <f>(New!FP11*Sheet3!CG11+New!IC11*1000*S11*(New!DW11-J11)+Sheet3!CP11*'Cooling water'!CW11) / (New!FP11+'Cooling water'!CW11)</f>
        <v>45.624991684841326</v>
      </c>
      <c r="AC11" s="245">
        <f t="shared" si="1"/>
        <v>48.813344375</v>
      </c>
      <c r="AD11" s="311">
        <v>53.578265999999999</v>
      </c>
      <c r="AE11" s="311">
        <v>52.173175000000001</v>
      </c>
      <c r="AF11" s="311">
        <v>50.733302999999999</v>
      </c>
      <c r="AG11" s="311">
        <v>49.294803999999999</v>
      </c>
      <c r="AH11" s="311">
        <v>47.920119</v>
      </c>
      <c r="AI11" s="311">
        <v>46.615600000000001</v>
      </c>
      <c r="AJ11" s="311">
        <v>45.541488000000001</v>
      </c>
      <c r="AK11" s="311">
        <v>44.65</v>
      </c>
      <c r="AL11" s="243">
        <f>AVERAGE(Sheet3!BR11:BY11)</f>
        <v>38.812383767739696</v>
      </c>
      <c r="AM11" s="183" cm="1">
        <f t="array" ref="AM11:AT11">TRANSPOSE('[12]Keithley Matavimai'!$W$6:$W$13)</f>
        <v>47.866766249184103</v>
      </c>
      <c r="AN11" s="183">
        <v>43.811022429272448</v>
      </c>
      <c r="AO11" s="183">
        <v>42.406330262584078</v>
      </c>
      <c r="AP11" s="183">
        <v>37.471795605560565</v>
      </c>
      <c r="AQ11" s="183">
        <v>37.826497140607344</v>
      </c>
      <c r="AR11" s="183">
        <v>37.523172996536658</v>
      </c>
      <c r="AS11" s="183">
        <v>34.259881559626066</v>
      </c>
      <c r="AT11" s="183">
        <v>29.333603898546311</v>
      </c>
      <c r="AU11" s="183">
        <f t="shared" si="0"/>
        <v>10.000960607260303</v>
      </c>
      <c r="AX11" s="281"/>
      <c r="AY11" s="281"/>
      <c r="AZ11" s="281"/>
      <c r="BA11" s="281"/>
    </row>
    <row r="12" spans="1:53" ht="16.8" x14ac:dyDescent="0.3">
      <c r="A12" s="282" t="str">
        <f>Sheet3!A12</f>
        <v>05.12.2022</v>
      </c>
      <c r="B12" s="248">
        <f>EXP(New!$LP$6-((New!$LQ$6)/(AC12+New!$LP$8)))/New!$LS$2</f>
        <v>0.11036239184892369</v>
      </c>
      <c r="C12" s="312">
        <f>EXP(New!$LP$6-((New!$LQ$6)/(AD12+New!$LP$8)))/New!$LS$2</f>
        <v>0.14031455929403014</v>
      </c>
      <c r="D12" s="312">
        <f>EXP(New!$LP$6-((New!$LQ$6)/(AE12+New!$LP$8)))/New!$LS$2</f>
        <v>0.13047398948882966</v>
      </c>
      <c r="E12" s="312">
        <f>EXP(New!$LP$6-((New!$LQ$6)/(AF12+New!$LP$8)))/New!$LS$2</f>
        <v>0.12111942111659281</v>
      </c>
      <c r="F12" s="312">
        <f>EXP(New!$LP$6-((New!$LQ$6)/(AG12+New!$LP$8)))/New!$LS$2</f>
        <v>0.11285197679682302</v>
      </c>
      <c r="G12" s="312">
        <f>EXP(New!$LP$6-((New!$LQ$6)/(AH12+New!$LP$8)))/New!$LS$2</f>
        <v>0.10556819515706735</v>
      </c>
      <c r="H12" s="312">
        <f>EXP(New!$LP$6-((New!$LQ$6)/(AI12+New!$LP$8)))/New!$LS$2</f>
        <v>9.8990772354390244E-2</v>
      </c>
      <c r="I12" s="312">
        <f>EXP(New!$LP$6-((New!$LQ$6)/(AJ12+New!$LP$8)))/New!$LS$2</f>
        <v>9.3298962876745009E-2</v>
      </c>
      <c r="J12" s="312">
        <f>EXP(New!$LP$6-((New!$LQ$6)/(AK12+New!$LP$8)))/New!$LS$2</f>
        <v>8.9015408740322599E-2</v>
      </c>
      <c r="K12" s="245">
        <f>((New!FH12*New!$LP$3*LN((1-B12)/(1-New!DO12))) / (New!BV12*1000*New!$LQ$3*(1-B12-1+New!DO12)*New!B12^(2/3)))</f>
        <v>7.0822382387964566E-2</v>
      </c>
      <c r="L12" s="4">
        <f>((New!FI12*New!$LP$3*LN((1-C12)/(1-New!DP12))) / (New!BW12*1000*New!$LQ$3*(1-C12-1+New!DP12)*New!C12^(2/3)))</f>
        <v>7.208165074809221E-2</v>
      </c>
      <c r="M12" s="4">
        <f>((New!FJ12*New!$LP$3*LN((1-D12)/(1-New!DQ12))) / (New!BX12*1000*New!$LQ$3*(1-D12-1+New!DQ12)*New!D12^(2/3)))</f>
        <v>7.1561419499862708E-2</v>
      </c>
      <c r="N12" s="4">
        <f>((New!FK12*New!$LP$3*LN((1-E12)/(1-New!DR12))) / (New!BY12*1000*New!$LQ$3*(1-E12-1+New!DR12)*New!E12^(2/3)))</f>
        <v>7.1141461810462089E-2</v>
      </c>
      <c r="O12" s="4">
        <f>((New!FL12*New!$LP$3*LN((1-F12)/(1-New!DS12))) / (New!BZ12*1000*New!$LQ$3*(1-F12-1+New!DS12)*New!F12^(2/3)))</f>
        <v>7.0712337401608566E-2</v>
      </c>
      <c r="P12" s="4">
        <f>((New!FM12*New!$LP$3*LN((1-G12)/(1-New!DT12))) / (New!CA12*1000*New!$LQ$3*(1-G12-1+New!DT12)*New!G12^(2/3)))</f>
        <v>7.0405188229958726E-2</v>
      </c>
      <c r="Q12" s="4">
        <f>((New!FN12*New!$LP$3*LN((1-H12)/(1-New!DU12))) / (New!CB12*1000*New!$LQ$3*(1-H12-1+New!DU12)*New!H12^(2/3)))</f>
        <v>7.0068333405789662E-2</v>
      </c>
      <c r="R12" s="4">
        <f>((New!FO12*New!$LP$3*LN((1-I12)/(1-New!DV12))) / (New!CC12*1000*New!$LQ$3*(1-I12-1+New!DV12)*New!I12^(2/3)))</f>
        <v>6.9840759580328787E-2</v>
      </c>
      <c r="S12" s="4">
        <f>((New!FP12*New!$LP$3*LN((1-J12)/(1-New!DW12))) / (New!CD12*1000*New!$LQ$3*(1-J12-1+New!DW12)*New!J12^(2/3)))</f>
        <v>6.9610962772291368E-2</v>
      </c>
      <c r="T12" s="245">
        <f>(New!FH12*Sheet3!DF12+New!HU12*1000*K12*(New!DO12-B12)+'Cooling water'!CO12*'Cooling water'!B12) / (New!FH12+'Cooling water'!CO12)</f>
        <v>46.937126527569674</v>
      </c>
      <c r="U12" s="4">
        <f>(New!FI12*Sheet3!BZ12+New!HV12*1000*L12*(New!DP12-C12)+Sheet3!CI12*'Cooling water'!CP12) / (New!FI12+'Cooling water'!CP12)</f>
        <v>52.547472219327823</v>
      </c>
      <c r="V12" s="4">
        <f>(New!FJ12*Sheet3!CA12+New!HW12*1000*M12*(New!DQ12-D12)+Sheet3!CJ12*'Cooling water'!CQ12) / (New!FJ12+'Cooling water'!CQ12)</f>
        <v>51.196012351772801</v>
      </c>
      <c r="W12" s="4">
        <f>(New!FK12*Sheet3!CB12+New!HX12*1000*N12*(New!DR12-E12)+Sheet3!CK12*'Cooling water'!CR12) / (New!FK12+'Cooling water'!CR12)</f>
        <v>50.008854622653104</v>
      </c>
      <c r="X12" s="4">
        <f>(New!FL12*Sheet3!CC12+New!HY12*1000*O12*(New!DS12-F12)+Sheet3!CL12*'Cooling water'!CS12) / (New!FL12+'Cooling water'!CS12)</f>
        <v>48.597547861298459</v>
      </c>
      <c r="Y12" s="4">
        <f>(New!FM12*Sheet3!CD12+New!HZ12*1000*P12*(New!DT12-G12)+Sheet3!CM12*'Cooling water'!CT12) / (New!FM12+'Cooling water'!CT12)</f>
        <v>47.542638914762207</v>
      </c>
      <c r="Z12" s="4">
        <f>(New!FN12*Sheet3!CE12+New!IA12*1000*Q12*(New!DU12-H12)+Sheet3!CN12*'Cooling water'!CU12) / (New!FN12+'Cooling water'!CU12)</f>
        <v>46.468857365970045</v>
      </c>
      <c r="AA12" s="4">
        <f>(New!FO12*Sheet3!CF12+New!IB12*1000*R12*(New!DV12-I12)+Sheet3!CO12*'Cooling water'!CV12) / (New!FO12+'Cooling water'!CV12)</f>
        <v>45.641798582482529</v>
      </c>
      <c r="AB12" s="4">
        <f>(New!FP12*Sheet3!CG12+New!IC12*1000*S12*(New!DW12-J12)+Sheet3!CP12*'Cooling water'!CW12) / (New!FP12+'Cooling water'!CW12)</f>
        <v>44.834017844689221</v>
      </c>
      <c r="AC12" s="245">
        <f t="shared" si="1"/>
        <v>48.056795624999999</v>
      </c>
      <c r="AD12" s="311">
        <v>52.898952999999999</v>
      </c>
      <c r="AE12" s="311">
        <v>51.414696999999997</v>
      </c>
      <c r="AF12" s="311">
        <v>49.912308000000003</v>
      </c>
      <c r="AG12" s="311">
        <v>48.499558999999998</v>
      </c>
      <c r="AH12" s="311">
        <v>47.17953</v>
      </c>
      <c r="AI12" s="311">
        <v>45.918725000000002</v>
      </c>
      <c r="AJ12" s="311">
        <v>44.768357000000002</v>
      </c>
      <c r="AK12" s="311">
        <v>43.862236000000003</v>
      </c>
      <c r="AL12" s="243">
        <f>AVERAGE(Sheet3!BR12:BY12)</f>
        <v>37.773221899435732</v>
      </c>
      <c r="AM12" s="183" cm="1">
        <f t="array" ref="AM12:AT12">TRANSPOSE('[14]Keithley Matavimai'!$W$6:$W$13)</f>
        <v>47.431540114444012</v>
      </c>
      <c r="AN12" s="183">
        <v>41.712746135814484</v>
      </c>
      <c r="AO12" s="183">
        <v>41.264867259670872</v>
      </c>
      <c r="AP12" s="183">
        <v>36.43026504210156</v>
      </c>
      <c r="AQ12" s="183">
        <v>36.64900001143581</v>
      </c>
      <c r="AR12" s="183">
        <v>36.377281733775128</v>
      </c>
      <c r="AS12" s="183">
        <v>33.639010348521502</v>
      </c>
      <c r="AT12" s="183">
        <v>28.681064549722535</v>
      </c>
      <c r="AU12" s="183">
        <f t="shared" si="0"/>
        <v>10.283573725564267</v>
      </c>
      <c r="AX12" s="281"/>
      <c r="AY12" s="281"/>
      <c r="AZ12" s="281"/>
      <c r="BA12" s="281"/>
    </row>
    <row r="13" spans="1:53" ht="16.8" x14ac:dyDescent="0.3">
      <c r="A13" s="282" t="str">
        <f>Sheet3!A13</f>
        <v>06.12.2022</v>
      </c>
      <c r="B13" s="248">
        <f>EXP(New!$LP$6-((New!$LQ$6)/(AC13+New!$LP$8)))/New!$LS$2</f>
        <v>0.1068359923360314</v>
      </c>
      <c r="C13" s="312">
        <f>EXP(New!$LP$6-((New!$LQ$6)/(AD13+New!$LP$8)))/New!$LS$2</f>
        <v>0.13723112965386791</v>
      </c>
      <c r="D13" s="312">
        <f>EXP(New!$LP$6-((New!$LQ$6)/(AE13+New!$LP$8)))/New!$LS$2</f>
        <v>0.12751974704450664</v>
      </c>
      <c r="E13" s="312">
        <f>EXP(New!$LP$6-((New!$LQ$6)/(AF13+New!$LP$8)))/New!$LS$2</f>
        <v>0.11795844654628554</v>
      </c>
      <c r="F13" s="312">
        <f>EXP(New!$LP$6-((New!$LQ$6)/(AG13+New!$LP$8)))/New!$LS$2</f>
        <v>0.10935511612035483</v>
      </c>
      <c r="G13" s="312">
        <f>EXP(New!$LP$6-((New!$LQ$6)/(AH13+New!$LP$8)))/New!$LS$2</f>
        <v>0.10185239523985797</v>
      </c>
      <c r="H13" s="312">
        <f>EXP(New!$LP$6-((New!$LQ$6)/(AI13+New!$LP$8)))/New!$LS$2</f>
        <v>9.5447588212099324E-2</v>
      </c>
      <c r="I13" s="312">
        <f>EXP(New!$LP$6-((New!$LQ$6)/(AJ13+New!$LP$8)))/New!$LS$2</f>
        <v>8.9683804643423182E-2</v>
      </c>
      <c r="J13" s="312">
        <f>EXP(New!$LP$6-((New!$LQ$6)/(AK13+New!$LP$8)))/New!$LS$2</f>
        <v>8.4987078494792631E-2</v>
      </c>
      <c r="K13" s="245">
        <f>((New!FH13*New!$LP$3*LN((1-B13)/(1-New!DO13))) / (New!BV13*1000*New!$LQ$3*(1-B13-1+New!DO13)*New!B13^(2/3)))</f>
        <v>7.2565409965072644E-2</v>
      </c>
      <c r="L13" s="4">
        <f>((New!FI13*New!$LP$3*LN((1-C13)/(1-New!DP13))) / (New!BW13*1000*New!$LQ$3*(1-C13-1+New!DP13)*New!C13^(2/3)))</f>
        <v>7.3871453845041415E-2</v>
      </c>
      <c r="M13" s="4">
        <f>((New!FJ13*New!$LP$3*LN((1-D13)/(1-New!DQ13))) / (New!BX13*1000*New!$LQ$3*(1-D13-1+New!DQ13)*New!D13^(2/3)))</f>
        <v>7.3336004691396284E-2</v>
      </c>
      <c r="N13" s="4">
        <f>((New!FK13*New!$LP$3*LN((1-E13)/(1-New!DR13))) / (New!BY13*1000*New!$LQ$3*(1-E13-1+New!DR13)*New!E13^(2/3)))</f>
        <v>7.2887834117715086E-2</v>
      </c>
      <c r="O13" s="4">
        <f>((New!FL13*New!$LP$3*LN((1-F13)/(1-New!DS13))) / (New!BZ13*1000*New!$LQ$3*(1-F13-1+New!DS13)*New!F13^(2/3)))</f>
        <v>7.2425310847778035E-2</v>
      </c>
      <c r="P13" s="4">
        <f>((New!FM13*New!$LP$3*LN((1-G13)/(1-New!DT13))) / (New!CA13*1000*New!$LQ$3*(1-G13-1+New!DT13)*New!G13^(2/3)))</f>
        <v>7.2097122303277375E-2</v>
      </c>
      <c r="Q13" s="4">
        <f>((New!FN13*New!$LP$3*LN((1-H13)/(1-New!DU13))) / (New!CB13*1000*New!$LQ$3*(1-H13-1+New!DU13)*New!H13^(2/3)))</f>
        <v>7.1753835191277038E-2</v>
      </c>
      <c r="R13" s="4">
        <f>((New!FO13*New!$LP$3*LN((1-I13)/(1-New!DV13))) / (New!CC13*1000*New!$LQ$3*(1-I13-1+New!DV13)*New!I13^(2/3)))</f>
        <v>7.1510312640107696E-2</v>
      </c>
      <c r="S13" s="4">
        <f>((New!FP13*New!$LP$3*LN((1-J13)/(1-New!DW13))) / (New!CD13*1000*New!$LQ$3*(1-J13-1+New!DW13)*New!J13^(2/3)))</f>
        <v>7.1251012292806934E-2</v>
      </c>
      <c r="T13" s="245">
        <f>(New!FH13*Sheet3!DF13+New!HU13*1000*K13*(New!DO13-B13)+'Cooling water'!CO13*'Cooling water'!B13) / (New!FH13+'Cooling water'!CO13)</f>
        <v>46.088202540121657</v>
      </c>
      <c r="U13" s="4">
        <f>(New!FI13*Sheet3!BZ13+New!HV13*1000*L13*(New!DP13-C13)+Sheet3!CI13*'Cooling water'!CP13) / (New!FI13+'Cooling water'!CP13)</f>
        <v>52.225315009202944</v>
      </c>
      <c r="V13" s="4">
        <f>(New!FJ13*Sheet3!CA13+New!HW13*1000*M13*(New!DQ13-D13)+Sheet3!CJ13*'Cooling water'!CQ13) / (New!FJ13+'Cooling water'!CQ13)</f>
        <v>50.771510932205942</v>
      </c>
      <c r="W13" s="4">
        <f>(New!FK13*Sheet3!CB13+New!HX13*1000*N13*(New!DR13-E13)+Sheet3!CK13*'Cooling water'!CR13) / (New!FK13+'Cooling water'!CR13)</f>
        <v>49.505182833568831</v>
      </c>
      <c r="X13" s="4">
        <f>(New!FL13*Sheet3!CC13+New!HY13*1000*O13*(New!DS13-F13)+Sheet3!CL13*'Cooling water'!CS13) / (New!FL13+'Cooling water'!CS13)</f>
        <v>48.002309956684158</v>
      </c>
      <c r="Y13" s="4">
        <f>(New!FM13*Sheet3!CD13+New!HZ13*1000*P13*(New!DT13-G13)+Sheet3!CM13*'Cooling water'!CT13) / (New!FM13+'Cooling water'!CT13)</f>
        <v>46.906018443284417</v>
      </c>
      <c r="Z13" s="4">
        <f>(New!FN13*Sheet3!CE13+New!IA13*1000*Q13*(New!DU13-H13)+Sheet3!CN13*'Cooling water'!CU13) / (New!FN13+'Cooling water'!CU13)</f>
        <v>45.670767487789448</v>
      </c>
      <c r="AA13" s="4">
        <f>(New!FO13*Sheet3!CF13+New!IB13*1000*R13*(New!DV13-I13)+Sheet3!CO13*'Cooling water'!CV13) / (New!FO13+'Cooling water'!CV13)</f>
        <v>44.765702582110031</v>
      </c>
      <c r="AB13" s="4">
        <f>(New!FP13*Sheet3!CG13+New!IC13*1000*S13*(New!DW13-J13)+Sheet3!CP13*'Cooling water'!CW13) / (New!FP13+'Cooling water'!CW13)</f>
        <v>43.871763403491265</v>
      </c>
      <c r="AC13" s="245">
        <f t="shared" si="1"/>
        <v>47.414781624999996</v>
      </c>
      <c r="AD13" s="311">
        <v>52.443702000000002</v>
      </c>
      <c r="AE13" s="311">
        <v>50.950457</v>
      </c>
      <c r="AF13" s="311">
        <v>49.382187000000002</v>
      </c>
      <c r="AG13" s="311">
        <v>47.875224000000003</v>
      </c>
      <c r="AH13" s="311">
        <v>46.475816999999999</v>
      </c>
      <c r="AI13" s="311">
        <v>45.209504000000003</v>
      </c>
      <c r="AJ13" s="311">
        <v>44.006053999999999</v>
      </c>
      <c r="AK13" s="311">
        <v>42.975307999999998</v>
      </c>
      <c r="AL13" s="243">
        <f>AVERAGE(Sheet3!BR13:BY13)</f>
        <v>37.274163475078247</v>
      </c>
      <c r="AM13" s="183" cm="1">
        <f t="array" ref="AM13:AT13">TRANSPOSE('[15]Keithley Matavimai'!$W$6:$W$13)</f>
        <v>47.151707248621982</v>
      </c>
      <c r="AN13" s="183">
        <v>41.356578742531532</v>
      </c>
      <c r="AO13" s="183">
        <v>40.859763695054056</v>
      </c>
      <c r="AP13" s="183">
        <v>36.215723948666799</v>
      </c>
      <c r="AQ13" s="183">
        <v>36.776844440213999</v>
      </c>
      <c r="AR13" s="183">
        <v>36.562128032296904</v>
      </c>
      <c r="AS13" s="183">
        <v>32.240562035618673</v>
      </c>
      <c r="AT13" s="183">
        <v>27.029999657621989</v>
      </c>
      <c r="AU13" s="183">
        <f t="shared" si="0"/>
        <v>10.14061814992175</v>
      </c>
      <c r="AX13" s="281"/>
      <c r="AY13" s="281"/>
      <c r="AZ13" s="281"/>
      <c r="BA13" s="281"/>
    </row>
    <row r="14" spans="1:53" ht="16.8" x14ac:dyDescent="0.3">
      <c r="A14" s="282" t="str">
        <f>Sheet3!A14</f>
        <v>06.12.2022</v>
      </c>
      <c r="B14" s="248">
        <f>EXP(New!$LP$6-((New!$LQ$6)/(AC14+New!$LP$8)))/New!$LS$2</f>
        <v>0.10898556715787232</v>
      </c>
      <c r="C14" s="312">
        <f>EXP(New!$LP$6-((New!$LQ$6)/(AD14+New!$LP$8)))/New!$LS$2</f>
        <v>0.14114014674778355</v>
      </c>
      <c r="D14" s="312">
        <f>EXP(New!$LP$6-((New!$LQ$6)/(AE14+New!$LP$8)))/New!$LS$2</f>
        <v>0.1302462676036672</v>
      </c>
      <c r="E14" s="312">
        <f>EXP(New!$LP$6-((New!$LQ$6)/(AF14+New!$LP$8)))/New!$LS$2</f>
        <v>0.12056727664477782</v>
      </c>
      <c r="F14" s="312">
        <f>EXP(New!$LP$6-((New!$LQ$6)/(AG14+New!$LP$8)))/New!$LS$2</f>
        <v>0.11156915881476911</v>
      </c>
      <c r="G14" s="312">
        <f>EXP(New!$LP$6-((New!$LQ$6)/(AH14+New!$LP$8)))/New!$LS$2</f>
        <v>0.10378424195287887</v>
      </c>
      <c r="H14" s="312">
        <f>EXP(New!$LP$6-((New!$LQ$6)/(AI14+New!$LP$8)))/New!$LS$2</f>
        <v>9.7002451022804512E-2</v>
      </c>
      <c r="I14" s="312">
        <f>EXP(New!$LP$6-((New!$LQ$6)/(AJ14+New!$LP$8)))/New!$LS$2</f>
        <v>9.1176600310000799E-2</v>
      </c>
      <c r="J14" s="312">
        <f>EXP(New!$LP$6-((New!$LQ$6)/(AK14+New!$LP$8)))/New!$LS$2</f>
        <v>8.6364363156586424E-2</v>
      </c>
      <c r="K14" s="245">
        <f>((New!FH14*New!$LP$3*LN((1-B14)/(1-New!DO14))) / (New!BV14*1000*New!$LQ$3*(1-B14-1+New!DO14)*New!B14^(2/3)))</f>
        <v>7.2714401393786321E-2</v>
      </c>
      <c r="L14" s="4">
        <f>((New!FI14*New!$LP$3*LN((1-C14)/(1-New!DP14))) / (New!BW14*1000*New!$LQ$3*(1-C14-1+New!DP14)*New!C14^(2/3)))</f>
        <v>7.4092092047255753E-2</v>
      </c>
      <c r="M14" s="4">
        <f>((New!FJ14*New!$LP$3*LN((1-D14)/(1-New!DQ14))) / (New!BX14*1000*New!$LQ$3*(1-D14-1+New!DQ14)*New!D14^(2/3)))</f>
        <v>7.3486994912847867E-2</v>
      </c>
      <c r="N14" s="4">
        <f>((New!FK14*New!$LP$3*LN((1-E14)/(1-New!DR14))) / (New!BY14*1000*New!$LQ$3*(1-E14-1+New!DR14)*New!E14^(2/3)))</f>
        <v>7.3031010202972479E-2</v>
      </c>
      <c r="O14" s="4">
        <f>((New!FL14*New!$LP$3*LN((1-F14)/(1-New!DS14))) / (New!BZ14*1000*New!$LQ$3*(1-F14-1+New!DS14)*New!F14^(2/3)))</f>
        <v>7.254217801434644E-2</v>
      </c>
      <c r="P14" s="4">
        <f>((New!FM14*New!$LP$3*LN((1-G14)/(1-New!DT14))) / (New!CA14*1000*New!$LQ$3*(1-G14-1+New!DT14)*New!G14^(2/3)))</f>
        <v>7.2196971264094759E-2</v>
      </c>
      <c r="Q14" s="4">
        <f>((New!FN14*New!$LP$3*LN((1-H14)/(1-New!DU14))) / (New!CB14*1000*New!$LQ$3*(1-H14-1+New!DU14)*New!H14^(2/3)))</f>
        <v>7.1830903036224081E-2</v>
      </c>
      <c r="R14" s="4">
        <f>((New!FO14*New!$LP$3*LN((1-I14)/(1-New!DV14))) / (New!CC14*1000*New!$LQ$3*(1-I14-1+New!DV14)*New!I14^(2/3)))</f>
        <v>7.1579018125857166E-2</v>
      </c>
      <c r="S14" s="4">
        <f>((New!FP14*New!$LP$3*LN((1-J14)/(1-New!DW14))) / (New!CD14*1000*New!$LQ$3*(1-J14-1+New!DW14)*New!J14^(2/3)))</f>
        <v>7.1307950447333346E-2</v>
      </c>
      <c r="T14" s="245">
        <f>(New!FH14*Sheet3!DF14+New!HU14*1000*K14*(New!DO14-B14)+'Cooling water'!CO14*'Cooling water'!B14) / (New!FH14+'Cooling water'!CO14)</f>
        <v>46.69010597957422</v>
      </c>
      <c r="U14" s="4">
        <f>(New!FI14*Sheet3!BZ14+New!HV14*1000*L14*(New!DP14-C14)+Sheet3!CI14*'Cooling water'!CP14) / (New!FI14+'Cooling water'!CP14)</f>
        <v>52.945724299352442</v>
      </c>
      <c r="V14" s="4">
        <f>(New!FJ14*Sheet3!CA14+New!HW14*1000*M14*(New!DQ14-D14)+Sheet3!CJ14*'Cooling water'!CQ14) / (New!FJ14+'Cooling water'!CQ14)</f>
        <v>51.307441423794749</v>
      </c>
      <c r="W14" s="4">
        <f>(New!FK14*Sheet3!CB14+New!HX14*1000*N14*(New!DR14-E14)+Sheet3!CK14*'Cooling water'!CR14) / (New!FK14+'Cooling water'!CR14)</f>
        <v>49.985262818523886</v>
      </c>
      <c r="X14" s="4">
        <f>(New!FL14*Sheet3!CC14+New!HY14*1000*O14*(New!DS14-F14)+Sheet3!CL14*'Cooling water'!CS14) / (New!FL14+'Cooling water'!CS14)</f>
        <v>48.412465997852145</v>
      </c>
      <c r="Y14" s="4">
        <f>(New!FM14*Sheet3!CD14+New!HZ14*1000*P14*(New!DT14-G14)+Sheet3!CM14*'Cooling water'!CT14) / (New!FM14+'Cooling water'!CT14)</f>
        <v>47.281461090251078</v>
      </c>
      <c r="Z14" s="4">
        <f>(New!FN14*Sheet3!CE14+New!IA14*1000*Q14*(New!DU14-H14)+Sheet3!CN14*'Cooling water'!CU14) / (New!FN14+'Cooling water'!CU14)</f>
        <v>46.015619236821074</v>
      </c>
      <c r="AA14" s="4">
        <f>(New!FO14*Sheet3!CF14+New!IB14*1000*R14*(New!DV14-I14)+Sheet3!CO14*'Cooling water'!CV14) / (New!FO14+'Cooling water'!CV14)</f>
        <v>45.048487259468118</v>
      </c>
      <c r="AB14" s="4">
        <f>(New!FP14*Sheet3!CG14+New!IC14*1000*S14*(New!DW14-J14)+Sheet3!CP14*'Cooling water'!CW14) / (New!FP14+'Cooling water'!CW14)</f>
        <v>44.146853770450363</v>
      </c>
      <c r="AC14" s="245">
        <f t="shared" si="1"/>
        <v>47.808250125000001</v>
      </c>
      <c r="AD14" s="311">
        <v>53.019396999999998</v>
      </c>
      <c r="AE14" s="311">
        <v>51.379232999999999</v>
      </c>
      <c r="AF14" s="311">
        <v>49.820568000000002</v>
      </c>
      <c r="AG14" s="311">
        <v>48.272469999999998</v>
      </c>
      <c r="AH14" s="311">
        <v>46.844371000000002</v>
      </c>
      <c r="AI14" s="311">
        <v>45.523463999999997</v>
      </c>
      <c r="AJ14" s="311">
        <v>44.323967000000003</v>
      </c>
      <c r="AK14" s="311">
        <v>43.282530999999999</v>
      </c>
      <c r="AL14" s="243">
        <f>AVERAGE(Sheet3!BR14:BY14)</f>
        <v>38.007183898667314</v>
      </c>
      <c r="AM14" s="183" cm="1">
        <f t="array" ref="AM14:AT14">TRANSPOSE('[16]Keithley Matavimai'!$W$6:$W$13)</f>
        <v>48.159264232769225</v>
      </c>
      <c r="AN14" s="183">
        <v>42.191040291928665</v>
      </c>
      <c r="AO14" s="183">
        <v>42.048125221779692</v>
      </c>
      <c r="AP14" s="183">
        <v>36.86334786069073</v>
      </c>
      <c r="AQ14" s="183">
        <v>37.23103433490413</v>
      </c>
      <c r="AR14" s="183">
        <v>37.37500267212846</v>
      </c>
      <c r="AS14" s="183">
        <v>32.947490528782858</v>
      </c>
      <c r="AT14" s="183">
        <v>27.242166046354708</v>
      </c>
      <c r="AU14" s="183">
        <f t="shared" si="0"/>
        <v>9.8010662263326864</v>
      </c>
      <c r="AX14" s="281"/>
      <c r="AY14" s="281"/>
      <c r="AZ14" s="281"/>
      <c r="BA14" s="281"/>
    </row>
    <row r="15" spans="1:53" ht="16.8" x14ac:dyDescent="0.3">
      <c r="A15" s="282" t="str">
        <f>Sheet3!A15</f>
        <v>07.12.2022</v>
      </c>
      <c r="B15" s="248">
        <f>EXP(New!$LP$6-((New!$LQ$6)/(AC15+New!$LP$8)))/New!$LS$2</f>
        <v>0.10020259683445765</v>
      </c>
      <c r="C15" s="312">
        <f>EXP(New!$LP$6-((New!$LQ$6)/(AD15+New!$LP$8)))/New!$LS$2</f>
        <v>0.11556234368146918</v>
      </c>
      <c r="D15" s="312">
        <f>EXP(New!$LP$6-((New!$LQ$6)/(AE15+New!$LP$8)))/New!$LS$2</f>
        <v>0.10928532772406765</v>
      </c>
      <c r="E15" s="312">
        <f>EXP(New!$LP$6-((New!$LQ$6)/(AF15+New!$LP$8)))/New!$LS$2</f>
        <v>0.10351227602349698</v>
      </c>
      <c r="F15" s="312">
        <f>EXP(New!$LP$6-((New!$LQ$6)/(AG15+New!$LP$8)))/New!$LS$2</f>
        <v>9.8190146998614641E-2</v>
      </c>
      <c r="G15" s="312">
        <f>EXP(New!$LP$6-((New!$LQ$6)/(AH15+New!$LP$8)))/New!$LS$2</f>
        <v>9.3309145004500618E-2</v>
      </c>
      <c r="H15" s="312">
        <f>EXP(New!$LP$6-((New!$LQ$6)/(AI15+New!$LP$8)))/New!$LS$2</f>
        <v>8.9024498328661675E-2</v>
      </c>
      <c r="I15" s="312">
        <f>EXP(New!$LP$6-((New!$LQ$6)/(AJ15+New!$LP$8)))/New!$LS$2</f>
        <v>0.10155401064786475</v>
      </c>
      <c r="J15" s="312">
        <f>EXP(New!$LP$6-((New!$LQ$6)/(AK15+New!$LP$8)))/New!$LS$2</f>
        <v>9.3496963902802488E-2</v>
      </c>
      <c r="K15" s="245">
        <f>((New!FH15*New!$LP$3*LN((1-B15)/(1-New!DO15))) / (New!BV15*1000*New!$LQ$3*(1-B15-1+New!DO15)*New!B15^(2/3)))</f>
        <v>6.3308977519930476E-2</v>
      </c>
      <c r="L15" s="4">
        <f>((New!FI15*New!$LP$3*LN((1-C15)/(1-New!DP15))) / (New!BW15*1000*New!$LQ$3*(1-C15-1+New!DP15)*New!C15^(2/3)))</f>
        <v>6.3867842743989878E-2</v>
      </c>
      <c r="M15" s="4">
        <f>((New!FJ15*New!$LP$3*LN((1-D15)/(1-New!DQ15))) / (New!BX15*1000*New!$LQ$3*(1-D15-1+New!DQ15)*New!D15^(2/3)))</f>
        <v>6.3593351478301155E-2</v>
      </c>
      <c r="N15" s="4">
        <f>((New!FK15*New!$LP$3*LN((1-E15)/(1-New!DR15))) / (New!BY15*1000*New!$LQ$3*(1-E15-1+New!DR15)*New!E15^(2/3)))</f>
        <v>6.3402396576585196E-2</v>
      </c>
      <c r="O15" s="4">
        <f>((New!FL15*New!$LP$3*LN((1-F15)/(1-New!DS15))) / (New!BZ15*1000*New!$LQ$3*(1-F15-1+New!DS15)*New!F15^(2/3)))</f>
        <v>6.3174827725282545E-2</v>
      </c>
      <c r="P15" s="4">
        <f>((New!FM15*New!$LP$3*LN((1-G15)/(1-New!DT15))) / (New!CA15*1000*New!$LQ$3*(1-G15-1+New!DT15)*New!G15^(2/3)))</f>
        <v>6.3016518832243976E-2</v>
      </c>
      <c r="Q15" s="4">
        <f>((New!FN15*New!$LP$3*LN((1-H15)/(1-New!DU15))) / (New!CB15*1000*New!$LQ$3*(1-H15-1+New!DU15)*New!H15^(2/3)))</f>
        <v>6.2828090716728249E-2</v>
      </c>
      <c r="R15" s="4">
        <f>((New!FO15*New!$LP$3*LN((1-I15)/(1-New!DV15))) / (New!CC15*1000*New!$LQ$3*(1-I15-1+New!DV15)*New!I15^(2/3)))</f>
        <v>6.3309535979301806E-2</v>
      </c>
      <c r="S15" s="4">
        <f>((New!FP15*New!$LP$3*LN((1-J15)/(1-New!DW15))) / (New!CD15*1000*New!$LQ$3*(1-J15-1+New!DW15)*New!J15^(2/3)))</f>
        <v>6.2972518094056573E-2</v>
      </c>
      <c r="T15" s="245">
        <f>(New!FH15*Sheet3!DF15+New!HU15*1000*K15*(New!DO15-B15)+'Cooling water'!CO15*'Cooling water'!B15) / (New!FH15+'Cooling water'!CO15)</f>
        <v>66.535918675306775</v>
      </c>
      <c r="U15" s="4">
        <f>(New!FI15*Sheet3!BZ15+New!HV15*1000*L15*(New!DP15-C15)+Sheet3!CI15*'Cooling water'!CP15) / (New!FI15+'Cooling water'!CP15)</f>
        <v>47.783960315775374</v>
      </c>
      <c r="V15" s="4">
        <f>(New!FJ15*Sheet3!CA15+New!HW15*1000*M15*(New!DQ15-D15)+Sheet3!CJ15*'Cooling water'!CQ15) / (New!FJ15+'Cooling water'!CQ15)</f>
        <v>46.938587159468149</v>
      </c>
      <c r="W15" s="4">
        <f>(New!FK15*Sheet3!CB15+New!HX15*1000*N15*(New!DR15-E15)+Sheet3!CK15*'Cooling water'!CR15) / (New!FK15+'Cooling water'!CR15)</f>
        <v>46.225519911847407</v>
      </c>
      <c r="X15" s="4">
        <f>(New!FL15*Sheet3!CC15+New!HY15*1000*O15*(New!DS15-F15)+Sheet3!CL15*'Cooling water'!CS15) / (New!FL15+'Cooling water'!CS15)</f>
        <v>45.420267814114929</v>
      </c>
      <c r="Y15" s="4">
        <f>(New!FM15*Sheet3!CD15+New!HZ15*1000*P15*(New!DT15-G15)+Sheet3!CM15*'Cooling water'!CT15) / (New!FM15+'Cooling water'!CT15)</f>
        <v>44.893016417072381</v>
      </c>
      <c r="Z15" s="4">
        <f>(New!FN15*Sheet3!CE15+New!IA15*1000*Q15*(New!DU15-H15)+Sheet3!CN15*'Cooling water'!CU15) / (New!FN15+'Cooling water'!CU15)</f>
        <v>44.328036630467771</v>
      </c>
      <c r="AA15" s="4">
        <f>(New!FO15*Sheet3!CF15+New!IB15*1000*R15*(New!DV15-I15)+Sheet3!CO15*'Cooling water'!CV15) / (New!FO15+'Cooling water'!CV15)</f>
        <v>42.182729228685808</v>
      </c>
      <c r="AB15" s="4">
        <f>(New!FP15*Sheet3!CG15+New!IC15*1000*S15*(New!DW15-J15)+Sheet3!CP15*'Cooling water'!CW15) / (New!FP15+'Cooling water'!CW15)</f>
        <v>67.388355036055188</v>
      </c>
      <c r="AC15" s="245">
        <f t="shared" si="1"/>
        <v>46.156301499999998</v>
      </c>
      <c r="AD15" s="311">
        <v>48.972188000000003</v>
      </c>
      <c r="AE15" s="311">
        <v>47.862591000000002</v>
      </c>
      <c r="AF15" s="311">
        <v>46.792842999999998</v>
      </c>
      <c r="AG15" s="311">
        <v>45.760393000000001</v>
      </c>
      <c r="AH15" s="311">
        <v>44.770468000000001</v>
      </c>
      <c r="AI15" s="311">
        <v>43.864198000000002</v>
      </c>
      <c r="AJ15" s="311">
        <v>46.418359000000002</v>
      </c>
      <c r="AK15" s="311">
        <v>44.809372000000003</v>
      </c>
      <c r="AL15" s="243">
        <f>AVERAGE(Sheet3!BR15:BY15)</f>
        <v>32.686669950125406</v>
      </c>
      <c r="AM15" s="252" cm="1">
        <f t="array" ref="AM15:AT15">TRANSPOSE('[17]Keithley Matavimai'!$W$6:$W$13)</f>
        <v>41.272829149791271</v>
      </c>
      <c r="AN15" s="252">
        <v>37.939021776979303</v>
      </c>
      <c r="AO15" s="252">
        <v>36.296782927172622</v>
      </c>
      <c r="AP15" s="252">
        <v>32.366304177383569</v>
      </c>
      <c r="AQ15" s="252">
        <v>31.521789581525386</v>
      </c>
      <c r="AR15" s="252">
        <v>31.047280571380401</v>
      </c>
      <c r="AS15" s="252">
        <v>27.833309756519224</v>
      </c>
      <c r="AT15" s="252">
        <v>23.216041660251452</v>
      </c>
      <c r="AU15" s="183">
        <f t="shared" si="0"/>
        <v>13.469631549874592</v>
      </c>
      <c r="AX15" s="281"/>
      <c r="AY15" s="281"/>
      <c r="AZ15" s="281"/>
      <c r="BA15" s="281"/>
    </row>
    <row r="16" spans="1:53" ht="16.8" x14ac:dyDescent="0.3">
      <c r="A16" s="282" t="str">
        <f>Sheet3!A16</f>
        <v>07.12.2022</v>
      </c>
      <c r="B16" s="248">
        <f>EXP(New!$LP$6-((New!$LQ$6)/(AC16+New!$LP$8)))/New!$LS$2</f>
        <v>9.9745015346835914E-2</v>
      </c>
      <c r="C16" s="312">
        <f>EXP(New!$LP$6-((New!$LQ$6)/(AD16+New!$LP$8)))/New!$LS$2</f>
        <v>0.11535584146933084</v>
      </c>
      <c r="D16" s="312">
        <f>EXP(New!$LP$6-((New!$LQ$6)/(AE16+New!$LP$8)))/New!$LS$2</f>
        <v>0.10876147563795562</v>
      </c>
      <c r="E16" s="312">
        <f>EXP(New!$LP$6-((New!$LQ$6)/(AF16+New!$LP$8)))/New!$LS$2</f>
        <v>0.10265985192503999</v>
      </c>
      <c r="F16" s="312">
        <f>EXP(New!$LP$6-((New!$LQ$6)/(AG16+New!$LP$8)))/New!$LS$2</f>
        <v>9.7130084714982745E-2</v>
      </c>
      <c r="G16" s="312">
        <f>EXP(New!$LP$6-((New!$LQ$6)/(AH16+New!$LP$8)))/New!$LS$2</f>
        <v>9.2314125756566626E-2</v>
      </c>
      <c r="H16" s="312">
        <f>EXP(New!$LP$6-((New!$LQ$6)/(AI16+New!$LP$8)))/New!$LS$2</f>
        <v>8.8235894620519159E-2</v>
      </c>
      <c r="I16" s="312">
        <f>EXP(New!$LP$6-((New!$LQ$6)/(AJ16+New!$LP$8)))/New!$LS$2</f>
        <v>0.10190526629300617</v>
      </c>
      <c r="J16" s="312">
        <f>EXP(New!$LP$6-((New!$LQ$6)/(AK16+New!$LP$8)))/New!$LS$2</f>
        <v>9.3978611148315253E-2</v>
      </c>
      <c r="K16" s="245">
        <f>((New!FH16*New!$LP$3*LN((1-B16)/(1-New!DO16))) / (New!BV16*1000*New!$LQ$3*(1-B16-1+New!DO16)*New!B16^(2/3)))</f>
        <v>6.3529506154392013E-2</v>
      </c>
      <c r="L16" s="4">
        <f>((New!FI16*New!$LP$3*LN((1-C16)/(1-New!DP16))) / (New!BW16*1000*New!$LQ$3*(1-C16-1+New!DP16)*New!C16^(2/3)))</f>
        <v>6.4100894810075359E-2</v>
      </c>
      <c r="M16" s="4">
        <f>((New!FJ16*New!$LP$3*LN((1-D16)/(1-New!DQ16))) / (New!BX16*1000*New!$LQ$3*(1-D16-1+New!DQ16)*New!D16^(2/3)))</f>
        <v>6.3816922376686555E-2</v>
      </c>
      <c r="N16" s="4">
        <f>((New!FK16*New!$LP$3*LN((1-E16)/(1-New!DR16))) / (New!BY16*1000*New!$LQ$3*(1-E16-1+New!DR16)*New!E16^(2/3)))</f>
        <v>6.362290625087029E-2</v>
      </c>
      <c r="O16" s="4">
        <f>((New!FL16*New!$LP$3*LN((1-F16)/(1-New!DS16))) / (New!BZ16*1000*New!$LQ$3*(1-F16-1+New!DS16)*New!F16^(2/3)))</f>
        <v>6.3381462029825197E-2</v>
      </c>
      <c r="P16" s="4">
        <f>((New!FM16*New!$LP$3*LN((1-G16)/(1-New!DT16))) / (New!CA16*1000*New!$LQ$3*(1-G16-1+New!DT16)*New!G16^(2/3)))</f>
        <v>6.3234562960385973E-2</v>
      </c>
      <c r="Q16" s="4">
        <f>((New!FN16*New!$LP$3*LN((1-H16)/(1-New!DU16))) / (New!CB16*1000*New!$LQ$3*(1-H16-1+New!DU16)*New!H16^(2/3)))</f>
        <v>6.305185137061825E-2</v>
      </c>
      <c r="R16" s="4">
        <f>((New!FO16*New!$LP$3*LN((1-I16)/(1-New!DV16))) / (New!CC16*1000*New!$LQ$3*(1-I16-1+New!DV16)*New!I16^(2/3)))</f>
        <v>6.357752241723727E-2</v>
      </c>
      <c r="S16" s="4">
        <f>((New!FP16*New!$LP$3*LN((1-J16)/(1-New!DW16))) / (New!CD16*1000*New!$LQ$3*(1-J16-1+New!DW16)*New!J16^(2/3)))</f>
        <v>6.3244412804767502E-2</v>
      </c>
      <c r="T16" s="245">
        <f>(New!FH16*Sheet3!DF16+New!HU16*1000*K16*(New!DO16-B16)+'Cooling water'!CO16*'Cooling water'!B16) / (New!FH16+'Cooling water'!CO16)</f>
        <v>67.272209563334116</v>
      </c>
      <c r="U16" s="4">
        <f>(New!FI16*Sheet3!BZ16+New!HV16*1000*L16*(New!DP16-C16)+Sheet3!CI16*'Cooling water'!CP16) / (New!FI16+'Cooling water'!CP16)</f>
        <v>47.807321289429574</v>
      </c>
      <c r="V16" s="4">
        <f>(New!FJ16*Sheet3!CA16+New!HW16*1000*M16*(New!DQ16-D16)+Sheet3!CJ16*'Cooling water'!CQ16) / (New!FJ16+'Cooling water'!CQ16)</f>
        <v>46.892161652009378</v>
      </c>
      <c r="W16" s="4">
        <f>(New!FK16*Sheet3!CB16+New!HX16*1000*N16*(New!DR16-E16)+Sheet3!CK16*'Cooling water'!CR16) / (New!FK16+'Cooling water'!CR16)</f>
        <v>46.111594760703603</v>
      </c>
      <c r="X16" s="4">
        <f>(New!FL16*Sheet3!CC16+New!HY16*1000*O16*(New!DS16-F16)+Sheet3!CL16*'Cooling water'!CS16) / (New!FL16+'Cooling water'!CS16)</f>
        <v>45.320502417456375</v>
      </c>
      <c r="Y16" s="4">
        <f>(New!FM16*Sheet3!CD16+New!HZ16*1000*P16*(New!DT16-G16)+Sheet3!CM16*'Cooling water'!CT16) / (New!FM16+'Cooling water'!CT16)</f>
        <v>44.727808456501286</v>
      </c>
      <c r="Z16" s="4">
        <f>(New!FN16*Sheet3!CE16+New!IA16*1000*Q16*(New!DU16-H16)+Sheet3!CN16*'Cooling water'!CU16) / (New!FN16+'Cooling water'!CU16)</f>
        <v>44.132587875066783</v>
      </c>
      <c r="AA16" s="4">
        <f>(New!FO16*Sheet3!CF16+New!IB16*1000*R16*(New!DV16-I16)+Sheet3!CO16*'Cooling water'!CV16) / (New!FO16+'Cooling water'!CV16)</f>
        <v>41.850072587159517</v>
      </c>
      <c r="AB16" s="4">
        <f>(New!FP16*Sheet3!CG16+New!IC16*1000*S16*(New!DW16-J16)+Sheet3!CP16*'Cooling water'!CW16) / (New!FP16+'Cooling water'!CW16)</f>
        <v>67.410301037488182</v>
      </c>
      <c r="AC16" s="245">
        <f t="shared" si="1"/>
        <v>46.066884000000002</v>
      </c>
      <c r="AD16" s="311">
        <v>48.936514000000003</v>
      </c>
      <c r="AE16" s="311">
        <v>47.767543000000003</v>
      </c>
      <c r="AF16" s="311">
        <v>46.630583999999999</v>
      </c>
      <c r="AG16" s="311">
        <v>45.549044000000002</v>
      </c>
      <c r="AH16" s="311">
        <v>44.563237000000001</v>
      </c>
      <c r="AI16" s="311">
        <v>43.693334</v>
      </c>
      <c r="AJ16" s="311">
        <v>46.485982999999997</v>
      </c>
      <c r="AK16" s="311">
        <v>44.908833000000001</v>
      </c>
      <c r="AL16" s="243">
        <f>AVERAGE(Sheet3!BR16:BY16)</f>
        <v>32.377403287908656</v>
      </c>
      <c r="AM16" s="183" cm="1">
        <f t="array" ref="AM16:AT16">TRANSPOSE('[18]Keithley Matavimai'!$W$6:$W$13)</f>
        <v>41.012551693163388</v>
      </c>
      <c r="AN16" s="183">
        <v>37.404030857574448</v>
      </c>
      <c r="AO16" s="183">
        <v>35.992450753951019</v>
      </c>
      <c r="AP16" s="183">
        <v>31.920384520515483</v>
      </c>
      <c r="AQ16" s="183">
        <v>31.300812862882093</v>
      </c>
      <c r="AR16" s="183">
        <v>30.856301179815556</v>
      </c>
      <c r="AS16" s="183">
        <v>27.666379327386554</v>
      </c>
      <c r="AT16" s="183">
        <v>22.866315107980736</v>
      </c>
      <c r="AU16" s="183">
        <f t="shared" si="0"/>
        <v>13.689480712091346</v>
      </c>
      <c r="AX16" s="281"/>
      <c r="AY16" s="281"/>
      <c r="AZ16" s="281"/>
      <c r="BA16" s="281"/>
    </row>
    <row r="17" spans="1:53" ht="16.8" x14ac:dyDescent="0.3">
      <c r="A17" s="282" t="str">
        <f>Sheet3!A17</f>
        <v>08.12.2022</v>
      </c>
      <c r="B17" s="248">
        <f>EXP(New!$LP$6-((New!$LQ$6)/(AC17+New!$LP$8)))/New!$LS$2</f>
        <v>9.4145043507865178E-2</v>
      </c>
      <c r="C17" s="312">
        <f>EXP(New!$LP$6-((New!$LQ$6)/(AD17+New!$LP$8)))/New!$LS$2</f>
        <v>0.11119194863707368</v>
      </c>
      <c r="D17" s="312">
        <f>EXP(New!$LP$6-((New!$LQ$6)/(AE17+New!$LP$8)))/New!$LS$2</f>
        <v>0.10492759198116867</v>
      </c>
      <c r="E17" s="312">
        <f>EXP(New!$LP$6-((New!$LQ$6)/(AF17+New!$LP$8)))/New!$LS$2</f>
        <v>9.8950545781769664E-2</v>
      </c>
      <c r="F17" s="312">
        <f>EXP(New!$LP$6-((New!$LQ$6)/(AG17+New!$LP$8)))/New!$LS$2</f>
        <v>9.3431849133898709E-2</v>
      </c>
      <c r="G17" s="312">
        <f>EXP(New!$LP$6-((New!$LQ$6)/(AH17+New!$LP$8)))/New!$LS$2</f>
        <v>8.8593727220576859E-2</v>
      </c>
      <c r="H17" s="312">
        <f>EXP(New!$LP$6-((New!$LQ$6)/(AI17+New!$LP$8)))/New!$LS$2</f>
        <v>8.4300602504279371E-2</v>
      </c>
      <c r="I17" s="312">
        <f>EXP(New!$LP$6-((New!$LQ$6)/(AJ17+New!$LP$8)))/New!$LS$2</f>
        <v>8.0601731276828487E-2</v>
      </c>
      <c r="J17" s="312">
        <f>EXP(New!$LP$6-((New!$LQ$6)/(AK17+New!$LP$8)))/New!$LS$2</f>
        <v>9.4488851450377637E-2</v>
      </c>
      <c r="K17" s="245">
        <f>((New!FH17*New!$LP$3*LN((1-B17)/(1-New!DO17))) / (New!BV17*1000*New!$LQ$3*(1-B17-1+New!DO17)*New!B17^(2/3)))</f>
        <v>6.5915186688911387E-2</v>
      </c>
      <c r="L17" s="4">
        <f>((New!FI17*New!$LP$3*LN((1-C17)/(1-New!DP17))) / (New!BW17*1000*New!$LQ$3*(1-C17-1+New!DP17)*New!C17^(2/3)))</f>
        <v>6.6561826298990961E-2</v>
      </c>
      <c r="M17" s="4">
        <f>((New!FJ17*New!$LP$3*LN((1-D17)/(1-New!DQ17))) / (New!BX17*1000*New!$LQ$3*(1-D17-1+New!DQ17)*New!D17^(2/3)))</f>
        <v>6.6287252012096315E-2</v>
      </c>
      <c r="N17" s="4">
        <f>((New!FK17*New!$LP$3*LN((1-E17)/(1-New!DR17))) / (New!BY17*1000*New!$LQ$3*(1-E17-1+New!DR17)*New!E17^(2/3)))</f>
        <v>6.60846804889271E-2</v>
      </c>
      <c r="O17" s="4">
        <f>((New!FL17*New!$LP$3*LN((1-F17)/(1-New!DS17))) / (New!BZ17*1000*New!$LQ$3*(1-F17-1+New!DS17)*New!F17^(2/3)))</f>
        <v>6.5846862126228756E-2</v>
      </c>
      <c r="P17" s="4">
        <f>((New!FM17*New!$LP$3*LN((1-G17)/(1-New!DT17))) / (New!CA17*1000*New!$LQ$3*(1-G17-1+New!DT17)*New!G17^(2/3)))</f>
        <v>6.5689741821598716E-2</v>
      </c>
      <c r="Q17" s="4">
        <f>((New!FN17*New!$LP$3*LN((1-H17)/(1-New!DU17))) / (New!CB17*1000*New!$LQ$3*(1-H17-1+New!DU17)*New!H17^(2/3)))</f>
        <v>6.5494901577698716E-2</v>
      </c>
      <c r="R17" s="4">
        <f>((New!FO17*New!$LP$3*LN((1-I17)/(1-New!DV17))) / (New!CC17*1000*New!$LQ$3*(1-I17-1+New!DV17)*New!I17^(2/3)))</f>
        <v>6.5389703325774304E-2</v>
      </c>
      <c r="S17" s="4">
        <f>((New!FP17*New!$LP$3*LN((1-J17)/(1-New!DW17))) / (New!CD17*1000*New!$LQ$3*(1-J17-1+New!DW17)*New!J17^(2/3)))</f>
        <v>6.5878385593771224E-2</v>
      </c>
      <c r="T17" s="245">
        <f>(New!FH17*Sheet3!DF17+New!HU17*1000*K17*(New!DO17-B17)+'Cooling water'!CO17*'Cooling water'!B17) / (New!FH17+'Cooling water'!CO17)</f>
        <v>70.286105328320929</v>
      </c>
      <c r="U17" s="4">
        <f>(New!FI17*Sheet3!BZ17+New!HV17*1000*L17*(New!DP17-C17)+Sheet3!CI17*'Cooling water'!CP17) / (New!FI17+'Cooling water'!CP17)</f>
        <v>47.052519921131037</v>
      </c>
      <c r="V17" s="4">
        <f>(New!FJ17*Sheet3!CA17+New!HW17*1000*M17*(New!DQ17-D17)+Sheet3!CJ17*'Cooling water'!CQ17) / (New!FJ17+'Cooling water'!CQ17)</f>
        <v>46.1597925108155</v>
      </c>
      <c r="W17" s="4">
        <f>(New!FK17*Sheet3!CB17+New!HX17*1000*N17*(New!DR17-E17)+Sheet3!CK17*'Cooling water'!CR17) / (New!FK17+'Cooling water'!CR17)</f>
        <v>45.406024324490346</v>
      </c>
      <c r="X17" s="4">
        <f>(New!FL17*Sheet3!CC17+New!HY17*1000*O17*(New!DS17-F17)+Sheet3!CL17*'Cooling water'!CS17) / (New!FL17+'Cooling water'!CS17)</f>
        <v>44.54321147057437</v>
      </c>
      <c r="Y17" s="4">
        <f>(New!FM17*Sheet3!CD17+New!HZ17*1000*P17*(New!DT17-G17)+Sheet3!CM17*'Cooling water'!CT17) / (New!FM17+'Cooling water'!CT17)</f>
        <v>43.918896662193752</v>
      </c>
      <c r="Z17" s="4">
        <f>(New!FN17*Sheet3!CE17+New!IA17*1000*Q17*(New!DU17-H17)+Sheet3!CN17*'Cooling water'!CU17) / (New!FN17+'Cooling water'!CU17)</f>
        <v>43.301503097208489</v>
      </c>
      <c r="AA17" s="4">
        <f>(New!FO17*Sheet3!CF17+New!IB17*1000*R17*(New!DV17-I17)+Sheet3!CO17*'Cooling water'!CV17) / (New!FO17+'Cooling water'!CV17)</f>
        <v>42.924512334670084</v>
      </c>
      <c r="AB17" s="4">
        <f>(New!FP17*Sheet3!CG17+New!IC17*1000*S17*(New!DW17-J17)+Sheet3!CP17*'Cooling water'!CW17) / (New!FP17+'Cooling water'!CW17)</f>
        <v>40.596078611890505</v>
      </c>
      <c r="AC17" s="245">
        <f t="shared" si="1"/>
        <v>44.943100000000001</v>
      </c>
      <c r="AD17" s="311">
        <v>48.205269999999999</v>
      </c>
      <c r="AE17" s="311">
        <v>47.059739</v>
      </c>
      <c r="AF17" s="311">
        <v>45.910795999999998</v>
      </c>
      <c r="AG17" s="311">
        <v>44.795892000000002</v>
      </c>
      <c r="AH17" s="311">
        <v>43.771025999999999</v>
      </c>
      <c r="AI17" s="311">
        <v>42.820580999999997</v>
      </c>
      <c r="AJ17" s="311">
        <v>41.967773000000001</v>
      </c>
      <c r="AK17" s="311">
        <v>45.013722999999999</v>
      </c>
      <c r="AL17" s="243">
        <f>AVERAGE(Sheet3!BR17:BY17)</f>
        <v>31.581653959312611</v>
      </c>
      <c r="AM17" s="183" cm="1">
        <f t="array" ref="AM17:AT17">TRANSPOSE('[19]Keithley Matavimai'!$W$6:$W$13)</f>
        <v>40.071345243435921</v>
      </c>
      <c r="AN17" s="183">
        <v>36.344794636548947</v>
      </c>
      <c r="AO17" s="183">
        <v>34.926633055152998</v>
      </c>
      <c r="AP17" s="183">
        <v>31.02396317478447</v>
      </c>
      <c r="AQ17" s="183">
        <v>30.940069997287839</v>
      </c>
      <c r="AR17" s="183">
        <v>30.565515945591006</v>
      </c>
      <c r="AS17" s="183">
        <v>27.009931296737523</v>
      </c>
      <c r="AT17" s="183">
        <v>21.770978324962169</v>
      </c>
      <c r="AU17" s="183">
        <f t="shared" si="0"/>
        <v>13.36144604068739</v>
      </c>
      <c r="AX17" s="281"/>
      <c r="AY17" s="281"/>
      <c r="AZ17" s="281"/>
      <c r="BA17" s="281"/>
    </row>
    <row r="18" spans="1:53" ht="16.8" x14ac:dyDescent="0.3">
      <c r="A18" s="282" t="str">
        <f>Sheet3!A18</f>
        <v>08.12.2022</v>
      </c>
      <c r="B18" s="248">
        <f>EXP(New!$LP$6-((New!$LQ$6)/(AC18+New!$LP$8)))/New!$LS$2</f>
        <v>9.6714328240709663E-2</v>
      </c>
      <c r="C18" s="312">
        <f>EXP(New!$LP$6-((New!$LQ$6)/(AD18+New!$LP$8)))/New!$LS$2</f>
        <v>0.11417761406557045</v>
      </c>
      <c r="D18" s="312">
        <f>EXP(New!$LP$6-((New!$LQ$6)/(AE18+New!$LP$8)))/New!$LS$2</f>
        <v>0.10755962872569169</v>
      </c>
      <c r="E18" s="312">
        <f>EXP(New!$LP$6-((New!$LQ$6)/(AF18+New!$LP$8)))/New!$LS$2</f>
        <v>0.10154295339928564</v>
      </c>
      <c r="F18" s="312">
        <f>EXP(New!$LP$6-((New!$LQ$6)/(AG18+New!$LP$8)))/New!$LS$2</f>
        <v>9.5932408869881261E-2</v>
      </c>
      <c r="G18" s="312">
        <f>EXP(New!$LP$6-((New!$LQ$6)/(AH18+New!$LP$8)))/New!$LS$2</f>
        <v>9.0902851317808162E-2</v>
      </c>
      <c r="H18" s="312">
        <f>EXP(New!$LP$6-((New!$LQ$6)/(AI18+New!$LP$8)))/New!$LS$2</f>
        <v>8.6374019053910775E-2</v>
      </c>
      <c r="I18" s="312">
        <f>EXP(New!$LP$6-((New!$LQ$6)/(AJ18+New!$LP$8)))/New!$LS$2</f>
        <v>8.2445509677279136E-2</v>
      </c>
      <c r="J18" s="312">
        <f>EXP(New!$LP$6-((New!$LQ$6)/(AK18+New!$LP$8)))/New!$LS$2</f>
        <v>9.8254937255324956E-2</v>
      </c>
      <c r="K18" s="245">
        <f>((New!FH18*New!$LP$3*LN((1-B18)/(1-New!DO18))) / (New!BV18*1000*New!$LQ$3*(1-B18-1+New!DO18)*New!B18^(2/3)))</f>
        <v>6.633058794534194E-2</v>
      </c>
      <c r="L18" s="4">
        <f>((New!FI18*New!$LP$3*LN((1-C18)/(1-New!DP18))) / (New!BW18*1000*New!$LQ$3*(1-C18-1+New!DP18)*New!C18^(2/3)))</f>
        <v>6.7002233172279227E-2</v>
      </c>
      <c r="M18" s="4">
        <f>((New!FJ18*New!$LP$3*LN((1-D18)/(1-New!DQ18))) / (New!BX18*1000*New!$LQ$3*(1-D18-1+New!DQ18)*New!D18^(2/3)))</f>
        <v>6.6710286683888953E-2</v>
      </c>
      <c r="N18" s="4">
        <f>((New!FK18*New!$LP$3*LN((1-E18)/(1-New!DR18))) / (New!BY18*1000*New!$LQ$3*(1-E18-1+New!DR18)*New!E18^(2/3)))</f>
        <v>6.65101885655352E-2</v>
      </c>
      <c r="O18" s="4">
        <f>((New!FL18*New!$LP$3*LN((1-F18)/(1-New!DS18))) / (New!BZ18*1000*New!$LQ$3*(1-F18-1+New!DS18)*New!F18^(2/3)))</f>
        <v>6.6258938088501695E-2</v>
      </c>
      <c r="P18" s="4">
        <f>((New!FM18*New!$LP$3*LN((1-G18)/(1-New!DT18))) / (New!CA18*1000*New!$LQ$3*(1-G18-1+New!DT18)*New!G18^(2/3)))</f>
        <v>6.6087804097305511E-2</v>
      </c>
      <c r="Q18" s="4">
        <f>((New!FN18*New!$LP$3*LN((1-H18)/(1-New!DU18))) / (New!CB18*1000*New!$LQ$3*(1-H18-1+New!DU18)*New!H18^(2/3)))</f>
        <v>6.5886634448025325E-2</v>
      </c>
      <c r="R18" s="4">
        <f>((New!FO18*New!$LP$3*LN((1-I18)/(1-New!DV18))) / (New!CC18*1000*New!$LQ$3*(1-I18-1+New!DV18)*New!I18^(2/3)))</f>
        <v>6.5772001007587372E-2</v>
      </c>
      <c r="S18" s="4">
        <f>((New!FP18*New!$LP$3*LN((1-J18)/(1-New!DW18))) / (New!CD18*1000*New!$LQ$3*(1-J18-1+New!DW18)*New!J18^(2/3)))</f>
        <v>6.633991675727223E-2</v>
      </c>
      <c r="T18" s="245">
        <f>(New!FH18*Sheet3!DF18+New!HU18*1000*K18*(New!DO18-B18)+'Cooling water'!CO18*'Cooling water'!B18) / (New!FH18+'Cooling water'!CO18)</f>
        <v>72.412638893914121</v>
      </c>
      <c r="U18" s="4">
        <f>(New!FI18*Sheet3!BZ18+New!HV18*1000*L18*(New!DP18-C18)+Sheet3!CI18*'Cooling water'!CP18) / (New!FI18+'Cooling water'!CP18)</f>
        <v>47.725359978946145</v>
      </c>
      <c r="V18" s="4">
        <f>(New!FJ18*Sheet3!CA18+New!HW18*1000*M18*(New!DQ18-D18)+Sheet3!CJ18*'Cooling water'!CQ18) / (New!FJ18+'Cooling water'!CQ18)</f>
        <v>46.766276597655306</v>
      </c>
      <c r="W18" s="4">
        <f>(New!FK18*Sheet3!CB18+New!HX18*1000*N18*(New!DR18-E18)+Sheet3!CK18*'Cooling water'!CR18) / (New!FK18+'Cooling water'!CR18)</f>
        <v>45.899064234669801</v>
      </c>
      <c r="X18" s="4">
        <f>(New!FL18*Sheet3!CC18+New!HY18*1000*O18*(New!DS18-F18)+Sheet3!CL18*'Cooling water'!CS18) / (New!FL18+'Cooling water'!CS18)</f>
        <v>45.042855800910097</v>
      </c>
      <c r="Y18" s="4">
        <f>(New!FM18*Sheet3!CD18+New!HZ18*1000*P18*(New!DT18-G18)+Sheet3!CM18*'Cooling water'!CT18) / (New!FM18+'Cooling water'!CT18)</f>
        <v>44.422801820697522</v>
      </c>
      <c r="Z18" s="4">
        <f>(New!FN18*Sheet3!CE18+New!IA18*1000*Q18*(New!DU18-H18)+Sheet3!CN18*'Cooling water'!CU18) / (New!FN18+'Cooling water'!CU18)</f>
        <v>43.765814957457685</v>
      </c>
      <c r="AA18" s="4">
        <f>(New!FO18*Sheet3!CF18+New!IB18*1000*R18*(New!DV18-I18)+Sheet3!CO18*'Cooling water'!CV18) / (New!FO18+'Cooling water'!CV18)</f>
        <v>43.361230833201141</v>
      </c>
      <c r="AB18" s="4">
        <f>(New!FP18*Sheet3!CG18+New!IC18*1000*S18*(New!DW18-J18)+Sheet3!CP18*'Cooling water'!CW18) / (New!FP18+'Cooling water'!CW18)</f>
        <v>40.814747042847543</v>
      </c>
      <c r="AC18" s="245">
        <f t="shared" si="1"/>
        <v>45.465613000000005</v>
      </c>
      <c r="AD18" s="311">
        <v>48.731920000000002</v>
      </c>
      <c r="AE18" s="311">
        <v>47.547989999999999</v>
      </c>
      <c r="AF18" s="311">
        <v>46.416226999999999</v>
      </c>
      <c r="AG18" s="311">
        <v>45.307867000000002</v>
      </c>
      <c r="AH18" s="311">
        <v>44.266004000000002</v>
      </c>
      <c r="AI18" s="311">
        <v>43.284669999999998</v>
      </c>
      <c r="AJ18" s="311">
        <v>42.396979000000002</v>
      </c>
      <c r="AK18" s="311">
        <v>45.773246999999998</v>
      </c>
      <c r="AL18" s="243">
        <f>AVERAGE(Sheet3!BR18:BY18)</f>
        <v>32.019941772769492</v>
      </c>
      <c r="AM18" s="183" cm="1">
        <f t="array" ref="AM18:AT18">TRANSPOSE('[20]Keithley Matavimai'!$W$6:$W$13)</f>
        <v>40.574960925697575</v>
      </c>
      <c r="AN18" s="183">
        <v>36.639241647333193</v>
      </c>
      <c r="AO18" s="183">
        <v>35.419388483432229</v>
      </c>
      <c r="AP18" s="183">
        <v>31.378869112746571</v>
      </c>
      <c r="AQ18" s="183">
        <v>31.285724760977931</v>
      </c>
      <c r="AR18" s="183">
        <v>30.879209682392883</v>
      </c>
      <c r="AS18" s="183">
        <v>27.965403373059015</v>
      </c>
      <c r="AT18" s="183">
        <v>22.016736196516494</v>
      </c>
      <c r="AU18" s="183">
        <f t="shared" si="0"/>
        <v>13.445671227230513</v>
      </c>
      <c r="AX18" s="281"/>
      <c r="AY18" s="281"/>
      <c r="AZ18" s="281"/>
      <c r="BA18" s="281"/>
    </row>
    <row r="19" spans="1:53" ht="16.8" x14ac:dyDescent="0.3">
      <c r="A19" s="282" t="str">
        <f>Sheet3!A19</f>
        <v>09.12.2022</v>
      </c>
      <c r="B19" s="248">
        <f>EXP(New!$LP$6-((New!$LQ$6)/(AC19+New!$LP$8)))/New!$LS$2</f>
        <v>7.1420146745939106E-2</v>
      </c>
      <c r="C19" s="312">
        <f>EXP(New!$LP$6-((New!$LQ$6)/(AD19+New!$LP$8)))/New!$LS$2</f>
        <v>8.8373640085299271E-2</v>
      </c>
      <c r="D19" s="312">
        <f>EXP(New!$LP$6-((New!$LQ$6)/(AE19+New!$LP$8)))/New!$LS$2</f>
        <v>8.3132590898593539E-2</v>
      </c>
      <c r="E19" s="312">
        <f>EXP(New!$LP$6-((New!$LQ$6)/(AF19+New!$LP$8)))/New!$LS$2</f>
        <v>7.8226858259724322E-2</v>
      </c>
      <c r="F19" s="312">
        <f>EXP(New!$LP$6-((New!$LQ$6)/(AG19+New!$LP$8)))/New!$LS$2</f>
        <v>7.3616435669005525E-2</v>
      </c>
      <c r="G19" s="312">
        <f>EXP(New!$LP$6-((New!$LQ$6)/(AH19+New!$LP$8)))/New!$LS$2</f>
        <v>6.9284529694087924E-2</v>
      </c>
      <c r="H19" s="312">
        <f>EXP(New!$LP$6-((New!$LQ$6)/(AI19+New!$LP$8)))/New!$LS$2</f>
        <v>6.4789772016695349E-2</v>
      </c>
      <c r="I19" s="312">
        <f>EXP(New!$LP$6-((New!$LQ$6)/(AJ19+New!$LP$8)))/New!$LS$2</f>
        <v>6.0975264697277445E-2</v>
      </c>
      <c r="J19" s="312">
        <f>EXP(New!$LP$6-((New!$LQ$6)/(AK19+New!$LP$8)))/New!$LS$2</f>
        <v>5.7816224787756582E-2</v>
      </c>
      <c r="K19" s="245">
        <f>((New!FH19*New!$LP$3*LN((1-B19)/(1-New!DO19))) / (New!BV19*1000*New!$LQ$3*(1-B19-1+New!DO19)*New!B19^(2/3)))</f>
        <v>9.9236455189348635E-2</v>
      </c>
      <c r="L19" s="4">
        <f>((New!FI19*New!$LP$3*LN((1-C19)/(1-New!DP19))) / (New!BW19*1000*New!$LQ$3*(1-C19-1+New!DP19)*New!C19^(2/3)))</f>
        <v>0.10019509531074748</v>
      </c>
      <c r="M19" s="4">
        <f>((New!FJ19*New!$LP$3*LN((1-D19)/(1-New!DQ19))) / (New!BX19*1000*New!$LQ$3*(1-D19-1+New!DQ19)*New!D19^(2/3)))</f>
        <v>9.9874266862028493E-2</v>
      </c>
      <c r="N19" s="4">
        <f>((New!FK19*New!$LP$3*LN((1-E19)/(1-New!DR19))) / (New!BY19*1000*New!$LQ$3*(1-E19-1+New!DR19)*New!E19^(2/3)))</f>
        <v>9.962545348433631E-2</v>
      </c>
      <c r="O19" s="4">
        <f>((New!FL19*New!$LP$3*LN((1-F19)/(1-New!DS19))) / (New!BZ19*1000*New!$LQ$3*(1-F19-1+New!DS19)*New!F19^(2/3)))</f>
        <v>9.9349119265937008E-2</v>
      </c>
      <c r="P19" s="4">
        <f>((New!FM19*New!$LP$3*LN((1-G19)/(1-New!DT19))) / (New!CA19*1000*New!$LQ$3*(1-G19-1+New!DT19)*New!G19^(2/3)))</f>
        <v>9.9134182821070865E-2</v>
      </c>
      <c r="Q19" s="4">
        <f>((New!FN19*New!$LP$3*LN((1-H19)/(1-New!DU19))) / (New!CB19*1000*New!$LQ$3*(1-H19-1+New!DU19)*New!H19^(2/3)))</f>
        <v>9.8863773539591443E-2</v>
      </c>
      <c r="R19" s="4">
        <f>((New!FO19*New!$LP$3*LN((1-I19)/(1-New!DV19))) / (New!CC19*1000*New!$LQ$3*(1-I19-1+New!DV19)*New!I19^(2/3)))</f>
        <v>9.8853735199450093E-2</v>
      </c>
      <c r="S19" s="4">
        <f>((New!FP19*New!$LP$3*LN((1-J19)/(1-New!DW19))) / (New!CD19*1000*New!$LQ$3*(1-J19-1+New!DW19)*New!J19^(2/3)))</f>
        <v>9.8475927823221121E-2</v>
      </c>
      <c r="T19" s="245">
        <f>(New!FH19*Sheet3!DF19+New!HU19*1000*K19*(New!DO19-B19)+'Cooling water'!CO19*'Cooling water'!B19) / (New!FH19+'Cooling water'!CO19)</f>
        <v>35.455720136822293</v>
      </c>
      <c r="U19" s="4">
        <f>(New!FI19*Sheet3!BZ19+New!HV19*1000*L19*(New!DP19-C19)+Sheet3!CI19*'Cooling water'!CP19) / (New!FI19+'Cooling water'!CP19)</f>
        <v>42.645180974548055</v>
      </c>
      <c r="V19" s="4">
        <f>(New!FJ19*Sheet3!CA19+New!HW19*1000*M19*(New!DQ19-D19)+Sheet3!CJ19*'Cooling water'!CQ19) / (New!FJ19+'Cooling water'!CQ19)</f>
        <v>41.729539209125939</v>
      </c>
      <c r="W19" s="4">
        <f>(New!FK19*Sheet3!CB19+New!HX19*1000*N19*(New!DR19-E19)+Sheet3!CK19*'Cooling water'!CR19) / (New!FK19+'Cooling water'!CR19)</f>
        <v>40.8632888020474</v>
      </c>
      <c r="X19" s="4">
        <f>(New!FL19*Sheet3!CC19+New!HY19*1000*O19*(New!DS19-F19)+Sheet3!CL19*'Cooling water'!CS19) / (New!FL19+'Cooling water'!CS19)</f>
        <v>39.941056164795974</v>
      </c>
      <c r="Y19" s="4">
        <f>(New!FM19*Sheet3!CD19+New!HZ19*1000*P19*(New!DT19-G19)+Sheet3!CM19*'Cooling water'!CT19) / (New!FM19+'Cooling water'!CT19)</f>
        <v>39.116387626191653</v>
      </c>
      <c r="Z19" s="4">
        <f>(New!FN19*Sheet3!CE19+New!IA19*1000*Q19*(New!DU19-H19)+Sheet3!CN19*'Cooling water'!CU19) / (New!FN19+'Cooling water'!CU19)</f>
        <v>38.307969096635333</v>
      </c>
      <c r="AA19" s="4">
        <f>(New!FO19*Sheet3!CF19+New!IB19*1000*R19*(New!DV19-I19)+Sheet3!CO19*'Cooling water'!CV19) / (New!FO19+'Cooling water'!CV19)</f>
        <v>37.35191879949074</v>
      </c>
      <c r="AB19" s="4">
        <f>(New!FP19*Sheet3!CG19+New!IC19*1000*S19*(New!DW19-J19)+Sheet3!CP19*'Cooling water'!CW19) / (New!FP19+'Cooling water'!CW19)</f>
        <v>36.812222149512507</v>
      </c>
      <c r="AC19" s="245">
        <f t="shared" si="1"/>
        <v>39.695789124999997</v>
      </c>
      <c r="AD19" s="311">
        <v>43.723272999999999</v>
      </c>
      <c r="AE19" s="311">
        <v>42.554816000000002</v>
      </c>
      <c r="AF19" s="311">
        <v>41.402334000000003</v>
      </c>
      <c r="AG19" s="311">
        <v>40.261167</v>
      </c>
      <c r="AH19" s="311">
        <v>39.131504999999997</v>
      </c>
      <c r="AI19" s="311">
        <v>37.893219999999999</v>
      </c>
      <c r="AJ19" s="311">
        <v>36.782896000000001</v>
      </c>
      <c r="AK19" s="311">
        <v>35.817101999999998</v>
      </c>
      <c r="AL19" s="243">
        <f>AVERAGE(Sheet3!BR19:BY19)</f>
        <v>28.341349264554282</v>
      </c>
      <c r="AM19" s="183" cm="1">
        <f t="array" ref="AM19:AT19">TRANSPOSE('[21]Keithley Matavimai'!$W$6:$W$13)</f>
        <v>36.587635392517228</v>
      </c>
      <c r="AN19" s="183">
        <v>30.156220762038618</v>
      </c>
      <c r="AO19" s="183">
        <v>31.839922914810717</v>
      </c>
      <c r="AP19" s="183">
        <v>27.079184625735394</v>
      </c>
      <c r="AQ19" s="183">
        <v>27.995292887080552</v>
      </c>
      <c r="AR19" s="183">
        <v>28.033893562125069</v>
      </c>
      <c r="AS19" s="183">
        <v>26.690666968403928</v>
      </c>
      <c r="AT19" s="183">
        <v>18.347977003722775</v>
      </c>
      <c r="AU19" s="183">
        <f t="shared" si="0"/>
        <v>11.354439860445716</v>
      </c>
      <c r="AX19" s="281"/>
      <c r="AY19" s="281"/>
      <c r="AZ19" s="281"/>
      <c r="BA19" s="281"/>
    </row>
    <row r="20" spans="1:53" ht="16.8" x14ac:dyDescent="0.3">
      <c r="A20" s="282" t="str">
        <f>Sheet3!A20</f>
        <v>12.12.2022</v>
      </c>
      <c r="B20" s="248">
        <f>EXP(New!$LP$6-((New!$LQ$6)/(AC20+New!$LP$8)))/New!$LS$2</f>
        <v>7.3260813348241499E-2</v>
      </c>
      <c r="C20" s="312">
        <f>EXP(New!$LP$6-((New!$LQ$6)/(AD20+New!$LP$8)))/New!$LS$2</f>
        <v>9.1738517305412437E-2</v>
      </c>
      <c r="D20" s="312">
        <f>EXP(New!$LP$6-((New!$LQ$6)/(AE20+New!$LP$8)))/New!$LS$2</f>
        <v>8.6073815839961459E-2</v>
      </c>
      <c r="E20" s="312">
        <f>EXP(New!$LP$6-((New!$LQ$6)/(AF20+New!$LP$8)))/New!$LS$2</f>
        <v>8.074231819737733E-2</v>
      </c>
      <c r="F20" s="312">
        <f>EXP(New!$LP$6-((New!$LQ$6)/(AG20+New!$LP$8)))/New!$LS$2</f>
        <v>7.5682387789461014E-2</v>
      </c>
      <c r="G20" s="312">
        <f>EXP(New!$LP$6-((New!$LQ$6)/(AH20+New!$LP$8)))/New!$LS$2</f>
        <v>7.0818536472274415E-2</v>
      </c>
      <c r="H20" s="312">
        <f>EXP(New!$LP$6-((New!$LQ$6)/(AI20+New!$LP$8)))/New!$LS$2</f>
        <v>6.6269953028314274E-2</v>
      </c>
      <c r="I20" s="312">
        <f>EXP(New!$LP$6-((New!$LQ$6)/(AJ20+New!$LP$8)))/New!$LS$2</f>
        <v>6.2104900462252997E-2</v>
      </c>
      <c r="J20" s="312">
        <f>EXP(New!$LP$6-((New!$LQ$6)/(AK20+New!$LP$8)))/New!$LS$2</f>
        <v>5.8269998357437201E-2</v>
      </c>
      <c r="K20" s="245">
        <f>((New!FH20*New!$LP$3*LN((1-B20)/(1-New!DO20))) / (New!BV20*1000*New!$LQ$3*(1-B20-1+New!DO20)*New!B20^(2/3)))</f>
        <v>0.10069380013801196</v>
      </c>
      <c r="L20" s="4">
        <f>((New!FI20*New!$LP$3*LN((1-C20)/(1-New!DP20))) / (New!BW20*1000*New!$LQ$3*(1-C20-1+New!DP20)*New!C20^(2/3)))</f>
        <v>0.10175071755250746</v>
      </c>
      <c r="M20" s="4">
        <f>((New!FJ20*New!$LP$3*LN((1-D20)/(1-New!DQ20))) / (New!BX20*1000*New!$LQ$3*(1-D20-1+New!DQ20)*New!D20^(2/3)))</f>
        <v>0.10139550947324051</v>
      </c>
      <c r="N20" s="4">
        <f>((New!FK20*New!$LP$3*LN((1-E20)/(1-New!DR20))) / (New!BY20*1000*New!$LQ$3*(1-E20-1+New!DR20)*New!E20^(2/3)))</f>
        <v>0.10111476238019036</v>
      </c>
      <c r="O20" s="4">
        <f>((New!FL20*New!$LP$3*LN((1-F20)/(1-New!DS20))) / (New!BZ20*1000*New!$LQ$3*(1-F20-1+New!DS20)*New!F20^(2/3)))</f>
        <v>0.10080427394571233</v>
      </c>
      <c r="P20" s="4">
        <f>((New!FM20*New!$LP$3*LN((1-G20)/(1-New!DT20))) / (New!CA20*1000*New!$LQ$3*(1-G20-1+New!DT20)*New!G20^(2/3)))</f>
        <v>0.10055187486421481</v>
      </c>
      <c r="Q20" s="4">
        <f>((New!FN20*New!$LP$3*LN((1-H20)/(1-New!DU20))) / (New!CB20*1000*New!$LQ$3*(1-H20-1+New!DU20)*New!H20^(2/3)))</f>
        <v>0.1002755148691911</v>
      </c>
      <c r="R20" s="4">
        <f>((New!FO20*New!$LP$3*LN((1-I20)/(1-New!DV20))) / (New!CC20*1000*New!$LQ$3*(1-I20-1+New!DV20)*New!I20^(2/3)))</f>
        <v>0.10007257383204528</v>
      </c>
      <c r="S20" s="4">
        <f>((New!FP20*New!$LP$3*LN((1-J20)/(1-New!DW20))) / (New!CD20*1000*New!$LQ$3*(1-J20-1+New!DW20)*New!J20^(2/3)))</f>
        <v>9.9829305255542664E-2</v>
      </c>
      <c r="T20" s="245">
        <f>(New!FH20*Sheet3!DF20+New!HU20*1000*K20*(New!DO20-B20)+'Cooling water'!CO20*'Cooling water'!B20) / (New!FH20+'Cooling water'!CO20)</f>
        <v>35.762440672197592</v>
      </c>
      <c r="U20" s="4">
        <f>(New!FI20*Sheet3!BZ20+New!HV20*1000*L20*(New!DP20-C20)+Sheet3!CI20*'Cooling water'!CP20) / (New!FI20+'Cooling water'!CP20)</f>
        <v>43.565051139694425</v>
      </c>
      <c r="V20" s="4">
        <f>(New!FJ20*Sheet3!CA20+New!HW20*1000*M20*(New!DQ20-D20)+Sheet3!CJ20*'Cooling water'!CQ20) / (New!FJ20+'Cooling water'!CQ20)</f>
        <v>42.566240445486947</v>
      </c>
      <c r="W20" s="4">
        <f>(New!FK20*Sheet3!CB20+New!HX20*1000*N20*(New!DR20-E20)+Sheet3!CK20*'Cooling water'!CR20) / (New!FK20+'Cooling water'!CR20)</f>
        <v>41.598575127987317</v>
      </c>
      <c r="X20" s="4">
        <f>(New!FL20*Sheet3!CC20+New!HY20*1000*O20*(New!DS20-F20)+Sheet3!CL20*'Cooling water'!CS20) / (New!FL20+'Cooling water'!CS20)</f>
        <v>40.548095399290283</v>
      </c>
      <c r="Y20" s="4">
        <f>(New!FM20*Sheet3!CD20+New!HZ20*1000*P20*(New!DT20-G20)+Sheet3!CM20*'Cooling water'!CT20) / (New!FM20+'Cooling water'!CT20)</f>
        <v>39.617438062880062</v>
      </c>
      <c r="Z20" s="4">
        <f>(New!FN20*Sheet3!CE20+New!IA20*1000*Q20*(New!DU20-H20)+Sheet3!CN20*'Cooling water'!CU20) / (New!FN20+'Cooling water'!CU20)</f>
        <v>38.636275513687131</v>
      </c>
      <c r="AA20" s="4">
        <f>(New!FO20*Sheet3!CF20+New!IB20*1000*R20*(New!DV20-I20)+Sheet3!CO20*'Cooling water'!CV20) / (New!FO20+'Cooling water'!CV20)</f>
        <v>37.775069494198256</v>
      </c>
      <c r="AB20" s="4">
        <f>(New!FP20*Sheet3!CG20+New!IC20*1000*S20*(New!DW20-J20)+Sheet3!CP20*'Cooling water'!CW20) / (New!FP20+'Cooling water'!CW20)</f>
        <v>36.920897832820195</v>
      </c>
      <c r="AC20" s="245">
        <f t="shared" si="1"/>
        <v>40.170613875000001</v>
      </c>
      <c r="AD20" s="311">
        <v>44.442480000000003</v>
      </c>
      <c r="AE20" s="311">
        <v>43.218071999999999</v>
      </c>
      <c r="AF20" s="311">
        <v>42.000794999999997</v>
      </c>
      <c r="AG20" s="311">
        <v>40.779909000000004</v>
      </c>
      <c r="AH20" s="311">
        <v>39.538313000000002</v>
      </c>
      <c r="AI20" s="311">
        <v>38.308951999999998</v>
      </c>
      <c r="AJ20" s="311">
        <v>37.117803000000002</v>
      </c>
      <c r="AK20" s="311">
        <v>35.958587000000001</v>
      </c>
      <c r="AL20" s="243">
        <f>AVERAGE(Sheet3!BR20:BY20)</f>
        <v>29.478523185843038</v>
      </c>
      <c r="AM20" s="183" cm="1">
        <f t="array" ref="AM20:AT20">TRANSPOSE('[22]Keithley Matavimai'!$W$6:$W$13)</f>
        <v>38.233810418302461</v>
      </c>
      <c r="AN20" s="183">
        <v>31.357395903826514</v>
      </c>
      <c r="AO20" s="183">
        <v>33.191043073186641</v>
      </c>
      <c r="AP20" s="183">
        <v>28.176217384134819</v>
      </c>
      <c r="AQ20" s="183">
        <v>29.435367097917194</v>
      </c>
      <c r="AR20" s="183">
        <v>29.376587505114202</v>
      </c>
      <c r="AS20" s="183">
        <v>27.356235451391679</v>
      </c>
      <c r="AT20" s="183">
        <v>18.701528652870785</v>
      </c>
      <c r="AU20" s="183">
        <f t="shared" si="0"/>
        <v>10.692090689156963</v>
      </c>
      <c r="AX20" s="281"/>
      <c r="AY20" s="281"/>
      <c r="AZ20" s="281"/>
      <c r="BA20" s="281"/>
    </row>
    <row r="21" spans="1:53" ht="16.8" x14ac:dyDescent="0.3">
      <c r="A21" s="282" t="str">
        <f>Sheet3!A21</f>
        <v>12.12.2022</v>
      </c>
      <c r="B21" s="248">
        <f>EXP(New!$LP$6-((New!$LQ$6)/(AC21+New!$LP$8)))/New!$LS$2</f>
        <v>7.422456358597318E-2</v>
      </c>
      <c r="C21" s="312">
        <f>EXP(New!$LP$6-((New!$LQ$6)/(AD21+New!$LP$8)))/New!$LS$2</f>
        <v>9.3900763623021785E-2</v>
      </c>
      <c r="D21" s="312">
        <f>EXP(New!$LP$6-((New!$LQ$6)/(AE21+New!$LP$8)))/New!$LS$2</f>
        <v>8.7991578116384028E-2</v>
      </c>
      <c r="E21" s="312">
        <f>EXP(New!$LP$6-((New!$LQ$6)/(AF21+New!$LP$8)))/New!$LS$2</f>
        <v>8.2305333675425946E-2</v>
      </c>
      <c r="F21" s="312">
        <f>EXP(New!$LP$6-((New!$LQ$6)/(AG21+New!$LP$8)))/New!$LS$2</f>
        <v>7.6744890046215763E-2</v>
      </c>
      <c r="G21" s="312">
        <f>EXP(New!$LP$6-((New!$LQ$6)/(AH21+New!$LP$8)))/New!$LS$2</f>
        <v>7.1536520134591192E-2</v>
      </c>
      <c r="H21" s="312">
        <f>EXP(New!$LP$6-((New!$LQ$6)/(AI21+New!$LP$8)))/New!$LS$2</f>
        <v>6.6738208980480176E-2</v>
      </c>
      <c r="I21" s="312">
        <f>EXP(New!$LP$6-((New!$LQ$6)/(AJ21+New!$LP$8)))/New!$LS$2</f>
        <v>6.2419322635602105E-2</v>
      </c>
      <c r="J21" s="312">
        <f>EXP(New!$LP$6-((New!$LQ$6)/(AK21+New!$LP$8)))/New!$LS$2</f>
        <v>5.8424837455502962E-2</v>
      </c>
      <c r="K21" s="245">
        <f>((New!FH21*New!$LP$3*LN((1-B21)/(1-New!DO21))) / (New!BV21*1000*New!$LQ$3*(1-B21-1+New!DO21)*New!B21^(2/3)))</f>
        <v>0.1006290055603524</v>
      </c>
      <c r="L21" s="4">
        <f>((New!FI21*New!$LP$3*LN((1-C21)/(1-New!DP21))) / (New!BW21*1000*New!$LQ$3*(1-C21-1+New!DP21)*New!C21^(2/3)))</f>
        <v>0.10175278698001321</v>
      </c>
      <c r="M21" s="4">
        <f>((New!FJ21*New!$LP$3*LN((1-D21)/(1-New!DQ21))) / (New!BX21*1000*New!$LQ$3*(1-D21-1+New!DQ21)*New!D21^(2/3)))</f>
        <v>0.10136933683498023</v>
      </c>
      <c r="N21" s="4">
        <f>((New!FK21*New!$LP$3*LN((1-E21)/(1-New!DR21))) / (New!BY21*1000*New!$LQ$3*(1-E21-1+New!DR21)*New!E21^(2/3)))</f>
        <v>0.10105316037450633</v>
      </c>
      <c r="O21" s="4">
        <f>((New!FL21*New!$LP$3*LN((1-F21)/(1-New!DS21))) / (New!BZ21*1000*New!$LQ$3*(1-F21-1+New!DS21)*New!F21^(2/3)))</f>
        <v>0.10070189884483872</v>
      </c>
      <c r="P21" s="4">
        <f>((New!FM21*New!$LP$3*LN((1-G21)/(1-New!DT21))) / (New!CA21*1000*New!$LQ$3*(1-G21-1+New!DT21)*New!G21^(2/3)))</f>
        <v>0.10042193100508456</v>
      </c>
      <c r="Q21" s="4">
        <f>((New!FN21*New!$LP$3*LN((1-H21)/(1-New!DU21))) / (New!CB21*1000*New!$LQ$3*(1-H21-1+New!DU21)*New!H21^(2/3)))</f>
        <v>0.10012842614805031</v>
      </c>
      <c r="R21" s="4">
        <f>((New!FO21*New!$LP$3*LN((1-I21)/(1-New!DV21))) / (New!CC21*1000*New!$LQ$3*(1-I21-1+New!DV21)*New!I21^(2/3)))</f>
        <v>9.9903839957525983E-2</v>
      </c>
      <c r="S21" s="4">
        <f>((New!FP21*New!$LP$3*LN((1-J21)/(1-New!DW21))) / (New!CD21*1000*New!$LQ$3*(1-J21-1+New!DW21)*New!J21^(2/3)))</f>
        <v>9.964834299910881E-2</v>
      </c>
      <c r="T21" s="245">
        <f>(New!FH21*Sheet3!DF21+New!HU21*1000*K21*(New!DO21-B21)+'Cooling water'!CO21*'Cooling water'!B21) / (New!FH21+'Cooling water'!CO21)</f>
        <v>36.300892096392396</v>
      </c>
      <c r="U21" s="4">
        <f>(New!FI21*Sheet3!BZ21+New!HV21*1000*L21*(New!DP21-C21)+Sheet3!CI21*'Cooling water'!CP21) / (New!FI21+'Cooling water'!CP21)</f>
        <v>44.169395652767555</v>
      </c>
      <c r="V21" s="4">
        <f>(New!FJ21*Sheet3!CA21+New!HW21*1000*M21*(New!DQ21-D21)+Sheet3!CJ21*'Cooling water'!CQ21) / (New!FJ21+'Cooling water'!CQ21)</f>
        <v>43.095900357215932</v>
      </c>
      <c r="W21" s="4">
        <f>(New!FK21*Sheet3!CB21+New!HX21*1000*N21*(New!DR21-E21)+Sheet3!CK21*'Cooling water'!CR21) / (New!FK21+'Cooling water'!CR21)</f>
        <v>42.060588574761063</v>
      </c>
      <c r="X21" s="4">
        <f>(New!FL21*Sheet3!CC21+New!HY21*1000*O21*(New!DS21-F21)+Sheet3!CL21*'Cooling water'!CS21) / (New!FL21+'Cooling water'!CS21)</f>
        <v>40.928404652802023</v>
      </c>
      <c r="Y21" s="4">
        <f>(New!FM21*Sheet3!CD21+New!HZ21*1000*P21*(New!DT21-G21)+Sheet3!CM21*'Cooling water'!CT21) / (New!FM21+'Cooling water'!CT21)</f>
        <v>39.923582440495125</v>
      </c>
      <c r="Z21" s="4">
        <f>(New!FN21*Sheet3!CE21+New!IA21*1000*Q21*(New!DU21-H21)+Sheet3!CN21*'Cooling water'!CU21) / (New!FN21+'Cooling water'!CU21)</f>
        <v>38.82624484437973</v>
      </c>
      <c r="AA21" s="4">
        <f>(New!FO21*Sheet3!CF21+New!IB21*1000*R21*(New!DV21-I21)+Sheet3!CO21*'Cooling water'!CV21) / (New!FO21+'Cooling water'!CV21)</f>
        <v>37.923081026348406</v>
      </c>
      <c r="AB21" s="4">
        <f>(New!FP21*Sheet3!CG21+New!IC21*1000*S21*(New!DW21-J21)+Sheet3!CP21*'Cooling water'!CW21) / (New!FP21+'Cooling water'!CW21)</f>
        <v>36.996916543003387</v>
      </c>
      <c r="AC21" s="245">
        <f t="shared" si="1"/>
        <v>40.415148624999993</v>
      </c>
      <c r="AD21" s="311">
        <v>44.892786999999998</v>
      </c>
      <c r="AE21" s="311">
        <v>43.640132999999999</v>
      </c>
      <c r="AF21" s="311">
        <v>42.364638999999997</v>
      </c>
      <c r="AG21" s="311">
        <v>41.041970999999997</v>
      </c>
      <c r="AH21" s="311">
        <v>39.726118999999997</v>
      </c>
      <c r="AI21" s="311">
        <v>38.438805000000002</v>
      </c>
      <c r="AJ21" s="311">
        <v>37.210087000000001</v>
      </c>
      <c r="AK21" s="311">
        <v>36.006647999999998</v>
      </c>
      <c r="AL21" s="243">
        <f>AVERAGE(Sheet3!BR21:BY21)</f>
        <v>29.929928711529875</v>
      </c>
      <c r="AM21" s="183" cm="1">
        <f t="array" ref="AM21:AT21">TRANSPOSE('[23]Keithley Matavimai'!$W$6:$W$13)</f>
        <v>38.947820142586231</v>
      </c>
      <c r="AN21" s="183">
        <v>32.156179989223453</v>
      </c>
      <c r="AO21" s="183">
        <v>33.804842744263645</v>
      </c>
      <c r="AP21" s="183">
        <v>28.710249504978012</v>
      </c>
      <c r="AQ21" s="183">
        <v>29.825672611781712</v>
      </c>
      <c r="AR21" s="183">
        <v>29.667024166607465</v>
      </c>
      <c r="AS21" s="183">
        <v>27.551527921936287</v>
      </c>
      <c r="AT21" s="183">
        <v>18.776112610862199</v>
      </c>
      <c r="AU21" s="183">
        <f t="shared" si="0"/>
        <v>10.485219913470118</v>
      </c>
      <c r="AX21" s="281"/>
      <c r="AY21" s="281"/>
      <c r="AZ21" s="281"/>
      <c r="BA21" s="281"/>
    </row>
    <row r="22" spans="1:53" ht="16.8" x14ac:dyDescent="0.3">
      <c r="A22" s="282" t="str">
        <f>Sheet3!A22</f>
        <v>13.12.2022</v>
      </c>
      <c r="B22" s="248">
        <f>EXP(New!$LP$6-((New!$LQ$6)/(AC22+New!$LP$8)))/New!$LS$2</f>
        <v>7.6042788447246476E-2</v>
      </c>
      <c r="C22" s="312">
        <f>EXP(New!$LP$6-((New!$LQ$6)/(AD22+New!$LP$8)))/New!$LS$2</f>
        <v>9.7323550372158035E-2</v>
      </c>
      <c r="D22" s="312">
        <f>EXP(New!$LP$6-((New!$LQ$6)/(AE22+New!$LP$8)))/New!$LS$2</f>
        <v>9.0785832420866894E-2</v>
      </c>
      <c r="E22" s="312">
        <f>EXP(New!$LP$6-((New!$LQ$6)/(AF22+New!$LP$8)))/New!$LS$2</f>
        <v>8.4657501505615379E-2</v>
      </c>
      <c r="F22" s="312">
        <f>EXP(New!$LP$6-((New!$LQ$6)/(AG22+New!$LP$8)))/New!$LS$2</f>
        <v>7.8695863362684332E-2</v>
      </c>
      <c r="G22" s="312">
        <f>EXP(New!$LP$6-((New!$LQ$6)/(AH22+New!$LP$8)))/New!$LS$2</f>
        <v>7.3183639541332932E-2</v>
      </c>
      <c r="H22" s="312">
        <f>EXP(New!$LP$6-((New!$LQ$6)/(AI22+New!$LP$8)))/New!$LS$2</f>
        <v>6.8046273830473444E-2</v>
      </c>
      <c r="I22" s="312">
        <f>EXP(New!$LP$6-((New!$LQ$6)/(AJ22+New!$LP$8)))/New!$LS$2</f>
        <v>6.3430689227496645E-2</v>
      </c>
      <c r="J22" s="312">
        <f>EXP(New!$LP$6-((New!$LQ$6)/(AK22+New!$LP$8)))/New!$LS$2</f>
        <v>5.9231849141679463E-2</v>
      </c>
      <c r="K22" s="245">
        <f>((New!FH22*New!$LP$3*LN((1-B22)/(1-New!DO22))) / (New!BV22*1000*New!$LQ$3*(1-B22-1+New!DO22)*New!B22^(2/3)))</f>
        <v>0.10701329216119806</v>
      </c>
      <c r="L22" s="4">
        <f>((New!FI22*New!$LP$3*LN((1-C22)/(1-New!DP22))) / (New!BW22*1000*New!$LQ$3*(1-C22-1+New!DP22)*New!C22^(2/3)))</f>
        <v>0.10830351572072967</v>
      </c>
      <c r="M22" s="4">
        <f>((New!FJ22*New!$LP$3*LN((1-D22)/(1-New!DQ22))) / (New!BX22*1000*New!$LQ$3*(1-D22-1+New!DQ22)*New!D22^(2/3)))</f>
        <v>0.10783151746507781</v>
      </c>
      <c r="N22" s="4">
        <f>((New!FK22*New!$LP$3*LN((1-E22)/(1-New!DR22))) / (New!BY22*1000*New!$LQ$3*(1-E22-1+New!DR22)*New!E22^(2/3)))</f>
        <v>0.10744366207121339</v>
      </c>
      <c r="O22" s="4">
        <f>((New!FL22*New!$LP$3*LN((1-F22)/(1-New!DS22))) / (New!BZ22*1000*New!$LQ$3*(1-F22-1+New!DS22)*New!F22^(2/3)))</f>
        <v>0.10701917348235278</v>
      </c>
      <c r="P22" s="4">
        <f>((New!FM22*New!$LP$3*LN((1-G22)/(1-New!DT22))) / (New!CA22*1000*New!$LQ$3*(1-G22-1+New!DT22)*New!G22^(2/3)))</f>
        <v>0.10668580864705797</v>
      </c>
      <c r="Q22" s="4">
        <f>((New!FN22*New!$LP$3*LN((1-H22)/(1-New!DU22))) / (New!CB22*1000*New!$LQ$3*(1-H22-1+New!DU22)*New!H22^(2/3)))</f>
        <v>0.10633018600261199</v>
      </c>
      <c r="R22" s="4">
        <f>((New!FO22*New!$LP$3*LN((1-I22)/(1-New!DV22))) / (New!CC22*1000*New!$LQ$3*(1-I22-1+New!DV22)*New!I22^(2/3)))</f>
        <v>0.10606292842390121</v>
      </c>
      <c r="S22" s="4">
        <f>((New!FP22*New!$LP$3*LN((1-J22)/(1-New!DW22))) / (New!CD22*1000*New!$LQ$3*(1-J22-1+New!DW22)*New!J22^(2/3)))</f>
        <v>0.10576483296769891</v>
      </c>
      <c r="T22" s="245">
        <f>(New!FH22*Sheet3!DF22+New!HU22*1000*K22*(New!DO22-B22)+'Cooling water'!CO22*'Cooling water'!B22) / (New!FH22+'Cooling water'!CO22)</f>
        <v>36.805430973278924</v>
      </c>
      <c r="U22" s="4">
        <f>(New!FI22*Sheet3!BZ22+New!HV22*1000*L22*(New!DP22-C22)+Sheet3!CI22*'Cooling water'!CP22) / (New!FI22+'Cooling water'!CP22)</f>
        <v>45.047186354037947</v>
      </c>
      <c r="V22" s="4">
        <f>(New!FJ22*Sheet3!CA22+New!HW22*1000*M22*(New!DQ22-D22)+Sheet3!CJ22*'Cooling water'!CQ22) / (New!FJ22+'Cooling water'!CQ22)</f>
        <v>43.86153245306744</v>
      </c>
      <c r="W22" s="4">
        <f>(New!FK22*Sheet3!CB22+New!HX22*1000*N22*(New!DR22-E22)+Sheet3!CK22*'Cooling water'!CR22) / (New!FK22+'Cooling water'!CR22)</f>
        <v>42.722023305799368</v>
      </c>
      <c r="X22" s="4">
        <f>(New!FL22*Sheet3!CC22+New!HY22*1000*O22*(New!DS22-F22)+Sheet3!CL22*'Cooling water'!CS22) / (New!FL22+'Cooling water'!CS22)</f>
        <v>41.48585528899747</v>
      </c>
      <c r="Y22" s="4">
        <f>(New!FM22*Sheet3!CD22+New!HZ22*1000*P22*(New!DT22-G22)+Sheet3!CM22*'Cooling water'!CT22) / (New!FM22+'Cooling water'!CT22)</f>
        <v>40.399277427787567</v>
      </c>
      <c r="Z22" s="4">
        <f>(New!FN22*Sheet3!CE22+New!IA22*1000*Q22*(New!DU22-H22)+Sheet3!CN22*'Cooling water'!CU22) / (New!FN22+'Cooling water'!CU22)</f>
        <v>39.229846692847339</v>
      </c>
      <c r="AA22" s="4">
        <f>(New!FO22*Sheet3!CF22+New!IB22*1000*R22*(New!DV22-I22)+Sheet3!CO22*'Cooling water'!CV22) / (New!FO22+'Cooling water'!CV22)</f>
        <v>38.201097728090609</v>
      </c>
      <c r="AB22" s="4">
        <f>(New!FP22*Sheet3!CG22+New!IC22*1000*S22*(New!DW22-J22)+Sheet3!CP22*'Cooling water'!CW22) / (New!FP22+'Cooling water'!CW22)</f>
        <v>37.167384671821182</v>
      </c>
      <c r="AC22" s="245">
        <f t="shared" si="1"/>
        <v>40.869152750000005</v>
      </c>
      <c r="AD22" s="311">
        <v>45.587763000000002</v>
      </c>
      <c r="AE22" s="311">
        <v>44.241180999999997</v>
      </c>
      <c r="AF22" s="311">
        <v>42.901158000000002</v>
      </c>
      <c r="AG22" s="311">
        <v>41.515158</v>
      </c>
      <c r="AH22" s="311">
        <v>40.150913000000003</v>
      </c>
      <c r="AI22" s="311">
        <v>38.797437000000002</v>
      </c>
      <c r="AJ22" s="311">
        <v>37.504235999999999</v>
      </c>
      <c r="AK22" s="311">
        <v>36.255375999999998</v>
      </c>
      <c r="AL22" s="243">
        <f>AVERAGE(Sheet3!BR22:BY22)</f>
        <v>30.526131303939312</v>
      </c>
      <c r="AM22" s="183" cm="1">
        <f t="array" ref="AM22:AT22">TRANSPOSE('[24]Keithley Matavimai'!$W$6:$W$13)</f>
        <v>39.723044650081384</v>
      </c>
      <c r="AN22" s="183">
        <v>32.66962222875501</v>
      </c>
      <c r="AO22" s="183">
        <v>34.784193800199922</v>
      </c>
      <c r="AP22" s="183">
        <v>29.559974590043666</v>
      </c>
      <c r="AQ22" s="183">
        <v>30.249931836776891</v>
      </c>
      <c r="AR22" s="183">
        <v>30.104500218246866</v>
      </c>
      <c r="AS22" s="183">
        <v>28.127139098522676</v>
      </c>
      <c r="AT22" s="183">
        <v>18.99064400888809</v>
      </c>
      <c r="AU22" s="183">
        <f t="shared" si="0"/>
        <v>10.343021446060693</v>
      </c>
      <c r="AX22" s="281"/>
      <c r="AY22" s="281"/>
      <c r="AZ22" s="281"/>
      <c r="BA22" s="281"/>
    </row>
    <row r="23" spans="1:53" ht="16.8" x14ac:dyDescent="0.3">
      <c r="A23" s="261" t="str">
        <f>Sheet3!A23</f>
        <v>13.12.2022</v>
      </c>
      <c r="B23" s="248">
        <f>EXP(New!$LP$6-((New!$LQ$6)/(AC23+New!$LP$8)))/New!$LS$2</f>
        <v>8.4060086158511335E-2</v>
      </c>
      <c r="C23" s="312">
        <f>EXP(New!$LP$6-((New!$LQ$6)/(AD23+New!$LP$8)))/New!$LS$2</f>
        <v>0.10889996714328967</v>
      </c>
      <c r="D23" s="312">
        <f>EXP(New!$LP$6-((New!$LQ$6)/(AE23+New!$LP$8)))/New!$LS$2</f>
        <v>0.10123959321925155</v>
      </c>
      <c r="E23" s="312">
        <f>EXP(New!$LP$6-((New!$LQ$6)/(AF23+New!$LP$8)))/New!$LS$2</f>
        <v>9.3984260471741896E-2</v>
      </c>
      <c r="F23" s="312">
        <f>EXP(New!$LP$6-((New!$LQ$6)/(AG23+New!$LP$8)))/New!$LS$2</f>
        <v>8.6792706483953069E-2</v>
      </c>
      <c r="G23" s="312">
        <f>EXP(New!$LP$6-((New!$LQ$6)/(AH23+New!$LP$8)))/New!$LS$2</f>
        <v>8.050819007770299E-2</v>
      </c>
      <c r="H23" s="312">
        <f>EXP(New!$LP$6-((New!$LQ$6)/(AI23+New!$LP$8)))/New!$LS$2</f>
        <v>7.4860995530587601E-2</v>
      </c>
      <c r="I23" s="312">
        <f>EXP(New!$LP$6-((New!$LQ$6)/(AJ23+New!$LP$8)))/New!$LS$2</f>
        <v>6.9759037930504891E-2</v>
      </c>
      <c r="J23" s="312">
        <f>EXP(New!$LP$6-((New!$LQ$6)/(AK23+New!$LP$8)))/New!$LS$2</f>
        <v>6.4856913895069562E-2</v>
      </c>
      <c r="K23" s="245">
        <f>((New!FH23*New!$LP$3*LN((1-B23)/(1-New!DO23))) / (New!BV23*1000*New!$LQ$3*(1-B23-1+New!DO23)*New!B23^(2/3)))</f>
        <v>0.10875445132830365</v>
      </c>
      <c r="L23" s="4">
        <f>((New!FI23*New!$LP$3*LN((1-C23)/(1-New!DP23))) / (New!BW23*1000*New!$LQ$3*(1-C23-1+New!DP23)*New!C23^(2/3)))</f>
        <v>0.11031187586062635</v>
      </c>
      <c r="M23" s="4">
        <f>((New!FJ23*New!$LP$3*LN((1-D23)/(1-New!DQ23))) / (New!BX23*1000*New!$LQ$3*(1-D23-1+New!DQ23)*New!D23^(2/3)))</f>
        <v>0.1097202132484431</v>
      </c>
      <c r="N23" s="4">
        <f>((New!FK23*New!$LP$3*LN((1-E23)/(1-New!DR23))) / (New!BY23*1000*New!$LQ$3*(1-E23-1+New!DR23)*New!E23^(2/3)))</f>
        <v>0.10922120545919371</v>
      </c>
      <c r="O23" s="4">
        <f>((New!FL23*New!$LP$3*LN((1-F23)/(1-New!DS23))) / (New!BZ23*1000*New!$LQ$3*(1-F23-1+New!DS23)*New!F23^(2/3)))</f>
        <v>0.10867611037530767</v>
      </c>
      <c r="P23" s="4">
        <f>((New!FM23*New!$LP$3*LN((1-G23)/(1-New!DT23))) / (New!CA23*1000*New!$LQ$3*(1-G23-1+New!DT23)*New!G23^(2/3)))</f>
        <v>0.10825448587798646</v>
      </c>
      <c r="Q23" s="4">
        <f>((New!FN23*New!$LP$3*LN((1-H23)/(1-New!DU23))) / (New!CB23*1000*New!$LQ$3*(1-H23-1+New!DU23)*New!H23^(2/3)))</f>
        <v>0.10784623286754458</v>
      </c>
      <c r="R23" s="4">
        <f>((New!FO23*New!$LP$3*LN((1-I23)/(1-New!DV23))) / (New!CC23*1000*New!$LQ$3*(1-I23-1+New!DV23)*New!I23^(2/3)))</f>
        <v>0.10752200926482924</v>
      </c>
      <c r="S23" s="4">
        <f>((New!FP23*New!$LP$3*LN((1-J23)/(1-New!DW23))) / (New!CD23*1000*New!$LQ$3*(1-J23-1+New!DW23)*New!J23^(2/3)))</f>
        <v>0.10715522260416105</v>
      </c>
      <c r="T23" s="245">
        <f>(New!FH23*Sheet3!DF23+New!HU23*1000*K23*(New!DO23-B23)+'Cooling water'!CO23*'Cooling water'!B23) / (New!FH23+'Cooling water'!CO23)</f>
        <v>38.815225393407154</v>
      </c>
      <c r="U23" s="4">
        <f>(New!FI23*Sheet3!BZ23+New!HV23*1000*L23*(New!DP23-C23)+Sheet3!CI23*'Cooling water'!CP23) / (New!FI23+'Cooling water'!CP23)</f>
        <v>47.407665259115696</v>
      </c>
      <c r="V23" s="4">
        <f>(New!FJ23*Sheet3!CA23+New!HW23*1000*M23*(New!DQ23-D23)+Sheet3!CJ23*'Cooling water'!CQ23) / (New!FJ23+'Cooling water'!CQ23)</f>
        <v>46.105360324041456</v>
      </c>
      <c r="W23" s="4">
        <f>(New!FK23*Sheet3!CB23+New!HX23*1000*N23*(New!DR23-E23)+Sheet3!CK23*'Cooling water'!CR23) / (New!FK23+'Cooling water'!CR23)</f>
        <v>44.869858711231643</v>
      </c>
      <c r="X23" s="4">
        <f>(New!FL23*Sheet3!CC23+New!HY23*1000*O23*(New!DS23-F23)+Sheet3!CL23*'Cooling water'!CS23) / (New!FL23+'Cooling water'!CS23)</f>
        <v>43.531017856252781</v>
      </c>
      <c r="Y23" s="4">
        <f>(New!FM23*Sheet3!CD23+New!HZ23*1000*P23*(New!DT23-G23)+Sheet3!CM23*'Cooling water'!CT23) / (New!FM23+'Cooling water'!CT23)</f>
        <v>42.226216472329256</v>
      </c>
      <c r="Z23" s="4">
        <f>(New!FN23*Sheet3!CE23+New!IA23*1000*Q23*(New!DU23-H23)+Sheet3!CN23*'Cooling water'!CU23) / (New!FN23+'Cooling water'!CU23)</f>
        <v>41.112634400462824</v>
      </c>
      <c r="AA23" s="4">
        <f>(New!FO23*Sheet3!CF23+New!IB23*1000*R23*(New!DV23-I23)+Sheet3!CO23*'Cooling water'!CV23) / (New!FO23+'Cooling water'!CV23)</f>
        <v>39.969825088274924</v>
      </c>
      <c r="AB23" s="4">
        <f>(New!FP23*Sheet3!CG23+New!IC23*1000*S23*(New!DW23-J23)+Sheet3!CP23*'Cooling water'!CW23) / (New!FP23+'Cooling water'!CW23)</f>
        <v>38.846482055155654</v>
      </c>
      <c r="AC23" s="245">
        <f t="shared" si="1"/>
        <v>42.766114375000008</v>
      </c>
      <c r="AD23" s="311">
        <v>47.792709000000002</v>
      </c>
      <c r="AE23" s="311">
        <v>46.357657000000003</v>
      </c>
      <c r="AF23" s="311">
        <v>44.909996999999997</v>
      </c>
      <c r="AG23" s="311">
        <v>43.377222000000003</v>
      </c>
      <c r="AH23" s="311">
        <v>41.945774</v>
      </c>
      <c r="AI23" s="311">
        <v>40.575139999999998</v>
      </c>
      <c r="AJ23" s="311">
        <v>39.258161999999999</v>
      </c>
      <c r="AK23" s="311">
        <v>37.912253999999997</v>
      </c>
      <c r="AL23" s="243">
        <f>AVERAGE(Sheet3!BR23:BY23)</f>
        <v>32.334590872703586</v>
      </c>
      <c r="AM23" s="183" cm="1">
        <f t="array" ref="AM23:AT23">TRANSPOSE('[25]Keithley Matavimai'!$W$6:$W$13)</f>
        <v>42.208121738616342</v>
      </c>
      <c r="AN23" s="183">
        <v>35.039694748950446</v>
      </c>
      <c r="AO23" s="183">
        <v>37.226822260855862</v>
      </c>
      <c r="AP23" s="183">
        <v>31.324070069737214</v>
      </c>
      <c r="AQ23" s="183">
        <v>32.032488937354287</v>
      </c>
      <c r="AR23" s="183">
        <v>31.874465225522567</v>
      </c>
      <c r="AS23" s="183">
        <v>29.155655312098997</v>
      </c>
      <c r="AT23" s="183">
        <v>19.815408688493001</v>
      </c>
      <c r="AU23" s="183">
        <f t="shared" si="0"/>
        <v>10.431523502296422</v>
      </c>
      <c r="AX23" s="281"/>
      <c r="AY23" s="281"/>
      <c r="AZ23" s="281"/>
      <c r="BA23" s="281"/>
    </row>
    <row r="24" spans="1:53" ht="16.8" x14ac:dyDescent="0.3">
      <c r="A24" s="282" t="str">
        <f>Sheet3!A24</f>
        <v>14.12.2022</v>
      </c>
      <c r="B24" s="248">
        <f>EXP(New!$LP$6-((New!$LQ$6)/(AC24+New!$LP$8)))/New!$LS$2</f>
        <v>0.11927473349189087</v>
      </c>
      <c r="C24" s="312">
        <f>EXP(New!$LP$6-((New!$LQ$6)/(AD24+New!$LP$8)))/New!$LS$2</f>
        <v>0.16251030694506752</v>
      </c>
      <c r="D24" s="312">
        <f>EXP(New!$LP$6-((New!$LQ$6)/(AE24+New!$LP$8)))/New!$LS$2</f>
        <v>0.15035809425199606</v>
      </c>
      <c r="E24" s="312">
        <f>EXP(New!$LP$6-((New!$LQ$6)/(AF24+New!$LP$8)))/New!$LS$2</f>
        <v>0.13862683634972142</v>
      </c>
      <c r="F24" s="312">
        <f>EXP(New!$LP$6-((New!$LQ$6)/(AG24+New!$LP$8)))/New!$LS$2</f>
        <v>0.12695147393157047</v>
      </c>
      <c r="G24" s="312">
        <f>EXP(New!$LP$6-((New!$LQ$6)/(AH24+New!$LP$8)))/New!$LS$2</f>
        <v>0.11550235291135874</v>
      </c>
      <c r="H24" s="312">
        <f>EXP(New!$LP$6-((New!$LQ$6)/(AI24+New!$LP$8)))/New!$LS$2</f>
        <v>0.10427499150877019</v>
      </c>
      <c r="I24" s="312">
        <f>EXP(New!$LP$6-((New!$LQ$6)/(AJ24+New!$LP$8)))/New!$LS$2</f>
        <v>9.3251282103188726E-2</v>
      </c>
      <c r="J24" s="312">
        <f>EXP(New!$LP$6-((New!$LQ$6)/(AK24+New!$LP$8)))/New!$LS$2</f>
        <v>8.244308931945997E-2</v>
      </c>
      <c r="K24" s="245">
        <f>((New!FH24*New!$LP$3*LN((1-B24)/(1-New!DO24))) / (New!BV24*1000*New!$LQ$3*(1-B24-1+New!DO24)*New!B24^(2/3)))</f>
        <v>4.6964558865176101E-2</v>
      </c>
      <c r="L24" s="4">
        <f>((New!FI24*New!$LP$3*LN((1-C24)/(1-New!DP24))) / (New!BW24*1000*New!$LQ$3*(1-C24-1+New!DP24)*New!C24^(2/3)))</f>
        <v>4.8134777460206779E-2</v>
      </c>
      <c r="M24" s="4">
        <f>((New!FJ24*New!$LP$3*LN((1-D24)/(1-New!DQ24))) / (New!BX24*1000*New!$LQ$3*(1-D24-1+New!DQ24)*New!D24^(2/3)))</f>
        <v>4.7792525376103574E-2</v>
      </c>
      <c r="N24" s="4">
        <f>((New!FK24*New!$LP$3*LN((1-E24)/(1-New!DR24))) / (New!BY24*1000*New!$LQ$3*(1-E24-1+New!DR24)*New!E24^(2/3)))</f>
        <v>4.7465679080694198E-2</v>
      </c>
      <c r="O24" s="4">
        <f>((New!FL24*New!$LP$3*LN((1-F24)/(1-New!DS24))) / (New!BZ24*1000*New!$LQ$3*(1-F24-1+New!DS24)*New!F24^(2/3)))</f>
        <v>4.7108189002166435E-2</v>
      </c>
      <c r="P24" s="4">
        <f>((New!FM24*New!$LP$3*LN((1-G24)/(1-New!DT24))) / (New!CA24*1000*New!$LQ$3*(1-G24-1+New!DT24)*New!G24^(2/3)))</f>
        <v>4.6790397402433126E-2</v>
      </c>
      <c r="Q24" s="4">
        <f>((New!FN24*New!$LP$3*LN((1-H24)/(1-New!DU24))) / (New!CB24*1000*New!$LQ$3*(1-H24-1+New!DU24)*New!H24^(2/3)))</f>
        <v>4.6481426858672334E-2</v>
      </c>
      <c r="R24" s="4">
        <f>((New!FO24*New!$LP$3*LN((1-I24)/(1-New!DV24))) / (New!CC24*1000*New!$LQ$3*(1-I24-1+New!DV24)*New!I24^(2/3)))</f>
        <v>4.620583642947991E-2</v>
      </c>
      <c r="S24" s="4">
        <f>((New!FP24*New!$LP$3*LN((1-J24)/(1-New!DW24))) / (New!CD24*1000*New!$LQ$3*(1-J24-1+New!DW24)*New!J24^(2/3)))</f>
        <v>4.5854464849335197E-2</v>
      </c>
      <c r="T24" s="245">
        <f>(New!FH24*Sheet3!DF24+New!HU24*1000*K24*(New!DO24-B24)+'Cooling water'!CO24*'Cooling water'!B24) / (New!FH24+'Cooling water'!CO24)</f>
        <v>49.280797191110217</v>
      </c>
      <c r="U24" s="4">
        <f>(New!FI24*Sheet3!BZ24+New!HV24*1000*L24*(New!DP24-C24)+Sheet3!CI24*'Cooling water'!CP24) / (New!FI24+'Cooling water'!CP24)</f>
        <v>62.056217007936624</v>
      </c>
      <c r="V24" s="4">
        <f>(New!FJ24*Sheet3!CA24+New!HW24*1000*M24*(New!DQ24-D24)+Sheet3!CJ24*'Cooling water'!CQ24) / (New!FJ24+'Cooling water'!CQ24)</f>
        <v>61.402069578372242</v>
      </c>
      <c r="W24" s="4">
        <f>(New!FK24*Sheet3!CB24+New!HX24*1000*N24*(New!DR24-E24)+Sheet3!CK24*'Cooling water'!CR24) / (New!FK24+'Cooling water'!CR24)</f>
        <v>60.804777784215425</v>
      </c>
      <c r="X24" s="4">
        <f>(New!FL24*Sheet3!CC24+New!HY24*1000*O24*(New!DS24-F24)+Sheet3!CL24*'Cooling water'!CS24) / (New!FL24+'Cooling water'!CS24)</f>
        <v>59.974640008003497</v>
      </c>
      <c r="Y24" s="4">
        <f>(New!FM24*Sheet3!CD24+New!HZ24*1000*P24*(New!DT24-G24)+Sheet3!CM24*'Cooling water'!CT24) / (New!FM24+'Cooling water'!CT24)</f>
        <v>59.27181439566575</v>
      </c>
      <c r="Z24" s="4">
        <f>(New!FN24*Sheet3!CE24+New!IA24*1000*Q24*(New!DU24-H24)+Sheet3!CN24*'Cooling water'!CU24) / (New!FN24+'Cooling water'!CU24)</f>
        <v>58.476973439087097</v>
      </c>
      <c r="AA24" s="4">
        <f>(New!FO24*Sheet3!CF24+New!IB24*1000*R24*(New!DV24-I24)+Sheet3!CO24*'Cooling water'!CV24) / (New!FO24+'Cooling water'!CV24)</f>
        <v>57.699020991200491</v>
      </c>
      <c r="AB24" s="4">
        <f>(New!FP24*Sheet3!CG24+New!IC24*1000*S24*(New!DW24-J24)+Sheet3!CP24*'Cooling water'!CW24) / (New!FP24+'Cooling water'!CW24)</f>
        <v>56.401874923101218</v>
      </c>
      <c r="AC24" s="245">
        <f t="shared" si="1"/>
        <v>49.604396874999992</v>
      </c>
      <c r="AD24" s="311">
        <v>55.945531000000003</v>
      </c>
      <c r="AE24" s="311">
        <v>54.324919999999999</v>
      </c>
      <c r="AF24" s="311">
        <v>52.650840000000002</v>
      </c>
      <c r="AG24" s="311">
        <v>50.860104999999997</v>
      </c>
      <c r="AH24" s="311">
        <v>48.961829999999999</v>
      </c>
      <c r="AI24" s="311">
        <v>46.937058999999998</v>
      </c>
      <c r="AJ24" s="311">
        <v>44.758468999999998</v>
      </c>
      <c r="AK24" s="311">
        <v>42.396420999999997</v>
      </c>
      <c r="AL24" s="243">
        <f>AVERAGE(Sheet3!BR24:BY24)</f>
        <v>37.388472910557027</v>
      </c>
      <c r="AM24" s="183" cm="1">
        <f t="array" ref="AM24:AT24">TRANSPOSE('[26]Keithley Matavimai'!$W$6:$W$13)</f>
        <v>47.532524291466302</v>
      </c>
      <c r="AN24" s="183">
        <v>45.003145775045596</v>
      </c>
      <c r="AO24" s="183">
        <v>41.314117656901566</v>
      </c>
      <c r="AP24" s="183">
        <v>36.715683570538012</v>
      </c>
      <c r="AQ24" s="183">
        <v>35.826958935392064</v>
      </c>
      <c r="AR24" s="183">
        <v>34.237895058666531</v>
      </c>
      <c r="AS24" s="183">
        <v>30.440073337680616</v>
      </c>
      <c r="AT24" s="183">
        <v>28.03738465876549</v>
      </c>
      <c r="AU24" s="183">
        <f t="shared" si="0"/>
        <v>12.215923964442965</v>
      </c>
      <c r="AX24" s="281"/>
      <c r="AY24" s="281"/>
      <c r="AZ24" s="281"/>
      <c r="BA24" s="281"/>
    </row>
    <row r="25" spans="1:53" ht="16.8" x14ac:dyDescent="0.3">
      <c r="A25" s="282" t="str">
        <f>Sheet3!A25</f>
        <v>15.12.2022</v>
      </c>
      <c r="B25" s="248">
        <f>EXP(New!$LP$6-((New!$LQ$6)/(AC25+New!$LP$8)))/New!$LS$2</f>
        <v>0.12598337256079462</v>
      </c>
      <c r="C25" s="312">
        <f>EXP(New!$LP$6-((New!$LQ$6)/(AD25+New!$LP$8)))/New!$LS$2</f>
        <v>0.15528690589267033</v>
      </c>
      <c r="D25" s="312">
        <f>EXP(New!$LP$6-((New!$LQ$6)/(AE25+New!$LP$8)))/New!$LS$2</f>
        <v>0.16335729822465361</v>
      </c>
      <c r="E25" s="312">
        <f>EXP(New!$LP$6-((New!$LQ$6)/(AF25+New!$LP$8)))/New!$LS$2</f>
        <v>0.15021106662573205</v>
      </c>
      <c r="F25" s="312">
        <f>EXP(New!$LP$6-((New!$LQ$6)/(AG25+New!$LP$8)))/New!$LS$2</f>
        <v>0.13703893783226362</v>
      </c>
      <c r="G25" s="312">
        <f>EXP(New!$LP$6-((New!$LQ$6)/(AH25+New!$LP$8)))/New!$LS$2</f>
        <v>0.12408851750770246</v>
      </c>
      <c r="H25" s="312">
        <f>EXP(New!$LP$6-((New!$LQ$6)/(AI25+New!$LP$8)))/New!$LS$2</f>
        <v>0.11108255476302188</v>
      </c>
      <c r="I25" s="312">
        <f>EXP(New!$LP$6-((New!$LQ$6)/(AJ25+New!$LP$8)))/New!$LS$2</f>
        <v>9.8631978706924223E-2</v>
      </c>
      <c r="J25" s="312">
        <f>EXP(New!$LP$6-((New!$LQ$6)/(AK25+New!$LP$8)))/New!$LS$2</f>
        <v>8.7079287876535252E-2</v>
      </c>
      <c r="K25" s="245">
        <f>((New!FH25*New!$LP$3*LN((1-B25)/(1-New!DO25))) / (New!BV25*1000*New!$LQ$3*(1-B25-1+New!DO25)*New!B25^(2/3)))</f>
        <v>4.9278458307683244E-2</v>
      </c>
      <c r="L25" s="4">
        <f>((New!FI25*New!$LP$3*LN((1-C25)/(1-New!DP25))) / (New!BW25*1000*New!$LQ$3*(1-C25-1+New!DP25)*New!C25^(2/3)))</f>
        <v>5.0146117644249262E-2</v>
      </c>
      <c r="M25" s="4">
        <f>((New!FJ25*New!$LP$3*LN((1-D25)/(1-New!DQ25))) / (New!BX25*1000*New!$LQ$3*(1-D25-1+New!DQ25)*New!D25^(2/3)))</f>
        <v>5.0336504943936558E-2</v>
      </c>
      <c r="N25" s="4">
        <f>((New!FK25*New!$LP$3*LN((1-E25)/(1-New!DR25))) / (New!BY25*1000*New!$LQ$3*(1-E25-1+New!DR25)*New!E25^(2/3)))</f>
        <v>4.9958297388827046E-2</v>
      </c>
      <c r="O25" s="4">
        <f>((New!FL25*New!$LP$3*LN((1-F25)/(1-New!DS25))) / (New!BZ25*1000*New!$LQ$3*(1-F25-1+New!DS25)*New!F25^(2/3)))</f>
        <v>4.9545322960893423E-2</v>
      </c>
      <c r="P25" s="4">
        <f>((New!FM25*New!$LP$3*LN((1-G25)/(1-New!DT25))) / (New!CA25*1000*New!$LQ$3*(1-G25-1+New!DT25)*New!G25^(2/3)))</f>
        <v>4.9176518065157743E-2</v>
      </c>
      <c r="Q25" s="4">
        <f>((New!FN25*New!$LP$3*LN((1-H25)/(1-New!DU25))) / (New!CB25*1000*New!$LQ$3*(1-H25-1+New!DU25)*New!H25^(2/3)))</f>
        <v>4.8740271273860679E-2</v>
      </c>
      <c r="R25" s="4">
        <f>((New!FO25*New!$LP$3*LN((1-I25)/(1-New!DV25))) / (New!CC25*1000*New!$LQ$3*(1-I25-1+New!DV25)*New!I25^(2/3)))</f>
        <v>4.8423350555216849E-2</v>
      </c>
      <c r="S25" s="4">
        <f>((New!FP25*New!$LP$3*LN((1-J25)/(1-New!DW25))) / (New!CD25*1000*New!$LQ$3*(1-J25-1+New!DW25)*New!J25^(2/3)))</f>
        <v>4.8062783824562499E-2</v>
      </c>
      <c r="T25" s="245">
        <f>(New!FH25*Sheet3!DF25+New!HU25*1000*K25*(New!DO25-B25)+'Cooling water'!CO25*'Cooling water'!B25) / (New!FH25+'Cooling water'!CO25)</f>
        <v>52.572124561270314</v>
      </c>
      <c r="U25" s="4">
        <f>(New!FI25*Sheet3!BZ25+New!HV25*1000*L25*(New!DP25-C25)+Sheet3!CI25*'Cooling water'!CP25) / (New!FI25+'Cooling water'!CP25)</f>
        <v>54.340506770693388</v>
      </c>
      <c r="V25" s="4">
        <f>(New!FJ25*Sheet3!CA25+New!HW25*1000*M25*(New!DQ25-D25)+Sheet3!CJ25*'Cooling water'!CQ25) / (New!FJ25+'Cooling water'!CQ25)</f>
        <v>51.424251090095559</v>
      </c>
      <c r="W25" s="4">
        <f>(New!FK25*Sheet3!CB25+New!HX25*1000*N25*(New!DR25-E25)+Sheet3!CK25*'Cooling water'!CR25) / (New!FK25+'Cooling water'!CR25)</f>
        <v>63.943009345617718</v>
      </c>
      <c r="X25" s="4">
        <f>(New!FL25*Sheet3!CC25+New!HY25*1000*O25*(New!DS25-F25)+Sheet3!CL25*'Cooling water'!CS25) / (New!FL25+'Cooling water'!CS25)</f>
        <v>62.955392304698115</v>
      </c>
      <c r="Y25" s="4">
        <f>(New!FM25*Sheet3!CD25+New!HZ25*1000*P25*(New!DT25-G25)+Sheet3!CM25*'Cooling water'!CT25) / (New!FM25+'Cooling water'!CT25)</f>
        <v>62.383749381420543</v>
      </c>
      <c r="Z25" s="4">
        <f>(New!FN25*Sheet3!CE25+New!IA25*1000*Q25*(New!DU25-H25)+Sheet3!CN25*'Cooling water'!CU25) / (New!FN25+'Cooling water'!CU25)</f>
        <v>61.209957704186223</v>
      </c>
      <c r="AA25" s="4">
        <f>(New!FO25*Sheet3!CF25+New!IB25*1000*R25*(New!DV25-I25)+Sheet3!CO25*'Cooling water'!CV25) / (New!FO25+'Cooling water'!CV25)</f>
        <v>60.224484371893176</v>
      </c>
      <c r="AB25" s="4">
        <f>(New!FP25*Sheet3!CG25+New!IC25*1000*S25*(New!DW25-J25)+Sheet3!CP25*'Cooling water'!CW25) / (New!FP25+'Cooling water'!CW25)</f>
        <v>58.876051513711992</v>
      </c>
      <c r="AC25" s="245">
        <f t="shared" si="1"/>
        <v>50.705384125000009</v>
      </c>
      <c r="AD25" s="311">
        <v>54.995213</v>
      </c>
      <c r="AE25" s="311">
        <v>56.054592999999997</v>
      </c>
      <c r="AF25" s="311">
        <v>54.304639000000002</v>
      </c>
      <c r="AG25" s="311">
        <v>52.415038000000003</v>
      </c>
      <c r="AH25" s="311">
        <v>50.399588000000001</v>
      </c>
      <c r="AI25" s="311">
        <v>48.185744999999997</v>
      </c>
      <c r="AJ25" s="311">
        <v>45.847906000000002</v>
      </c>
      <c r="AK25" s="311">
        <v>43.440351</v>
      </c>
      <c r="AL25" s="243">
        <f>AVERAGE(Sheet3!BR25:BY25)</f>
        <v>39.559197744015954</v>
      </c>
      <c r="AM25" s="183" cm="1">
        <f t="array" ref="AM25:AT25">TRANSPOSE('[27]Keithley Matavimai'!$W$6:$W$13)</f>
        <v>49.650528254808684</v>
      </c>
      <c r="AN25" s="183">
        <v>46.829955453901341</v>
      </c>
      <c r="AO25" s="183">
        <v>43.903338225759008</v>
      </c>
      <c r="AP25" s="183">
        <v>39.604274203975983</v>
      </c>
      <c r="AQ25" s="183">
        <v>37.81120569301661</v>
      </c>
      <c r="AR25" s="183">
        <v>36.063761426424769</v>
      </c>
      <c r="AS25" s="183">
        <v>33.635493083753921</v>
      </c>
      <c r="AT25" s="183">
        <v>28.975025610487297</v>
      </c>
      <c r="AU25" s="183">
        <f t="shared" si="0"/>
        <v>11.146186380984055</v>
      </c>
      <c r="AX25" s="281"/>
      <c r="AY25" s="281"/>
      <c r="AZ25" s="281"/>
      <c r="BA25" s="281"/>
    </row>
    <row r="26" spans="1:53" ht="16.8" x14ac:dyDescent="0.3">
      <c r="A26" s="282" t="str">
        <f>Sheet3!A26</f>
        <v>15.12.2022</v>
      </c>
      <c r="B26" s="248">
        <f>EXP(New!$LP$6-((New!$LQ$6)/(AC26+New!$LP$8)))/New!$LS$2</f>
        <v>0.13201313222223435</v>
      </c>
      <c r="C26" s="312">
        <f>EXP(New!$LP$6-((New!$LQ$6)/(AD26+New!$LP$8)))/New!$LS$2</f>
        <v>0.16234275483395866</v>
      </c>
      <c r="D26" s="312">
        <f>EXP(New!$LP$6-((New!$LQ$6)/(AE26+New!$LP$8)))/New!$LS$2</f>
        <v>0.15197989457439828</v>
      </c>
      <c r="E26" s="312">
        <f>EXP(New!$LP$6-((New!$LQ$6)/(AF26+New!$LP$8)))/New!$LS$2</f>
        <v>0.16037827343515784</v>
      </c>
      <c r="F26" s="312">
        <f>EXP(New!$LP$6-((New!$LQ$6)/(AG26+New!$LP$8)))/New!$LS$2</f>
        <v>0.14621821185696859</v>
      </c>
      <c r="G26" s="312">
        <f>EXP(New!$LP$6-((New!$LQ$6)/(AH26+New!$LP$8)))/New!$LS$2</f>
        <v>0.13234199660142162</v>
      </c>
      <c r="H26" s="312">
        <f>EXP(New!$LP$6-((New!$LQ$6)/(AI26+New!$LP$8)))/New!$LS$2</f>
        <v>0.11868082088174504</v>
      </c>
      <c r="I26" s="312">
        <f>EXP(New!$LP$6-((New!$LQ$6)/(AJ26+New!$LP$8)))/New!$LS$2</f>
        <v>0.10615657824541938</v>
      </c>
      <c r="J26" s="312">
        <f>EXP(New!$LP$6-((New!$LQ$6)/(AK26+New!$LP$8)))/New!$LS$2</f>
        <v>9.3642907982266071E-2</v>
      </c>
      <c r="K26" s="245">
        <f>((New!FH26*New!$LP$3*LN((1-B26)/(1-New!DO26))) / (New!BV26*1000*New!$LQ$3*(1-B26-1+New!DO26)*New!B26^(2/3)))</f>
        <v>5.1619160150815864E-2</v>
      </c>
      <c r="L26" s="4">
        <f>((New!FI26*New!$LP$3*LN((1-C26)/(1-New!DP26))) / (New!BW26*1000*New!$LQ$3*(1-C26-1+New!DP26)*New!C26^(2/3)))</f>
        <v>5.256757537605463E-2</v>
      </c>
      <c r="M26" s="4">
        <f>((New!FJ26*New!$LP$3*LN((1-D26)/(1-New!DQ26))) / (New!BX26*1000*New!$LQ$3*(1-D26-1+New!DQ26)*New!D26^(2/3)))</f>
        <v>5.2169707128141597E-2</v>
      </c>
      <c r="N26" s="4">
        <f>((New!FK26*New!$LP$3*LN((1-E26)/(1-New!DR26))) / (New!BY26*1000*New!$LQ$3*(1-E26-1+New!DR26)*New!E26^(2/3)))</f>
        <v>5.2446875474693982E-2</v>
      </c>
      <c r="O26" s="4">
        <f>((New!FL26*New!$LP$3*LN((1-F26)/(1-New!DS26))) / (New!BZ26*1000*New!$LQ$3*(1-F26-1+New!DS26)*New!F26^(2/3)))</f>
        <v>5.1972899237349213E-2</v>
      </c>
      <c r="P26" s="4">
        <f>((New!FM26*New!$LP$3*LN((1-G26)/(1-New!DT26))) / (New!CA26*1000*New!$LQ$3*(1-G26-1+New!DT26)*New!G26^(2/3)))</f>
        <v>5.1554811953439236E-2</v>
      </c>
      <c r="Q26" s="4">
        <f>((New!FN26*New!$LP$3*LN((1-H26)/(1-New!DU26))) / (New!CB26*1000*New!$LQ$3*(1-H26-1+New!DU26)*New!H26^(2/3)))</f>
        <v>5.1077117152532714E-2</v>
      </c>
      <c r="R26" s="4">
        <f>((New!FO26*New!$LP$3*LN((1-I26)/(1-New!DV26))) / (New!CC26*1000*New!$LQ$3*(1-I26-1+New!DV26)*New!I26^(2/3)))</f>
        <v>5.0725963361918897E-2</v>
      </c>
      <c r="S26" s="4">
        <f>((New!FP26*New!$LP$3*LN((1-J26)/(1-New!DW26))) / (New!CD26*1000*New!$LQ$3*(1-J26-1+New!DW26)*New!J26^(2/3)))</f>
        <v>5.0310745291291842E-2</v>
      </c>
      <c r="T26" s="245">
        <f>(New!FH26*Sheet3!DF26+New!HU26*1000*K26*(New!DO26-B26)+'Cooling water'!CO26*'Cooling water'!B26) / (New!FH26+'Cooling water'!CO26)</f>
        <v>56.659857012588816</v>
      </c>
      <c r="U26" s="4">
        <f>(New!FI26*Sheet3!BZ26+New!HV26*1000*L26*(New!DP26-C26)+Sheet3!CI26*'Cooling water'!CP26) / (New!FI26+'Cooling water'!CP26)</f>
        <v>55.614465313607326</v>
      </c>
      <c r="V26" s="4">
        <f>(New!FJ26*Sheet3!CA26+New!HW26*1000*M26*(New!DQ26-D26)+Sheet3!CJ26*'Cooling water'!CQ26) / (New!FJ26+'Cooling water'!CQ26)</f>
        <v>54.158106847280344</v>
      </c>
      <c r="W26" s="4">
        <f>(New!FK26*Sheet3!CB26+New!HX26*1000*N26*(New!DR26-E26)+Sheet3!CK26*'Cooling water'!CR26) / (New!FK26+'Cooling water'!CR26)</f>
        <v>51.241766322231385</v>
      </c>
      <c r="X26" s="4">
        <f>(New!FL26*Sheet3!CC26+New!HY26*1000*O26*(New!DS26-F26)+Sheet3!CL26*'Cooling water'!CS26) / (New!FL26+'Cooling water'!CS26)</f>
        <v>65.639800049394069</v>
      </c>
      <c r="Y26" s="4">
        <f>(New!FM26*Sheet3!CD26+New!HZ26*1000*P26*(New!DT26-G26)+Sheet3!CM26*'Cooling water'!CT26) / (New!FM26+'Cooling water'!CT26)</f>
        <v>65.047348978577247</v>
      </c>
      <c r="Z26" s="4">
        <f>(New!FN26*Sheet3!CE26+New!IA26*1000*Q26*(New!DU26-H26)+Sheet3!CN26*'Cooling water'!CU26) / (New!FN26+'Cooling water'!CU26)</f>
        <v>63.738127922494698</v>
      </c>
      <c r="AA26" s="4">
        <f>(New!FO26*Sheet3!CF26+New!IB26*1000*R26*(New!DV26-I26)+Sheet3!CO26*'Cooling water'!CV26) / (New!FO26+'Cooling water'!CV26)</f>
        <v>62.775911856700908</v>
      </c>
      <c r="AB26" s="4">
        <f>(New!FP26*Sheet3!CG26+New!IC26*1000*S26*(New!DW26-J26)+Sheet3!CP26*'Cooling water'!CW26) / (New!FP26+'Cooling water'!CW26)</f>
        <v>61.511917750902633</v>
      </c>
      <c r="AC26" s="245">
        <f t="shared" si="1"/>
        <v>51.653017500000004</v>
      </c>
      <c r="AD26" s="311">
        <v>55.923898999999999</v>
      </c>
      <c r="AE26" s="311">
        <v>54.547516999999999</v>
      </c>
      <c r="AF26" s="311">
        <v>55.668844</v>
      </c>
      <c r="AG26" s="311">
        <v>53.747287999999998</v>
      </c>
      <c r="AH26" s="311">
        <v>51.703631000000001</v>
      </c>
      <c r="AI26" s="311">
        <v>49.504396</v>
      </c>
      <c r="AJ26" s="311">
        <v>47.289009</v>
      </c>
      <c r="AK26" s="311">
        <v>44.839556000000002</v>
      </c>
      <c r="AL26" s="243">
        <f>AVERAGE(Sheet3!BR26:BY26)</f>
        <v>40.415965002026944</v>
      </c>
      <c r="AM26" s="183" cm="1">
        <f t="array" ref="AM26:AT26">TRANSPOSE('[28]Keithley Matavimai'!$W$6:$W$13)</f>
        <v>50.452827236812453</v>
      </c>
      <c r="AN26" s="183">
        <v>47.445495026517641</v>
      </c>
      <c r="AO26" s="183">
        <v>44.89468236463091</v>
      </c>
      <c r="AP26" s="183">
        <v>40.440292699082711</v>
      </c>
      <c r="AQ26" s="183">
        <v>38.897852467572797</v>
      </c>
      <c r="AR26" s="183">
        <v>37.297442450429607</v>
      </c>
      <c r="AS26" s="183">
        <v>34.220600844349633</v>
      </c>
      <c r="AT26" s="183">
        <v>29.678526926819803</v>
      </c>
      <c r="AU26" s="183">
        <f t="shared" si="0"/>
        <v>11.23705249797306</v>
      </c>
      <c r="AX26" s="281"/>
      <c r="AY26" s="281"/>
      <c r="AZ26" s="281"/>
      <c r="BA26" s="281"/>
    </row>
    <row r="27" spans="1:53" ht="16.8" x14ac:dyDescent="0.3">
      <c r="A27" s="282" t="str">
        <f>Sheet3!A27</f>
        <v>16.12.2022</v>
      </c>
      <c r="B27" s="248">
        <f>EXP(New!$LP$6-((New!$LQ$6)/(AC27+New!$LP$8)))/New!$LS$2</f>
        <v>0.14074547768566451</v>
      </c>
      <c r="C27" s="312">
        <f>EXP(New!$LP$6-((New!$LQ$6)/(AD27+New!$LP$8)))/New!$LS$2</f>
        <v>0.1721476778549734</v>
      </c>
      <c r="D27" s="312">
        <f>EXP(New!$LP$6-((New!$LQ$6)/(AE27+New!$LP$8)))/New!$LS$2</f>
        <v>0.16040369872996535</v>
      </c>
      <c r="E27" s="312">
        <f>EXP(New!$LP$6-((New!$LQ$6)/(AF27+New!$LP$8)))/New!$LS$2</f>
        <v>0.17236957879093964</v>
      </c>
      <c r="F27" s="312">
        <f>EXP(New!$LP$6-((New!$LQ$6)/(AG27+New!$LP$8)))/New!$LS$2</f>
        <v>0.1568940849488159</v>
      </c>
      <c r="G27" s="312">
        <f>EXP(New!$LP$6-((New!$LQ$6)/(AH27+New!$LP$8)))/New!$LS$2</f>
        <v>0.14200755811937918</v>
      </c>
      <c r="H27" s="312">
        <f>EXP(New!$LP$6-((New!$LQ$6)/(AI27+New!$LP$8)))/New!$LS$2</f>
        <v>0.1271965946865721</v>
      </c>
      <c r="I27" s="312">
        <f>EXP(New!$LP$6-((New!$LQ$6)/(AJ27+New!$LP$8)))/New!$LS$2</f>
        <v>0.11280980054877267</v>
      </c>
      <c r="J27" s="312">
        <f>EXP(New!$LP$6-((New!$LQ$6)/(AK27+New!$LP$8)))/New!$LS$2</f>
        <v>9.9055380294018322E-2</v>
      </c>
      <c r="K27" s="245">
        <f>((New!FH27*New!$LP$3*LN((1-B27)/(1-New!DO27))) / (New!BV27*1000*New!$LQ$3*(1-B27-1+New!DO27)*New!B27^(2/3)))</f>
        <v>5.3098709971945261E-2</v>
      </c>
      <c r="L27" s="4">
        <f>((New!FI27*New!$LP$3*LN((1-C27)/(1-New!DP27))) / (New!BW27*1000*New!$LQ$3*(1-C27-1+New!DP27)*New!C27^(2/3)))</f>
        <v>5.4118040372515247E-2</v>
      </c>
      <c r="M27" s="4">
        <f>((New!FJ27*New!$LP$3*LN((1-D27)/(1-New!DQ27))) / (New!BX27*1000*New!$LQ$3*(1-D27-1+New!DQ27)*New!D27^(2/3)))</f>
        <v>5.3651114585065954E-2</v>
      </c>
      <c r="N27" s="4">
        <f>((New!FK27*New!$LP$3*LN((1-E27)/(1-New!DR27))) / (New!BY27*1000*New!$LQ$3*(1-E27-1+New!DR27)*New!E27^(2/3)))</f>
        <v>5.4041286501409984E-2</v>
      </c>
      <c r="O27" s="4">
        <f>((New!FL27*New!$LP$3*LN((1-F27)/(1-New!DS27))) / (New!BZ27*1000*New!$LQ$3*(1-F27-1+New!DS27)*New!F27^(2/3)))</f>
        <v>5.3460051410314804E-2</v>
      </c>
      <c r="P27" s="4">
        <f>((New!FM27*New!$LP$3*LN((1-G27)/(1-New!DT27))) / (New!CA27*1000*New!$LQ$3*(1-G27-1+New!DT27)*New!G27^(2/3)))</f>
        <v>5.2984268100275109E-2</v>
      </c>
      <c r="Q27" s="4">
        <f>((New!FN27*New!$LP$3*LN((1-H27)/(1-New!DU27))) / (New!CB27*1000*New!$LQ$3*(1-H27-1+New!DU27)*New!H27^(2/3)))</f>
        <v>5.2456680935646968E-2</v>
      </c>
      <c r="R27" s="4">
        <f>((New!FO27*New!$LP$3*LN((1-I27)/(1-New!DV27))) / (New!CC27*1000*New!$LQ$3*(1-I27-1+New!DV27)*New!I27^(2/3)))</f>
        <v>5.2029600737285332E-2</v>
      </c>
      <c r="S27" s="4">
        <f>((New!FP27*New!$LP$3*LN((1-J27)/(1-New!DW27))) / (New!CD27*1000*New!$LQ$3*(1-J27-1+New!DW27)*New!J27^(2/3)))</f>
        <v>5.1564240871985516E-2</v>
      </c>
      <c r="T27" s="245">
        <f>(New!FH27*Sheet3!DF27+New!HU27*1000*K27*(New!DO27-B27)+'Cooling water'!CO27*'Cooling water'!B27) / (New!FH27+'Cooling water'!CO27)</f>
        <v>59.418165048445047</v>
      </c>
      <c r="U27" s="4">
        <f>(New!FI27*Sheet3!BZ27+New!HV27*1000*L27*(New!DP27-C27)+Sheet3!CI27*'Cooling water'!CP27) / (New!FI27+'Cooling water'!CP27)</f>
        <v>57.132067217313036</v>
      </c>
      <c r="V27" s="4">
        <f>(New!FJ27*Sheet3!CA27+New!HW27*1000*M27*(New!DQ27-D27)+Sheet3!CJ27*'Cooling water'!CQ27) / (New!FJ27+'Cooling water'!CQ27)</f>
        <v>55.497884717789965</v>
      </c>
      <c r="W27" s="4">
        <f>(New!FK27*Sheet3!CB27+New!HX27*1000*N27*(New!DR27-E27)+Sheet3!CK27*'Cooling water'!CR27) / (New!FK27+'Cooling water'!CR27)</f>
        <v>52.119385047639646</v>
      </c>
      <c r="X27" s="4">
        <f>(New!FL27*Sheet3!CC27+New!HY27*1000*O27*(New!DS27-F27)+Sheet3!CL27*'Cooling water'!CS27) / (New!FL27+'Cooling water'!CS27)</f>
        <v>67.695369571905843</v>
      </c>
      <c r="Y27" s="4">
        <f>(New!FM27*Sheet3!CD27+New!HZ27*1000*P27*(New!DT27-G27)+Sheet3!CM27*'Cooling water'!CT27) / (New!FM27+'Cooling water'!CT27)</f>
        <v>66.960470847386986</v>
      </c>
      <c r="Z27" s="4">
        <f>(New!FN27*Sheet3!CE27+New!IA27*1000*Q27*(New!DU27-H27)+Sheet3!CN27*'Cooling water'!CU27) / (New!FN27+'Cooling water'!CU27)</f>
        <v>65.657137627598587</v>
      </c>
      <c r="AA27" s="4">
        <f>(New!FO27*Sheet3!CF27+New!IB27*1000*R27*(New!DV27-I27)+Sheet3!CO27*'Cooling water'!CV27) / (New!FO27+'Cooling water'!CV27)</f>
        <v>64.603151993053132</v>
      </c>
      <c r="AB27" s="4">
        <f>(New!FP27*Sheet3!CG27+New!IC27*1000*S27*(New!DW27-J27)+Sheet3!CP27*'Cooling water'!CW27) / (New!FP27+'Cooling water'!CW27)</f>
        <v>63.185835309714705</v>
      </c>
      <c r="AC27" s="245">
        <f t="shared" si="1"/>
        <v>52.961894374999986</v>
      </c>
      <c r="AD27" s="311">
        <v>57.158940000000001</v>
      </c>
      <c r="AE27" s="311">
        <v>55.672162</v>
      </c>
      <c r="AF27" s="311">
        <v>57.186191000000001</v>
      </c>
      <c r="AG27" s="311">
        <v>55.209862999999999</v>
      </c>
      <c r="AH27" s="311">
        <v>53.145296999999999</v>
      </c>
      <c r="AI27" s="311">
        <v>50.899120000000003</v>
      </c>
      <c r="AJ27" s="311">
        <v>48.492128000000001</v>
      </c>
      <c r="AK27" s="311">
        <v>45.931454000000002</v>
      </c>
      <c r="AL27" s="243">
        <f>AVERAGE(Sheet3!BR27:BY27)</f>
        <v>42.035191412735557</v>
      </c>
      <c r="AM27" s="183" cm="1">
        <f t="array" ref="AM27:AT27">TRANSPOSE('[29]Keithley Matavimai'!$W$6:$W$13)</f>
        <v>52.293734855676917</v>
      </c>
      <c r="AN27" s="183">
        <v>49.115790452520777</v>
      </c>
      <c r="AO27" s="183">
        <v>46.329946829634082</v>
      </c>
      <c r="AP27" s="183">
        <v>41.980565165691587</v>
      </c>
      <c r="AQ27" s="183">
        <v>40.478409042098754</v>
      </c>
      <c r="AR27" s="183">
        <v>38.986209584826042</v>
      </c>
      <c r="AS27" s="183">
        <v>36.244783313892462</v>
      </c>
      <c r="AT27" s="183">
        <v>30.852092057543846</v>
      </c>
      <c r="AU27" s="183">
        <f t="shared" si="0"/>
        <v>10.926702962264429</v>
      </c>
      <c r="AX27" s="281"/>
      <c r="AY27" s="281"/>
      <c r="AZ27" s="281"/>
      <c r="BA27" s="281"/>
    </row>
    <row r="28" spans="1:53" ht="16.8" x14ac:dyDescent="0.3">
      <c r="A28" s="282" t="str">
        <f>Sheet3!A28</f>
        <v>16.12.2022</v>
      </c>
      <c r="B28" s="248">
        <f>EXP(New!$LP$6-((New!$LQ$6)/(AC28+New!$LP$8)))/New!$LS$2</f>
        <v>0.14879042977224793</v>
      </c>
      <c r="C28" s="312">
        <f>EXP(New!$LP$6-((New!$LQ$6)/(AD28+New!$LP$8)))/New!$LS$2</f>
        <v>0.18399613149121397</v>
      </c>
      <c r="D28" s="312">
        <f>EXP(New!$LP$6-((New!$LQ$6)/(AE28+New!$LP$8)))/New!$LS$2</f>
        <v>0.17018274976233339</v>
      </c>
      <c r="E28" s="312">
        <f>EXP(New!$LP$6-((New!$LQ$6)/(AF28+New!$LP$8)))/New!$LS$2</f>
        <v>0.15745569161812603</v>
      </c>
      <c r="F28" s="312">
        <f>EXP(New!$LP$6-((New!$LQ$6)/(AG28+New!$LP$8)))/New!$LS$2</f>
        <v>0.17092443135498181</v>
      </c>
      <c r="G28" s="312">
        <f>EXP(New!$LP$6-((New!$LQ$6)/(AH28+New!$LP$8)))/New!$LS$2</f>
        <v>0.15471095534355053</v>
      </c>
      <c r="H28" s="312">
        <f>EXP(New!$LP$6-((New!$LQ$6)/(AI28+New!$LP$8)))/New!$LS$2</f>
        <v>0.13815328435327487</v>
      </c>
      <c r="I28" s="312">
        <f>EXP(New!$LP$6-((New!$LQ$6)/(AJ28+New!$LP$8)))/New!$LS$2</f>
        <v>0.12217112147121259</v>
      </c>
      <c r="J28" s="312">
        <f>EXP(New!$LP$6-((New!$LQ$6)/(AK28+New!$LP$8)))/New!$LS$2</f>
        <v>0.10727068529618525</v>
      </c>
      <c r="K28" s="245">
        <f>((New!FH28*New!$LP$3*LN((1-B28)/(1-New!DO28))) / (New!BV28*1000*New!$LQ$3*(1-B28-1+New!DO28)*New!B28^(2/3)))</f>
        <v>5.5423745551115025E-2</v>
      </c>
      <c r="L28" s="4">
        <f>((New!FI28*New!$LP$3*LN((1-C28)/(1-New!DP28))) / (New!BW28*1000*New!$LQ$3*(1-C28-1+New!DP28)*New!C28^(2/3)))</f>
        <v>5.6628606848839996E-2</v>
      </c>
      <c r="M28" s="4">
        <f>((New!FJ28*New!$LP$3*LN((1-D28)/(1-New!DQ28))) / (New!BX28*1000*New!$LQ$3*(1-D28-1+New!DQ28)*New!D28^(2/3)))</f>
        <v>5.6039397131944876E-2</v>
      </c>
      <c r="N28" s="4">
        <f>((New!FK28*New!$LP$3*LN((1-E28)/(1-New!DR28))) / (New!BY28*1000*New!$LQ$3*(1-E28-1+New!DR28)*New!E28^(2/3)))</f>
        <v>5.5575933964348574E-2</v>
      </c>
      <c r="O28" s="4">
        <f>((New!FL28*New!$LP$3*LN((1-F28)/(1-New!DS28))) / (New!BZ28*1000*New!$LQ$3*(1-F28-1+New!DS28)*New!F28^(2/3)))</f>
        <v>5.5944064834491283E-2</v>
      </c>
      <c r="P28" s="4">
        <f>((New!FM28*New!$LP$3*LN((1-G28)/(1-New!DT28))) / (New!CA28*1000*New!$LQ$3*(1-G28-1+New!DT28)*New!G28^(2/3)))</f>
        <v>5.5382178657338743E-2</v>
      </c>
      <c r="Q28" s="4">
        <f>((New!FN28*New!$LP$3*LN((1-H28)/(1-New!DU28))) / (New!CB28*1000*New!$LQ$3*(1-H28-1+New!DU28)*New!H28^(2/3)))</f>
        <v>5.4752491455965072E-2</v>
      </c>
      <c r="R28" s="4">
        <f>((New!FO28*New!$LP$3*LN((1-I28)/(1-New!DV28))) / (New!CC28*1000*New!$LQ$3*(1-I28-1+New!DV28)*New!I28^(2/3)))</f>
        <v>5.4236195504236043E-2</v>
      </c>
      <c r="S28" s="4">
        <f>((New!FP28*New!$LP$3*LN((1-J28)/(1-New!DW28))) / (New!CD28*1000*New!$LQ$3*(1-J28-1+New!DW28)*New!J28^(2/3)))</f>
        <v>5.3699714070308165E-2</v>
      </c>
      <c r="T28" s="245">
        <f>(New!FH28*Sheet3!DF28+New!HU28*1000*K28*(New!DO28-B28)+'Cooling water'!CO28*'Cooling water'!B28) / (New!FH28+'Cooling water'!CO28)</f>
        <v>64.140467010077202</v>
      </c>
      <c r="U28" s="4">
        <f>(New!FI28*Sheet3!BZ28+New!HV28*1000*L28*(New!DP28-C28)+Sheet3!CI28*'Cooling water'!CP28) / (New!FI28+'Cooling water'!CP28)</f>
        <v>58.807872665732276</v>
      </c>
      <c r="V28" s="4">
        <f>(New!FJ28*Sheet3!CA28+New!HW28*1000*M28*(New!DQ28-D28)+Sheet3!CJ28*'Cooling water'!CQ28) / (New!FJ28+'Cooling water'!CQ28)</f>
        <v>57.031461108138679</v>
      </c>
      <c r="W28" s="4">
        <f>(New!FK28*Sheet3!CB28+New!HX28*1000*N28*(New!DR28-E28)+Sheet3!CK28*'Cooling water'!CR28) / (New!FK28+'Cooling water'!CR28)</f>
        <v>55.617794310971433</v>
      </c>
      <c r="X28" s="4">
        <f>(New!FL28*Sheet3!CC28+New!HY28*1000*O28*(New!DS28-F28)+Sheet3!CL28*'Cooling water'!CS28) / (New!FL28+'Cooling water'!CS28)</f>
        <v>51.685459852432828</v>
      </c>
      <c r="Y28" s="4">
        <f>(New!FM28*Sheet3!CD28+New!HZ28*1000*P28*(New!DT28-G28)+Sheet3!CM28*'Cooling water'!CT28) / (New!FM28+'Cooling water'!CT28)</f>
        <v>70.017340044391332</v>
      </c>
      <c r="Z28" s="4">
        <f>(New!FN28*Sheet3!CE28+New!IA28*1000*Q28*(New!DU28-H28)+Sheet3!CN28*'Cooling water'!CU28) / (New!FN28+'Cooling water'!CU28)</f>
        <v>68.658128352035149</v>
      </c>
      <c r="AA28" s="4">
        <f>(New!FO28*Sheet3!CF28+New!IB28*1000*R28*(New!DV28-I28)+Sheet3!CO28*'Cooling water'!CV28) / (New!FO28+'Cooling water'!CV28)</f>
        <v>67.632028037567935</v>
      </c>
      <c r="AB28" s="4">
        <f>(New!FP28*Sheet3!CG28+New!IC28*1000*S28*(New!DW28-J28)+Sheet3!CP28*'Cooling water'!CW28) / (New!FP28+'Cooling water'!CW28)</f>
        <v>65.969905181516665</v>
      </c>
      <c r="AC28" s="245">
        <f t="shared" si="1"/>
        <v>54.107799749999998</v>
      </c>
      <c r="AD28" s="311">
        <v>58.573923000000001</v>
      </c>
      <c r="AE28" s="311">
        <v>56.916319999999999</v>
      </c>
      <c r="AF28" s="311">
        <v>55.284427999999998</v>
      </c>
      <c r="AG28" s="311">
        <v>57.008178000000001</v>
      </c>
      <c r="AH28" s="311">
        <v>54.917830000000002</v>
      </c>
      <c r="AI28" s="311">
        <v>52.580759999999998</v>
      </c>
      <c r="AJ28" s="311">
        <v>50.086066000000002</v>
      </c>
      <c r="AK28" s="311">
        <v>47.494892999999998</v>
      </c>
      <c r="AL28" s="243">
        <f>AVERAGE(Sheet3!BR28:BY28)</f>
        <v>43.989696351675981</v>
      </c>
      <c r="AM28" s="183" cm="1">
        <f t="array" ref="AM28:AT28">TRANSPOSE('[30]Keithley Matavimai'!$W$6:$W$13)</f>
        <v>55.412313098788083</v>
      </c>
      <c r="AN28" s="183">
        <v>50.386997290466155</v>
      </c>
      <c r="AO28" s="183">
        <v>48.756940220774339</v>
      </c>
      <c r="AP28" s="183">
        <v>43.589427368356191</v>
      </c>
      <c r="AQ28" s="183">
        <v>42.495160804909801</v>
      </c>
      <c r="AR28" s="183">
        <v>41.16532814329441</v>
      </c>
      <c r="AS28" s="183">
        <v>38.103255333685532</v>
      </c>
      <c r="AT28" s="183">
        <v>32.008148553133346</v>
      </c>
      <c r="AU28" s="183">
        <f t="shared" si="0"/>
        <v>10.118103398324017</v>
      </c>
      <c r="AX28" s="281"/>
      <c r="AY28" s="281"/>
      <c r="AZ28" s="281"/>
      <c r="BA28" s="281"/>
    </row>
    <row r="29" spans="1:53" ht="16.8" x14ac:dyDescent="0.3">
      <c r="A29" s="282" t="str">
        <f>Sheet3!A29</f>
        <v>19.12.2022</v>
      </c>
      <c r="B29" s="248">
        <f>EXP(New!$LP$6-((New!$LQ$6)/(AC29+New!$LP$8)))/New!$LS$2</f>
        <v>5.2584077746029363E-2</v>
      </c>
      <c r="C29" s="312">
        <f>EXP(New!$LP$6-((New!$LQ$6)/(AD29+New!$LP$8)))/New!$LS$2</f>
        <v>5.9426379990746382E-2</v>
      </c>
      <c r="D29" s="312">
        <f>EXP(New!$LP$6-((New!$LQ$6)/(AE29+New!$LP$8)))/New!$LS$2</f>
        <v>5.6234910538329769E-2</v>
      </c>
      <c r="E29" s="312">
        <f>EXP(New!$LP$6-((New!$LQ$6)/(AF29+New!$LP$8)))/New!$LS$2</f>
        <v>5.3181533259995487E-2</v>
      </c>
      <c r="F29" s="312">
        <f>EXP(New!$LP$6-((New!$LQ$6)/(AG29+New!$LP$8)))/New!$LS$2</f>
        <v>5.0247031359473407E-2</v>
      </c>
      <c r="G29" s="312">
        <f>EXP(New!$LP$6-((New!$LQ$6)/(AH29+New!$LP$8)))/New!$LS$2</f>
        <v>5.693603896526913E-2</v>
      </c>
      <c r="H29" s="312">
        <f>EXP(New!$LP$6-((New!$LQ$6)/(AI29+New!$LP$8)))/New!$LS$2</f>
        <v>5.2684424282197662E-2</v>
      </c>
      <c r="I29" s="312">
        <f>EXP(New!$LP$6-((New!$LQ$6)/(AJ29+New!$LP$8)))/New!$LS$2</f>
        <v>4.8604007347928767E-2</v>
      </c>
      <c r="J29" s="312">
        <f>EXP(New!$LP$6-((New!$LQ$6)/(AK29+New!$LP$8)))/New!$LS$2</f>
        <v>4.4713654371093717E-2</v>
      </c>
      <c r="K29" s="245">
        <f>((New!FH29*New!$LP$3*LN((1-B29)/(1-New!DO29))) / (New!BV29*1000*New!$LQ$3*(1-B29-1+New!DO29)*New!B29^(2/3)))</f>
        <v>6.0768887881159805E-2</v>
      </c>
      <c r="L29" s="4">
        <f>((New!FI29*New!$LP$3*LN((1-C29)/(1-New!DP29))) / (New!BW29*1000*New!$LQ$3*(1-C29-1+New!DP29)*New!C29^(2/3)))</f>
        <v>6.0987256316564424E-2</v>
      </c>
      <c r="M29" s="4">
        <f>((New!FJ29*New!$LP$3*LN((1-D29)/(1-New!DQ29))) / (New!BX29*1000*New!$LQ$3*(1-D29-1+New!DQ29)*New!D29^(2/3)))</f>
        <v>6.0862659510857002E-2</v>
      </c>
      <c r="N29" s="4">
        <f>((New!FK29*New!$LP$3*LN((1-E29)/(1-New!DR29))) / (New!BY29*1000*New!$LQ$3*(1-E29-1+New!DR29)*New!E29^(2/3)))</f>
        <v>6.078213888903846E-2</v>
      </c>
      <c r="O29" s="4">
        <f>((New!FL29*New!$LP$3*LN((1-F29)/(1-New!DS29))) / (New!BZ29*1000*New!$LQ$3*(1-F29-1+New!DS29)*New!F29^(2/3)))</f>
        <v>6.0670322896028299E-2</v>
      </c>
      <c r="P29" s="4">
        <f>((New!FM29*New!$LP$3*LN((1-G29)/(1-New!DT29))) / (New!CA29*1000*New!$LQ$3*(1-G29-1+New!DT29)*New!G29^(2/3)))</f>
        <v>6.0907489114410844E-2</v>
      </c>
      <c r="Q29" s="4">
        <f>((New!FN29*New!$LP$3*LN((1-H29)/(1-New!DU29))) / (New!CB29*1000*New!$LQ$3*(1-H29-1+New!DU29)*New!H29^(2/3)))</f>
        <v>6.0750965404943333E-2</v>
      </c>
      <c r="R29" s="4">
        <f>((New!FO29*New!$LP$3*LN((1-I29)/(1-New!DV29))) / (New!CC29*1000*New!$LQ$3*(1-I29-1+New!DV29)*New!I29^(2/3)))</f>
        <v>6.0637505016104383E-2</v>
      </c>
      <c r="S29" s="4">
        <f>((New!FP29*New!$LP$3*LN((1-J29)/(1-New!DW29))) / (New!CD29*1000*New!$LQ$3*(1-J29-1+New!DW29)*New!J29^(2/3)))</f>
        <v>6.049376662353724E-2</v>
      </c>
      <c r="T29" s="245">
        <f>(New!FH29*Sheet3!DF29+New!HU29*1000*K29*(New!DO29-B29)+'Cooling water'!CO29*'Cooling water'!B29) / (New!FH29+'Cooling water'!CO29)</f>
        <v>45.346789626224016</v>
      </c>
      <c r="U29" s="4">
        <f>(New!FI29*Sheet3!BZ29+New!HV29*1000*L29*(New!DP29-C29)+Sheet3!CI29*'Cooling water'!CP29) / (New!FI29+'Cooling water'!CP29)</f>
        <v>35.417665185368037</v>
      </c>
      <c r="V29" s="4">
        <f>(New!FJ29*Sheet3!CA29+New!HW29*1000*M29*(New!DQ29-D29)+Sheet3!CJ29*'Cooling water'!CQ29) / (New!FJ29+'Cooling water'!CQ29)</f>
        <v>34.577953844802416</v>
      </c>
      <c r="W29" s="4">
        <f>(New!FK29*Sheet3!CB29+New!HX29*1000*N29*(New!DR29-E29)+Sheet3!CK29*'Cooling water'!CR29) / (New!FK29+'Cooling water'!CR29)</f>
        <v>33.842540158731538</v>
      </c>
      <c r="X29" s="4">
        <f>(New!FL29*Sheet3!CC29+New!HY29*1000*O29*(New!DS29-F29)+Sheet3!CL29*'Cooling water'!CS29) / (New!FL29+'Cooling water'!CS29)</f>
        <v>32.981596130823014</v>
      </c>
      <c r="Y29" s="4">
        <f>(New!FM29*Sheet3!CD29+New!HZ29*1000*P29*(New!DT29-G29)+Sheet3!CM29*'Cooling water'!CT29) / (New!FM29+'Cooling water'!CT29)</f>
        <v>31.236901185312046</v>
      </c>
      <c r="Z29" s="4">
        <f>(New!FN29*Sheet3!CE29+New!IA29*1000*Q29*(New!DU29-H29)+Sheet3!CN29*'Cooling water'!CU29) / (New!FN29+'Cooling water'!CU29)</f>
        <v>47.017452045405037</v>
      </c>
      <c r="AA29" s="4">
        <f>(New!FO29*Sheet3!CF29+New!IB29*1000*R29*(New!DV29-I29)+Sheet3!CO29*'Cooling water'!CV29) / (New!FO29+'Cooling water'!CV29)</f>
        <v>46.368931816766619</v>
      </c>
      <c r="AB29" s="4">
        <f>(New!FP29*Sheet3!CG29+New!IC29*1000*S29*(New!DW29-J29)+Sheet3!CP29*'Cooling water'!CW29) / (New!FP29+'Cooling water'!CW29)</f>
        <v>45.456364271108633</v>
      </c>
      <c r="AC29" s="245">
        <f t="shared" si="1"/>
        <v>34.112521375</v>
      </c>
      <c r="AD29" s="311">
        <v>36.314895</v>
      </c>
      <c r="AE29" s="311">
        <v>35.316454999999998</v>
      </c>
      <c r="AF29" s="311">
        <v>34.314382000000002</v>
      </c>
      <c r="AG29" s="311">
        <v>33.303395999999999</v>
      </c>
      <c r="AH29" s="311">
        <v>35.539912000000001</v>
      </c>
      <c r="AI29" s="311">
        <v>34.146563</v>
      </c>
      <c r="AJ29" s="311">
        <v>32.714872</v>
      </c>
      <c r="AK29" s="311">
        <v>31.249696</v>
      </c>
      <c r="AL29" s="243">
        <f>AVERAGE(Sheet3!BR29:BY29)</f>
        <v>25.385184741400753</v>
      </c>
      <c r="AM29" s="183" cm="1">
        <f t="array" ref="AM29:AT29">TRANSPOSE('[31]Keithley Matavimai'!$W$6:$W$13)</f>
        <v>31.708318479737795</v>
      </c>
      <c r="AN29" s="183">
        <v>29.365015516128409</v>
      </c>
      <c r="AO29" s="183">
        <v>27.669233642147791</v>
      </c>
      <c r="AP29" s="183">
        <v>24.875339446032921</v>
      </c>
      <c r="AQ29" s="183">
        <v>24.509401854948152</v>
      </c>
      <c r="AR29" s="183">
        <v>23.996997966753629</v>
      </c>
      <c r="AS29" s="183">
        <v>23.062359647546547</v>
      </c>
      <c r="AT29" s="183">
        <v>17.894811377910781</v>
      </c>
      <c r="AU29" s="183">
        <f t="shared" si="0"/>
        <v>8.7273366335992471</v>
      </c>
      <c r="AX29" s="281"/>
      <c r="AY29" s="281"/>
      <c r="AZ29" s="281"/>
      <c r="BA29" s="281"/>
    </row>
    <row r="30" spans="1:53" ht="16.8" x14ac:dyDescent="0.3">
      <c r="A30" s="282" t="str">
        <f>Sheet3!A30</f>
        <v>19.12.2022</v>
      </c>
      <c r="B30" s="248">
        <f>EXP(New!$LP$6-((New!$LQ$6)/(AC30+New!$LP$8)))/New!$LS$2</f>
        <v>5.2002199172846583E-2</v>
      </c>
      <c r="C30" s="312">
        <f>EXP(New!$LP$6-((New!$LQ$6)/(AD30+New!$LP$8)))/New!$LS$2</f>
        <v>6.1502295876251098E-2</v>
      </c>
      <c r="D30" s="312">
        <f>EXP(New!$LP$6-((New!$LQ$6)/(AE30+New!$LP$8)))/New!$LS$2</f>
        <v>5.7625178683572705E-2</v>
      </c>
      <c r="E30" s="312">
        <f>EXP(New!$LP$6-((New!$LQ$6)/(AF30+New!$LP$8)))/New!$LS$2</f>
        <v>5.4110628090014733E-2</v>
      </c>
      <c r="F30" s="312">
        <f>EXP(New!$LP$6-((New!$LQ$6)/(AG30+New!$LP$8)))/New!$LS$2</f>
        <v>5.0900277951272159E-2</v>
      </c>
      <c r="G30" s="312">
        <f>EXP(New!$LP$6-((New!$LQ$6)/(AH30+New!$LP$8)))/New!$LS$2</f>
        <v>4.7954455085339805E-2</v>
      </c>
      <c r="H30" s="312">
        <f>EXP(New!$LP$6-((New!$LQ$6)/(AI30+New!$LP$8)))/New!$LS$2</f>
        <v>4.5115774454222282E-2</v>
      </c>
      <c r="I30" s="312">
        <f>EXP(New!$LP$6-((New!$LQ$6)/(AJ30+New!$LP$8)))/New!$LS$2</f>
        <v>5.2354244898120669E-2</v>
      </c>
      <c r="J30" s="312">
        <f>EXP(New!$LP$6-((New!$LQ$6)/(AK30+New!$LP$8)))/New!$LS$2</f>
        <v>4.8124539589238201E-2</v>
      </c>
      <c r="K30" s="245">
        <f>((New!FH30*New!$LP$3*LN((1-B30)/(1-New!DO30))) / (New!BV30*1000*New!$LQ$3*(1-B30-1+New!DO30)*New!B30^(2/3)))</f>
        <v>6.3088748423459837E-2</v>
      </c>
      <c r="L30" s="4">
        <f>((New!FI30*New!$LP$3*LN((1-C30)/(1-New!DP30))) / (New!BW30*1000*New!$LQ$3*(1-C30-1+New!DP30)*New!C30^(2/3)))</f>
        <v>6.3409463508317207E-2</v>
      </c>
      <c r="M30" s="4">
        <f>((New!FJ30*New!$LP$3*LN((1-D30)/(1-New!DQ30))) / (New!BX30*1000*New!$LQ$3*(1-D30-1+New!DQ30)*New!D30^(2/3)))</f>
        <v>6.3250255693787533E-2</v>
      </c>
      <c r="N30" s="4">
        <f>((New!FK30*New!$LP$3*LN((1-E30)/(1-New!DR30))) / (New!BY30*1000*New!$LQ$3*(1-E30-1+New!DR30)*New!E30^(2/3)))</f>
        <v>6.3142584982991398E-2</v>
      </c>
      <c r="O30" s="4">
        <f>((New!FL30*New!$LP$3*LN((1-F30)/(1-New!DS30))) / (New!BZ30*1000*New!$LQ$3*(1-F30-1+New!DS30)*New!F30^(2/3)))</f>
        <v>6.3010180483722686E-2</v>
      </c>
      <c r="P30" s="4">
        <f>((New!FM30*New!$LP$3*LN((1-G30)/(1-New!DT30))) / (New!CA30*1000*New!$LQ$3*(1-G30-1+New!DT30)*New!G30^(2/3)))</f>
        <v>6.2921850417557532E-2</v>
      </c>
      <c r="Q30" s="4">
        <f>((New!FN30*New!$LP$3*LN((1-H30)/(1-New!DU30))) / (New!CB30*1000*New!$LQ$3*(1-H30-1+New!DU30)*New!H30^(2/3)))</f>
        <v>6.2806575597540271E-2</v>
      </c>
      <c r="R30" s="4">
        <f>((New!FO30*New!$LP$3*LN((1-I30)/(1-New!DV30))) / (New!CC30*1000*New!$LQ$3*(1-I30-1+New!DV30)*New!I30^(2/3)))</f>
        <v>6.3073348173330795E-2</v>
      </c>
      <c r="S30" s="4">
        <f>((New!FP30*New!$LP$3*LN((1-J30)/(1-New!DW30))) / (New!CD30*1000*New!$LQ$3*(1-J30-1+New!DW30)*New!J30^(2/3)))</f>
        <v>6.2908513504894945E-2</v>
      </c>
      <c r="T30" s="245">
        <f>(New!FH30*Sheet3!DF30+New!HU30*1000*K30*(New!DO30-B30)+'Cooling water'!CO30*'Cooling water'!B30) / (New!FH30+'Cooling water'!CO30)</f>
        <v>50.166120003200895</v>
      </c>
      <c r="U30" s="4">
        <f>(New!FI30*Sheet3!BZ30+New!HV30*1000*L30*(New!DP30-C30)+Sheet3!CI30*'Cooling water'!CP30) / (New!FI30+'Cooling water'!CP30)</f>
        <v>36.309751352235324</v>
      </c>
      <c r="V30" s="4">
        <f>(New!FJ30*Sheet3!CA30+New!HW30*1000*M30*(New!DQ30-D30)+Sheet3!CJ30*'Cooling water'!CQ30) / (New!FJ30+'Cooling water'!CQ30)</f>
        <v>35.171341165398843</v>
      </c>
      <c r="W30" s="4">
        <f>(New!FK30*Sheet3!CB30+New!HX30*1000*N30*(New!DR30-E30)+Sheet3!CK30*'Cooling water'!CR30) / (New!FK30+'Cooling water'!CR30)</f>
        <v>34.237909638815196</v>
      </c>
      <c r="X30" s="4">
        <f>(New!FL30*Sheet3!CC30+New!HY30*1000*O30*(New!DS30-F30)+Sheet3!CL30*'Cooling water'!CS30) / (New!FL30+'Cooling water'!CS30)</f>
        <v>33.236850752398006</v>
      </c>
      <c r="Y30" s="4">
        <f>(New!FM30*Sheet3!CD30+New!HZ30*1000*P30*(New!DT30-G30)+Sheet3!CM30*'Cooling water'!CT30) / (New!FM30+'Cooling water'!CT30)</f>
        <v>32.452995009340214</v>
      </c>
      <c r="Z30" s="4">
        <f>(New!FN30*Sheet3!CE30+New!IA30*1000*Q30*(New!DU30-H30)+Sheet3!CN30*'Cooling water'!CU30) / (New!FN30+'Cooling water'!CU30)</f>
        <v>31.577430931372152</v>
      </c>
      <c r="AA30" s="4">
        <f>(New!FO30*Sheet3!CF30+New!IB30*1000*R30*(New!DV30-I30)+Sheet3!CO30*'Cooling water'!CV30) / (New!FO30+'Cooling water'!CV30)</f>
        <v>29.705180731790453</v>
      </c>
      <c r="AB30" s="4">
        <f>(New!FP30*Sheet3!CG30+New!IC30*1000*S30*(New!DW30-J30)+Sheet3!CP30*'Cooling water'!CW30) / (New!FP30+'Cooling water'!CW30)</f>
        <v>29.113003950000206</v>
      </c>
      <c r="AC30" s="245">
        <f t="shared" si="1"/>
        <v>33.914012249999999</v>
      </c>
      <c r="AD30" s="311">
        <v>36.939805999999997</v>
      </c>
      <c r="AE30" s="311">
        <v>35.757247999999997</v>
      </c>
      <c r="AF30" s="311">
        <v>34.624439000000002</v>
      </c>
      <c r="AG30" s="311">
        <v>33.532778</v>
      </c>
      <c r="AH30" s="311">
        <v>32.477457000000001</v>
      </c>
      <c r="AI30" s="311">
        <v>31.406137999999999</v>
      </c>
      <c r="AJ30" s="311">
        <v>34.034340999999998</v>
      </c>
      <c r="AK30" s="311">
        <v>32.539890999999997</v>
      </c>
      <c r="AL30" s="243">
        <f>AVERAGE(Sheet3!BR30:BY30)</f>
        <v>26.005981845049696</v>
      </c>
      <c r="AM30" s="183" cm="1">
        <f t="array" ref="AM30:AT30">TRANSPOSE('[32]Keithley Matavimai'!$W$6:$W$13)</f>
        <v>32.746126180341086</v>
      </c>
      <c r="AN30" s="183">
        <v>29.893177395214632</v>
      </c>
      <c r="AO30" s="183">
        <v>28.507949798808017</v>
      </c>
      <c r="AP30" s="183">
        <v>25.143277757097508</v>
      </c>
      <c r="AQ30" s="183">
        <v>25.207430842997358</v>
      </c>
      <c r="AR30" s="183">
        <v>24.908715351465407</v>
      </c>
      <c r="AS30" s="183">
        <v>23.53951866341119</v>
      </c>
      <c r="AT30" s="183">
        <v>18.101658771062347</v>
      </c>
      <c r="AU30" s="183">
        <f t="shared" si="0"/>
        <v>7.9080304049503027</v>
      </c>
      <c r="AX30" s="281"/>
      <c r="AY30" s="281"/>
      <c r="AZ30" s="281"/>
      <c r="BA30" s="281"/>
    </row>
    <row r="31" spans="1:53" ht="16.8" x14ac:dyDescent="0.3">
      <c r="A31" s="282" t="str">
        <f>Sheet3!A31</f>
        <v>20.12.2022</v>
      </c>
      <c r="B31" s="248">
        <f>EXP(New!$LP$6-((New!$LQ$6)/(AC31+New!$LP$8)))/New!$LS$2</f>
        <v>5.2424936650178673E-2</v>
      </c>
      <c r="C31" s="312">
        <f>EXP(New!$LP$6-((New!$LQ$6)/(AD31+New!$LP$8)))/New!$LS$2</f>
        <v>6.4720058535274169E-2</v>
      </c>
      <c r="D31" s="312">
        <f>EXP(New!$LP$6-((New!$LQ$6)/(AE31+New!$LP$8)))/New!$LS$2</f>
        <v>6.0384861795066982E-2</v>
      </c>
      <c r="E31" s="312">
        <f>EXP(New!$LP$6-((New!$LQ$6)/(AF31+New!$LP$8)))/New!$LS$2</f>
        <v>5.624018820687296E-2</v>
      </c>
      <c r="F31" s="312">
        <f>EXP(New!$LP$6-((New!$LQ$6)/(AG31+New!$LP$8)))/New!$LS$2</f>
        <v>5.2438897562528029E-2</v>
      </c>
      <c r="G31" s="312">
        <f>EXP(New!$LP$6-((New!$LQ$6)/(AH31+New!$LP$8)))/New!$LS$2</f>
        <v>4.9047031979454953E-2</v>
      </c>
      <c r="H31" s="312">
        <f>EXP(New!$LP$6-((New!$LQ$6)/(AI31+New!$LP$8)))/New!$LS$2</f>
        <v>4.5849861358188901E-2</v>
      </c>
      <c r="I31" s="312">
        <f>EXP(New!$LP$6-((New!$LQ$6)/(AJ31+New!$LP$8)))/New!$LS$2</f>
        <v>4.2992679120561879E-2</v>
      </c>
      <c r="J31" s="312">
        <f>EXP(New!$LP$6-((New!$LQ$6)/(AK31+New!$LP$8)))/New!$LS$2</f>
        <v>5.0740431061529936E-2</v>
      </c>
      <c r="K31" s="245">
        <f>((New!FH31*New!$LP$3*LN((1-B31)/(1-New!DO31))) / (New!BV31*1000*New!$LQ$3*(1-B31-1+New!DO31)*New!B31^(2/3)))</f>
        <v>6.5651608707733206E-2</v>
      </c>
      <c r="L31" s="4">
        <f>((New!FI31*New!$LP$3*LN((1-C31)/(1-New!DP31))) / (New!BW31*1000*New!$LQ$3*(1-C31-1+New!DP31)*New!C31^(2/3)))</f>
        <v>6.6084901781241878E-2</v>
      </c>
      <c r="M31" s="4">
        <f>((New!FJ31*New!$LP$3*LN((1-D31)/(1-New!DQ31))) / (New!BX31*1000*New!$LQ$3*(1-D31-1+New!DQ31)*New!D31^(2/3)))</f>
        <v>6.5880371297917822E-2</v>
      </c>
      <c r="N31" s="4">
        <f>((New!FK31*New!$LP$3*LN((1-E31)/(1-New!DR31))) / (New!BY31*1000*New!$LQ$3*(1-E31-1+New!DR31)*New!E31^(2/3)))</f>
        <v>6.5727509132969264E-2</v>
      </c>
      <c r="O31" s="4">
        <f>((New!FL31*New!$LP$3*LN((1-F31)/(1-New!DS31))) / (New!BZ31*1000*New!$LQ$3*(1-F31-1+New!DS31)*New!F31^(2/3)))</f>
        <v>6.5554677827580399E-2</v>
      </c>
      <c r="P31" s="4">
        <f>((New!FM31*New!$LP$3*LN((1-G31)/(1-New!DT31))) / (New!CA31*1000*New!$LQ$3*(1-G31-1+New!DT31)*New!G31^(2/3)))</f>
        <v>6.5437949886944902E-2</v>
      </c>
      <c r="Q31" s="4">
        <f>((New!FN31*New!$LP$3*LN((1-H31)/(1-New!DU31))) / (New!CB31*1000*New!$LQ$3*(1-H31-1+New!DU31)*New!H31^(2/3)))</f>
        <v>6.5296188925192442E-2</v>
      </c>
      <c r="R31" s="4">
        <f>((New!FO31*New!$LP$3*LN((1-I31)/(1-New!DV31))) / (New!CC31*1000*New!$LQ$3*(1-I31-1+New!DV31)*New!I31^(2/3)))</f>
        <v>6.5206837991220179E-2</v>
      </c>
      <c r="S31" s="4">
        <f>((New!FP31*New!$LP$3*LN((1-J31)/(1-New!DW31))) / (New!CD31*1000*New!$LQ$3*(1-J31-1+New!DW31)*New!J31^(2/3)))</f>
        <v>6.5449059658060457E-2</v>
      </c>
      <c r="T31" s="245">
        <f>(New!FH31*Sheet3!DF31+New!HU31*1000*K31*(New!DO31-B31)+'Cooling water'!CO31*'Cooling water'!B31) / (New!FH31+'Cooling water'!CO31)</f>
        <v>54.097078596833967</v>
      </c>
      <c r="U31" s="4">
        <f>(New!FI31*Sheet3!BZ31+New!HV31*1000*L31*(New!DP31-C31)+Sheet3!CI31*'Cooling water'!CP31) / (New!FI31+'Cooling water'!CP31)</f>
        <v>37.351627425416005</v>
      </c>
      <c r="V31" s="4">
        <f>(New!FJ31*Sheet3!CA31+New!HW31*1000*M31*(New!DQ31-D31)+Sheet3!CJ31*'Cooling water'!CQ31) / (New!FJ31+'Cooling water'!CQ31)</f>
        <v>36.117019022095917</v>
      </c>
      <c r="W31" s="4">
        <f>(New!FK31*Sheet3!CB31+New!HX31*1000*N31*(New!DR31-E31)+Sheet3!CK31*'Cooling water'!CR31) / (New!FK31+'Cooling water'!CR31)</f>
        <v>35.049344052687488</v>
      </c>
      <c r="X31" s="4">
        <f>(New!FL31*Sheet3!CC31+New!HY31*1000*O31*(New!DS31-F31)+Sheet3!CL31*'Cooling water'!CS31) / (New!FL31+'Cooling water'!CS31)</f>
        <v>33.821168534077486</v>
      </c>
      <c r="Y31" s="4">
        <f>(New!FM31*Sheet3!CD31+New!HZ31*1000*P31*(New!DT31-G31)+Sheet3!CM31*'Cooling water'!CT31) / (New!FM31+'Cooling water'!CT31)</f>
        <v>32.844901570781026</v>
      </c>
      <c r="Z31" s="4">
        <f>(New!FN31*Sheet3!CE31+New!IA31*1000*Q31*(New!DU31-H31)+Sheet3!CN31*'Cooling water'!CU31) / (New!FN31+'Cooling water'!CU31)</f>
        <v>31.797134202222846</v>
      </c>
      <c r="AA31" s="4">
        <f>(New!FO31*Sheet3!CF31+New!IB31*1000*R31*(New!DV31-I31)+Sheet3!CO31*'Cooling water'!CV31) / (New!FO31+'Cooling water'!CV31)</f>
        <v>30.853405550852337</v>
      </c>
      <c r="AB31" s="4">
        <f>(New!FP31*Sheet3!CG31+New!IC31*1000*S31*(New!DW31-J31)+Sheet3!CP31*'Cooling water'!CW31) / (New!FP31+'Cooling water'!CW31)</f>
        <v>28.778370007097649</v>
      </c>
      <c r="AC31" s="245">
        <f t="shared" si="1"/>
        <v>34.058419125</v>
      </c>
      <c r="AD31" s="311">
        <v>37.873438999999998</v>
      </c>
      <c r="AE31" s="311">
        <v>36.605725</v>
      </c>
      <c r="AF31" s="311">
        <v>35.318145999999999</v>
      </c>
      <c r="AG31" s="311">
        <v>34.063170999999997</v>
      </c>
      <c r="AH31" s="311">
        <v>32.875233000000001</v>
      </c>
      <c r="AI31" s="311">
        <v>31.688647</v>
      </c>
      <c r="AJ31" s="311">
        <v>30.566106999999999</v>
      </c>
      <c r="AK31" s="311">
        <v>33.476885000000003</v>
      </c>
      <c r="AL31" s="243">
        <f>AVERAGE(Sheet3!BR31:BY31)</f>
        <v>27.094157669184135</v>
      </c>
      <c r="AM31" s="183" cm="1">
        <f t="array" ref="AM31:AT31">TRANSPOSE('[33]Keithley Matavimai'!$W$6:$W$13)</f>
        <v>34.53396115946201</v>
      </c>
      <c r="AN31" s="183">
        <v>31.098368615207036</v>
      </c>
      <c r="AO31" s="183">
        <v>29.88077085716613</v>
      </c>
      <c r="AP31" s="183">
        <v>26.103226082884358</v>
      </c>
      <c r="AQ31" s="183">
        <v>26.387472103766658</v>
      </c>
      <c r="AR31" s="183">
        <v>26.313564380765701</v>
      </c>
      <c r="AS31" s="183">
        <v>24.192765412138083</v>
      </c>
      <c r="AT31" s="183">
        <v>18.24313274208312</v>
      </c>
      <c r="AU31" s="183">
        <f t="shared" si="0"/>
        <v>6.9642614558158655</v>
      </c>
      <c r="AX31" s="281"/>
      <c r="AY31" s="281"/>
      <c r="AZ31" s="281"/>
      <c r="BA31" s="281"/>
    </row>
    <row r="32" spans="1:53" ht="16.8" x14ac:dyDescent="0.3">
      <c r="A32" s="282" t="str">
        <f>Sheet3!A32</f>
        <v>20.12.2022</v>
      </c>
      <c r="B32" s="248">
        <f>EXP(New!$LP$6-((New!$LQ$6)/(AC32+New!$LP$8)))/New!$LS$2</f>
        <v>5.4055153547219827E-2</v>
      </c>
      <c r="C32" s="312">
        <f>EXP(New!$LP$6-((New!$LQ$6)/(AD32+New!$LP$8)))/New!$LS$2</f>
        <v>6.9655302110561521E-2</v>
      </c>
      <c r="D32" s="312">
        <f>EXP(New!$LP$6-((New!$LQ$6)/(AE32+New!$LP$8)))/New!$LS$2</f>
        <v>6.4876922700352765E-2</v>
      </c>
      <c r="E32" s="312">
        <f>EXP(New!$LP$6-((New!$LQ$6)/(AF32+New!$LP$8)))/New!$LS$2</f>
        <v>6.0154672258881416E-2</v>
      </c>
      <c r="F32" s="312">
        <f>EXP(New!$LP$6-((New!$LQ$6)/(AG32+New!$LP$8)))/New!$LS$2</f>
        <v>5.5866762995966865E-2</v>
      </c>
      <c r="G32" s="312">
        <f>EXP(New!$LP$6-((New!$LQ$6)/(AH32+New!$LP$8)))/New!$LS$2</f>
        <v>5.2043371115198217E-2</v>
      </c>
      <c r="H32" s="312">
        <f>EXP(New!$LP$6-((New!$LQ$6)/(AI32+New!$LP$8)))/New!$LS$2</f>
        <v>4.8395015814890044E-2</v>
      </c>
      <c r="I32" s="312">
        <f>EXP(New!$LP$6-((New!$LQ$6)/(AJ32+New!$LP$8)))/New!$LS$2</f>
        <v>4.4974744467008991E-2</v>
      </c>
      <c r="J32" s="312">
        <f>EXP(New!$LP$6-((New!$LQ$6)/(AK32+New!$LP$8)))/New!$LS$2</f>
        <v>4.1724994103632042E-2</v>
      </c>
      <c r="K32" s="245">
        <f>((New!FH32*New!$LP$3*LN((1-B32)/(1-New!DO32))) / (New!BV32*1000*New!$LQ$3*(1-B32-1+New!DO32)*New!B32^(2/3)))</f>
        <v>6.7391783182840004E-2</v>
      </c>
      <c r="L32" s="4">
        <f>((New!FI32*New!$LP$3*LN((1-C32)/(1-New!DP32))) / (New!BW32*1000*New!$LQ$3*(1-C32-1+New!DP32)*New!C32^(2/3)))</f>
        <v>6.7941260968501227E-2</v>
      </c>
      <c r="M32" s="4">
        <f>((New!FJ32*New!$LP$3*LN((1-D32)/(1-New!DQ32))) / (New!BX32*1000*New!$LQ$3*(1-D32-1+New!DQ32)*New!D32^(2/3)))</f>
        <v>6.7697652577112299E-2</v>
      </c>
      <c r="N32" s="4">
        <f>((New!FK32*New!$LP$3*LN((1-E32)/(1-New!DR32))) / (New!BY32*1000*New!$LQ$3*(1-E32-1+New!DR32)*New!E32^(2/3)))</f>
        <v>6.750138462881114E-2</v>
      </c>
      <c r="O32" s="4">
        <f>((New!FL32*New!$LP$3*LN((1-F32)/(1-New!DS32))) / (New!BZ32*1000*New!$LQ$3*(1-F32-1+New!DS32)*New!F32^(2/3)))</f>
        <v>6.7282955904517897E-2</v>
      </c>
      <c r="P32" s="4">
        <f>((New!FM32*New!$LP$3*LN((1-G32)/(1-New!DT32))) / (New!CA32*1000*New!$LQ$3*(1-G32-1+New!DT32)*New!G32^(2/3)))</f>
        <v>6.7134720090307659E-2</v>
      </c>
      <c r="Q32" s="4">
        <f>((New!FN32*New!$LP$3*LN((1-H32)/(1-New!DU32))) / (New!CB32*1000*New!$LQ$3*(1-H32-1+New!DU32)*New!H32^(2/3)))</f>
        <v>6.6957239846182445E-2</v>
      </c>
      <c r="R32" s="4">
        <f>((New!FO32*New!$LP$3*LN((1-I32)/(1-New!DV32))) / (New!CC32*1000*New!$LQ$3*(1-I32-1+New!DV32)*New!I32^(2/3)))</f>
        <v>6.6830298516290368E-2</v>
      </c>
      <c r="S32" s="4">
        <f>((New!FP32*New!$LP$3*LN((1-J32)/(1-New!DW32))) / (New!CD32*1000*New!$LQ$3*(1-J32-1+New!DW32)*New!J32^(2/3)))</f>
        <v>6.6674814810385979E-2</v>
      </c>
      <c r="T32" s="245">
        <f>(New!FH32*Sheet3!DF32+New!HU32*1000*K32*(New!DO32-B32)+'Cooling water'!CO32*'Cooling water'!B32) / (New!FH32+'Cooling water'!CO32)</f>
        <v>32.641909560807065</v>
      </c>
      <c r="U32" s="4">
        <f>(New!FI32*Sheet3!BZ32+New!HV32*1000*L32*(New!DP32-C32)+Sheet3!CI32*'Cooling water'!CP32) / (New!FI32+'Cooling water'!CP32)</f>
        <v>38.760809571731286</v>
      </c>
      <c r="V32" s="4">
        <f>(New!FJ32*Sheet3!CA32+New!HW32*1000*M32*(New!DQ32-D32)+Sheet3!CJ32*'Cooling water'!CQ32) / (New!FJ32+'Cooling water'!CQ32)</f>
        <v>37.480325595425562</v>
      </c>
      <c r="W32" s="4">
        <f>(New!FK32*Sheet3!CB32+New!HX32*1000*N32*(New!DR32-E32)+Sheet3!CK32*'Cooling water'!CR32) / (New!FK32+'Cooling water'!CR32)</f>
        <v>36.344815038838739</v>
      </c>
      <c r="X32" s="4">
        <f>(New!FL32*Sheet3!CC32+New!HY32*1000*O32*(New!DS32-F32)+Sheet3!CL32*'Cooling water'!CS32) / (New!FL32+'Cooling water'!CS32)</f>
        <v>34.97389910073187</v>
      </c>
      <c r="Y32" s="4">
        <f>(New!FM32*Sheet3!CD32+New!HZ32*1000*P32*(New!DT32-G32)+Sheet3!CM32*'Cooling water'!CT32) / (New!FM32+'Cooling water'!CT32)</f>
        <v>33.941977726586288</v>
      </c>
      <c r="Z32" s="4">
        <f>(New!FN32*Sheet3!CE32+New!IA32*1000*Q32*(New!DU32-H32)+Sheet3!CN32*'Cooling water'!CU32) / (New!FN32+'Cooling water'!CU32)</f>
        <v>32.74956647607295</v>
      </c>
      <c r="AA32" s="4">
        <f>(New!FO32*Sheet3!CF32+New!IB32*1000*R32*(New!DV32-I32)+Sheet3!CO32*'Cooling water'!CV32) / (New!FO32+'Cooling water'!CV32)</f>
        <v>31.658465965033365</v>
      </c>
      <c r="AB32" s="4">
        <f>(New!FP32*Sheet3!CG32+New!IC32*1000*S32*(New!DW32-J32)+Sheet3!CP32*'Cooling water'!CW32) / (New!FP32+'Cooling water'!CW32)</f>
        <v>30.585823651000048</v>
      </c>
      <c r="AC32" s="245">
        <f t="shared" si="1"/>
        <v>34.606055499999997</v>
      </c>
      <c r="AD32" s="311">
        <v>39.230536000000001</v>
      </c>
      <c r="AE32" s="311">
        <v>37.917923000000002</v>
      </c>
      <c r="AF32" s="311">
        <v>36.536244000000003</v>
      </c>
      <c r="AG32" s="311">
        <v>35.198158999999997</v>
      </c>
      <c r="AH32" s="311">
        <v>33.928120999999997</v>
      </c>
      <c r="AI32" s="311">
        <v>32.638784999999999</v>
      </c>
      <c r="AJ32" s="311">
        <v>31.351409</v>
      </c>
      <c r="AK32" s="311">
        <v>30.047267000000002</v>
      </c>
      <c r="AL32" s="243">
        <f>AVERAGE(Sheet3!BR32:BY32)</f>
        <v>28.016192906624248</v>
      </c>
      <c r="AM32" s="183" cm="1">
        <f t="array" ref="AM32:AT32">TRANSPOSE('[34]Keithley Matavimai'!$W$6:$W$13)</f>
        <v>35.796664875640417</v>
      </c>
      <c r="AN32" s="183">
        <v>31.728175266390334</v>
      </c>
      <c r="AO32" s="183">
        <v>31.005843267814701</v>
      </c>
      <c r="AP32" s="183">
        <v>26.910438167140452</v>
      </c>
      <c r="AQ32" s="183">
        <v>27.473849137541162</v>
      </c>
      <c r="AR32" s="183">
        <v>27.499393901256013</v>
      </c>
      <c r="AS32" s="183">
        <v>25.174572659931908</v>
      </c>
      <c r="AT32" s="183">
        <v>18.540605977279</v>
      </c>
      <c r="AU32" s="183">
        <f t="shared" si="0"/>
        <v>6.5898625933757486</v>
      </c>
      <c r="AX32" s="281"/>
      <c r="AY32" s="281"/>
      <c r="AZ32" s="281"/>
      <c r="BA32" s="281"/>
    </row>
    <row r="33" spans="1:53" ht="16.8" x14ac:dyDescent="0.3">
      <c r="A33" s="282" t="str">
        <f>Sheet3!A33</f>
        <v>22.12.2022</v>
      </c>
      <c r="B33" s="248">
        <f>EXP(New!$LP$6-((New!$LQ$6)/(AC33+New!$LP$8)))/New!$LS$2</f>
        <v>6.0358675079140167E-2</v>
      </c>
      <c r="C33" s="312">
        <f>EXP(New!$LP$6-((New!$LQ$6)/(AD33+New!$LP$8)))/New!$LS$2</f>
        <v>7.9055990853235017E-2</v>
      </c>
      <c r="D33" s="312">
        <f>EXP(New!$LP$6-((New!$LQ$6)/(AE33+New!$LP$8)))/New!$LS$2</f>
        <v>7.2987620570936856E-2</v>
      </c>
      <c r="E33" s="312">
        <f>EXP(New!$LP$6-((New!$LQ$6)/(AF33+New!$LP$8)))/New!$LS$2</f>
        <v>6.7278862637547579E-2</v>
      </c>
      <c r="F33" s="312">
        <f>EXP(New!$LP$6-((New!$LQ$6)/(AG33+New!$LP$8)))/New!$LS$2</f>
        <v>6.2226249688025238E-2</v>
      </c>
      <c r="G33" s="312">
        <f>EXP(New!$LP$6-((New!$LQ$6)/(AH33+New!$LP$8)))/New!$LS$2</f>
        <v>5.7746981266196033E-2</v>
      </c>
      <c r="H33" s="312">
        <f>EXP(New!$LP$6-((New!$LQ$6)/(AI33+New!$LP$8)))/New!$LS$2</f>
        <v>5.3604634890223365E-2</v>
      </c>
      <c r="I33" s="312">
        <f>EXP(New!$LP$6-((New!$LQ$6)/(AJ33+New!$LP$8)))/New!$LS$2</f>
        <v>4.9890193527120971E-2</v>
      </c>
      <c r="J33" s="312">
        <f>EXP(New!$LP$6-((New!$LQ$6)/(AK33+New!$LP$8)))/New!$LS$2</f>
        <v>4.6433941784375328E-2</v>
      </c>
      <c r="K33" s="245">
        <f>((New!FH33*New!$LP$3*LN((1-B33)/(1-New!DO33))) / (New!BV33*1000*New!$LQ$3*(1-B33-1+New!DO33)*New!B33^(2/3)))</f>
        <v>6.9975712185298231E-2</v>
      </c>
      <c r="L33" s="4">
        <f>((New!FI33*New!$LP$3*LN((1-C33)/(1-New!DP33))) / (New!BW33*1000*New!$LQ$3*(1-C33-1+New!DP33)*New!C33^(2/3)))</f>
        <v>7.0672627911312569E-2</v>
      </c>
      <c r="M33" s="4">
        <f>((New!FJ33*New!$LP$3*LN((1-D33)/(1-New!DQ33))) / (New!BX33*1000*New!$LQ$3*(1-D33-1+New!DQ33)*New!D33^(2/3)))</f>
        <v>7.0359830215080826E-2</v>
      </c>
      <c r="N33" s="4">
        <f>((New!FK33*New!$LP$3*LN((1-E33)/(1-New!DR33))) / (New!BY33*1000*New!$LQ$3*(1-E33-1+New!DR33)*New!E33^(2/3)))</f>
        <v>7.0097490029249726E-2</v>
      </c>
      <c r="O33" s="4">
        <f>((New!FL33*New!$LP$3*LN((1-F33)/(1-New!DS33))) / (New!BZ33*1000*New!$LQ$3*(1-F33-1+New!DS33)*New!F33^(2/3)))</f>
        <v>6.9824161446405561E-2</v>
      </c>
      <c r="P33" s="4">
        <f>((New!FM33*New!$LP$3*LN((1-G33)/(1-New!DT33))) / (New!CA33*1000*New!$LQ$3*(1-G33-1+New!DT33)*New!G33^(2/3)))</f>
        <v>6.9630647626479678E-2</v>
      </c>
      <c r="Q33" s="4">
        <f>((New!FN33*New!$LP$3*LN((1-H33)/(1-New!DU33))) / (New!CB33*1000*New!$LQ$3*(1-H33-1+New!DU33)*New!H33^(2/3)))</f>
        <v>6.941134459130599E-2</v>
      </c>
      <c r="R33" s="4">
        <f>((New!FO33*New!$LP$3*LN((1-I33)/(1-New!DV33))) / (New!CC33*1000*New!$LQ$3*(1-I33-1+New!DV33)*New!I33^(2/3)))</f>
        <v>6.92517241825438E-2</v>
      </c>
      <c r="S33" s="4">
        <f>((New!FP33*New!$LP$3*LN((1-J33)/(1-New!DW33))) / (New!CD33*1000*New!$LQ$3*(1-J33-1+New!DW33)*New!J33^(2/3)))</f>
        <v>6.9061584564513209E-2</v>
      </c>
      <c r="T33" s="245">
        <f>(New!FH33*Sheet3!DF33+New!HU33*1000*K33*(New!DO33-B33)+'Cooling water'!CO33*'Cooling water'!B33) / (New!FH33+'Cooling water'!CO33)</f>
        <v>33.589565386426877</v>
      </c>
      <c r="U33" s="4">
        <f>(New!FI33*Sheet3!BZ33+New!HV33*1000*L33*(New!DP33-C33)+Sheet3!CI33*'Cooling water'!CP33) / (New!FI33+'Cooling water'!CP33)</f>
        <v>41.321825596536918</v>
      </c>
      <c r="V33" s="4">
        <f>(New!FJ33*Sheet3!CA33+New!HW33*1000*M33*(New!DQ33-D33)+Sheet3!CJ33*'Cooling water'!CQ33) / (New!FJ33+'Cooling water'!CQ33)</f>
        <v>39.811279541350757</v>
      </c>
      <c r="W33" s="4">
        <f>(New!FK33*Sheet3!CB33+New!HX33*1000*N33*(New!DR33-E33)+Sheet3!CK33*'Cooling water'!CR33) / (New!FK33+'Cooling water'!CR33)</f>
        <v>38.432671703585058</v>
      </c>
      <c r="X33" s="4">
        <f>(New!FL33*Sheet3!CC33+New!HY33*1000*O33*(New!DS33-F33)+Sheet3!CL33*'Cooling water'!CS33) / (New!FL33+'Cooling water'!CS33)</f>
        <v>36.941135148780099</v>
      </c>
      <c r="Y33" s="4">
        <f>(New!FM33*Sheet3!CD33+New!HZ33*1000*P33*(New!DT33-G33)+Sheet3!CM33*'Cooling water'!CT33) / (New!FM33+'Cooling water'!CT33)</f>
        <v>35.752628403707739</v>
      </c>
      <c r="Z33" s="4">
        <f>(New!FN33*Sheet3!CE33+New!IA33*1000*Q33*(New!DU33-H33)+Sheet3!CN33*'Cooling water'!CU33) / (New!FN33+'Cooling water'!CU33)</f>
        <v>34.438496285323033</v>
      </c>
      <c r="AA33" s="4">
        <f>(New!FO33*Sheet3!CF33+New!IB33*1000*R33*(New!DV33-I33)+Sheet3!CO33*'Cooling water'!CV33) / (New!FO33+'Cooling water'!CV33)</f>
        <v>33.317508269586163</v>
      </c>
      <c r="AB33" s="4">
        <f>(New!FP33*Sheet3!CG33+New!IC33*1000*S33*(New!DW33-J33)+Sheet3!CP33*'Cooling water'!CW33) / (New!FP33+'Cooling water'!CW33)</f>
        <v>32.097406756335836</v>
      </c>
      <c r="AC33" s="245">
        <f t="shared" si="1"/>
        <v>36.597832249999996</v>
      </c>
      <c r="AD33" s="311">
        <v>41.601399000000001</v>
      </c>
      <c r="AE33" s="311">
        <v>40.100793000000003</v>
      </c>
      <c r="AF33" s="311">
        <v>38.587763000000002</v>
      </c>
      <c r="AG33" s="311">
        <v>37.153466999999999</v>
      </c>
      <c r="AH33" s="311">
        <v>35.795428000000001</v>
      </c>
      <c r="AI33" s="311">
        <v>34.456153999999998</v>
      </c>
      <c r="AJ33" s="311">
        <v>33.177005999999999</v>
      </c>
      <c r="AK33" s="311">
        <v>31.910647999999998</v>
      </c>
      <c r="AL33" s="243">
        <f>AVERAGE(Sheet3!BR33:BY33)</f>
        <v>30.667268466442515</v>
      </c>
      <c r="AM33" s="183" cm="1">
        <f t="array" ref="AM33:AT33">TRANSPOSE('[36]Keithley Matavimai'!$W$6:$W$13)</f>
        <v>40.862208796470405</v>
      </c>
      <c r="AN33" s="183">
        <v>33.593282799225072</v>
      </c>
      <c r="AO33" s="183">
        <v>35.485491296426694</v>
      </c>
      <c r="AP33" s="183">
        <v>29.610261608872317</v>
      </c>
      <c r="AQ33" s="183">
        <v>30.258025006507363</v>
      </c>
      <c r="AR33" s="183">
        <v>29.673685195359951</v>
      </c>
      <c r="AS33" s="183">
        <v>27.331336401571793</v>
      </c>
      <c r="AT33" s="183">
        <v>18.523856627106497</v>
      </c>
      <c r="AU33" s="183">
        <f t="shared" ref="AU33:AU64" si="2">AC33-AL33</f>
        <v>5.9305637835574814</v>
      </c>
      <c r="AX33" s="281"/>
      <c r="AY33" s="281"/>
      <c r="AZ33" s="281"/>
      <c r="BA33" s="281"/>
    </row>
    <row r="34" spans="1:53" ht="16.8" x14ac:dyDescent="0.3">
      <c r="A34" s="282" t="str">
        <f>Sheet3!A34</f>
        <v>22.12.2022</v>
      </c>
      <c r="B34" s="248">
        <f>EXP(New!$LP$6-((New!$LQ$6)/(AC34+New!$LP$8)))/New!$LS$2</f>
        <v>7.8175966846378064E-2</v>
      </c>
      <c r="C34" s="312">
        <f>EXP(New!$LP$6-((New!$LQ$6)/(AD34+New!$LP$8)))/New!$LS$2</f>
        <v>0.10115998975756813</v>
      </c>
      <c r="D34" s="312">
        <f>EXP(New!$LP$6-((New!$LQ$6)/(AE34+New!$LP$8)))/New!$LS$2</f>
        <v>9.3908504175936505E-2</v>
      </c>
      <c r="E34" s="312">
        <f>EXP(New!$LP$6-((New!$LQ$6)/(AF34+New!$LP$8)))/New!$LS$2</f>
        <v>8.6961581981879421E-2</v>
      </c>
      <c r="F34" s="312">
        <f>EXP(New!$LP$6-((New!$LQ$6)/(AG34+New!$LP$8)))/New!$LS$2</f>
        <v>8.0682578600341934E-2</v>
      </c>
      <c r="G34" s="312">
        <f>EXP(New!$LP$6-((New!$LQ$6)/(AH34+New!$LP$8)))/New!$LS$2</f>
        <v>7.5012087789419965E-2</v>
      </c>
      <c r="H34" s="312">
        <f>EXP(New!$LP$6-((New!$LQ$6)/(AI34+New!$LP$8)))/New!$LS$2</f>
        <v>6.972551748412488E-2</v>
      </c>
      <c r="I34" s="312">
        <f>EXP(New!$LP$6-((New!$LQ$6)/(AJ34+New!$LP$8)))/New!$LS$2</f>
        <v>6.5080697544371582E-2</v>
      </c>
      <c r="J34" s="312">
        <f>EXP(New!$LP$6-((New!$LQ$6)/(AK34+New!$LP$8)))/New!$LS$2</f>
        <v>6.0514756200675666E-2</v>
      </c>
      <c r="K34" s="245">
        <f>((New!FH34*New!$LP$3*LN((1-B34)/(1-New!DO34))) / (New!BV34*1000*New!$LQ$3*(1-B34-1+New!DO34)*New!B34^(2/3)))</f>
        <v>0.11377601353545466</v>
      </c>
      <c r="L34" s="4">
        <f>((New!FI34*New!$LP$3*LN((1-C34)/(1-New!DP34))) / (New!BW34*1000*New!$LQ$3*(1-C34-1+New!DP34)*New!C34^(2/3)))</f>
        <v>0.11525375715577557</v>
      </c>
      <c r="M34" s="4">
        <f>((New!FJ34*New!$LP$3*LN((1-D34)/(1-New!DQ34))) / (New!BX34*1000*New!$LQ$3*(1-D34-1+New!DQ34)*New!D34^(2/3)))</f>
        <v>0.11467199588444646</v>
      </c>
      <c r="N34" s="4">
        <f>((New!FK34*New!$LP$3*LN((1-E34)/(1-New!DR34))) / (New!BY34*1000*New!$LQ$3*(1-E34-1+New!DR34)*New!E34^(2/3)))</f>
        <v>0.11417328350615781</v>
      </c>
      <c r="O34" s="4">
        <f>((New!FL34*New!$LP$3*LN((1-F34)/(1-New!DS34))) / (New!BZ34*1000*New!$LQ$3*(1-F34-1+New!DS34)*New!F34^(2/3)))</f>
        <v>0.113669991489794</v>
      </c>
      <c r="P34" s="4">
        <f>((New!FM34*New!$LP$3*LN((1-G34)/(1-New!DT34))) / (New!CA34*1000*New!$LQ$3*(1-G34-1+New!DT34)*New!G34^(2/3)))</f>
        <v>0.11328570567174072</v>
      </c>
      <c r="Q34" s="4">
        <f>((New!FN34*New!$LP$3*LN((1-H34)/(1-New!DU34))) / (New!CB34*1000*New!$LQ$3*(1-H34-1+New!DU34)*New!H34^(2/3)))</f>
        <v>0.11287361573215306</v>
      </c>
      <c r="R34" s="4">
        <f>((New!FO34*New!$LP$3*LN((1-I34)/(1-New!DV34))) / (New!CC34*1000*New!$LQ$3*(1-I34-1+New!DV34)*New!I34^(2/3)))</f>
        <v>0.11256760106452472</v>
      </c>
      <c r="S34" s="4">
        <f>((New!FP34*New!$LP$3*LN((1-J34)/(1-New!DW34))) / (New!CD34*1000*New!$LQ$3*(1-J34-1+New!DW34)*New!J34^(2/3)))</f>
        <v>0.11221042945572073</v>
      </c>
      <c r="T34" s="245">
        <f>(New!FH34*Sheet3!DF34+New!HU34*1000*K34*(New!DO34-B34)+'Cooling water'!CO34*'Cooling water'!B34) / (New!FH34+'Cooling water'!CO34)</f>
        <v>37.613603229459599</v>
      </c>
      <c r="U34" s="4">
        <f>(New!FI34*Sheet3!BZ34+New!HV34*1000*L34*(New!DP34-C34)+Sheet3!CI34*'Cooling water'!CP34) / (New!FI34+'Cooling water'!CP34)</f>
        <v>45.966217004130826</v>
      </c>
      <c r="V34" s="4">
        <f>(New!FJ34*Sheet3!CA34+New!HW34*1000*M34*(New!DQ34-D34)+Sheet3!CJ34*'Cooling water'!CQ34) / (New!FJ34+'Cooling water'!CQ34)</f>
        <v>44.576665038706373</v>
      </c>
      <c r="W34" s="4">
        <f>(New!FK34*Sheet3!CB34+New!HX34*1000*N34*(New!DR34-E34)+Sheet3!CK34*'Cooling water'!CR34) / (New!FK34+'Cooling water'!CR34)</f>
        <v>43.309325053368433</v>
      </c>
      <c r="X34" s="4">
        <f>(New!FL34*Sheet3!CC34+New!HY34*1000*O34*(New!DS34-F34)+Sheet3!CL34*'Cooling water'!CS34) / (New!FL34+'Cooling water'!CS34)</f>
        <v>41.976700402000183</v>
      </c>
      <c r="Y34" s="4">
        <f>(New!FM34*Sheet3!CD34+New!HZ34*1000*P34*(New!DT34-G34)+Sheet3!CM34*'Cooling water'!CT34) / (New!FM34+'Cooling water'!CT34)</f>
        <v>40.866349482320317</v>
      </c>
      <c r="Z34" s="4">
        <f>(New!FN34*Sheet3!CE34+New!IA34*1000*Q34*(New!DU34-H34)+Sheet3!CN34*'Cooling water'!CU34) / (New!FN34+'Cooling water'!CU34)</f>
        <v>39.674625625837294</v>
      </c>
      <c r="AA34" s="4">
        <f>(New!FO34*Sheet3!CF34+New!IB34*1000*R34*(New!DV34-I34)+Sheet3!CO34*'Cooling water'!CV34) / (New!FO34+'Cooling water'!CV34)</f>
        <v>38.609295157190225</v>
      </c>
      <c r="AB34" s="4">
        <f>(New!FP34*Sheet3!CG34+New!IC34*1000*S34*(New!DW34-J34)+Sheet3!CP34*'Cooling water'!CW34) / (New!FP34+'Cooling water'!CW34)</f>
        <v>37.490556973986926</v>
      </c>
      <c r="AC34" s="245">
        <f t="shared" si="1"/>
        <v>41.390056625000007</v>
      </c>
      <c r="AD34" s="311">
        <v>46.342263000000003</v>
      </c>
      <c r="AE34" s="311">
        <v>44.894382999999998</v>
      </c>
      <c r="AF34" s="311">
        <v>43.414444000000003</v>
      </c>
      <c r="AG34" s="311">
        <v>41.986769000000002</v>
      </c>
      <c r="AH34" s="311">
        <v>40.612951000000002</v>
      </c>
      <c r="AI34" s="311">
        <v>39.249239000000003</v>
      </c>
      <c r="AJ34" s="311">
        <v>37.975572</v>
      </c>
      <c r="AK34" s="311">
        <v>36.644832000000001</v>
      </c>
      <c r="AL34" s="243">
        <f>AVERAGE(Sheet3!BR34:BY34)</f>
        <v>30.667268466442515</v>
      </c>
      <c r="AM34" s="183" cm="1">
        <f t="array" ref="AM34:AT34">TRANSPOSE('[36]Keithley Matavimai'!$W$6:$W$13)</f>
        <v>40.862208796470405</v>
      </c>
      <c r="AN34" s="183">
        <v>33.593282799225072</v>
      </c>
      <c r="AO34" s="183">
        <v>35.485491296426694</v>
      </c>
      <c r="AP34" s="183">
        <v>29.610261608872317</v>
      </c>
      <c r="AQ34" s="183">
        <v>30.258025006507363</v>
      </c>
      <c r="AR34" s="183">
        <v>29.673685195359951</v>
      </c>
      <c r="AS34" s="183">
        <v>27.331336401571793</v>
      </c>
      <c r="AT34" s="183">
        <v>18.523856627106497</v>
      </c>
      <c r="AU34" s="183">
        <f t="shared" si="2"/>
        <v>10.722788158557492</v>
      </c>
      <c r="AX34" s="281"/>
      <c r="AY34" s="281"/>
      <c r="AZ34" s="281"/>
      <c r="BA34" s="281"/>
    </row>
    <row r="35" spans="1:53" ht="16.8" x14ac:dyDescent="0.3">
      <c r="A35" s="282" t="str">
        <f>Sheet3!A35</f>
        <v>23.12.2022</v>
      </c>
      <c r="B35" s="248">
        <f>EXP(New!$LP$6-((New!$LQ$6)/(AC35+New!$LP$8)))/New!$LS$2</f>
        <v>3.4050403157890742E-2</v>
      </c>
      <c r="C35" s="312">
        <f>EXP(New!$LP$6-((New!$LQ$6)/(AD35+New!$LP$8)))/New!$LS$2</f>
        <v>4.0602779912725651E-2</v>
      </c>
      <c r="D35" s="312">
        <f>EXP(New!$LP$6-((New!$LQ$6)/(AE35+New!$LP$8)))/New!$LS$2</f>
        <v>3.8622488605092778E-2</v>
      </c>
      <c r="E35" s="312">
        <f>EXP(New!$LP$6-((New!$LQ$6)/(AF35+New!$LP$8)))/New!$LS$2</f>
        <v>3.6729497435849731E-2</v>
      </c>
      <c r="F35" s="312">
        <f>EXP(New!$LP$6-((New!$LQ$6)/(AG35+New!$LP$8)))/New!$LS$2</f>
        <v>3.4922832471695732E-2</v>
      </c>
      <c r="G35" s="312">
        <f>EXP(New!$LP$6-((New!$LQ$6)/(AH35+New!$LP$8)))/New!$LS$2</f>
        <v>3.3205169289472154E-2</v>
      </c>
      <c r="H35" s="312">
        <f>EXP(New!$LP$6-((New!$LQ$6)/(AI35+New!$LP$8)))/New!$LS$2</f>
        <v>3.1543902986041705E-2</v>
      </c>
      <c r="I35" s="312">
        <f>EXP(New!$LP$6-((New!$LQ$6)/(AJ35+New!$LP$8)))/New!$LS$2</f>
        <v>2.9950961771378754E-2</v>
      </c>
      <c r="J35" s="312">
        <f>EXP(New!$LP$6-((New!$LQ$6)/(AK35+New!$LP$8)))/New!$LS$2</f>
        <v>2.8430485984864449E-2</v>
      </c>
      <c r="K35" s="245">
        <f>((New!FH35*New!$LP$3*LN((1-B35)/(1-New!DO35))) / (New!BV35*1000*New!$LQ$3*(1-B35-1+New!DO35)*New!B35^(2/3)))</f>
        <v>9.2701686351220447E-2</v>
      </c>
      <c r="L35" s="4">
        <f>((New!FI35*New!$LP$3*LN((1-C35)/(1-New!DP35))) / (New!BW35*1000*New!$LQ$3*(1-C35-1+New!DP35)*New!C35^(2/3)))</f>
        <v>9.3027322072071345E-2</v>
      </c>
      <c r="M35" s="4">
        <f>((New!FJ35*New!$LP$3*LN((1-D35)/(1-New!DQ35))) / (New!BX35*1000*New!$LQ$3*(1-D35-1+New!DQ35)*New!D35^(2/3)))</f>
        <v>9.2923308833258153E-2</v>
      </c>
      <c r="N35" s="4">
        <f>((New!FK35*New!$LP$3*LN((1-E35)/(1-New!DR35))) / (New!BY35*1000*New!$LQ$3*(1-E35-1+New!DR35)*New!E35^(2/3)))</f>
        <v>9.2855223729269479E-2</v>
      </c>
      <c r="O35" s="4">
        <f>((New!FL35*New!$LP$3*LN((1-F35)/(1-New!DS35))) / (New!BZ35*1000*New!$LQ$3*(1-F35-1+New!DS35)*New!F35^(2/3)))</f>
        <v>9.2764264591191303E-2</v>
      </c>
      <c r="P35" s="4">
        <f>((New!FM35*New!$LP$3*LN((1-G35)/(1-New!DT35))) / (New!CA35*1000*New!$LQ$3*(1-G35-1+New!DT35)*New!G35^(2/3)))</f>
        <v>9.269935735202621E-2</v>
      </c>
      <c r="Q35" s="4">
        <f>((New!FN35*New!$LP$3*LN((1-H35)/(1-New!DU35))) / (New!CB35*1000*New!$LQ$3*(1-H35-1+New!DU35)*New!H35^(2/3)))</f>
        <v>9.2614639269841398E-2</v>
      </c>
      <c r="R35" s="4">
        <f>((New!FO35*New!$LP$3*LN((1-I35)/(1-New!DV35))) / (New!CC35*1000*New!$LQ$3*(1-I35-1+New!DV35)*New!I35^(2/3)))</f>
        <v>9.2563112132977327E-2</v>
      </c>
      <c r="S35" s="4">
        <f>((New!FP35*New!$LP$3*LN((1-J35)/(1-New!DW35))) / (New!CD35*1000*New!$LQ$3*(1-J35-1+New!DW35)*New!J35^(2/3)))</f>
        <v>9.2482158499897923E-2</v>
      </c>
      <c r="T35" s="245">
        <f>(New!FH35*Sheet3!DF35+New!HU35*1000*K35*(New!DO35-B35)+'Cooling water'!CO35*'Cooling water'!B35) / (New!FH35+'Cooling water'!CO35)</f>
        <v>23.855020146138788</v>
      </c>
      <c r="U35" s="4">
        <f>(New!FI35*Sheet3!BZ35+New!HV35*1000*L35*(New!DP35-C35)+Sheet3!CI35*'Cooling water'!CP35) / (New!FI35+'Cooling water'!CP35)</f>
        <v>28.748408041970524</v>
      </c>
      <c r="V35" s="4">
        <f>(New!FJ35*Sheet3!CA35+New!HW35*1000*M35*(New!DQ35-D35)+Sheet3!CJ35*'Cooling water'!CQ35) / (New!FJ35+'Cooling water'!CQ35)</f>
        <v>28.026422301836099</v>
      </c>
      <c r="W35" s="4">
        <f>(New!FK35*Sheet3!CB35+New!HX35*1000*N35*(New!DR35-E35)+Sheet3!CK35*'Cooling water'!CR35) / (New!FK35+'Cooling water'!CR35)</f>
        <v>27.362611956326678</v>
      </c>
      <c r="X35" s="4">
        <f>(New!FL35*Sheet3!CC35+New!HY35*1000*O35*(New!DS35-F35)+Sheet3!CL35*'Cooling water'!CS35) / (New!FL35+'Cooling water'!CS35)</f>
        <v>26.635138583461107</v>
      </c>
      <c r="Y35" s="4">
        <f>(New!FM35*Sheet3!CD35+New!HZ35*1000*P35*(New!DT35-G35)+Sheet3!CM35*'Cooling water'!CT35) / (New!FM35+'Cooling water'!CT35)</f>
        <v>26.015635156813008</v>
      </c>
      <c r="Z35" s="4">
        <f>(New!FN35*Sheet3!CE35+New!IA35*1000*Q35*(New!DU35-H35)+Sheet3!CN35*'Cooling water'!CU35) / (New!FN35+'Cooling water'!CU35)</f>
        <v>25.32830762034887</v>
      </c>
      <c r="AA35" s="4">
        <f>(New!FO35*Sheet3!CF35+New!IB35*1000*R35*(New!DV35-I35)+Sheet3!CO35*'Cooling water'!CV35) / (New!FO35+'Cooling water'!CV35)</f>
        <v>24.706813398898291</v>
      </c>
      <c r="AB35" s="4">
        <f>(New!FP35*Sheet3!CG35+New!IC35*1000*S35*(New!DW35-J35)+Sheet3!CP35*'Cooling water'!CW35) / (New!FP35+'Cooling water'!CW35)</f>
        <v>24.0328320731569</v>
      </c>
      <c r="AC35" s="245">
        <f t="shared" si="1"/>
        <v>26.578392625000006</v>
      </c>
      <c r="AD35" s="311">
        <v>29.576459</v>
      </c>
      <c r="AE35" s="311">
        <v>28.717475</v>
      </c>
      <c r="AF35" s="311">
        <v>27.859940000000002</v>
      </c>
      <c r="AG35" s="311">
        <v>27.005030000000001</v>
      </c>
      <c r="AH35" s="311">
        <v>26.155919000000001</v>
      </c>
      <c r="AI35" s="311">
        <v>25.297647999999999</v>
      </c>
      <c r="AJ35" s="311">
        <v>24.437021000000001</v>
      </c>
      <c r="AK35" s="311">
        <v>23.577649000000001</v>
      </c>
      <c r="AL35" s="243">
        <f>AVERAGE(Sheet3!BR35:BY35)</f>
        <v>19.225674831826684</v>
      </c>
      <c r="AM35" s="183" cm="1">
        <f t="array" ref="AM35:AT35">TRANSPOSE('[37]Keithley Matavimai'!$W$6:$W$13)</f>
        <v>24.802493986853747</v>
      </c>
      <c r="AN35" s="183">
        <v>20.678399362214279</v>
      </c>
      <c r="AO35" s="183">
        <v>21.46936117051402</v>
      </c>
      <c r="AP35" s="183">
        <v>18.480238146611001</v>
      </c>
      <c r="AQ35" s="183">
        <v>18.839630207407922</v>
      </c>
      <c r="AR35" s="183">
        <v>18.794544234591289</v>
      </c>
      <c r="AS35" s="183">
        <v>17.790363381184886</v>
      </c>
      <c r="AT35" s="183">
        <v>12.950368165236341</v>
      </c>
      <c r="AU35" s="183">
        <f t="shared" si="2"/>
        <v>7.3527177931733227</v>
      </c>
      <c r="AX35" s="281"/>
      <c r="AY35" s="281"/>
      <c r="AZ35" s="281"/>
      <c r="BA35" s="281"/>
    </row>
    <row r="36" spans="1:53" ht="16.8" x14ac:dyDescent="0.3">
      <c r="A36" s="282" t="str">
        <f>Sheet3!A36</f>
        <v>27.12.2022</v>
      </c>
      <c r="B36" s="248">
        <f>EXP(New!$LP$6-((New!$LQ$6)/(AC36+New!$LP$8)))/New!$LS$2</f>
        <v>3.5304775664319006E-2</v>
      </c>
      <c r="C36" s="312">
        <f>EXP(New!$LP$6-((New!$LQ$6)/(AD36+New!$LP$8)))/New!$LS$2</f>
        <v>4.3032327796183288E-2</v>
      </c>
      <c r="D36" s="312">
        <f>EXP(New!$LP$6-((New!$LQ$6)/(AE36+New!$LP$8)))/New!$LS$2</f>
        <v>4.0552014192402328E-2</v>
      </c>
      <c r="E36" s="312">
        <f>EXP(New!$LP$6-((New!$LQ$6)/(AF36+New!$LP$8)))/New!$LS$2</f>
        <v>3.8305368390314294E-2</v>
      </c>
      <c r="F36" s="312">
        <f>EXP(New!$LP$6-((New!$LQ$6)/(AG36+New!$LP$8)))/New!$LS$2</f>
        <v>3.6245744973882811E-2</v>
      </c>
      <c r="G36" s="312">
        <f>EXP(New!$LP$6-((New!$LQ$6)/(AH36+New!$LP$8)))/New!$LS$2</f>
        <v>3.4296274070270576E-2</v>
      </c>
      <c r="H36" s="312">
        <f>EXP(New!$LP$6-((New!$LQ$6)/(AI36+New!$LP$8)))/New!$LS$2</f>
        <v>3.2419682855588688E-2</v>
      </c>
      <c r="I36" s="312">
        <f>EXP(New!$LP$6-((New!$LQ$6)/(AJ36+New!$LP$8)))/New!$LS$2</f>
        <v>3.064713441679669E-2</v>
      </c>
      <c r="J36" s="312">
        <f>EXP(New!$LP$6-((New!$LQ$6)/(AK36+New!$LP$8)))/New!$LS$2</f>
        <v>2.8976633151756137E-2</v>
      </c>
      <c r="K36" s="245">
        <f>((New!FH36*New!$LP$3*LN((1-B36)/(1-New!DO36))) / (New!BV36*1000*New!$LQ$3*(1-B36-1+New!DO36)*New!B36^(2/3)))</f>
        <v>9.5631113568774503E-2</v>
      </c>
      <c r="L36" s="4">
        <f>((New!FI36*New!$LP$3*LN((1-C36)/(1-New!DP36))) / (New!BW36*1000*New!$LQ$3*(1-C36-1+New!DP36)*New!C36^(2/3)))</f>
        <v>9.6020684538330611E-2</v>
      </c>
      <c r="M36" s="4">
        <f>((New!FJ36*New!$LP$3*LN((1-D36)/(1-New!DQ36))) / (New!BX36*1000*New!$LQ$3*(1-D36-1+New!DQ36)*New!D36^(2/3)))</f>
        <v>9.5872775457805787E-2</v>
      </c>
      <c r="N36" s="4">
        <f>((New!FK36*New!$LP$3*LN((1-E36)/(1-New!DR36))) / (New!BY36*1000*New!$LQ$3*(1-E36-1+New!DR36)*New!E36^(2/3)))</f>
        <v>9.5777091451163324E-2</v>
      </c>
      <c r="O36" s="4">
        <f>((New!FL36*New!$LP$3*LN((1-F36)/(1-New!DS36))) / (New!BZ36*1000*New!$LQ$3*(1-F36-1+New!DS36)*New!F36^(2/3)))</f>
        <v>9.5653085149610947E-2</v>
      </c>
      <c r="P36" s="4">
        <f>((New!FM36*New!$LP$3*LN((1-G36)/(1-New!DT36))) / (New!CA36*1000*New!$LQ$3*(1-G36-1+New!DT36)*New!G36^(2/3)))</f>
        <v>9.5567168438433214E-2</v>
      </c>
      <c r="Q36" s="4">
        <f>((New!FN36*New!$LP$3*LN((1-H36)/(1-New!DU36))) / (New!CB36*1000*New!$LQ$3*(1-H36-1+New!DU36)*New!H36^(2/3)))</f>
        <v>9.5460464322157823E-2</v>
      </c>
      <c r="R36" s="4">
        <f>((New!FO36*New!$LP$3*LN((1-I36)/(1-New!DV36))) / (New!CC36*1000*New!$LQ$3*(1-I36-1+New!DV36)*New!I36^(2/3)))</f>
        <v>9.5392808805523491E-2</v>
      </c>
      <c r="S36" s="4">
        <f>((New!FP36*New!$LP$3*LN((1-J36)/(1-New!DW36))) / (New!CD36*1000*New!$LQ$3*(1-J36-1+New!DW36)*New!J36^(2/3)))</f>
        <v>9.5294617809896232E-2</v>
      </c>
      <c r="T36" s="245">
        <f>(New!FH36*Sheet3!DF36+New!HU36*1000*K36*(New!DO36-B36)+'Cooling water'!CO36*'Cooling water'!B36) / (New!FH36+'Cooling water'!CO36)</f>
        <v>24.456454527012689</v>
      </c>
      <c r="U36" s="4">
        <f>(New!FI36*Sheet3!BZ36+New!HV36*1000*L36*(New!DP36-C36)+Sheet3!CI36*'Cooling water'!CP36) / (New!FI36+'Cooling water'!CP36)</f>
        <v>29.881503646632005</v>
      </c>
      <c r="V36" s="4">
        <f>(New!FJ36*Sheet3!CA36+New!HW36*1000*M36*(New!DQ36-D36)+Sheet3!CJ36*'Cooling water'!CQ36) / (New!FJ36+'Cooling water'!CQ36)</f>
        <v>28.985559677148064</v>
      </c>
      <c r="W36" s="4">
        <f>(New!FK36*Sheet3!CB36+New!HX36*1000*N36*(New!DR36-E36)+Sheet3!CK36*'Cooling water'!CR36) / (New!FK36+'Cooling water'!CR36)</f>
        <v>28.112486982409962</v>
      </c>
      <c r="X36" s="4">
        <f>(New!FL36*Sheet3!CC36+New!HY36*1000*O36*(New!DS36-F36)+Sheet3!CL36*'Cooling water'!CS36) / (New!FL36+'Cooling water'!CS36)</f>
        <v>27.277073979631506</v>
      </c>
      <c r="Y36" s="4">
        <f>(New!FM36*Sheet3!CD36+New!HZ36*1000*P36*(New!DT36-G36)+Sheet3!CM36*'Cooling water'!CT36) / (New!FM36+'Cooling water'!CT36)</f>
        <v>26.552303157114519</v>
      </c>
      <c r="Z36" s="4">
        <f>(New!FN36*Sheet3!CE36+New!IA36*1000*Q36*(New!DU36-H36)+Sheet3!CN36*'Cooling water'!CU36) / (New!FN36+'Cooling water'!CU36)</f>
        <v>25.750207817881591</v>
      </c>
      <c r="AA36" s="4">
        <f>(New!FO36*Sheet3!CF36+New!IB36*1000*R36*(New!DV36-I36)+Sheet3!CO36*'Cooling water'!CV36) / (New!FO36+'Cooling water'!CV36)</f>
        <v>25.025861778592137</v>
      </c>
      <c r="AB36" s="4">
        <f>(New!FP36*Sheet3!CG36+New!IC36*1000*S36*(New!DW36-J36)+Sheet3!CP36*'Cooling water'!CW36) / (New!FP36+'Cooling water'!CW36)</f>
        <v>24.257134056580995</v>
      </c>
      <c r="AC36" s="245">
        <f t="shared" si="1"/>
        <v>27.188907374999999</v>
      </c>
      <c r="AD36" s="311">
        <v>30.58212</v>
      </c>
      <c r="AE36" s="311">
        <v>29.554895999999999</v>
      </c>
      <c r="AF36" s="311">
        <v>28.576392999999999</v>
      </c>
      <c r="AG36" s="311">
        <v>27.634664999999998</v>
      </c>
      <c r="AH36" s="311">
        <v>26.699579</v>
      </c>
      <c r="AI36" s="311">
        <v>25.754864999999999</v>
      </c>
      <c r="AJ36" s="311">
        <v>24.817916</v>
      </c>
      <c r="AK36" s="311">
        <v>23.890825</v>
      </c>
      <c r="AL36" s="243">
        <f>AVERAGE(Sheet3!BR36:BY36)</f>
        <v>20.074996307721005</v>
      </c>
      <c r="AM36" s="183" cm="1">
        <f t="array" ref="AM36:AT36">TRANSPOSE('[38]Keithley Matavimai'!$W$6:$W$13)</f>
        <v>26.403997236908975</v>
      </c>
      <c r="AN36" s="183">
        <v>21.522965805454451</v>
      </c>
      <c r="AO36" s="183">
        <v>22.490286525289459</v>
      </c>
      <c r="AP36" s="183">
        <v>19.071208368395244</v>
      </c>
      <c r="AQ36" s="183">
        <v>19.870125183754052</v>
      </c>
      <c r="AR36" s="183">
        <v>19.704624299888682</v>
      </c>
      <c r="AS36" s="183">
        <v>18.379545016321142</v>
      </c>
      <c r="AT36" s="183">
        <v>13.157218025756016</v>
      </c>
      <c r="AU36" s="183">
        <f t="shared" si="2"/>
        <v>7.1139110672789947</v>
      </c>
      <c r="AX36" s="281"/>
      <c r="AY36" s="281"/>
      <c r="AZ36" s="281"/>
      <c r="BA36" s="281"/>
    </row>
    <row r="37" spans="1:53" ht="16.8" x14ac:dyDescent="0.3">
      <c r="A37" s="282" t="str">
        <f>Sheet3!A37</f>
        <v>27.12.2022</v>
      </c>
      <c r="B37" s="248">
        <f>EXP(New!$LP$6-((New!$LQ$6)/(AC37+New!$LP$8)))/New!$LS$2</f>
        <v>3.7520877530776563E-2</v>
      </c>
      <c r="C37" s="312">
        <f>EXP(New!$LP$6-((New!$LQ$6)/(AD37+New!$LP$8)))/New!$LS$2</f>
        <v>4.6627129304534103E-2</v>
      </c>
      <c r="D37" s="312">
        <f>EXP(New!$LP$6-((New!$LQ$6)/(AE37+New!$LP$8)))/New!$LS$2</f>
        <v>4.3767318885440283E-2</v>
      </c>
      <c r="E37" s="312">
        <f>EXP(New!$LP$6-((New!$LQ$6)/(AF37+New!$LP$8)))/New!$LS$2</f>
        <v>4.1050210024154855E-2</v>
      </c>
      <c r="F37" s="312">
        <f>EXP(New!$LP$6-((New!$LQ$6)/(AG37+New!$LP$8)))/New!$LS$2</f>
        <v>3.8573190483460446E-2</v>
      </c>
      <c r="G37" s="312">
        <f>EXP(New!$LP$6-((New!$LQ$6)/(AH37+New!$LP$8)))/New!$LS$2</f>
        <v>3.6294591946247318E-2</v>
      </c>
      <c r="H37" s="312">
        <f>EXP(New!$LP$6-((New!$LQ$6)/(AI37+New!$LP$8)))/New!$LS$2</f>
        <v>3.4140846848834304E-2</v>
      </c>
      <c r="I37" s="312">
        <f>EXP(New!$LP$6-((New!$LQ$6)/(AJ37+New!$LP$8)))/New!$LS$2</f>
        <v>3.2138331805651808E-2</v>
      </c>
      <c r="J37" s="312">
        <f>EXP(New!$LP$6-((New!$LQ$6)/(AK37+New!$LP$8)))/New!$LS$2</f>
        <v>3.0197605211751681E-2</v>
      </c>
      <c r="K37" s="245">
        <f>((New!FH37*New!$LP$3*LN((1-B37)/(1-New!DO37))) / (New!BV37*1000*New!$LQ$3*(1-B37-1+New!DO37)*New!B37^(2/3)))</f>
        <v>0.10079560692436855</v>
      </c>
      <c r="L37" s="4">
        <f>((New!FI37*New!$LP$3*LN((1-C37)/(1-New!DP37))) / (New!BW37*1000*New!$LQ$3*(1-C37-1+New!DP37)*New!C37^(2/3)))</f>
        <v>0.1012746182709571</v>
      </c>
      <c r="M37" s="4">
        <f>((New!FJ37*New!$LP$3*LN((1-D37)/(1-New!DQ37))) / (New!BX37*1000*New!$LQ$3*(1-D37-1+New!DQ37)*New!D37^(2/3)))</f>
        <v>0.10107551360668762</v>
      </c>
      <c r="N37" s="4">
        <f>((New!FK37*New!$LP$3*LN((1-E37)/(1-New!DR37))) / (New!BY37*1000*New!$LQ$3*(1-E37-1+New!DR37)*New!E37^(2/3)))</f>
        <v>0.10092099248424133</v>
      </c>
      <c r="O37" s="4">
        <f>((New!FL37*New!$LP$3*LN((1-F37)/(1-New!DS37))) / (New!BZ37*1000*New!$LQ$3*(1-F37-1+New!DS37)*New!F37^(2/3)))</f>
        <v>0.10075387967878768</v>
      </c>
      <c r="P37" s="4">
        <f>((New!FM37*New!$LP$3*LN((1-G37)/(1-New!DT37))) / (New!CA37*1000*New!$LQ$3*(1-G37-1+New!DT37)*New!G37^(2/3)))</f>
        <v>0.10063290908734646</v>
      </c>
      <c r="Q37" s="4">
        <f>((New!FN37*New!$LP$3*LN((1-H37)/(1-New!DU37))) / (New!CB37*1000*New!$LQ$3*(1-H37-1+New!DU37)*New!H37^(2/3)))</f>
        <v>0.10048852106010697</v>
      </c>
      <c r="R37" s="4">
        <f>((New!FO37*New!$LP$3*LN((1-I37)/(1-New!DV37))) / (New!CC37*1000*New!$LQ$3*(1-I37-1+New!DV37)*New!I37^(2/3)))</f>
        <v>0.10038888668068542</v>
      </c>
      <c r="S37" s="4">
        <f>((New!FP37*New!$LP$3*LN((1-J37)/(1-New!DW37))) / (New!CD37*1000*New!$LQ$3*(1-J37-1+New!DW37)*New!J37^(2/3)))</f>
        <v>0.10025705409213569</v>
      </c>
      <c r="T37" s="245">
        <f>(New!FH37*Sheet3!DF37+New!HU37*1000*K37*(New!DO37-B37)+'Cooling water'!CO37*'Cooling water'!B37) / (New!FH37+'Cooling water'!CO37)</f>
        <v>25.454681725163876</v>
      </c>
      <c r="U37" s="4">
        <f>(New!FI37*Sheet3!BZ37+New!HV37*1000*L37*(New!DP37-C37)+Sheet3!CI37*'Cooling water'!CP37) / (New!FI37+'Cooling water'!CP37)</f>
        <v>31.39645625443201</v>
      </c>
      <c r="V37" s="4">
        <f>(New!FJ37*Sheet3!CA37+New!HW37*1000*M37*(New!DQ37-D37)+Sheet3!CJ37*'Cooling water'!CQ37) / (New!FJ37+'Cooling water'!CQ37)</f>
        <v>30.350769913189374</v>
      </c>
      <c r="W37" s="4">
        <f>(New!FK37*Sheet3!CB37+New!HX37*1000*N37*(New!DR37-E37)+Sheet3!CK37*'Cooling water'!CR37) / (New!FK37+'Cooling water'!CR37)</f>
        <v>29.3952612442644</v>
      </c>
      <c r="X37" s="4">
        <f>(New!FL37*Sheet3!CC37+New!HY37*1000*O37*(New!DS37-F37)+Sheet3!CL37*'Cooling water'!CS37) / (New!FL37+'Cooling water'!CS37)</f>
        <v>28.366941322412988</v>
      </c>
      <c r="Y37" s="4">
        <f>(New!FM37*Sheet3!CD37+New!HZ37*1000*P37*(New!DT37-G37)+Sheet3!CM37*'Cooling water'!CT37) / (New!FM37+'Cooling water'!CT37)</f>
        <v>27.532910299476317</v>
      </c>
      <c r="Z37" s="4">
        <f>(New!FN37*Sheet3!CE37+New!IA37*1000*Q37*(New!DU37-H37)+Sheet3!CN37*'Cooling water'!CU37) / (New!FN37+'Cooling water'!CU37)</f>
        <v>26.581382847549406</v>
      </c>
      <c r="AA37" s="4">
        <f>(New!FO37*Sheet3!CF37+New!IB37*1000*R37*(New!DV37-I37)+Sheet3!CO37*'Cooling water'!CV37) / (New!FO37+'Cooling water'!CV37)</f>
        <v>25.773580771990737</v>
      </c>
      <c r="AB37" s="4">
        <f>(New!FP37*Sheet3!CG37+New!IC37*1000*S37*(New!DW37-J37)+Sheet3!CP37*'Cooling water'!CW37) / (New!FP37+'Cooling water'!CW37)</f>
        <v>24.887983310650633</v>
      </c>
      <c r="AC37" s="245">
        <f t="shared" si="1"/>
        <v>28.222990250000002</v>
      </c>
      <c r="AD37" s="311">
        <v>31.983544999999999</v>
      </c>
      <c r="AE37" s="311">
        <v>30.876676</v>
      </c>
      <c r="AF37" s="311">
        <v>29.765505000000001</v>
      </c>
      <c r="AG37" s="311">
        <v>28.695609000000001</v>
      </c>
      <c r="AH37" s="311">
        <v>27.657530000000001</v>
      </c>
      <c r="AI37" s="311">
        <v>26.623059000000001</v>
      </c>
      <c r="AJ37" s="311">
        <v>25.609161</v>
      </c>
      <c r="AK37" s="311">
        <v>24.572837</v>
      </c>
      <c r="AL37" s="243">
        <f>AVERAGE(Sheet3!BR37:BY37)</f>
        <v>21.386227551967764</v>
      </c>
      <c r="AM37" s="183" cm="1">
        <f t="array" ref="AM37:AT37">TRANSPOSE('[40]Keithley Matavimai'!$W$6:$W$13)</f>
        <v>28.230187221073905</v>
      </c>
      <c r="AN37" s="183">
        <v>22.937915328040976</v>
      </c>
      <c r="AO37" s="183">
        <v>24.14918304268436</v>
      </c>
      <c r="AP37" s="183">
        <v>20.288161427331026</v>
      </c>
      <c r="AQ37" s="183">
        <v>21.178230729783582</v>
      </c>
      <c r="AR37" s="183">
        <v>20.941408444065107</v>
      </c>
      <c r="AS37" s="183">
        <v>19.695641550496084</v>
      </c>
      <c r="AT37" s="183">
        <v>13.669092672267073</v>
      </c>
      <c r="AU37" s="183">
        <f t="shared" si="2"/>
        <v>6.8367626980322385</v>
      </c>
      <c r="AX37" s="281"/>
      <c r="AY37" s="281"/>
      <c r="AZ37" s="281"/>
      <c r="BA37" s="281"/>
    </row>
    <row r="38" spans="1:53" ht="16.8" x14ac:dyDescent="0.3">
      <c r="A38" s="282" t="str">
        <f>Sheet3!A38</f>
        <v>28.12.2022</v>
      </c>
      <c r="B38" s="248">
        <f>EXP(New!$LP$6-((New!$LQ$6)/(AC38+New!$LP$8)))/New!$LS$2</f>
        <v>4.9854439107986766E-2</v>
      </c>
      <c r="C38" s="312">
        <f>EXP(New!$LP$6-((New!$LQ$6)/(AD38+New!$LP$8)))/New!$LS$2</f>
        <v>6.9270377453566498E-2</v>
      </c>
      <c r="D38" s="312">
        <f>EXP(New!$LP$6-((New!$LQ$6)/(AE38+New!$LP$8)))/New!$LS$2</f>
        <v>6.5057672908210282E-2</v>
      </c>
      <c r="E38" s="312">
        <f>EXP(New!$LP$6-((New!$LQ$6)/(AF38+New!$LP$8)))/New!$LS$2</f>
        <v>5.9911984576941954E-2</v>
      </c>
      <c r="F38" s="312">
        <f>EXP(New!$LP$6-((New!$LQ$6)/(AG38+New!$LP$8)))/New!$LS$2</f>
        <v>5.4314766594209155E-2</v>
      </c>
      <c r="G38" s="312">
        <f>EXP(New!$LP$6-((New!$LQ$6)/(AH38+New!$LP$8)))/New!$LS$2</f>
        <v>4.8534145296759389E-2</v>
      </c>
      <c r="H38" s="312">
        <f>EXP(New!$LP$6-((New!$LQ$6)/(AI38+New!$LP$8)))/New!$LS$2</f>
        <v>4.2782040144600103E-2</v>
      </c>
      <c r="I38" s="312">
        <f>EXP(New!$LP$6-((New!$LQ$6)/(AJ38+New!$LP$8)))/New!$LS$2</f>
        <v>3.7338042738283797E-2</v>
      </c>
      <c r="J38" s="312">
        <f>EXP(New!$LP$6-((New!$LQ$6)/(AK38+New!$LP$8)))/New!$LS$2</f>
        <v>3.2415918898249546E-2</v>
      </c>
      <c r="K38" s="245">
        <f>((New!FH38*New!$LP$3*LN((1-B38)/(1-New!DO38))) / (New!BV38*1000*New!$LQ$3*(1-B38-1+New!DO38)*New!B38^(2/3)))</f>
        <v>0.1047738028445713</v>
      </c>
      <c r="L38" s="4">
        <f>((New!FI38*New!$LP$3*LN((1-C38)/(1-New!DP38))) / (New!BW38*1000*New!$LQ$3*(1-C38-1+New!DP38)*New!C38^(2/3)))</f>
        <v>0.10570956241606773</v>
      </c>
      <c r="M38" s="4">
        <f>((New!FJ38*New!$LP$3*LN((1-D38)/(1-New!DQ38))) / (New!BX38*1000*New!$LQ$3*(1-D38-1+New!DQ38)*New!D38^(2/3)))</f>
        <v>0.10541644881283986</v>
      </c>
      <c r="N38" s="4">
        <f>((New!FK38*New!$LP$3*LN((1-E38)/(1-New!DR38))) / (New!BY38*1000*New!$LQ$3*(1-E38-1+New!DR38)*New!E38^(2/3)))</f>
        <v>0.10511343197126514</v>
      </c>
      <c r="O38" s="4">
        <f>((New!FL38*New!$LP$3*LN((1-F38)/(1-New!DS38))) / (New!BZ38*1000*New!$LQ$3*(1-F38-1+New!DS38)*New!F38^(2/3)))</f>
        <v>0.10476094166021804</v>
      </c>
      <c r="P38" s="4">
        <f>((New!FM38*New!$LP$3*LN((1-G38)/(1-New!DT38))) / (New!CA38*1000*New!$LQ$3*(1-G38-1+New!DT38)*New!G38^(2/3)))</f>
        <v>0.10443888703425694</v>
      </c>
      <c r="Q38" s="4">
        <f>((New!FN38*New!$LP$3*LN((1-H38)/(1-New!DU38))) / (New!CB38*1000*New!$LQ$3*(1-H38-1+New!DU38)*New!H38^(2/3)))</f>
        <v>0.10409644764696323</v>
      </c>
      <c r="R38" s="4">
        <f>((New!FO38*New!$LP$3*LN((1-I38)/(1-New!DV38))) / (New!CC38*1000*New!$LQ$3*(1-I38-1+New!DV38)*New!I38^(2/3)))</f>
        <v>0.10380826262289689</v>
      </c>
      <c r="S38" s="4">
        <f>((New!FP38*New!$LP$3*LN((1-J38)/(1-New!DW38))) / (New!CD38*1000*New!$LQ$3*(1-J38-1+New!DW38)*New!J38^(2/3)))</f>
        <v>0.10352134081955153</v>
      </c>
      <c r="T38" s="245">
        <f>(New!FH38*Sheet3!DF38+New!HU38*1000*K38*(New!DO38-B38)+'Cooling water'!CO38*'Cooling water'!B38) / (New!FH38+'Cooling water'!CO38)</f>
        <v>25.925870435657313</v>
      </c>
      <c r="U38" s="4">
        <f>(New!FI38*Sheet3!BZ38+New!HV38*1000*L38*(New!DP38-C38)+Sheet3!CI38*'Cooling water'!CP38) / (New!FI38+'Cooling water'!CP38)</f>
        <v>38.893718912431517</v>
      </c>
      <c r="V38" s="4">
        <f>(New!FJ38*Sheet3!CA38+New!HW38*1000*M38*(New!DQ38-D38)+Sheet3!CJ38*'Cooling water'!CQ38) / (New!FJ38+'Cooling water'!CQ38)</f>
        <v>37.984794211803134</v>
      </c>
      <c r="W38" s="4">
        <f>(New!FK38*Sheet3!CB38+New!HX38*1000*N38*(New!DR38-E38)+Sheet3!CK38*'Cooling water'!CR38) / (New!FK38+'Cooling water'!CR38)</f>
        <v>36.778290602793476</v>
      </c>
      <c r="X38" s="4">
        <f>(New!FL38*Sheet3!CC38+New!HY38*1000*O38*(New!DS38-F38)+Sheet3!CL38*'Cooling water'!CS38) / (New!FL38+'Cooling water'!CS38)</f>
        <v>35.154108797988428</v>
      </c>
      <c r="Y38" s="4">
        <f>(New!FM38*Sheet3!CD38+New!HZ38*1000*P38*(New!DT38-G38)+Sheet3!CM38*'Cooling water'!CT38) / (New!FM38+'Cooling water'!CT38)</f>
        <v>33.412283094243293</v>
      </c>
      <c r="Z38" s="4">
        <f>(New!FN38*Sheet3!CE38+New!IA38*1000*Q38*(New!DU38-H38)+Sheet3!CN38*'Cooling water'!CU38) / (New!FN38+'Cooling water'!CU38)</f>
        <v>31.316524251560278</v>
      </c>
      <c r="AA38" s="4">
        <f>(New!FO38*Sheet3!CF38+New!IB38*1000*R38*(New!DV38-I38)+Sheet3!CO38*'Cooling water'!CV38) / (New!FO38+'Cooling water'!CV38)</f>
        <v>29.153908951165079</v>
      </c>
      <c r="AB38" s="4">
        <f>(New!FP38*Sheet3!CG38+New!IC38*1000*S38*(New!DW38-J38)+Sheet3!CP38*'Cooling water'!CW38) / (New!FP38+'Cooling water'!CW38)</f>
        <v>26.784584539264298</v>
      </c>
      <c r="AC38" s="245">
        <f t="shared" si="1"/>
        <v>33.164299</v>
      </c>
      <c r="AD38" s="311">
        <v>39.127715999999999</v>
      </c>
      <c r="AE38" s="311">
        <v>37.969065999999998</v>
      </c>
      <c r="AF38" s="311">
        <v>36.462741999999999</v>
      </c>
      <c r="AG38" s="311">
        <v>34.691947999999996</v>
      </c>
      <c r="AH38" s="311">
        <v>32.689469000000003</v>
      </c>
      <c r="AI38" s="311">
        <v>30.480820999999999</v>
      </c>
      <c r="AJ38" s="311">
        <v>28.139707000000001</v>
      </c>
      <c r="AK38" s="311">
        <v>25.752922999999999</v>
      </c>
      <c r="AL38" s="243">
        <f>AVERAGE(Sheet3!BR38:BY38)</f>
        <v>36.149425996537218</v>
      </c>
      <c r="AM38" s="183" cm="1">
        <f t="array" ref="AM38:AT38">TRANSPOSE('[7]Keithley Matavimai'!$W$6:$W$13)</f>
        <v>44.562302913929251</v>
      </c>
      <c r="AN38" s="183">
        <v>40.462714326735799</v>
      </c>
      <c r="AO38" s="183">
        <v>39.032658613483555</v>
      </c>
      <c r="AP38" s="183">
        <v>34.876464131126113</v>
      </c>
      <c r="AQ38" s="183">
        <v>34.662884699235526</v>
      </c>
      <c r="AR38" s="183">
        <v>34.213748163336028</v>
      </c>
      <c r="AS38" s="183">
        <v>32.36508752236162</v>
      </c>
      <c r="AT38" s="183">
        <v>29.019547602089883</v>
      </c>
      <c r="AU38" s="183">
        <f t="shared" si="2"/>
        <v>-2.9851269965372182</v>
      </c>
      <c r="AX38" s="281"/>
      <c r="AY38" s="281"/>
      <c r="AZ38" s="281"/>
      <c r="BA38" s="281"/>
    </row>
    <row r="39" spans="1:53" ht="16.8" x14ac:dyDescent="0.3">
      <c r="A39" s="282" t="str">
        <f>Sheet3!A39</f>
        <v>28.12.2022</v>
      </c>
      <c r="B39" s="248">
        <f>EXP(New!$LP$6-((New!$LQ$6)/(AC39+New!$LP$8)))/New!$LS$2</f>
        <v>4.2859450034929338E-2</v>
      </c>
      <c r="C39" s="312">
        <f>EXP(New!$LP$6-((New!$LQ$6)/(AD39+New!$LP$8)))/New!$LS$2</f>
        <v>5.4837877466548404E-2</v>
      </c>
      <c r="D39" s="312">
        <f>EXP(New!$LP$6-((New!$LQ$6)/(AE39+New!$LP$8)))/New!$LS$2</f>
        <v>5.1022018608798715E-2</v>
      </c>
      <c r="E39" s="312">
        <f>EXP(New!$LP$6-((New!$LQ$6)/(AF39+New!$LP$8)))/New!$LS$2</f>
        <v>4.7420338195657386E-2</v>
      </c>
      <c r="F39" s="312">
        <f>EXP(New!$LP$6-((New!$LQ$6)/(AG39+New!$LP$8)))/New!$LS$2</f>
        <v>4.4161353625384391E-2</v>
      </c>
      <c r="G39" s="312">
        <f>EXP(New!$LP$6-((New!$LQ$6)/(AH39+New!$LP$8)))/New!$LS$2</f>
        <v>4.1153037273991284E-2</v>
      </c>
      <c r="H39" s="312">
        <f>EXP(New!$LP$6-((New!$LQ$6)/(AI39+New!$LP$8)))/New!$LS$2</f>
        <v>3.8547273696419547E-2</v>
      </c>
      <c r="I39" s="312">
        <f>EXP(New!$LP$6-((New!$LQ$6)/(AJ39+New!$LP$8)))/New!$LS$2</f>
        <v>3.6036061410081491E-2</v>
      </c>
      <c r="J39" s="312">
        <f>EXP(New!$LP$6-((New!$LQ$6)/(AK39+New!$LP$8)))/New!$LS$2</f>
        <v>3.3524199902581112E-2</v>
      </c>
      <c r="K39" s="245">
        <f>((New!FH39*New!$LP$3*LN((1-B39)/(1-New!DO39))) / (New!BV39*1000*New!$LQ$3*(1-B39-1+New!DO39)*New!B39^(2/3)))</f>
        <v>0.10798921590611481</v>
      </c>
      <c r="L39" s="4">
        <f>((New!FI39*New!$LP$3*LN((1-C39)/(1-New!DP39))) / (New!BW39*1000*New!$LQ$3*(1-C39-1+New!DP39)*New!C39^(2/3)))</f>
        <v>0.10867133193057217</v>
      </c>
      <c r="M39" s="4">
        <f>((New!FJ39*New!$LP$3*LN((1-D39)/(1-New!DQ39))) / (New!BX39*1000*New!$LQ$3*(1-D39-1+New!DQ39)*New!D39^(2/3)))</f>
        <v>0.108332951500775</v>
      </c>
      <c r="N39" s="4">
        <f>((New!FK39*New!$LP$3*LN((1-E39)/(1-New!DR39))) / (New!BY39*1000*New!$LQ$3*(1-E39-1+New!DR39)*New!E39^(2/3)))</f>
        <v>0.10803738426858663</v>
      </c>
      <c r="O39" s="4">
        <f>((New!FL39*New!$LP$3*LN((1-F39)/(1-New!DS39))) / (New!BZ39*1000*New!$LQ$3*(1-F39-1+New!DS39)*New!F39^(2/3)))</f>
        <v>0.10775072673329754</v>
      </c>
      <c r="P39" s="4">
        <f>((New!FM39*New!$LP$3*LN((1-G39)/(1-New!DT39))) / (New!CA39*1000*New!$LQ$3*(1-G39-1+New!DT39)*New!G39^(2/3)))</f>
        <v>0.1075232821704897</v>
      </c>
      <c r="Q39" s="4">
        <f>((New!FN39*New!$LP$3*LN((1-H39)/(1-New!DU39))) / (New!CB39*1000*New!$LQ$3*(1-H39-1+New!DU39)*New!H39^(2/3)))</f>
        <v>0.10729901356662268</v>
      </c>
      <c r="R39" s="4">
        <f>((New!FO39*New!$LP$3*LN((1-I39)/(1-New!DV39))) / (New!CC39*1000*New!$LQ$3*(1-I39-1+New!DV39)*New!I39^(2/3)))</f>
        <v>0.10713528657098323</v>
      </c>
      <c r="S39" s="4">
        <f>((New!FP39*New!$LP$3*LN((1-J39)/(1-New!DW39))) / (New!CD39*1000*New!$LQ$3*(1-J39-1+New!DW39)*New!J39^(2/3)))</f>
        <v>0.10691684673068193</v>
      </c>
      <c r="T39" s="245">
        <f>(New!FH39*Sheet3!DF39+New!HU39*1000*K39*(New!DO39-B39)+'Cooling water'!CO39*'Cooling water'!B39) / (New!FH39+'Cooling water'!CO39)</f>
        <v>27.807678125320056</v>
      </c>
      <c r="U39" s="4">
        <f>(New!FI39*Sheet3!BZ39+New!HV39*1000*L39*(New!DP39-C39)+Sheet3!CI39*'Cooling water'!CP39) / (New!FI39+'Cooling water'!CP39)</f>
        <v>34.349013257742939</v>
      </c>
      <c r="V39" s="4">
        <f>(New!FJ39*Sheet3!CA39+New!HW39*1000*M39*(New!DQ39-D39)+Sheet3!CJ39*'Cooling water'!CQ39) / (New!FJ39+'Cooling water'!CQ39)</f>
        <v>33.127303132823954</v>
      </c>
      <c r="W39" s="4">
        <f>(New!FK39*Sheet3!CB39+New!HX39*1000*N39*(New!DR39-E39)+Sheet3!CK39*'Cooling water'!CR39) / (New!FK39+'Cooling water'!CR39)</f>
        <v>31.934373814969135</v>
      </c>
      <c r="X39" s="4">
        <f>(New!FL39*Sheet3!CC39+New!HY39*1000*O39*(New!DS39-F39)+Sheet3!CL39*'Cooling water'!CS39) / (New!FL39+'Cooling water'!CS39)</f>
        <v>30.763818191244585</v>
      </c>
      <c r="Y39" s="4">
        <f>(New!FM39*Sheet3!CD39+New!HZ39*1000*P39*(New!DT39-G39)+Sheet3!CM39*'Cooling water'!CT39) / (New!FM39+'Cooling water'!CT39)</f>
        <v>29.681667677458627</v>
      </c>
      <c r="Z39" s="4">
        <f>(New!FN39*Sheet3!CE39+New!IA39*1000*Q39*(New!DU39-H39)+Sheet3!CN39*'Cooling water'!CU39) / (New!FN39+'Cooling water'!CU39)</f>
        <v>28.558356644198735</v>
      </c>
      <c r="AA39" s="4">
        <f>(New!FO39*Sheet3!CF39+New!IB39*1000*R39*(New!DV39-I39)+Sheet3!CO39*'Cooling water'!CV39) / (New!FO39+'Cooling water'!CV39)</f>
        <v>27.65507768919289</v>
      </c>
      <c r="AB39" s="4">
        <f>(New!FP39*Sheet3!CG39+New!IC39*1000*S39*(New!DW39-J39)+Sheet3!CP39*'Cooling water'!CW39) / (New!FP39+'Cooling water'!CW39)</f>
        <v>26.536572197844304</v>
      </c>
      <c r="AC39" s="245">
        <f t="shared" si="1"/>
        <v>30.51220575</v>
      </c>
      <c r="AD39" s="311">
        <v>34.863948000000001</v>
      </c>
      <c r="AE39" s="311">
        <v>33.575245000000002</v>
      </c>
      <c r="AF39" s="311">
        <v>32.280144</v>
      </c>
      <c r="AG39" s="311">
        <v>31.032833</v>
      </c>
      <c r="AH39" s="311">
        <v>29.808699000000001</v>
      </c>
      <c r="AI39" s="311">
        <v>28.684104000000001</v>
      </c>
      <c r="AJ39" s="311">
        <v>27.536208999999999</v>
      </c>
      <c r="AK39" s="311">
        <v>26.316464</v>
      </c>
      <c r="AL39" s="243">
        <f>AVERAGE(Sheet3!BR39:BY39)</f>
        <v>23.493533173808533</v>
      </c>
      <c r="AM39" s="183" cm="1">
        <f t="array" ref="AM39:AT39">TRANSPOSE('[9]Keithley Matavimai'!$W$6:$W$13)</f>
        <v>44.798946742641029</v>
      </c>
      <c r="AN39" s="183">
        <v>40.491391159799036</v>
      </c>
      <c r="AO39" s="183">
        <v>39.208686718534722</v>
      </c>
      <c r="AP39" s="183">
        <v>34.839913096549488</v>
      </c>
      <c r="AQ39" s="183">
        <v>34.704001956410714</v>
      </c>
      <c r="AR39" s="183">
        <v>34.392226275168071</v>
      </c>
      <c r="AS39" s="183">
        <v>32.514109013521313</v>
      </c>
      <c r="AT39" s="183">
        <v>28.946163382929218</v>
      </c>
      <c r="AU39" s="183">
        <f t="shared" si="2"/>
        <v>7.0186725761914666</v>
      </c>
      <c r="AX39" s="281"/>
      <c r="AY39" s="281"/>
      <c r="AZ39" s="281"/>
      <c r="BA39" s="281"/>
    </row>
    <row r="40" spans="1:53" ht="16.8" x14ac:dyDescent="0.3">
      <c r="A40" s="282" t="str">
        <f>Sheet3!A40</f>
        <v>29.12.2022</v>
      </c>
      <c r="B40" s="248">
        <f>EXP(New!$LP$6-((New!$LQ$6)/(AC40+New!$LP$8)))/New!$LS$2</f>
        <v>5.5427130935872121E-2</v>
      </c>
      <c r="C40" s="312">
        <f>EXP(New!$LP$6-((New!$LQ$6)/(AD40+New!$LP$8)))/New!$LS$2</f>
        <v>7.5816730291460036E-2</v>
      </c>
      <c r="D40" s="312">
        <f>EXP(New!$LP$6-((New!$LQ$6)/(AE40+New!$LP$8)))/New!$LS$2</f>
        <v>6.9796989141467161E-2</v>
      </c>
      <c r="E40" s="312">
        <f>EXP(New!$LP$6-((New!$LQ$6)/(AF40+New!$LP$8)))/New!$LS$2</f>
        <v>6.3994665982046089E-2</v>
      </c>
      <c r="F40" s="312">
        <f>EXP(New!$LP$6-((New!$LQ$6)/(AG40+New!$LP$8)))/New!$LS$2</f>
        <v>5.8474242867469106E-2</v>
      </c>
      <c r="G40" s="312">
        <f>EXP(New!$LP$6-((New!$LQ$6)/(AH40+New!$LP$8)))/New!$LS$2</f>
        <v>5.3286697970377557E-2</v>
      </c>
      <c r="H40" s="312">
        <f>EXP(New!$LP$6-((New!$LQ$6)/(AI40+New!$LP$8)))/New!$LS$2</f>
        <v>4.8281990893480953E-2</v>
      </c>
      <c r="I40" s="312">
        <f>EXP(New!$LP$6-((New!$LQ$6)/(AJ40+New!$LP$8)))/New!$LS$2</f>
        <v>4.3545489791032448E-2</v>
      </c>
      <c r="J40" s="312">
        <f>EXP(New!$LP$6-((New!$LQ$6)/(AK40+New!$LP$8)))/New!$LS$2</f>
        <v>3.9133367293540548E-2</v>
      </c>
      <c r="K40" s="245">
        <f>((New!FH40*New!$LP$3*LN((1-B40)/(1-New!DO40))) / (New!BV40*1000*New!$LQ$3*(1-B40-1+New!DO40)*New!B40^(2/3)))</f>
        <v>4.5587124779848193E-2</v>
      </c>
      <c r="L40" s="4">
        <f>((New!FI40*New!$LP$3*LN((1-C40)/(1-New!DP40))) / (New!BW40*1000*New!$LQ$3*(1-C40-1+New!DP40)*New!C40^(2/3)))</f>
        <v>4.6093973995263562E-2</v>
      </c>
      <c r="M40" s="4">
        <f>((New!FJ40*New!$LP$3*LN((1-D40)/(1-New!DQ40))) / (New!BX40*1000*New!$LQ$3*(1-D40-1+New!DQ40)*New!D40^(2/3)))</f>
        <v>4.5902489314856375E-2</v>
      </c>
      <c r="N40" s="4">
        <f>((New!FK40*New!$LP$3*LN((1-E40)/(1-New!DR40))) / (New!BY40*1000*New!$LQ$3*(1-E40-1+New!DR40)*New!E40^(2/3)))</f>
        <v>4.577449574449332E-2</v>
      </c>
      <c r="O40" s="4">
        <f>((New!FL40*New!$LP$3*LN((1-F40)/(1-New!DS40))) / (New!BZ40*1000*New!$LQ$3*(1-F40-1+New!DS40)*New!F40^(2/3)))</f>
        <v>4.5612277427114795E-2</v>
      </c>
      <c r="P40" s="4">
        <f>((New!FM40*New!$LP$3*LN((1-G40)/(1-New!DT40))) / (New!CA40*1000*New!$LQ$3*(1-G40-1+New!DT40)*New!G40^(2/3)))</f>
        <v>4.5498156128244961E-2</v>
      </c>
      <c r="Q40" s="4">
        <f>((New!FN40*New!$LP$3*LN((1-H40)/(1-New!DU40))) / (New!CB40*1000*New!$LQ$3*(1-H40-1+New!DU40)*New!H40^(2/3)))</f>
        <v>4.5340710584757617E-2</v>
      </c>
      <c r="R40" s="4">
        <f>((New!FO40*New!$LP$3*LN((1-I40)/(1-New!DV40))) / (New!CC40*1000*New!$LQ$3*(1-I40-1+New!DV40)*New!I40^(2/3)))</f>
        <v>4.5247382488548926E-2</v>
      </c>
      <c r="S40" s="4">
        <f>((New!FP40*New!$LP$3*LN((1-J40)/(1-New!DW40))) / (New!CD40*1000*New!$LQ$3*(1-J40-1+New!DW40)*New!J40^(2/3)))</f>
        <v>4.5110558540560647E-2</v>
      </c>
      <c r="T40" s="245">
        <f>(New!FH40*Sheet3!DF40+New!HU40*1000*K40*(New!DO40-B40)+'Cooling water'!CO40*'Cooling water'!B40) / (New!FH40+'Cooling water'!CO40)</f>
        <v>36.871184041886664</v>
      </c>
      <c r="U40" s="4">
        <f>(New!FI40*Sheet3!BZ40+New!HV40*1000*L40*(New!DP40-C40)+Sheet3!CI40*'Cooling water'!CP40) / (New!FI40+'Cooling water'!CP40)</f>
        <v>46.607832168405807</v>
      </c>
      <c r="V40" s="4">
        <f>(New!FJ40*Sheet3!CA40+New!HW40*1000*M40*(New!DQ40-D40)+Sheet3!CJ40*'Cooling water'!CQ40) / (New!FJ40+'Cooling water'!CQ40)</f>
        <v>45.381087034877524</v>
      </c>
      <c r="W40" s="4">
        <f>(New!FK40*Sheet3!CB40+New!HX40*1000*N40*(New!DR40-E40)+Sheet3!CK40*'Cooling water'!CR40) / (New!FK40+'Cooling water'!CR40)</f>
        <v>44.458773870469216</v>
      </c>
      <c r="X40" s="4">
        <f>(New!FL40*Sheet3!CC40+New!HY40*1000*O40*(New!DS40-F40)+Sheet3!CL40*'Cooling water'!CS40) / (New!FL40+'Cooling water'!CS40)</f>
        <v>43.192831817518176</v>
      </c>
      <c r="Y40" s="4">
        <f>(New!FM40*Sheet3!CD40+New!HZ40*1000*P40*(New!DT40-G40)+Sheet3!CM40*'Cooling water'!CT40) / (New!FM40+'Cooling water'!CT40)</f>
        <v>42.256979124778155</v>
      </c>
      <c r="Z40" s="4">
        <f>(New!FN40*Sheet3!CE40+New!IA40*1000*Q40*(New!DU40-H40)+Sheet3!CN40*'Cooling water'!CU40) / (New!FN40+'Cooling water'!CU40)</f>
        <v>40.975692922733202</v>
      </c>
      <c r="AA40" s="4">
        <f>(New!FO40*Sheet3!CF40+New!IB40*1000*R40*(New!DV40-I40)+Sheet3!CO40*'Cooling water'!CV40) / (New!FO40+'Cooling water'!CV40)</f>
        <v>39.868690314791763</v>
      </c>
      <c r="AB40" s="4">
        <f>(New!FP40*Sheet3!CG40+New!IC40*1000*S40*(New!DW40-J40)+Sheet3!CP40*'Cooling water'!CW40) / (New!FP40+'Cooling water'!CW40)</f>
        <v>38.500702681314735</v>
      </c>
      <c r="AC40" s="245">
        <f t="shared" si="1"/>
        <v>35.056009125000003</v>
      </c>
      <c r="AD40" s="311">
        <v>40.813217999999999</v>
      </c>
      <c r="AE40" s="311">
        <v>39.268259999999998</v>
      </c>
      <c r="AF40" s="311">
        <v>37.666514999999997</v>
      </c>
      <c r="AG40" s="311">
        <v>36.02196</v>
      </c>
      <c r="AH40" s="311">
        <v>34.349710999999999</v>
      </c>
      <c r="AI40" s="311">
        <v>32.597518000000001</v>
      </c>
      <c r="AJ40" s="311">
        <v>30.788229000000001</v>
      </c>
      <c r="AK40" s="311">
        <v>28.942661999999999</v>
      </c>
      <c r="AL40" s="243">
        <f>AVERAGE(Sheet3!BR40:BY40)</f>
        <v>27.510057768474837</v>
      </c>
      <c r="AM40" s="183" cm="1">
        <f t="array" ref="AM40:AT40">TRANSPOSE('[44]Keithley Matavimai'!$W$6:$W$13)</f>
        <v>35.190037675261117</v>
      </c>
      <c r="AN40" s="183">
        <v>33.366730388611892</v>
      </c>
      <c r="AO40" s="183">
        <v>30.26773466895359</v>
      </c>
      <c r="AP40" s="183">
        <v>27.895323544378158</v>
      </c>
      <c r="AQ40" s="183">
        <v>26.167558332450142</v>
      </c>
      <c r="AR40" s="183">
        <v>24.673013007756737</v>
      </c>
      <c r="AS40" s="183">
        <v>22.850148971866215</v>
      </c>
      <c r="AT40" s="183">
        <v>19.669915558520845</v>
      </c>
      <c r="AU40" s="183">
        <f t="shared" si="2"/>
        <v>7.5459513565251655</v>
      </c>
      <c r="AX40" s="281"/>
      <c r="AY40" s="281"/>
      <c r="AZ40" s="281"/>
      <c r="BA40" s="281"/>
    </row>
    <row r="41" spans="1:53" ht="16.8" x14ac:dyDescent="0.3">
      <c r="A41" s="282" t="str">
        <f>Sheet3!A41</f>
        <v>30.12.2022</v>
      </c>
      <c r="B41" s="248">
        <f>EXP(New!$LP$6-((New!$LQ$6)/(AC41+New!$LP$8)))/New!$LS$2</f>
        <v>5.922204385448776E-2</v>
      </c>
      <c r="C41" s="312">
        <f>EXP(New!$LP$6-((New!$LQ$6)/(AD41+New!$LP$8)))/New!$LS$2</f>
        <v>8.3271682990947726E-2</v>
      </c>
      <c r="D41" s="312">
        <f>EXP(New!$LP$6-((New!$LQ$6)/(AE41+New!$LP$8)))/New!$LS$2</f>
        <v>7.5742396953775909E-2</v>
      </c>
      <c r="E41" s="312">
        <f>EXP(New!$LP$6-((New!$LQ$6)/(AF41+New!$LP$8)))/New!$LS$2</f>
        <v>6.8763277683072138E-2</v>
      </c>
      <c r="F41" s="312">
        <f>EXP(New!$LP$6-((New!$LQ$6)/(AG41+New!$LP$8)))/New!$LS$2</f>
        <v>6.2470852528531552E-2</v>
      </c>
      <c r="G41" s="312">
        <f>EXP(New!$LP$6-((New!$LQ$6)/(AH41+New!$LP$8)))/New!$LS$2</f>
        <v>5.6644464729561222E-2</v>
      </c>
      <c r="H41" s="312">
        <f>EXP(New!$LP$6-((New!$LQ$6)/(AI41+New!$LP$8)))/New!$LS$2</f>
        <v>5.1054483472053991E-2</v>
      </c>
      <c r="I41" s="312">
        <f>EXP(New!$LP$6-((New!$LQ$6)/(AJ41+New!$LP$8)))/New!$LS$2</f>
        <v>4.5812707998652766E-2</v>
      </c>
      <c r="J41" s="312">
        <f>EXP(New!$LP$6-((New!$LQ$6)/(AK41+New!$LP$8)))/New!$LS$2</f>
        <v>4.0924551192712856E-2</v>
      </c>
      <c r="K41" s="245">
        <f>((New!FH41*New!$LP$3*LN((1-B41)/(1-New!DO41))) / (New!BV41*1000*New!$LQ$3*(1-B41-1+New!DO41)*New!B41^(2/3)))</f>
        <v>4.5989438691977386E-2</v>
      </c>
      <c r="L41" s="4">
        <f>((New!FI41*New!$LP$3*LN((1-C41)/(1-New!DP41))) / (New!BW41*1000*New!$LQ$3*(1-C41-1+New!DP41)*New!C41^(2/3)))</f>
        <v>4.6586927815305941E-2</v>
      </c>
      <c r="M41" s="4">
        <f>((New!FJ41*New!$LP$3*LN((1-D41)/(1-New!DQ41))) / (New!BX41*1000*New!$LQ$3*(1-D41-1+New!DQ41)*New!D41^(2/3)))</f>
        <v>4.6359781515454467E-2</v>
      </c>
      <c r="N41" s="4">
        <f>((New!FK41*New!$LP$3*LN((1-E41)/(1-New!DR41))) / (New!BY41*1000*New!$LQ$3*(1-E41-1+New!DR41)*New!E41^(2/3)))</f>
        <v>4.6194261926123074E-2</v>
      </c>
      <c r="O41" s="4">
        <f>((New!FL41*New!$LP$3*LN((1-F41)/(1-New!DS41))) / (New!BZ41*1000*New!$LQ$3*(1-F41-1+New!DS41)*New!F41^(2/3)))</f>
        <v>4.6001997750616322E-2</v>
      </c>
      <c r="P41" s="4">
        <f>((New!FM41*New!$LP$3*LN((1-G41)/(1-New!DT41))) / (New!CA41*1000*New!$LQ$3*(1-G41-1+New!DT41)*New!G41^(2/3)))</f>
        <v>4.586670930408062E-2</v>
      </c>
      <c r="Q41" s="4">
        <f>((New!FN41*New!$LP$3*LN((1-H41)/(1-New!DU41))) / (New!CB41*1000*New!$LQ$3*(1-H41-1+New!DU41)*New!H41^(2/3)))</f>
        <v>4.5699859083848431E-2</v>
      </c>
      <c r="R41" s="4">
        <f>((New!FO41*New!$LP$3*LN((1-I41)/(1-New!DV41))) / (New!CC41*1000*New!$LQ$3*(1-I41-1+New!DV41)*New!I41^(2/3)))</f>
        <v>4.5589638772905255E-2</v>
      </c>
      <c r="S41" s="4">
        <f>((New!FP41*New!$LP$3*LN((1-J41)/(1-New!DW41))) / (New!CD41*1000*New!$LQ$3*(1-J41-1+New!DW41)*New!J41^(2/3)))</f>
        <v>4.544800723471043E-2</v>
      </c>
      <c r="T41" s="245">
        <f>(New!FH41*Sheet3!DF41+New!HU41*1000*K41*(New!DO41-B41)+'Cooling water'!CO41*'Cooling water'!B41) / (New!FH41+'Cooling water'!CO41)</f>
        <v>38.968857641702492</v>
      </c>
      <c r="U41" s="4">
        <f>(New!FI41*Sheet3!BZ41+New!HV41*1000*L41*(New!DP41-C41)+Sheet3!CI41*'Cooling water'!CP41) / (New!FI41+'Cooling water'!CP41)</f>
        <v>49.1571449160162</v>
      </c>
      <c r="V41" s="4">
        <f>(New!FJ41*Sheet3!CA41+New!HW41*1000*M41*(New!DQ41-D41)+Sheet3!CJ41*'Cooling water'!CQ41) / (New!FJ41+'Cooling water'!CQ41)</f>
        <v>47.607817349981801</v>
      </c>
      <c r="W41" s="4">
        <f>(New!FK41*Sheet3!CB41+New!HX41*1000*N41*(New!DR41-E41)+Sheet3!CK41*'Cooling water'!CR41) / (New!FK41+'Cooling water'!CR41)</f>
        <v>46.390140851467081</v>
      </c>
      <c r="X41" s="4">
        <f>(New!FL41*Sheet3!CC41+New!HY41*1000*O41*(New!DS41-F41)+Sheet3!CL41*'Cooling water'!CS41) / (New!FL41+'Cooling water'!CS41)</f>
        <v>44.842464939852398</v>
      </c>
      <c r="Y41" s="4">
        <f>(New!FM41*Sheet3!CD41+New!HZ41*1000*P41*(New!DT41-G41)+Sheet3!CM41*'Cooling water'!CT41) / (New!FM41+'Cooling water'!CT41)</f>
        <v>43.809543203836739</v>
      </c>
      <c r="Z41" s="4">
        <f>(New!FN41*Sheet3!CE41+New!IA41*1000*Q41*(New!DU41-H41)+Sheet3!CN41*'Cooling water'!CU41) / (New!FN41+'Cooling water'!CU41)</f>
        <v>42.336379306995305</v>
      </c>
      <c r="AA41" s="4">
        <f>(New!FO41*Sheet3!CF41+New!IB41*1000*R41*(New!DV41-I41)+Sheet3!CO41*'Cooling water'!CV41) / (New!FO41+'Cooling water'!CV41)</f>
        <v>41.114579949048917</v>
      </c>
      <c r="AB41" s="4">
        <f>(New!FP41*Sheet3!CG41+New!IC41*1000*S41*(New!DW41-J41)+Sheet3!CP41*'Cooling water'!CW41) / (New!FP41+'Cooling water'!CW41)</f>
        <v>39.562190266346285</v>
      </c>
      <c r="AC41" s="245">
        <f t="shared" si="1"/>
        <v>36.25237150000001</v>
      </c>
      <c r="AD41" s="311">
        <v>42.586632000000002</v>
      </c>
      <c r="AE41" s="311">
        <v>40.794794000000003</v>
      </c>
      <c r="AF41" s="311">
        <v>38.991508000000003</v>
      </c>
      <c r="AG41" s="311">
        <v>37.225172999999998</v>
      </c>
      <c r="AH41" s="311">
        <v>35.447274</v>
      </c>
      <c r="AI41" s="311">
        <v>33.586554999999997</v>
      </c>
      <c r="AJ41" s="311">
        <v>31.674443</v>
      </c>
      <c r="AK41" s="311">
        <v>29.712592999999998</v>
      </c>
      <c r="AL41" s="243">
        <f>AVERAGE(Sheet3!BR41:BY41)</f>
        <v>28.308289257463468</v>
      </c>
      <c r="AM41" s="183" cm="1">
        <f t="array" ref="AM41:AT41">TRANSPOSE('[45]Keithley Matavimai'!$W$6:$W$13)</f>
        <v>36.699890016327238</v>
      </c>
      <c r="AN41" s="183">
        <v>34.155965366725347</v>
      </c>
      <c r="AO41" s="183">
        <v>31.509454201572364</v>
      </c>
      <c r="AP41" s="183">
        <v>28.75215975912792</v>
      </c>
      <c r="AQ41" s="183">
        <v>26.86113510305832</v>
      </c>
      <c r="AR41" s="183">
        <v>25.2793659291662</v>
      </c>
      <c r="AS41" s="183">
        <v>23.148076655977921</v>
      </c>
      <c r="AT41" s="183">
        <v>20.060267027752417</v>
      </c>
      <c r="AU41" s="183">
        <f t="shared" si="2"/>
        <v>7.9440822425365418</v>
      </c>
      <c r="AX41" s="281"/>
      <c r="AY41" s="281"/>
      <c r="AZ41" s="281"/>
      <c r="BA41" s="281"/>
    </row>
    <row r="42" spans="1:53" ht="16.8" x14ac:dyDescent="0.3">
      <c r="A42" s="282" t="str">
        <f>Sheet3!A42</f>
        <v>03.01.2023</v>
      </c>
      <c r="B42" s="248">
        <f>EXP(New!$LP$6-((New!$LQ$6)/(AC42+New!$LP$8)))/New!$LS$2</f>
        <v>6.3515147159687646E-2</v>
      </c>
      <c r="C42" s="312">
        <f>EXP(New!$LP$6-((New!$LQ$6)/(AD42+New!$LP$8)))/New!$LS$2</f>
        <v>8.9957371233699152E-2</v>
      </c>
      <c r="D42" s="312">
        <f>EXP(New!$LP$6-((New!$LQ$6)/(AE42+New!$LP$8)))/New!$LS$2</f>
        <v>8.1713467345407104E-2</v>
      </c>
      <c r="E42" s="312">
        <f>EXP(New!$LP$6-((New!$LQ$6)/(AF42+New!$LP$8)))/New!$LS$2</f>
        <v>7.4003294858367652E-2</v>
      </c>
      <c r="F42" s="312">
        <f>EXP(New!$LP$6-((New!$LQ$6)/(AG42+New!$LP$8)))/New!$LS$2</f>
        <v>6.7138833303910073E-2</v>
      </c>
      <c r="G42" s="312">
        <f>EXP(New!$LP$6-((New!$LQ$6)/(AH42+New!$LP$8)))/New!$LS$2</f>
        <v>6.0761804214926329E-2</v>
      </c>
      <c r="H42" s="312">
        <f>EXP(New!$LP$6-((New!$LQ$6)/(AI42+New!$LP$8)))/New!$LS$2</f>
        <v>5.4725790313694851E-2</v>
      </c>
      <c r="I42" s="312">
        <f>EXP(New!$LP$6-((New!$LQ$6)/(AJ42+New!$LP$8)))/New!$LS$2</f>
        <v>4.8877109896025568E-2</v>
      </c>
      <c r="J42" s="312">
        <f>EXP(New!$LP$6-((New!$LQ$6)/(AK42+New!$LP$8)))/New!$LS$2</f>
        <v>4.3245728196071219E-2</v>
      </c>
      <c r="K42" s="245">
        <f>((New!FH42*New!$LP$3*LN((1-B42)/(1-New!DO42))) / (New!BV42*1000*New!$LQ$3*(1-B42-1+New!DO42)*New!B42^(2/3)))</f>
        <v>4.7746297249940353E-2</v>
      </c>
      <c r="L42" s="4">
        <f>((New!FI42*New!$LP$3*LN((1-C42)/(1-New!DP42))) / (New!BW42*1000*New!$LQ$3*(1-C42-1+New!DP42)*New!C42^(2/3)))</f>
        <v>4.8439835288546639E-2</v>
      </c>
      <c r="M42" s="4">
        <f>((New!FJ42*New!$LP$3*LN((1-D42)/(1-New!DQ42))) / (New!BX42*1000*New!$LQ$3*(1-D42-1+New!DQ42)*New!D42^(2/3)))</f>
        <v>4.8168184575505466E-2</v>
      </c>
      <c r="N42" s="4">
        <f>((New!FK42*New!$LP$3*LN((1-E42)/(1-New!DR42))) / (New!BY42*1000*New!$LQ$3*(1-E42-1+New!DR42)*New!E42^(2/3)))</f>
        <v>4.7960938811692284E-2</v>
      </c>
      <c r="O42" s="4">
        <f>((New!FL42*New!$LP$3*LN((1-F42)/(1-New!DS42))) / (New!BZ42*1000*New!$LQ$3*(1-F42-1+New!DS42)*New!F42^(2/3)))</f>
        <v>4.7736243096202377E-2</v>
      </c>
      <c r="P42" s="4">
        <f>((New!FM42*New!$LP$3*LN((1-G42)/(1-New!DT42))) / (New!CA42*1000*New!$LQ$3*(1-G42-1+New!DT42)*New!G42^(2/3)))</f>
        <v>4.7575229877964156E-2</v>
      </c>
      <c r="Q42" s="4">
        <f>((New!FN42*New!$LP$3*LN((1-H42)/(1-New!DU42))) / (New!CB42*1000*New!$LQ$3*(1-H42-1+New!DU42)*New!H42^(2/3)))</f>
        <v>4.7386042273350255E-2</v>
      </c>
      <c r="R42" s="4">
        <f>((New!FO42*New!$LP$3*LN((1-I42)/(1-New!DV42))) / (New!CC42*1000*New!$LQ$3*(1-I42-1+New!DV42)*New!I42^(2/3)))</f>
        <v>4.7248079442073369E-2</v>
      </c>
      <c r="S42" s="4">
        <f>((New!FP42*New!$LP$3*LN((1-J42)/(1-New!DW42))) / (New!CD42*1000*New!$LQ$3*(1-J42-1+New!DW42)*New!J42^(2/3)))</f>
        <v>4.7079794585608348E-2</v>
      </c>
      <c r="T42" s="245">
        <f>(New!FH42*Sheet3!DF42+New!HU42*1000*K42*(New!DO42-B42)+'Cooling water'!CO42*'Cooling water'!B42) / (New!FH42+'Cooling water'!CO42)</f>
        <v>41.854303271017173</v>
      </c>
      <c r="U42" s="4">
        <f>(New!FI42*Sheet3!BZ42+New!HV42*1000*L42*(New!DP42-C42)+Sheet3!CI42*'Cooling water'!CP42) / (New!FI42+'Cooling water'!CP42)</f>
        <v>51.680624886179423</v>
      </c>
      <c r="V42" s="4">
        <f>(New!FJ42*Sheet3!CA42+New!HW42*1000*M42*(New!DQ42-D42)+Sheet3!CJ42*'Cooling water'!CQ42) / (New!FJ42+'Cooling water'!CQ42)</f>
        <v>50.019043123148769</v>
      </c>
      <c r="W42" s="4">
        <f>(New!FK42*Sheet3!CB42+New!HX42*1000*N42*(New!DR42-E42)+Sheet3!CK42*'Cooling water'!CR42) / (New!FK42+'Cooling water'!CR42)</f>
        <v>48.669008476372142</v>
      </c>
      <c r="X42" s="4">
        <f>(New!FL42*Sheet3!CC42+New!HY42*1000*O42*(New!DS42-F42)+Sheet3!CL42*'Cooling water'!CS42) / (New!FL42+'Cooling water'!CS42)</f>
        <v>46.978240042713381</v>
      </c>
      <c r="Y42" s="4">
        <f>(New!FM42*Sheet3!CD42+New!HZ42*1000*P42*(New!DT42-G42)+Sheet3!CM42*'Cooling water'!CT42) / (New!FM42+'Cooling water'!CT42)</f>
        <v>45.870636908773534</v>
      </c>
      <c r="Z42" s="4">
        <f>(New!FN42*Sheet3!CE42+New!IA42*1000*Q42*(New!DU42-H42)+Sheet3!CN42*'Cooling water'!CU42) / (New!FN42+'Cooling water'!CU42)</f>
        <v>44.234463555672491</v>
      </c>
      <c r="AA42" s="4">
        <f>(New!FO42*Sheet3!CF42+New!IB42*1000*R42*(New!DV42-I42)+Sheet3!CO42*'Cooling water'!CV42) / (New!FO42+'Cooling water'!CV42)</f>
        <v>42.96152230111614</v>
      </c>
      <c r="AB42" s="4">
        <f>(New!FP42*Sheet3!CG42+New!IC42*1000*S42*(New!DW42-J42)+Sheet3!CP42*'Cooling water'!CW42) / (New!FP42+'Cooling water'!CW42)</f>
        <v>41.242008379131931</v>
      </c>
      <c r="AC42" s="245">
        <f t="shared" si="1"/>
        <v>37.528616875000004</v>
      </c>
      <c r="AD42" s="311">
        <v>44.064652000000002</v>
      </c>
      <c r="AE42" s="311">
        <v>42.227566000000003</v>
      </c>
      <c r="AF42" s="311">
        <v>40.359248000000001</v>
      </c>
      <c r="AG42" s="311">
        <v>38.549281999999998</v>
      </c>
      <c r="AH42" s="311">
        <v>36.719011000000002</v>
      </c>
      <c r="AI42" s="311">
        <v>34.827213</v>
      </c>
      <c r="AJ42" s="311">
        <v>32.813875000000003</v>
      </c>
      <c r="AK42" s="311">
        <v>30.668088000000001</v>
      </c>
      <c r="AL42" s="243">
        <f>AVERAGE(Sheet3!BR42:BY42)</f>
        <v>29.308110357425761</v>
      </c>
      <c r="AM42" s="183" cm="1">
        <f t="array" ref="AM42:AT42">TRANSPOSE('[46]Keithley Matavimai'!$W$6:$W$13)</f>
        <v>37.553507769970146</v>
      </c>
      <c r="AN42" s="183">
        <v>35.45959547777106</v>
      </c>
      <c r="AO42" s="183">
        <v>32.255905415785001</v>
      </c>
      <c r="AP42" s="183">
        <v>29.560137919176245</v>
      </c>
      <c r="AQ42" s="183">
        <v>27.91704756361008</v>
      </c>
      <c r="AR42" s="183">
        <v>26.367437398350337</v>
      </c>
      <c r="AS42" s="183">
        <v>24.45397932951353</v>
      </c>
      <c r="AT42" s="183">
        <v>20.897271985229672</v>
      </c>
      <c r="AU42" s="183">
        <f t="shared" si="2"/>
        <v>8.2205065175742433</v>
      </c>
      <c r="AX42" s="281"/>
      <c r="AY42" s="281"/>
      <c r="AZ42" s="281"/>
      <c r="BA42" s="281"/>
    </row>
    <row r="43" spans="1:53" ht="16.8" x14ac:dyDescent="0.3">
      <c r="A43" s="282" t="str">
        <f>Sheet3!A43</f>
        <v>04.01.2023</v>
      </c>
      <c r="B43" s="248">
        <f>EXP(New!$LP$6-((New!$LQ$6)/(AC43+New!$LP$8)))/New!$LS$2</f>
        <v>7.828219184611844E-2</v>
      </c>
      <c r="C43" s="312">
        <f>EXP(New!$LP$6-((New!$LQ$6)/(AD43+New!$LP$8)))/New!$LS$2</f>
        <v>0.11493139765895069</v>
      </c>
      <c r="D43" s="312">
        <f>EXP(New!$LP$6-((New!$LQ$6)/(AE43+New!$LP$8)))/New!$LS$2</f>
        <v>0.10236655978007916</v>
      </c>
      <c r="E43" s="312">
        <f>EXP(New!$LP$6-((New!$LQ$6)/(AF43+New!$LP$8)))/New!$LS$2</f>
        <v>9.1681899146990084E-2</v>
      </c>
      <c r="F43" s="312">
        <f>EXP(New!$LP$6-((New!$LQ$6)/(AG43+New!$LP$8)))/New!$LS$2</f>
        <v>8.2873223909867191E-2</v>
      </c>
      <c r="G43" s="312">
        <f>EXP(New!$LP$6-((New!$LQ$6)/(AH43+New!$LP$8)))/New!$LS$2</f>
        <v>7.4574763749199857E-2</v>
      </c>
      <c r="H43" s="312">
        <f>EXP(New!$LP$6-((New!$LQ$6)/(AI43+New!$LP$8)))/New!$LS$2</f>
        <v>6.673753260781827E-2</v>
      </c>
      <c r="I43" s="312">
        <f>EXP(New!$LP$6-((New!$LQ$6)/(AJ43+New!$LP$8)))/New!$LS$2</f>
        <v>5.9114193271053828E-2</v>
      </c>
      <c r="J43" s="312">
        <f>EXP(New!$LP$6-((New!$LQ$6)/(AK43+New!$LP$8)))/New!$LS$2</f>
        <v>5.167260349899596E-2</v>
      </c>
      <c r="K43" s="245">
        <f>((New!FH43*New!$LP$3*LN((1-B43)/(1-New!DO43))) / (New!BV43*1000*New!$LQ$3*(1-B43-1+New!DO43)*New!B43^(2/3)))</f>
        <v>5.1297779216148268E-2</v>
      </c>
      <c r="L43" s="4">
        <f>((New!FI43*New!$LP$3*LN((1-C43)/(1-New!DP43))) / (New!BW43*1000*New!$LQ$3*(1-C43-1+New!DP43)*New!C43^(2/3)))</f>
        <v>5.2361338233694536E-2</v>
      </c>
      <c r="M43" s="4">
        <f>((New!FJ43*New!$LP$3*LN((1-D43)/(1-New!DQ43))) / (New!BX43*1000*New!$LQ$3*(1-D43-1+New!DQ43)*New!D43^(2/3)))</f>
        <v>5.1894539433479173E-2</v>
      </c>
      <c r="N43" s="4">
        <f>((New!FK43*New!$LP$3*LN((1-E43)/(1-New!DR43))) / (New!BY43*1000*New!$LQ$3*(1-E43-1+New!DR43)*New!E43^(2/3)))</f>
        <v>5.1528152394409076E-2</v>
      </c>
      <c r="O43" s="4">
        <f>((New!FL43*New!$LP$3*LN((1-F43)/(1-New!DS43))) / (New!BZ43*1000*New!$LQ$3*(1-F43-1+New!DS43)*New!F43^(2/3)))</f>
        <v>5.1199528448486777E-2</v>
      </c>
      <c r="P43" s="4">
        <f>((New!FM43*New!$LP$3*LN((1-G43)/(1-New!DT43))) / (New!CA43*1000*New!$LQ$3*(1-G43-1+New!DT43)*New!G43^(2/3)))</f>
        <v>5.094531991222611E-2</v>
      </c>
      <c r="Q43" s="4">
        <f>((New!FN43*New!$LP$3*LN((1-H43)/(1-New!DU43))) / (New!CB43*1000*New!$LQ$3*(1-H43-1+New!DU43)*New!H43^(2/3)))</f>
        <v>5.066470308119421E-2</v>
      </c>
      <c r="R43" s="4">
        <f>((New!FO43*New!$LP$3*LN((1-I43)/(1-New!DV43))) / (New!CC43*1000*New!$LQ$3*(1-I43-1+New!DV43)*New!I43^(2/3)))</f>
        <v>5.0445532700992383E-2</v>
      </c>
      <c r="S43" s="4">
        <f>((New!FP43*New!$LP$3*LN((1-J43)/(1-New!DW43))) / (New!CD43*1000*New!$LQ$3*(1-J43-1+New!DW43)*New!J43^(2/3)))</f>
        <v>5.019389346505778E-2</v>
      </c>
      <c r="T43" s="245">
        <f>(New!FH43*Sheet3!DF43+New!HU43*1000*K43*(New!DO43-B43)+'Cooling water'!CO43*'Cooling water'!B43) / (New!FH43+'Cooling water'!CO43)</f>
        <v>49.18030609519905</v>
      </c>
      <c r="U43" s="4">
        <f>(New!FI43*Sheet3!BZ43+New!HV43*1000*L43*(New!DP43-C43)+Sheet3!CI43*'Cooling water'!CP43) / (New!FI43+'Cooling water'!CP43)</f>
        <v>44.561750387984475</v>
      </c>
      <c r="V43" s="4">
        <f>(New!FJ43*Sheet3!CA43+New!HW43*1000*M43*(New!DQ43-D43)+Sheet3!CJ43*'Cooling water'!CQ43) / (New!FJ43+'Cooling water'!CQ43)</f>
        <v>56.506009495137015</v>
      </c>
      <c r="W43" s="4">
        <f>(New!FK43*Sheet3!CB43+New!HX43*1000*N43*(New!DR43-E43)+Sheet3!CK43*'Cooling water'!CR43) / (New!FK43+'Cooling water'!CR43)</f>
        <v>54.499690723275208</v>
      </c>
      <c r="X43" s="4">
        <f>(New!FL43*Sheet3!CC43+New!HY43*1000*O43*(New!DS43-F43)+Sheet3!CL43*'Cooling water'!CS43) / (New!FL43+'Cooling water'!CS43)</f>
        <v>52.553514520548383</v>
      </c>
      <c r="Y43" s="4">
        <f>(New!FM43*Sheet3!CD43+New!HZ43*1000*P43*(New!DT43-G43)+Sheet3!CM43*'Cooling water'!CT43) / (New!FM43+'Cooling water'!CT43)</f>
        <v>51.245916787564376</v>
      </c>
      <c r="Z43" s="4">
        <f>(New!FN43*Sheet3!CE43+New!IA43*1000*Q43*(New!DU43-H43)+Sheet3!CN43*'Cooling water'!CU43) / (New!FN43+'Cooling water'!CU43)</f>
        <v>49.317386203675603</v>
      </c>
      <c r="AA43" s="4">
        <f>(New!FO43*Sheet3!CF43+New!IB43*1000*R43*(New!DV43-I43)+Sheet3!CO43*'Cooling water'!CV43) / (New!FO43+'Cooling water'!CV43)</f>
        <v>47.967506061133733</v>
      </c>
      <c r="AB43" s="4">
        <f>(New!FP43*Sheet3!CG43+New!IC43*1000*S43*(New!DW43-J43)+Sheet3!CP43*'Cooling water'!CW43) / (New!FP43+'Cooling water'!CW43)</f>
        <v>45.724516940872078</v>
      </c>
      <c r="AC43" s="245">
        <f t="shared" si="1"/>
        <v>41.41567525</v>
      </c>
      <c r="AD43" s="311">
        <v>48.863017999999997</v>
      </c>
      <c r="AE43" s="311">
        <v>46.574489</v>
      </c>
      <c r="AF43" s="311">
        <v>44.430567000000003</v>
      </c>
      <c r="AG43" s="311">
        <v>42.495365999999997</v>
      </c>
      <c r="AH43" s="311">
        <v>40.503329999999998</v>
      </c>
      <c r="AI43" s="311">
        <v>38.438617999999998</v>
      </c>
      <c r="AJ43" s="311">
        <v>36.219296</v>
      </c>
      <c r="AK43" s="311">
        <v>33.800718000000003</v>
      </c>
      <c r="AL43" s="243">
        <f>AVERAGE(Sheet3!BR43:BY43)</f>
        <v>31.703253250883986</v>
      </c>
      <c r="AM43" s="183" cm="1">
        <f t="array" ref="AM43:AT43">TRANSPOSE('[47]Keithley Matavimai'!$W$6:$W$13)</f>
        <v>40.997903014388832</v>
      </c>
      <c r="AN43" s="183">
        <v>37.785887702885638</v>
      </c>
      <c r="AO43" s="183">
        <v>35.434152012663837</v>
      </c>
      <c r="AP43" s="183">
        <v>31.830813805581844</v>
      </c>
      <c r="AQ43" s="183">
        <v>30.371112897966963</v>
      </c>
      <c r="AR43" s="183">
        <v>28.847425536258509</v>
      </c>
      <c r="AS43" s="183">
        <v>26.537648490333464</v>
      </c>
      <c r="AT43" s="183">
        <v>21.821082546992841</v>
      </c>
      <c r="AU43" s="183">
        <f t="shared" si="2"/>
        <v>9.7124219991160139</v>
      </c>
      <c r="AX43" s="281"/>
      <c r="AY43" s="281"/>
      <c r="AZ43" s="281"/>
      <c r="BA43" s="281"/>
    </row>
    <row r="44" spans="1:53" ht="16.8" x14ac:dyDescent="0.3">
      <c r="A44" s="282" t="str">
        <f>Sheet3!A44</f>
        <v>05.01.2023</v>
      </c>
      <c r="B44" s="248">
        <f>EXP(New!$LP$6-((New!$LQ$6)/(AC44+New!$LP$8)))/New!$LS$2</f>
        <v>0.11834551753825245</v>
      </c>
      <c r="C44" s="312">
        <f>EXP(New!$LP$6-((New!$LQ$6)/(AD44+New!$LP$8)))/New!$LS$2</f>
        <v>0.1515316551887797</v>
      </c>
      <c r="D44" s="312">
        <f>EXP(New!$LP$6-((New!$LQ$6)/(AE44+New!$LP$8)))/New!$LS$2</f>
        <v>0.1406641021836971</v>
      </c>
      <c r="E44" s="312">
        <f>EXP(New!$LP$6-((New!$LQ$6)/(AF44+New!$LP$8)))/New!$LS$2</f>
        <v>0.13058480107073206</v>
      </c>
      <c r="F44" s="312">
        <f>EXP(New!$LP$6-((New!$LQ$6)/(AG44+New!$LP$8)))/New!$LS$2</f>
        <v>0.12168463462734565</v>
      </c>
      <c r="G44" s="312">
        <f>EXP(New!$LP$6-((New!$LQ$6)/(AH44+New!$LP$8)))/New!$LS$2</f>
        <v>0.11384036005748348</v>
      </c>
      <c r="H44" s="312">
        <f>EXP(New!$LP$6-((New!$LQ$6)/(AI44+New!$LP$8)))/New!$LS$2</f>
        <v>0.10656402694344826</v>
      </c>
      <c r="I44" s="312">
        <f>EXP(New!$LP$6-((New!$LQ$6)/(AJ44+New!$LP$8)))/New!$LS$2</f>
        <v>9.9429188229516921E-2</v>
      </c>
      <c r="J44" s="312">
        <f>EXP(New!$LP$6-((New!$LQ$6)/(AK44+New!$LP$8)))/New!$LS$2</f>
        <v>9.2803945521954409E-2</v>
      </c>
      <c r="K44" s="245">
        <f>((New!FH44*New!$LP$3*LN((1-B44)/(1-New!DO44))) / (New!BV44*1000*New!$LQ$3*(1-B44-1+New!DO44)*New!B44^(2/3)))</f>
        <v>7.5090288789590579E-2</v>
      </c>
      <c r="L44" s="4">
        <f>((New!FI44*New!$LP$3*LN((1-C44)/(1-New!DP44))) / (New!BW44*1000*New!$LQ$3*(1-C44-1+New!DP44)*New!C44^(2/3)))</f>
        <v>7.6584633269719538E-2</v>
      </c>
      <c r="M44" s="4">
        <f>((New!FJ44*New!$LP$3*LN((1-D44)/(1-New!DQ44))) / (New!BX44*1000*New!$LQ$3*(1-D44-1+New!DQ44)*New!D44^(2/3)))</f>
        <v>7.5985752562152037E-2</v>
      </c>
      <c r="N44" s="4">
        <f>((New!FK44*New!$LP$3*LN((1-E44)/(1-New!DR44))) / (New!BY44*1000*New!$LQ$3*(1-E44-1+New!DR44)*New!E44^(2/3)))</f>
        <v>7.5496108805073944E-2</v>
      </c>
      <c r="O44" s="4">
        <f>((New!FL44*New!$LP$3*LN((1-F44)/(1-New!DS44))) / (New!BZ44*1000*New!$LQ$3*(1-F44-1+New!DS44)*New!F44^(2/3)))</f>
        <v>7.5013430129807129E-2</v>
      </c>
      <c r="P44" s="4">
        <f>((New!FM44*New!$LP$3*LN((1-G44)/(1-New!DT44))) / (New!CA44*1000*New!$LQ$3*(1-G44-1+New!DT44)*New!G44^(2/3)))</f>
        <v>7.4656828638964348E-2</v>
      </c>
      <c r="Q44" s="4">
        <f>((New!FN44*New!$LP$3*LN((1-H44)/(1-New!DU44))) / (New!CB44*1000*New!$LQ$3*(1-H44-1+New!DU44)*New!H44^(2/3)))</f>
        <v>7.4273875314243953E-2</v>
      </c>
      <c r="R44" s="4">
        <f>((New!FO44*New!$LP$3*LN((1-I44)/(1-New!DV44))) / (New!CC44*1000*New!$LQ$3*(1-I44-1+New!DV44)*New!I44^(2/3)))</f>
        <v>7.3964130171192438E-2</v>
      </c>
      <c r="S44" s="4">
        <f>((New!FP44*New!$LP$3*LN((1-J44)/(1-New!DW44))) / (New!CD44*1000*New!$LQ$3*(1-J44-1+New!DW44)*New!J44^(2/3)))</f>
        <v>7.3625424508519846E-2</v>
      </c>
      <c r="T44" s="245">
        <f>(New!FH44*Sheet3!DF44+New!HU44*1000*K44*(New!DO44-B44)+'Cooling water'!CO44*'Cooling water'!B44) / (New!FH44+'Cooling water'!CO44)</f>
        <v>46.655122114544973</v>
      </c>
      <c r="U44" s="4">
        <f>(New!FI44*Sheet3!BZ44+New!HV44*1000*L44*(New!DP44-C44)+Sheet3!CI44*'Cooling water'!CP44) / (New!FI44+'Cooling water'!CP44)</f>
        <v>54.488148133803904</v>
      </c>
      <c r="V44" s="4">
        <f>(New!FJ44*Sheet3!CA44+New!HW44*1000*M44*(New!DQ44-D44)+Sheet3!CJ44*'Cooling water'!CQ44) / (New!FJ44+'Cooling water'!CQ44)</f>
        <v>52.898989677253276</v>
      </c>
      <c r="W44" s="4">
        <f>(New!FK44*Sheet3!CB44+New!HX44*1000*N44*(New!DR44-E44)+Sheet3!CK44*'Cooling water'!CR44) / (New!FK44+'Cooling water'!CR44)</f>
        <v>51.638223116027795</v>
      </c>
      <c r="X44" s="4">
        <f>(New!FL44*Sheet3!CC44+New!HY44*1000*O44*(New!DS44-F44)+Sheet3!CL44*'Cooling water'!CS44) / (New!FL44+'Cooling water'!CS44)</f>
        <v>50.25472599836263</v>
      </c>
      <c r="Y44" s="4">
        <f>(New!FM44*Sheet3!CD44+New!HZ44*1000*P44*(New!DT44-G44)+Sheet3!CM44*'Cooling water'!CT44) / (New!FM44+'Cooling water'!CT44)</f>
        <v>49.226603409180406</v>
      </c>
      <c r="Z44" s="4">
        <f>(New!FN44*Sheet3!CE44+New!IA44*1000*Q44*(New!DU44-H44)+Sheet3!CN44*'Cooling water'!CU44) / (New!FN44+'Cooling water'!CU44)</f>
        <v>48.07258481604304</v>
      </c>
      <c r="AA44" s="4">
        <f>(New!FO44*Sheet3!CF44+New!IB44*1000*R44*(New!DV44-I44)+Sheet3!CO44*'Cooling water'!CV44) / (New!FO44+'Cooling water'!CV44)</f>
        <v>47.128438923956338</v>
      </c>
      <c r="AB44" s="4">
        <f>(New!FP44*Sheet3!CG44+New!IC44*1000*S44*(New!DW44-J44)+Sheet3!CP44*'Cooling water'!CW44) / (New!FP44+'Cooling water'!CW44)</f>
        <v>46.045924310361443</v>
      </c>
      <c r="AC44" s="245">
        <f t="shared" si="1"/>
        <v>49.447749749999993</v>
      </c>
      <c r="AD44" s="311">
        <v>54.486198000000002</v>
      </c>
      <c r="AE44" s="311">
        <v>52.950021</v>
      </c>
      <c r="AF44" s="311">
        <v>51.431935000000003</v>
      </c>
      <c r="AG44" s="311">
        <v>50.005850000000002</v>
      </c>
      <c r="AH44" s="311">
        <v>48.673025000000003</v>
      </c>
      <c r="AI44" s="311">
        <v>47.364517999999997</v>
      </c>
      <c r="AJ44" s="311">
        <v>46.004961999999999</v>
      </c>
      <c r="AK44" s="311">
        <v>44.665489000000001</v>
      </c>
      <c r="AL44" s="243">
        <f>AVERAGE(Sheet3!BR44:BY44)</f>
        <v>39.150840819903109</v>
      </c>
      <c r="AM44" s="183" cm="1">
        <f t="array" ref="AM44:AT44">TRANSPOSE('[48]Keithley Matavimai'!$W$6:$W$13)</f>
        <v>48.243462851237332</v>
      </c>
      <c r="AN44" s="183">
        <v>42.822386442565936</v>
      </c>
      <c r="AO44" s="183">
        <v>43.202346303301418</v>
      </c>
      <c r="AP44" s="183">
        <v>38.357268890381754</v>
      </c>
      <c r="AQ44" s="183">
        <v>38.558740397065073</v>
      </c>
      <c r="AR44" s="183">
        <v>38.124704737517241</v>
      </c>
      <c r="AS44" s="183">
        <v>34.449901382866265</v>
      </c>
      <c r="AT44" s="183">
        <v>29.447915554289835</v>
      </c>
      <c r="AU44" s="183">
        <f t="shared" si="2"/>
        <v>10.296908930096883</v>
      </c>
      <c r="AX44" s="281"/>
      <c r="AY44" s="281"/>
      <c r="AZ44" s="281"/>
      <c r="BA44" s="281"/>
    </row>
    <row r="45" spans="1:53" ht="16.8" x14ac:dyDescent="0.3">
      <c r="A45" s="282" t="str">
        <f>Sheet3!A45</f>
        <v>05.01.2023</v>
      </c>
      <c r="B45" s="248">
        <f>EXP(New!$LP$6-((New!$LQ$6)/(AC45+New!$LP$8)))/New!$LS$2</f>
        <v>0.20283720228763455</v>
      </c>
      <c r="C45" s="312">
        <f>EXP(New!$LP$6-((New!$LQ$6)/(AD45+New!$LP$8)))/New!$LS$2</f>
        <v>0.23762394217630978</v>
      </c>
      <c r="D45" s="312">
        <f>EXP(New!$LP$6-((New!$LQ$6)/(AE45+New!$LP$8)))/New!$LS$2</f>
        <v>0.2269215936255988</v>
      </c>
      <c r="E45" s="312">
        <f>EXP(New!$LP$6-((New!$LQ$6)/(AF45+New!$LP$8)))/New!$LS$2</f>
        <v>0.21664009144301802</v>
      </c>
      <c r="F45" s="312">
        <f>EXP(New!$LP$6-((New!$LQ$6)/(AG45+New!$LP$8)))/New!$LS$2</f>
        <v>0.20732619543175504</v>
      </c>
      <c r="G45" s="312">
        <f>EXP(New!$LP$6-((New!$LQ$6)/(AH45+New!$LP$8)))/New!$LS$2</f>
        <v>0.19851244005409616</v>
      </c>
      <c r="H45" s="312">
        <f>EXP(New!$LP$6-((New!$LQ$6)/(AI45+New!$LP$8)))/New!$LS$2</f>
        <v>0.18984299925364415</v>
      </c>
      <c r="I45" s="312">
        <f>EXP(New!$LP$6-((New!$LQ$6)/(AJ45+New!$LP$8)))/New!$LS$2</f>
        <v>0.18106025728026698</v>
      </c>
      <c r="J45" s="312">
        <f>EXP(New!$LP$6-((New!$LQ$6)/(AK45+New!$LP$8)))/New!$LS$2</f>
        <v>0.17225269036909585</v>
      </c>
      <c r="K45" s="245">
        <f>((New!FH45*New!$LP$3*LN((1-B45)/(1-New!DO45))) / (New!BV45*1000*New!$LQ$3*(1-B45-1+New!DO45)*New!B45^(2/3)))</f>
        <v>7.9076654264809101E-2</v>
      </c>
      <c r="L45" s="4">
        <f>((New!FI45*New!$LP$3*LN((1-C45)/(1-New!DP45))) / (New!BW45*1000*New!$LQ$3*(1-C45-1+New!DP45)*New!C45^(2/3)))</f>
        <v>8.087889498843441E-2</v>
      </c>
      <c r="M45" s="4">
        <f>((New!FJ45*New!$LP$3*LN((1-D45)/(1-New!DQ45))) / (New!BX45*1000*New!$LQ$3*(1-D45-1+New!DQ45)*New!D45^(2/3)))</f>
        <v>8.0252259733712097E-2</v>
      </c>
      <c r="N45" s="4">
        <f>((New!FK45*New!$LP$3*LN((1-E45)/(1-New!DR45))) / (New!BY45*1000*New!$LQ$3*(1-E45-1+New!DR45)*New!E45^(2/3)))</f>
        <v>7.9679944947054923E-2</v>
      </c>
      <c r="O45" s="4">
        <f>((New!FL45*New!$LP$3*LN((1-F45)/(1-New!DS45))) / (New!BZ45*1000*New!$LQ$3*(1-F45-1+New!DS45)*New!F45^(2/3)))</f>
        <v>7.9156045417627913E-2</v>
      </c>
      <c r="P45" s="4">
        <f>((New!FM45*New!$LP$3*LN((1-G45)/(1-New!DT45))) / (New!CA45*1000*New!$LQ$3*(1-G45-1+New!DT45)*New!G45^(2/3)))</f>
        <v>7.870118468993427E-2</v>
      </c>
      <c r="Q45" s="4">
        <f>((New!FN45*New!$LP$3*LN((1-H45)/(1-New!DU45))) / (New!CB45*1000*New!$LQ$3*(1-H45-1+New!DU45)*New!H45^(2/3)))</f>
        <v>7.8234370445065676E-2</v>
      </c>
      <c r="R45" s="4">
        <f>((New!FO45*New!$LP$3*LN((1-I45)/(1-New!DV45))) / (New!CC45*1000*New!$LQ$3*(1-I45-1+New!DV45)*New!I45^(2/3)))</f>
        <v>7.7799116900436283E-2</v>
      </c>
      <c r="S45" s="4">
        <f>((New!FP45*New!$LP$3*LN((1-J45)/(1-New!DW45))) / (New!CD45*1000*New!$LQ$3*(1-J45-1+New!DW45)*New!J45^(2/3)))</f>
        <v>7.7339998759437506E-2</v>
      </c>
      <c r="T45" s="245">
        <f>(New!FH45*Sheet3!DF45+New!HU45*1000*K45*(New!DO45-B45)+'Cooling water'!CO45*'Cooling water'!B45) / (New!FH45+'Cooling water'!CO45)</f>
        <v>57.359624104940679</v>
      </c>
      <c r="U45" s="4">
        <f>(New!FI45*Sheet3!BZ45+New!HV45*1000*L45*(New!DP45-C45)+Sheet3!CI45*'Cooling water'!CP45) / (New!FI45+'Cooling water'!CP45)</f>
        <v>64.445828066336475</v>
      </c>
      <c r="V45" s="4">
        <f>(New!FJ45*Sheet3!CA45+New!HW45*1000*M45*(New!DQ45-D45)+Sheet3!CJ45*'Cooling water'!CQ45) / (New!FJ45+'Cooling water'!CQ45)</f>
        <v>63.362404335864049</v>
      </c>
      <c r="W45" s="4">
        <f>(New!FK45*Sheet3!CB45+New!HX45*1000*N45*(New!DR45-E45)+Sheet3!CK45*'Cooling water'!CR45) / (New!FK45+'Cooling water'!CR45)</f>
        <v>62.435446233460191</v>
      </c>
      <c r="X45" s="4">
        <f>(New!FL45*Sheet3!CC45+New!HY45*1000*O45*(New!DS45-F45)+Sheet3!CL45*'Cooling water'!CS45) / (New!FL45+'Cooling water'!CS45)</f>
        <v>61.416751891280974</v>
      </c>
      <c r="Y45" s="4">
        <f>(New!FM45*Sheet3!CD45+New!HZ45*1000*P45*(New!DT45-G45)+Sheet3!CM45*'Cooling water'!CT45) / (New!FM45+'Cooling water'!CT45)</f>
        <v>60.665469855148928</v>
      </c>
      <c r="Z45" s="4">
        <f>(New!FN45*Sheet3!CE45+New!IA45*1000*Q45*(New!DU45-H45)+Sheet3!CN45*'Cooling water'!CU45) / (New!FN45+'Cooling water'!CU45)</f>
        <v>59.729021150622401</v>
      </c>
      <c r="AA45" s="4">
        <f>(New!FO45*Sheet3!CF45+New!IB45*1000*R45*(New!DV45-I45)+Sheet3!CO45*'Cooling water'!CV45) / (New!FO45+'Cooling water'!CV45)</f>
        <v>58.903758213491315</v>
      </c>
      <c r="AB45" s="4">
        <f>(New!FP45*Sheet3!CG45+New!IC45*1000*S45*(New!DW45-J45)+Sheet3!CP45*'Cooling water'!CW45) / (New!FP45+'Cooling water'!CW45)</f>
        <v>57.971320202519522</v>
      </c>
      <c r="AC45" s="245">
        <f t="shared" si="1"/>
        <v>60.672034625000009</v>
      </c>
      <c r="AD45" s="311">
        <v>64.145194000000004</v>
      </c>
      <c r="AE45" s="311">
        <v>63.125342000000003</v>
      </c>
      <c r="AF45" s="311">
        <v>62.106442999999999</v>
      </c>
      <c r="AG45" s="311">
        <v>61.147388999999997</v>
      </c>
      <c r="AH45" s="311">
        <v>60.205548</v>
      </c>
      <c r="AI45" s="311">
        <v>59.243823999999996</v>
      </c>
      <c r="AJ45" s="311">
        <v>58.230696999999999</v>
      </c>
      <c r="AK45" s="311">
        <v>57.171840000000003</v>
      </c>
      <c r="AL45" s="243">
        <f>AVERAGE(Sheet3!BR45:BY45)</f>
        <v>55.543939181889208</v>
      </c>
      <c r="AM45" s="183" cm="1">
        <f t="array" ref="AM45:AT45">TRANSPOSE('[49]Keithley Matavimai'!$W$6:$W$13)</f>
        <v>60.430485200364444</v>
      </c>
      <c r="AN45" s="183">
        <v>57.513540226567365</v>
      </c>
      <c r="AO45" s="183">
        <v>57.997024906874607</v>
      </c>
      <c r="AP45" s="183">
        <v>55.47910522802551</v>
      </c>
      <c r="AQ45" s="183">
        <v>55.372119932918984</v>
      </c>
      <c r="AR45" s="183">
        <v>54.684165898649987</v>
      </c>
      <c r="AS45" s="183">
        <v>52.85560670006334</v>
      </c>
      <c r="AT45" s="183">
        <v>50.019465361649445</v>
      </c>
      <c r="AU45" s="183">
        <f t="shared" si="2"/>
        <v>5.1280954431108015</v>
      </c>
      <c r="AX45" s="281"/>
      <c r="AY45" s="281"/>
      <c r="AZ45" s="281"/>
      <c r="BA45" s="281"/>
    </row>
    <row r="46" spans="1:53" ht="16.8" x14ac:dyDescent="0.3">
      <c r="A46" s="282" t="str">
        <f>Sheet3!A46</f>
        <v>06.01.2023</v>
      </c>
      <c r="B46" s="248">
        <f>EXP(New!$LP$6-((New!$LQ$6)/(AC46+New!$LP$8)))/New!$LS$2</f>
        <v>0.10192447921525744</v>
      </c>
      <c r="C46" s="312">
        <f>EXP(New!$LP$6-((New!$LQ$6)/(AD46+New!$LP$8)))/New!$LS$2</f>
        <v>0.11958145509386738</v>
      </c>
      <c r="D46" s="312">
        <f>EXP(New!$LP$6-((New!$LQ$6)/(AE46+New!$LP$8)))/New!$LS$2</f>
        <v>0.1127479653056572</v>
      </c>
      <c r="E46" s="312">
        <f>EXP(New!$LP$6-((New!$LQ$6)/(AF46+New!$LP$8)))/New!$LS$2</f>
        <v>0.10686169917708317</v>
      </c>
      <c r="F46" s="312">
        <f>EXP(New!$LP$6-((New!$LQ$6)/(AG46+New!$LP$8)))/New!$LS$2</f>
        <v>0.10155966414235379</v>
      </c>
      <c r="G46" s="312">
        <f>EXP(New!$LP$6-((New!$LQ$6)/(AH46+New!$LP$8)))/New!$LS$2</f>
        <v>9.6607197576438916E-2</v>
      </c>
      <c r="H46" s="312">
        <f>EXP(New!$LP$6-((New!$LQ$6)/(AI46+New!$LP$8)))/New!$LS$2</f>
        <v>9.1961797922093136E-2</v>
      </c>
      <c r="I46" s="312">
        <f>EXP(New!$LP$6-((New!$LQ$6)/(AJ46+New!$LP$8)))/New!$LS$2</f>
        <v>8.7739390735980916E-2</v>
      </c>
      <c r="J46" s="312">
        <f>EXP(New!$LP$6-((New!$LQ$6)/(AK46+New!$LP$8)))/New!$LS$2</f>
        <v>0.10157694268456013</v>
      </c>
      <c r="K46" s="245">
        <f>((New!FH46*New!$LP$3*LN((1-B46)/(1-New!DO46))) / (New!BV46*1000*New!$LQ$3*(1-B46-1+New!DO46)*New!B46^(2/3)))</f>
        <v>6.3807204892722139E-2</v>
      </c>
      <c r="L46" s="4">
        <f>((New!FI46*New!$LP$3*LN((1-C46)/(1-New!DP46))) / (New!BW46*1000*New!$LQ$3*(1-C46-1+New!DP46)*New!C46^(2/3)))</f>
        <v>6.4466318766076142E-2</v>
      </c>
      <c r="M46" s="4">
        <f>((New!FJ46*New!$LP$3*LN((1-D46)/(1-New!DQ46))) / (New!BX46*1000*New!$LQ$3*(1-D46-1+New!DQ46)*New!D46^(2/3)))</f>
        <v>6.4187294311592938E-2</v>
      </c>
      <c r="N46" s="4">
        <f>((New!FK46*New!$LP$3*LN((1-E46)/(1-New!DR46))) / (New!BY46*1000*New!$LQ$3*(1-E46-1+New!DR46)*New!E46^(2/3)))</f>
        <v>6.4003314678558701E-2</v>
      </c>
      <c r="O46" s="4">
        <f>((New!FL46*New!$LP$3*LN((1-F46)/(1-New!DS46))) / (New!BZ46*1000*New!$LQ$3*(1-F46-1+New!DS46)*New!F46^(2/3)))</f>
        <v>6.377099584837323E-2</v>
      </c>
      <c r="P46" s="4">
        <f>((New!FM46*New!$LP$3*LN((1-G46)/(1-New!DT46))) / (New!CA46*1000*New!$LQ$3*(1-G46-1+New!DT46)*New!G46^(2/3)))</f>
        <v>6.3606789835216199E-2</v>
      </c>
      <c r="Q46" s="4">
        <f>((New!FN46*New!$LP$3*LN((1-H46)/(1-New!DU46))) / (New!CB46*1000*New!$LQ$3*(1-H46-1+New!DU46)*New!H46^(2/3)))</f>
        <v>6.3412450544210283E-2</v>
      </c>
      <c r="R46" s="4">
        <f>((New!FO46*New!$LP$3*LN((1-I46)/(1-New!DV46))) / (New!CC46*1000*New!$LQ$3*(1-I46-1+New!DV46)*New!I46^(2/3)))</f>
        <v>6.3294998360044596E-2</v>
      </c>
      <c r="S46" s="4">
        <f>((New!FP46*New!$LP$3*LN((1-J46)/(1-New!DW46))) / (New!CD46*1000*New!$LQ$3*(1-J46-1+New!DW46)*New!J46^(2/3)))</f>
        <v>6.3747392636139127E-2</v>
      </c>
      <c r="T46" s="245">
        <f>(New!FH46*Sheet3!DF46+New!HU46*1000*K46*(New!DO46-B46)+'Cooling water'!CO46*'Cooling water'!B46) / (New!FH46+'Cooling water'!CO46)</f>
        <v>69.15038111635269</v>
      </c>
      <c r="U46" s="4">
        <f>(New!FI46*Sheet3!BZ46+New!HV46*1000*L46*(New!DP46-C46)+Sheet3!CI46*'Cooling water'!CP46) / (New!FI46+'Cooling water'!CP46)</f>
        <v>48.683823385129315</v>
      </c>
      <c r="V46" s="4">
        <f>(New!FJ46*Sheet3!CA46+New!HW46*1000*M46*(New!DQ46-D46)+Sheet3!CJ46*'Cooling water'!CQ46) / (New!FJ46+'Cooling water'!CQ46)</f>
        <v>47.682744347113136</v>
      </c>
      <c r="W46" s="4">
        <f>(New!FK46*Sheet3!CB46+New!HX46*1000*N46*(New!DR46-E46)+Sheet3!CK46*'Cooling water'!CR46) / (New!FK46+'Cooling water'!CR46)</f>
        <v>46.885090628064944</v>
      </c>
      <c r="X46" s="4">
        <f>(New!FL46*Sheet3!CC46+New!HY46*1000*O46*(New!DS46-F46)+Sheet3!CL46*'Cooling water'!CS46) / (New!FL46+'Cooling water'!CS46)</f>
        <v>46.170654288575626</v>
      </c>
      <c r="Y46" s="4">
        <f>(New!FM46*Sheet3!CD46+New!HZ46*1000*P46*(New!DT46-G46)+Sheet3!CM46*'Cooling water'!CT46) / (New!FM46+'Cooling water'!CT46)</f>
        <v>45.680327417907179</v>
      </c>
      <c r="Z46" s="4">
        <f>(New!FN46*Sheet3!CE46+New!IA46*1000*Q46*(New!DU46-H46)+Sheet3!CN46*'Cooling water'!CU46) / (New!FN46+'Cooling water'!CU46)</f>
        <v>45.151617871279882</v>
      </c>
      <c r="AA46" s="4">
        <f>(New!FO46*Sheet3!CF46+New!IB46*1000*R46*(New!DV46-I46)+Sheet3!CO46*'Cooling water'!CV46) / (New!FO46+'Cooling water'!CV46)</f>
        <v>44.782954129139128</v>
      </c>
      <c r="AB46" s="4">
        <f>(New!FP46*Sheet3!CG46+New!IC46*1000*S46*(New!DW46-J46)+Sheet3!CP46*'Cooling water'!CW46) / (New!FP46+'Cooling water'!CW46)</f>
        <v>42.374184252074294</v>
      </c>
      <c r="AC46" s="245">
        <f t="shared" si="1"/>
        <v>46.489676124999995</v>
      </c>
      <c r="AD46" s="311">
        <v>49.655875000000002</v>
      </c>
      <c r="AE46" s="311">
        <v>48.481228999999999</v>
      </c>
      <c r="AF46" s="311">
        <v>47.419527000000002</v>
      </c>
      <c r="AG46" s="311">
        <v>46.419449</v>
      </c>
      <c r="AH46" s="311">
        <v>45.444065000000002</v>
      </c>
      <c r="AI46" s="311">
        <v>44.489398999999999</v>
      </c>
      <c r="AJ46" s="311">
        <v>43.585084999999999</v>
      </c>
      <c r="AK46" s="311">
        <v>46.422780000000003</v>
      </c>
      <c r="AL46" s="243">
        <f>AVERAGE(Sheet3!BR46:BY46)</f>
        <v>33.754899478326024</v>
      </c>
      <c r="AM46" s="183" cm="1">
        <f t="array" ref="AM46:AT46">TRANSPOSE('[50]Keithley Matavimai'!$W$6:$W$13)</f>
        <v>41.660406126811736</v>
      </c>
      <c r="AN46" s="183">
        <v>38.556175127311057</v>
      </c>
      <c r="AO46" s="183">
        <v>37.097033461170703</v>
      </c>
      <c r="AP46" s="183">
        <v>33.363787871851407</v>
      </c>
      <c r="AQ46" s="183">
        <v>32.834506029203546</v>
      </c>
      <c r="AR46" s="183">
        <v>32.241870245411882</v>
      </c>
      <c r="AS46" s="183">
        <v>30.061453596223799</v>
      </c>
      <c r="AT46" s="183">
        <v>24.223963368624098</v>
      </c>
      <c r="AU46" s="183">
        <f t="shared" si="2"/>
        <v>12.734776646673971</v>
      </c>
      <c r="AX46" s="281"/>
      <c r="AY46" s="281"/>
      <c r="AZ46" s="281"/>
      <c r="BA46" s="281"/>
    </row>
    <row r="47" spans="1:53" ht="16.8" x14ac:dyDescent="0.3">
      <c r="A47" s="282" t="str">
        <f>Sheet3!A47</f>
        <v>09.01.2023</v>
      </c>
      <c r="B47" s="248">
        <f>EXP(New!$LP$6-((New!$LQ$6)/(AC47+New!$LP$8)))/New!$LS$2</f>
        <v>9.9075263166612693E-2</v>
      </c>
      <c r="C47" s="312">
        <f>EXP(New!$LP$6-((New!$LQ$6)/(AD47+New!$LP$8)))/New!$LS$2</f>
        <v>0.1212160177955809</v>
      </c>
      <c r="D47" s="312">
        <f>EXP(New!$LP$6-((New!$LQ$6)/(AE47+New!$LP$8)))/New!$LS$2</f>
        <v>0.11395314309367079</v>
      </c>
      <c r="E47" s="312">
        <f>EXP(New!$LP$6-((New!$LQ$6)/(AF47+New!$LP$8)))/New!$LS$2</f>
        <v>0.10764376416939285</v>
      </c>
      <c r="F47" s="312">
        <f>EXP(New!$LP$6-((New!$LQ$6)/(AG47+New!$LP$8)))/New!$LS$2</f>
        <v>0.10157545386086218</v>
      </c>
      <c r="G47" s="312">
        <f>EXP(New!$LP$6-((New!$LQ$6)/(AH47+New!$LP$8)))/New!$LS$2</f>
        <v>9.6040228017852489E-2</v>
      </c>
      <c r="H47" s="312">
        <f>EXP(New!$LP$6-((New!$LQ$6)/(AI47+New!$LP$8)))/New!$LS$2</f>
        <v>9.0007920847180692E-2</v>
      </c>
      <c r="I47" s="312">
        <f>EXP(New!$LP$6-((New!$LQ$6)/(AJ47+New!$LP$8)))/New!$LS$2</f>
        <v>8.5468090715189599E-2</v>
      </c>
      <c r="J47" s="312">
        <f>EXP(New!$LP$6-((New!$LQ$6)/(AK47+New!$LP$8)))/New!$LS$2</f>
        <v>8.2405468842404808E-2</v>
      </c>
      <c r="K47" s="245">
        <f>((New!FH47*New!$LP$3*LN((1-B47)/(1-New!DO47))) / (New!BV47*1000*New!$LQ$3*(1-B47-1+New!DO47)*New!B47^(2/3)))</f>
        <v>6.6634971958120737E-2</v>
      </c>
      <c r="L47" s="4">
        <f>((New!FI47*New!$LP$3*LN((1-C47)/(1-New!DP47))) / (New!BW47*1000*New!$LQ$3*(1-C47-1+New!DP47)*New!C47^(2/3)))</f>
        <v>6.749492788022482E-2</v>
      </c>
      <c r="M47" s="4">
        <f>((New!FJ47*New!$LP$3*LN((1-D47)/(1-New!DQ47))) / (New!BX47*1000*New!$LQ$3*(1-D47-1+New!DQ47)*New!D47^(2/3)))</f>
        <v>6.7170528748637312E-2</v>
      </c>
      <c r="N47" s="4">
        <f>((New!FK47*New!$LP$3*LN((1-E47)/(1-New!DR47))) / (New!BY47*1000*New!$LQ$3*(1-E47-1+New!DR47)*New!E47^(2/3)))</f>
        <v>6.6945571323090328E-2</v>
      </c>
      <c r="O47" s="4">
        <f>((New!FL47*New!$LP$3*LN((1-F47)/(1-New!DS47))) / (New!BZ47*1000*New!$LQ$3*(1-F47-1+New!DS47)*New!F47^(2/3)))</f>
        <v>6.6675311461193612E-2</v>
      </c>
      <c r="P47" s="4">
        <f>((New!FM47*New!$LP$3*LN((1-G47)/(1-New!DT47))) / (New!CA47*1000*New!$LQ$3*(1-G47-1+New!DT47)*New!G47^(2/3)))</f>
        <v>6.6480489213774752E-2</v>
      </c>
      <c r="Q47" s="4">
        <f>((New!FN47*New!$LP$3*LN((1-H47)/(1-New!DU47))) / (New!CB47*1000*New!$LQ$3*(1-H47-1+New!DU47)*New!H47^(2/3)))</f>
        <v>6.622196800367601E-2</v>
      </c>
      <c r="R47" s="4">
        <f>((New!FO47*New!$LP$3*LN((1-I47)/(1-New!DV47))) / (New!CC47*1000*New!$LQ$3*(1-I47-1+New!DV47)*New!I47^(2/3)))</f>
        <v>6.6208546446525365E-2</v>
      </c>
      <c r="S47" s="4">
        <f>((New!FP47*New!$LP$3*LN((1-J47)/(1-New!DW47))) / (New!CD47*1000*New!$LQ$3*(1-J47-1+New!DW47)*New!J47^(2/3)))</f>
        <v>6.5935286327231599E-2</v>
      </c>
      <c r="T47" s="245">
        <f>(New!FH47*Sheet3!DF47+New!HU47*1000*K47*(New!DO47-B47)+'Cooling water'!CO47*'Cooling water'!B47) / (New!FH47+'Cooling water'!CO47)</f>
        <v>74.642213260248809</v>
      </c>
      <c r="U47" s="4">
        <f>(New!FI47*Sheet3!BZ47+New!HV47*1000*L47*(New!DP47-C47)+Sheet3!CI47*'Cooling water'!CP47) / (New!FI47+'Cooling water'!CP47)</f>
        <v>49.076834415370961</v>
      </c>
      <c r="V47" s="4">
        <f>(New!FJ47*Sheet3!CA47+New!HW47*1000*M47*(New!DQ47-D47)+Sheet3!CJ47*'Cooling water'!CQ47) / (New!FJ47+'Cooling water'!CQ47)</f>
        <v>48.014444085851416</v>
      </c>
      <c r="W47" s="4">
        <f>(New!FK47*Sheet3!CB47+New!HX47*1000*N47*(New!DR47-E47)+Sheet3!CK47*'Cooling water'!CR47) / (New!FK47+'Cooling water'!CR47)</f>
        <v>47.144757598486713</v>
      </c>
      <c r="X47" s="4">
        <f>(New!FL47*Sheet3!CC47+New!HY47*1000*O47*(New!DS47-F47)+Sheet3!CL47*'Cooling water'!CS47) / (New!FL47+'Cooling water'!CS47)</f>
        <v>46.215699665105923</v>
      </c>
      <c r="Y47" s="4">
        <f>(New!FM47*Sheet3!CD47+New!HZ47*1000*P47*(New!DT47-G47)+Sheet3!CM47*'Cooling water'!CT47) / (New!FM47+'Cooling water'!CT47)</f>
        <v>45.58117560364402</v>
      </c>
      <c r="Z47" s="4">
        <f>(New!FN47*Sheet3!CE47+New!IA47*1000*Q47*(New!DU47-H47)+Sheet3!CN47*'Cooling water'!CU47) / (New!FN47+'Cooling water'!CU47)</f>
        <v>44.93229231659496</v>
      </c>
      <c r="AA47" s="4">
        <f>(New!FO47*Sheet3!CF47+New!IB47*1000*R47*(New!DV47-I47)+Sheet3!CO47*'Cooling water'!CV47) / (New!FO47+'Cooling water'!CV47)</f>
        <v>43.917276594334297</v>
      </c>
      <c r="AB47" s="4">
        <f>(New!FP47*Sheet3!CG47+New!IC47*1000*S47*(New!DW47-J47)+Sheet3!CP47*'Cooling water'!CW47) / (New!FP47+'Cooling water'!CW47)</f>
        <v>43.856982792406015</v>
      </c>
      <c r="AC47" s="245">
        <f t="shared" si="1"/>
        <v>45.935369874999999</v>
      </c>
      <c r="AD47" s="311">
        <v>49.928320999999997</v>
      </c>
      <c r="AE47" s="311">
        <v>48.692737000000001</v>
      </c>
      <c r="AF47" s="311">
        <v>47.563428000000002</v>
      </c>
      <c r="AG47" s="311">
        <v>46.422493000000003</v>
      </c>
      <c r="AH47" s="311">
        <v>45.329684</v>
      </c>
      <c r="AI47" s="311">
        <v>44.075462999999999</v>
      </c>
      <c r="AJ47" s="311">
        <v>43.083086999999999</v>
      </c>
      <c r="AK47" s="311">
        <v>42.387746</v>
      </c>
      <c r="AL47" s="243">
        <f>AVERAGE(Sheet3!BR47:BY47)</f>
        <v>34.045848782130165</v>
      </c>
      <c r="AM47" s="183" cm="1">
        <f t="array" ref="AM47:AT47">TRANSPOSE('[51]Keithley Matavimai'!$W$6:$W$13)</f>
        <v>42.497061133665341</v>
      </c>
      <c r="AN47" s="183">
        <v>38.835640716911506</v>
      </c>
      <c r="AO47" s="183">
        <v>37.716487102476997</v>
      </c>
      <c r="AP47" s="183">
        <v>33.5665839140445</v>
      </c>
      <c r="AQ47" s="183">
        <v>33.072552805704184</v>
      </c>
      <c r="AR47" s="183">
        <v>32.504625568456625</v>
      </c>
      <c r="AS47" s="183">
        <v>30.438048784538708</v>
      </c>
      <c r="AT47" s="183">
        <v>23.735790231243421</v>
      </c>
      <c r="AU47" s="183">
        <f t="shared" si="2"/>
        <v>11.889521092869835</v>
      </c>
      <c r="AX47" s="281"/>
      <c r="AY47" s="281"/>
      <c r="AZ47" s="281"/>
      <c r="BA47" s="281"/>
    </row>
    <row r="48" spans="1:53" ht="16.8" x14ac:dyDescent="0.3">
      <c r="A48" s="282" t="str">
        <f>Sheet3!A48</f>
        <v>09.01.2023</v>
      </c>
      <c r="B48" s="248">
        <f>EXP(New!$LP$6-((New!$LQ$6)/(AC48+New!$LP$8)))/New!$LS$2</f>
        <v>0.15466451888640648</v>
      </c>
      <c r="C48" s="312">
        <f>EXP(New!$LP$6-((New!$LQ$6)/(AD48+New!$LP$8)))/New!$LS$2</f>
        <v>0.18170568492353303</v>
      </c>
      <c r="D48" s="312">
        <f>EXP(New!$LP$6-((New!$LQ$6)/(AE48+New!$LP$8)))/New!$LS$2</f>
        <v>0.17394676276361695</v>
      </c>
      <c r="E48" s="312">
        <f>EXP(New!$LP$6-((New!$LQ$6)/(AF48+New!$LP$8)))/New!$LS$2</f>
        <v>0.16653196774493906</v>
      </c>
      <c r="F48" s="312">
        <f>EXP(New!$LP$6-((New!$LQ$6)/(AG48+New!$LP$8)))/New!$LS$2</f>
        <v>0.1590153309422912</v>
      </c>
      <c r="G48" s="312">
        <f>EXP(New!$LP$6-((New!$LQ$6)/(AH48+New!$LP$8)))/New!$LS$2</f>
        <v>0.1516512599821582</v>
      </c>
      <c r="H48" s="312">
        <f>EXP(New!$LP$6-((New!$LQ$6)/(AI48+New!$LP$8)))/New!$LS$2</f>
        <v>0.1442274842204346</v>
      </c>
      <c r="I48" s="312">
        <f>EXP(New!$LP$6-((New!$LQ$6)/(AJ48+New!$LP$8)))/New!$LS$2</f>
        <v>0.13690636676134396</v>
      </c>
      <c r="J48" s="312">
        <f>EXP(New!$LP$6-((New!$LQ$6)/(AK48+New!$LP$8)))/New!$LS$2</f>
        <v>0.12970825195481461</v>
      </c>
      <c r="K48" s="245">
        <f>((New!FH48*New!$LP$3*LN((1-B48)/(1-New!DO48))) / (New!BV48*1000*New!$LQ$3*(1-B48-1+New!DO48)*New!B48^(2/3)))</f>
        <v>6.8865246652011242E-2</v>
      </c>
      <c r="L48" s="4">
        <f>((New!FI48*New!$LP$3*LN((1-C48)/(1-New!DP48))) / (New!BW48*1000*New!$LQ$3*(1-C48-1+New!DP48)*New!C48^(2/3)))</f>
        <v>7.0021643740521514E-2</v>
      </c>
      <c r="M48" s="4">
        <f>((New!FJ48*New!$LP$3*LN((1-D48)/(1-New!DQ48))) / (New!BX48*1000*New!$LQ$3*(1-D48-1+New!DQ48)*New!D48^(2/3)))</f>
        <v>6.9674278298993753E-2</v>
      </c>
      <c r="N48" s="4">
        <f>((New!FK48*New!$LP$3*LN((1-E48)/(1-New!DR48))) / (New!BY48*1000*New!$LQ$3*(1-E48-1+New!DR48)*New!E48^(2/3)))</f>
        <v>6.937559694803562E-2</v>
      </c>
      <c r="O48" s="4">
        <f>((New!FL48*New!$LP$3*LN((1-F48)/(1-New!DS48))) / (New!BZ48*1000*New!$LQ$3*(1-F48-1+New!DS48)*New!F48^(2/3)))</f>
        <v>6.9043466570338358E-2</v>
      </c>
      <c r="P48" s="4">
        <f>((New!FM48*New!$LP$3*LN((1-G48)/(1-New!DT48))) / (New!CA48*1000*New!$LQ$3*(1-G48-1+New!DT48)*New!G48^(2/3)))</f>
        <v>6.8749048726294962E-2</v>
      </c>
      <c r="Q48" s="4">
        <f>((New!FN48*New!$LP$3*LN((1-H48)/(1-New!DU48))) / (New!CB48*1000*New!$LQ$3*(1-H48-1+New!DU48)*New!H48^(2/3)))</f>
        <v>6.8422566033584445E-2</v>
      </c>
      <c r="R48" s="4">
        <f>((New!FO48*New!$LP$3*LN((1-I48)/(1-New!DV48))) / (New!CC48*1000*New!$LQ$3*(1-I48-1+New!DV48)*New!I48^(2/3)))</f>
        <v>6.8149564086597295E-2</v>
      </c>
      <c r="S48" s="4">
        <f>((New!FP48*New!$LP$3*LN((1-J48)/(1-New!DW48))) / (New!CD48*1000*New!$LQ$3*(1-J48-1+New!DW48)*New!J48^(2/3)))</f>
        <v>6.7833636588089705E-2</v>
      </c>
      <c r="T48" s="245">
        <f>(New!FH48*Sheet3!DF48+New!HU48*1000*K48*(New!DO48-B48)+'Cooling water'!CO48*'Cooling water'!B48) / (New!FH48+'Cooling water'!CO48)</f>
        <v>50.468752213410035</v>
      </c>
      <c r="U48" s="4">
        <f>(New!FI48*Sheet3!BZ48+New!HV48*1000*L48*(New!DP48-C48)+Sheet3!CI48*'Cooling water'!CP48) / (New!FI48+'Cooling water'!CP48)</f>
        <v>58.075933797541786</v>
      </c>
      <c r="V48" s="4">
        <f>(New!FJ48*Sheet3!CA48+New!HW48*1000*M48*(New!DQ48-D48)+Sheet3!CJ48*'Cooling water'!CQ48) / (New!FJ48+'Cooling water'!CQ48)</f>
        <v>57.280023936787678</v>
      </c>
      <c r="W48" s="4">
        <f>(New!FK48*Sheet3!CB48+New!HX48*1000*N48*(New!DR48-E48)+Sheet3!CK48*'Cooling water'!CR48) / (New!FK48+'Cooling water'!CR48)</f>
        <v>56.530588679461381</v>
      </c>
      <c r="X48" s="4">
        <f>(New!FL48*Sheet3!CC48+New!HY48*1000*O48*(New!DS48-F48)+Sheet3!CL48*'Cooling water'!CS48) / (New!FL48+'Cooling water'!CS48)</f>
        <v>55.700236468663988</v>
      </c>
      <c r="Y48" s="4">
        <f>(New!FM48*Sheet3!CD48+New!HZ48*1000*P48*(New!DT48-G48)+Sheet3!CM48*'Cooling water'!CT48) / (New!FM48+'Cooling water'!CT48)</f>
        <v>54.979611256584633</v>
      </c>
      <c r="Z48" s="4">
        <f>(New!FN48*Sheet3!CE48+New!IA48*1000*Q48*(New!DU48-H48)+Sheet3!CN48*'Cooling water'!CU48) / (New!FN48+'Cooling water'!CU48)</f>
        <v>54.162522541617221</v>
      </c>
      <c r="AA48" s="4">
        <f>(New!FO48*Sheet3!CF48+New!IB48*1000*R48*(New!DV48-I48)+Sheet3!CO48*'Cooling water'!CV48) / (New!FO48+'Cooling water'!CV48)</f>
        <v>53.37420407972477</v>
      </c>
      <c r="AB48" s="4">
        <f>(New!FP48*Sheet3!CG48+New!IC48*1000*S48*(New!DW48-J48)+Sheet3!CP48*'Cooling water'!CW48) / (New!FP48+'Cooling water'!CW48)</f>
        <v>52.527930934470412</v>
      </c>
      <c r="AC48" s="245">
        <f t="shared" si="1"/>
        <v>54.911580249999993</v>
      </c>
      <c r="AD48" s="311">
        <v>58.306556</v>
      </c>
      <c r="AE48" s="311">
        <v>57.379024999999999</v>
      </c>
      <c r="AF48" s="311">
        <v>56.459139</v>
      </c>
      <c r="AG48" s="311">
        <v>55.490321000000002</v>
      </c>
      <c r="AH48" s="311">
        <v>54.502575</v>
      </c>
      <c r="AI48" s="311">
        <v>53.464545000000001</v>
      </c>
      <c r="AJ48" s="311">
        <v>52.395246</v>
      </c>
      <c r="AK48" s="311">
        <v>51.295234999999998</v>
      </c>
      <c r="AL48" s="243">
        <f>AVERAGE(Sheet3!BR48:BY48)</f>
        <v>48.339846513886101</v>
      </c>
      <c r="AM48" s="183" cm="1">
        <f t="array" ref="AM48:AT48">TRANSPOSE('[52]Keithley Matavimai'!$W$6:$W$13)</f>
        <v>54.317179428306332</v>
      </c>
      <c r="AN48" s="183">
        <v>51.054581972680445</v>
      </c>
      <c r="AO48" s="183">
        <v>50.929067591096633</v>
      </c>
      <c r="AP48" s="183">
        <v>48.113770583713993</v>
      </c>
      <c r="AQ48" s="183">
        <v>48.013105033341276</v>
      </c>
      <c r="AR48" s="183">
        <v>47.544111992209061</v>
      </c>
      <c r="AS48" s="183">
        <v>45.589954000938484</v>
      </c>
      <c r="AT48" s="183">
        <v>41.157001508802601</v>
      </c>
      <c r="AU48" s="183">
        <f t="shared" si="2"/>
        <v>6.5717337361138917</v>
      </c>
      <c r="AX48" s="281"/>
      <c r="AY48" s="281"/>
      <c r="AZ48" s="281"/>
      <c r="BA48" s="281"/>
    </row>
    <row r="49" spans="1:53" ht="16.8" x14ac:dyDescent="0.3">
      <c r="A49" s="282" t="str">
        <f>Sheet3!A49</f>
        <v>2023.01.11-1</v>
      </c>
      <c r="B49" s="248">
        <f>EXP(New!$LP$6-((New!$LQ$6)/(AC49+New!$LP$8)))/New!$LS$2</f>
        <v>0.10678233537258611</v>
      </c>
      <c r="C49" s="312">
        <f>EXP(New!$LP$6-((New!$LQ$6)/(AD49+New!$LP$8)))/New!$LS$2</f>
        <v>0.13073619584518884</v>
      </c>
      <c r="D49" s="312">
        <f>EXP(New!$LP$6-((New!$LQ$6)/(AE49+New!$LP$8)))/New!$LS$2</f>
        <v>0.12340541783843344</v>
      </c>
      <c r="E49" s="312">
        <f>EXP(New!$LP$6-((New!$LQ$6)/(AF49+New!$LP$8)))/New!$LS$2</f>
        <v>0.11610275105903059</v>
      </c>
      <c r="F49" s="312">
        <f>EXP(New!$LP$6-((New!$LQ$6)/(AG49+New!$LP$8)))/New!$LS$2</f>
        <v>0.10944882938465254</v>
      </c>
      <c r="G49" s="312">
        <f>EXP(New!$LP$6-((New!$LQ$6)/(AH49+New!$LP$8)))/New!$LS$2</f>
        <v>0.10335068896366648</v>
      </c>
      <c r="H49" s="312">
        <f>EXP(New!$LP$6-((New!$LQ$6)/(AI49+New!$LP$8)))/New!$LS$2</f>
        <v>9.7494400144546259E-2</v>
      </c>
      <c r="I49" s="312">
        <f>EXP(New!$LP$6-((New!$LQ$6)/(AJ49+New!$LP$8)))/New!$LS$2</f>
        <v>9.2296825505303853E-2</v>
      </c>
      <c r="J49" s="312">
        <f>EXP(New!$LP$6-((New!$LQ$6)/(AK49+New!$LP$8)))/New!$LS$2</f>
        <v>8.7780181089281109E-2</v>
      </c>
      <c r="K49" s="245">
        <f>((New!FH49*New!$LP$3*LN((1-B49)/(1-New!DO49))) / (New!BV49*1000*New!$LQ$3*(1-B49-1+New!DO49)*New!B49^(2/3)))</f>
        <v>6.8833137459923338E-2</v>
      </c>
      <c r="L49" s="4">
        <f>((New!FI49*New!$LP$3*LN((1-C49)/(1-New!DP49))) / (New!BW49*1000*New!$LQ$3*(1-C49-1+New!DP49)*New!C49^(2/3)))</f>
        <v>6.9803990286622722E-2</v>
      </c>
      <c r="M49" s="4">
        <f>((New!FJ49*New!$LP$3*LN((1-D49)/(1-New!DQ49))) / (New!BX49*1000*New!$LQ$3*(1-D49-1+New!DQ49)*New!D49^(2/3)))</f>
        <v>6.9458897535738501E-2</v>
      </c>
      <c r="N49" s="4">
        <f>((New!FK49*New!$LP$3*LN((1-E49)/(1-New!DR49))) / (New!BY49*1000*New!$LQ$3*(1-E49-1+New!DR49)*New!E49^(2/3)))</f>
        <v>6.9173307402832798E-2</v>
      </c>
      <c r="O49" s="4">
        <f>((New!FL49*New!$LP$3*LN((1-F49)/(1-New!DS49))) / (New!BZ49*1000*New!$LQ$3*(1-F49-1+New!DS49)*New!F49^(2/3)))</f>
        <v>6.8868452405727115E-2</v>
      </c>
      <c r="P49" s="4">
        <f>((New!FM49*New!$LP$3*LN((1-G49)/(1-New!DT49))) / (New!CA49*1000*New!$LQ$3*(1-G49-1+New!DT49)*New!G49^(2/3)))</f>
        <v>6.8635639899983308E-2</v>
      </c>
      <c r="Q49" s="4">
        <f>((New!FN49*New!$LP$3*LN((1-H49)/(1-New!DU49))) / (New!CB49*1000*New!$LQ$3*(1-H49-1+New!DU49)*New!H49^(2/3)))</f>
        <v>6.8372346630560854E-2</v>
      </c>
      <c r="R49" s="4">
        <f>((New!FO49*New!$LP$3*LN((1-I49)/(1-New!DV49))) / (New!CC49*1000*New!$LQ$3*(1-I49-1+New!DV49)*New!I49^(2/3)))</f>
        <v>6.8193449919937976E-2</v>
      </c>
      <c r="S49" s="4">
        <f>((New!FP49*New!$LP$3*LN((1-J49)/(1-New!DW49))) / (New!CD49*1000*New!$LQ$3*(1-J49-1+New!DW49)*New!J49^(2/3)))</f>
        <v>6.7993122618958332E-2</v>
      </c>
      <c r="T49" s="245">
        <f>(New!FH49*Sheet3!DF49+New!HU49*1000*K49*(New!DO49-B49)+'Cooling water'!CO49*'Cooling water'!B49) / (New!FH49+'Cooling water'!CO49)</f>
        <v>45.157327071131547</v>
      </c>
      <c r="U49" s="4">
        <f>(New!FI49*Sheet3!BZ49+New!HV49*1000*L49*(New!DP49-C49)+Sheet3!CI49*'Cooling water'!CP49) / (New!FI49+'Cooling water'!CP49)</f>
        <v>50.768075394365617</v>
      </c>
      <c r="V49" s="4">
        <f>(New!FJ49*Sheet3!CA49+New!HW49*1000*M49*(New!DQ49-D49)+Sheet3!CJ49*'Cooling water'!CQ49) / (New!FJ49+'Cooling water'!CQ49)</f>
        <v>49.693130311563664</v>
      </c>
      <c r="W49" s="4">
        <f>(New!FK49*Sheet3!CB49+New!HX49*1000*N49*(New!DR49-E49)+Sheet3!CK49*'Cooling water'!CR49) / (New!FK49+'Cooling water'!CR49)</f>
        <v>48.837195852804719</v>
      </c>
      <c r="X49" s="4">
        <f>(New!FL49*Sheet3!CC49+New!HY49*1000*O49*(New!DS49-F49)+Sheet3!CL49*'Cooling water'!CS49) / (New!FL49+'Cooling water'!CS49)</f>
        <v>47.804511131709518</v>
      </c>
      <c r="Y49" s="4">
        <f>(New!FM49*Sheet3!CD49+New!HZ49*1000*P49*(New!DT49-G49)+Sheet3!CM49*'Cooling water'!CT49) / (New!FM49+'Cooling water'!CT49)</f>
        <v>47.136830933471565</v>
      </c>
      <c r="Z49" s="4">
        <f>(New!FN49*Sheet3!CE49+New!IA49*1000*Q49*(New!DU49-H49)+Sheet3!CN49*'Cooling water'!CU49) / (New!FN49+'Cooling water'!CU49)</f>
        <v>46.287955801505717</v>
      </c>
      <c r="AA49" s="4">
        <f>(New!FO49*Sheet3!CF49+New!IB49*1000*R49*(New!DV49-I49)+Sheet3!CO49*'Cooling water'!CV49) / (New!FO49+'Cooling water'!CV49)</f>
        <v>45.657438483012101</v>
      </c>
      <c r="AB49" s="4">
        <f>(New!FP49*Sheet3!CG49+New!IC49*1000*S49*(New!DW49-J49)+Sheet3!CP49*'Cooling water'!CW49) / (New!FP49+'Cooling water'!CW49)</f>
        <v>44.955938695792824</v>
      </c>
      <c r="AC49" s="245">
        <f t="shared" si="1"/>
        <v>47.404873625</v>
      </c>
      <c r="AD49" s="311">
        <v>51.455466000000001</v>
      </c>
      <c r="AE49" s="311">
        <v>50.288369000000003</v>
      </c>
      <c r="AF49" s="311">
        <v>49.065288000000002</v>
      </c>
      <c r="AG49" s="311">
        <v>47.892176999999997</v>
      </c>
      <c r="AH49" s="311">
        <v>46.762172999999997</v>
      </c>
      <c r="AI49" s="311">
        <v>45.621901000000001</v>
      </c>
      <c r="AJ49" s="311">
        <v>44.559617000000003</v>
      </c>
      <c r="AK49" s="311">
        <v>43.593997999999999</v>
      </c>
      <c r="AL49" s="243">
        <f>AVERAGE(Sheet3!BR49:BY49)</f>
        <v>35.760527224396988</v>
      </c>
      <c r="AM49" s="183" cm="1">
        <f t="array" ref="AM49:AT49">TRANSPOSE('[53]Keithley Matavimai'!$W$6:$W$13)</f>
        <v>43.710126383786452</v>
      </c>
      <c r="AN49" s="183">
        <v>39.456681370518652</v>
      </c>
      <c r="AO49" s="183">
        <v>38.595443798092838</v>
      </c>
      <c r="AP49" s="183">
        <v>34.989237902205474</v>
      </c>
      <c r="AQ49" s="183">
        <v>34.454580841777094</v>
      </c>
      <c r="AR49" s="183">
        <v>33.861497620341098</v>
      </c>
      <c r="AS49" s="183">
        <v>32.22099017137068</v>
      </c>
      <c r="AT49" s="183">
        <v>28.795659707083654</v>
      </c>
      <c r="AU49" s="183">
        <f t="shared" si="2"/>
        <v>11.644346400603013</v>
      </c>
      <c r="AX49" s="281"/>
      <c r="AY49" s="281"/>
      <c r="AZ49" s="281"/>
      <c r="BA49" s="281"/>
    </row>
    <row r="50" spans="1:53" ht="16.8" x14ac:dyDescent="0.3">
      <c r="A50" s="282" t="str">
        <f>Sheet3!A50</f>
        <v>2023.01.11-2</v>
      </c>
      <c r="B50" s="248">
        <f>EXP(New!$LP$6-((New!$LQ$6)/(AC50+New!$LP$8)))/New!$LS$2</f>
        <v>0.17468020169305398</v>
      </c>
      <c r="C50" s="312">
        <f>EXP(New!$LP$6-((New!$LQ$6)/(AD50+New!$LP$8)))/New!$LS$2</f>
        <v>0.20375845209598401</v>
      </c>
      <c r="D50" s="312">
        <f>EXP(New!$LP$6-((New!$LQ$6)/(AE50+New!$LP$8)))/New!$LS$2</f>
        <v>0.19534383420155496</v>
      </c>
      <c r="E50" s="312">
        <f>EXP(New!$LP$6-((New!$LQ$6)/(AF50+New!$LP$8)))/New!$LS$2</f>
        <v>0.18708768284548505</v>
      </c>
      <c r="F50" s="312">
        <f>EXP(New!$LP$6-((New!$LQ$6)/(AG50+New!$LP$8)))/New!$LS$2</f>
        <v>0.17922400261228216</v>
      </c>
      <c r="G50" s="312">
        <f>EXP(New!$LP$6-((New!$LQ$6)/(AH50+New!$LP$8)))/New!$LS$2</f>
        <v>0.17149738524881347</v>
      </c>
      <c r="H50" s="312">
        <f>EXP(New!$LP$6-((New!$LQ$6)/(AI50+New!$LP$8)))/New!$LS$2</f>
        <v>0.16365466521424848</v>
      </c>
      <c r="I50" s="312">
        <f>EXP(New!$LP$6-((New!$LQ$6)/(AJ50+New!$LP$8)))/New!$LS$2</f>
        <v>0.15576115982607677</v>
      </c>
      <c r="J50" s="312">
        <f>EXP(New!$LP$6-((New!$LQ$6)/(AK50+New!$LP$8)))/New!$LS$2</f>
        <v>0.1476068405073411</v>
      </c>
      <c r="K50" s="245">
        <f>((New!FH50*New!$LP$3*LN((1-B50)/(1-New!DO50))) / (New!BV50*1000*New!$LQ$3*(1-B50-1+New!DO50)*New!B50^(2/3)))</f>
        <v>7.1695453668056866E-2</v>
      </c>
      <c r="L50" s="4">
        <f>((New!FI50*New!$LP$3*LN((1-C50)/(1-New!DP50))) / (New!BW50*1000*New!$LQ$3*(1-C50-1+New!DP50)*New!C50^(2/3)))</f>
        <v>7.3016328417000884E-2</v>
      </c>
      <c r="M50" s="4">
        <f>((New!FJ50*New!$LP$3*LN((1-D50)/(1-New!DQ50))) / (New!BX50*1000*New!$LQ$3*(1-D50-1+New!DQ50)*New!D50^(2/3)))</f>
        <v>7.2614783135227554E-2</v>
      </c>
      <c r="N50" s="4">
        <f>((New!FK50*New!$LP$3*LN((1-E50)/(1-New!DR50))) / (New!BY50*1000*New!$LQ$3*(1-E50-1+New!DR50)*New!E50^(2/3)))</f>
        <v>7.2248104861906207E-2</v>
      </c>
      <c r="O50" s="4">
        <f>((New!FL50*New!$LP$3*LN((1-F50)/(1-New!DS50))) / (New!BZ50*1000*New!$LQ$3*(1-F50-1+New!DS50)*New!F50^(2/3)))</f>
        <v>7.1879210282060568E-2</v>
      </c>
      <c r="P50" s="4">
        <f>((New!FM50*New!$LP$3*LN((1-G50)/(1-New!DT50))) / (New!CA50*1000*New!$LQ$3*(1-G50-1+New!DT50)*New!G50^(2/3)))</f>
        <v>7.1545467525218884E-2</v>
      </c>
      <c r="Q50" s="4">
        <f>((New!FN50*New!$LP$3*LN((1-H50)/(1-New!DU50))) / (New!CB50*1000*New!$LQ$3*(1-H50-1+New!DU50)*New!H50^(2/3)))</f>
        <v>7.1187626957895878E-2</v>
      </c>
      <c r="R50" s="4">
        <f>((New!FO50*New!$LP$3*LN((1-I50)/(1-New!DV50))) / (New!CC50*1000*New!$LQ$3*(1-I50-1+New!DV50)*New!I50^(2/3)))</f>
        <v>7.0861804270341083E-2</v>
      </c>
      <c r="S50" s="4">
        <f>((New!FP50*New!$LP$3*LN((1-J50)/(1-New!DW50))) / (New!CD50*1000*New!$LQ$3*(1-J50-1+New!DW50)*New!J50^(2/3)))</f>
        <v>7.0492563001580466E-2</v>
      </c>
      <c r="T50" s="245">
        <f>(New!FH50*Sheet3!DF50+New!HU50*1000*K50*(New!DO50-B50)+'Cooling water'!CO50*'Cooling water'!B50) / (New!FH50+'Cooling water'!CO50)</f>
        <v>53.348047105311274</v>
      </c>
      <c r="U50" s="4">
        <f>(New!FI50*Sheet3!BZ50+New!HV50*1000*L50*(New!DP50-C50)+Sheet3!CI50*'Cooling water'!CP50) / (New!FI50+'Cooling water'!CP50)</f>
        <v>60.765990926277389</v>
      </c>
      <c r="V50" s="4">
        <f>(New!FJ50*Sheet3!CA50+New!HW50*1000*M50*(New!DQ50-D50)+Sheet3!CJ50*'Cooling water'!CQ50) / (New!FJ50+'Cooling water'!CQ50)</f>
        <v>59.859666704329378</v>
      </c>
      <c r="W50" s="4">
        <f>(New!FK50*Sheet3!CB50+New!HX50*1000*N50*(New!DR50-E50)+Sheet3!CK50*'Cooling water'!CR50) / (New!FK50+'Cooling water'!CR50)</f>
        <v>59.08716482571527</v>
      </c>
      <c r="X50" s="4">
        <f>(New!FL50*Sheet3!CC50+New!HY50*1000*O50*(New!DS50-F50)+Sheet3!CL50*'Cooling water'!CS50) / (New!FL50+'Cooling water'!CS50)</f>
        <v>58.228538026853826</v>
      </c>
      <c r="Y50" s="4">
        <f>(New!FM50*Sheet3!CD50+New!HZ50*1000*P50*(New!DT50-G50)+Sheet3!CM50*'Cooling water'!CT50) / (New!FM50+'Cooling water'!CT50)</f>
        <v>57.542176757630969</v>
      </c>
      <c r="Z50" s="4">
        <f>(New!FN50*Sheet3!CE50+New!IA50*1000*Q50*(New!DU50-H50)+Sheet3!CN50*'Cooling water'!CU50) / (New!FN50+'Cooling water'!CU50)</f>
        <v>56.699423105266369</v>
      </c>
      <c r="AA50" s="4">
        <f>(New!FO50*Sheet3!CF50+New!IB50*1000*R50*(New!DV50-I50)+Sheet3!CO50*'Cooling water'!CV50) / (New!FO50+'Cooling water'!CV50)</f>
        <v>55.943019293605531</v>
      </c>
      <c r="AB50" s="4">
        <f>(New!FP50*Sheet3!CG50+New!IC50*1000*S50*(New!DW50-J50)+Sheet3!CP50*'Cooling water'!CW50) / (New!FP50+'Cooling water'!CW50)</f>
        <v>55.055682519657644</v>
      </c>
      <c r="AC50" s="245">
        <f t="shared" si="1"/>
        <v>57.468192499999986</v>
      </c>
      <c r="AD50" s="311">
        <v>60.770311999999997</v>
      </c>
      <c r="AE50" s="311">
        <v>59.858260000000001</v>
      </c>
      <c r="AF50" s="311">
        <v>58.930352999999997</v>
      </c>
      <c r="AG50" s="311">
        <v>58.013612000000002</v>
      </c>
      <c r="AH50" s="311">
        <v>57.078907000000001</v>
      </c>
      <c r="AI50" s="311">
        <v>56.092768999999997</v>
      </c>
      <c r="AJ50" s="311">
        <v>55.058748999999999</v>
      </c>
      <c r="AK50" s="311">
        <v>53.942577999999997</v>
      </c>
      <c r="AL50" s="243">
        <f>AVERAGE(Sheet3!BR50:BY50)</f>
        <v>51.762121552807002</v>
      </c>
      <c r="AM50" s="183" cm="1">
        <f t="array" ref="AM50:AT50">TRANSPOSE('[54]Keithley Matavimai'!$W$6:$W$13)</f>
        <v>56.868520343280203</v>
      </c>
      <c r="AN50" s="183">
        <v>54.022863344218329</v>
      </c>
      <c r="AO50" s="183">
        <v>53.864857100615495</v>
      </c>
      <c r="AP50" s="183">
        <v>51.529899104578213</v>
      </c>
      <c r="AQ50" s="183">
        <v>51.272773853795094</v>
      </c>
      <c r="AR50" s="183">
        <v>50.682044221208905</v>
      </c>
      <c r="AS50" s="183">
        <v>49.402840665147757</v>
      </c>
      <c r="AT50" s="183">
        <v>46.453173789611952</v>
      </c>
      <c r="AU50" s="183">
        <f t="shared" si="2"/>
        <v>5.706070947192984</v>
      </c>
      <c r="AX50" s="281"/>
      <c r="AY50" s="281"/>
      <c r="AZ50" s="281"/>
      <c r="BA50" s="281"/>
    </row>
    <row r="51" spans="1:53" ht="16.8" x14ac:dyDescent="0.3">
      <c r="A51" s="282" t="str">
        <f>Sheet3!A51</f>
        <v>2023.01.12-1</v>
      </c>
      <c r="B51" s="248">
        <f>EXP(New!$LP$6-((New!$LQ$6)/(AC51+New!$LP$8)))/New!$LS$2</f>
        <v>0.16903777872279324</v>
      </c>
      <c r="C51" s="312">
        <f>EXP(New!$LP$6-((New!$LQ$6)/(AD51+New!$LP$8)))/New!$LS$2</f>
        <v>0.20847389108818959</v>
      </c>
      <c r="D51" s="312">
        <f>EXP(New!$LP$6-((New!$LQ$6)/(AE51+New!$LP$8)))/New!$LS$2</f>
        <v>0.19795310372119926</v>
      </c>
      <c r="E51" s="312">
        <f>EXP(New!$LP$6-((New!$LQ$6)/(AF51+New!$LP$8)))/New!$LS$2</f>
        <v>0.18785924839076118</v>
      </c>
      <c r="F51" s="312">
        <f>EXP(New!$LP$6-((New!$LQ$6)/(AG51+New!$LP$8)))/New!$LS$2</f>
        <v>0.17755617946815375</v>
      </c>
      <c r="G51" s="312">
        <f>EXP(New!$LP$6-((New!$LQ$6)/(AH51+New!$LP$8)))/New!$LS$2</f>
        <v>0.16684726614731962</v>
      </c>
      <c r="H51" s="312">
        <f>EXP(New!$LP$6-((New!$LQ$6)/(AI51+New!$LP$8)))/New!$LS$2</f>
        <v>0.15534481529500002</v>
      </c>
      <c r="I51" s="312">
        <f>EXP(New!$LP$6-((New!$LQ$6)/(AJ51+New!$LP$8)))/New!$LS$2</f>
        <v>0.14275345211956394</v>
      </c>
      <c r="J51" s="312">
        <f>EXP(New!$LP$6-((New!$LQ$6)/(AK51+New!$LP$8)))/New!$LS$2</f>
        <v>0.129039079863111</v>
      </c>
      <c r="K51" s="245">
        <f>((New!FH51*New!$LP$3*LN((1-B51)/(1-New!DO51))) / (New!BV51*1000*New!$LQ$3*(1-B51-1+New!DO51)*New!B51^(2/3)))</f>
        <v>6.6699699841473697E-2</v>
      </c>
      <c r="L51" s="4">
        <f>((New!FI51*New!$LP$3*LN((1-C51)/(1-New!DP51))) / (New!BW51*1000*New!$LQ$3*(1-C51-1+New!DP51)*New!C51^(2/3)))</f>
        <v>6.8385660844902302E-2</v>
      </c>
      <c r="M51" s="4">
        <f>((New!FJ51*New!$LP$3*LN((1-D51)/(1-New!DQ51))) / (New!BX51*1000*New!$LQ$3*(1-D51-1+New!DQ51)*New!D51^(2/3)))</f>
        <v>6.7908298853049123E-2</v>
      </c>
      <c r="N51" s="4">
        <f>((New!FK51*New!$LP$3*LN((1-E51)/(1-New!DR51))) / (New!BY51*1000*New!$LQ$3*(1-E51-1+New!DR51)*New!E51^(2/3)))</f>
        <v>6.7505659664909706E-2</v>
      </c>
      <c r="O51" s="4">
        <f>((New!FL51*New!$LP$3*LN((1-F51)/(1-New!DS51))) / (New!BZ51*1000*New!$LQ$3*(1-F51-1+New!DS51)*New!F51^(2/3)))</f>
        <v>6.7055487799109637E-2</v>
      </c>
      <c r="P51" s="4">
        <f>((New!FM51*New!$LP$3*LN((1-G51)/(1-New!DT51))) / (New!CA51*1000*New!$LQ$3*(1-G51-1+New!DT51)*New!G51^(2/3)))</f>
        <v>6.6641968573192781E-2</v>
      </c>
      <c r="Q51" s="4">
        <f>((New!FN51*New!$LP$3*LN((1-H51)/(1-New!DU51))) / (New!CB51*1000*New!$LQ$3*(1-H51-1+New!DU51)*New!H51^(2/3)))</f>
        <v>6.6132902147365363E-2</v>
      </c>
      <c r="R51" s="4">
        <f>((New!FO51*New!$LP$3*LN((1-I51)/(1-New!DV51))) / (New!CC51*1000*New!$LQ$3*(1-I51-1+New!DV51)*New!I51^(2/3)))</f>
        <v>6.5664657111681624E-2</v>
      </c>
      <c r="S51" s="4">
        <f>((New!FP51*New!$LP$3*LN((1-J51)/(1-New!DW51))) / (New!CD51*1000*New!$LQ$3*(1-J51-1+New!DW51)*New!J51^(2/3)))</f>
        <v>6.5062710981166616E-2</v>
      </c>
      <c r="T51" s="245">
        <f>(New!FH51*Sheet3!DF51+New!HU51*1000*K51*(New!DO51-B51)+'Cooling water'!CO51*'Cooling water'!B51) / (New!FH51+'Cooling water'!CO51)</f>
        <v>50.003041522478036</v>
      </c>
      <c r="U51" s="4">
        <f>(New!FI51*Sheet3!BZ51+New!HV51*1000*L51*(New!DP51-C51)+Sheet3!CI51*'Cooling water'!CP51) / (New!FI51+'Cooling water'!CP51)</f>
        <v>64.621633032366759</v>
      </c>
      <c r="V51" s="4">
        <f>(New!FJ51*Sheet3!CA51+New!HW51*1000*M51*(New!DQ51-D51)+Sheet3!CJ51*'Cooling water'!CQ51) / (New!FJ51+'Cooling water'!CQ51)</f>
        <v>63.97954835822312</v>
      </c>
      <c r="W51" s="4">
        <f>(New!FK51*Sheet3!CB51+New!HX51*1000*N51*(New!DR51-E51)+Sheet3!CK51*'Cooling water'!CR51) / (New!FK51+'Cooling water'!CR51)</f>
        <v>63.630210905275902</v>
      </c>
      <c r="X51" s="4">
        <f>(New!FL51*Sheet3!CC51+New!HY51*1000*O51*(New!DS51-F51)+Sheet3!CL51*'Cooling water'!CS51) / (New!FL51+'Cooling water'!CS51)</f>
        <v>63.314437835113971</v>
      </c>
      <c r="Y51" s="4">
        <f>(New!FM51*Sheet3!CD51+New!HZ51*1000*P51*(New!DT51-G51)+Sheet3!CM51*'Cooling water'!CT51) / (New!FM51+'Cooling water'!CT51)</f>
        <v>63.093276716512015</v>
      </c>
      <c r="Z51" s="4">
        <f>(New!FN51*Sheet3!CE51+New!IA51*1000*Q51*(New!DU51-H51)+Sheet3!CN51*'Cooling water'!CU51) / (New!FN51+'Cooling water'!CU51)</f>
        <v>62.809742993406537</v>
      </c>
      <c r="AA51" s="4">
        <f>(New!FO51*Sheet3!CF51+New!IB51*1000*R51*(New!DV51-I51)+Sheet3!CO51*'Cooling water'!CV51) / (New!FO51+'Cooling water'!CV51)</f>
        <v>62.538365360175433</v>
      </c>
      <c r="AB51" s="4">
        <f>(New!FP51*Sheet3!CG51+New!IC51*1000*S51*(New!DW51-J51)+Sheet3!CP51*'Cooling water'!CW51) / (New!FP51+'Cooling water'!CW51)</f>
        <v>61.882718040567148</v>
      </c>
      <c r="AC51" s="245">
        <f t="shared" si="1"/>
        <v>56.773843124999999</v>
      </c>
      <c r="AD51" s="311">
        <v>61.267519</v>
      </c>
      <c r="AE51" s="311">
        <v>60.144587000000001</v>
      </c>
      <c r="AF51" s="311">
        <v>59.018526999999999</v>
      </c>
      <c r="AG51" s="311">
        <v>57.814793999999999</v>
      </c>
      <c r="AH51" s="311">
        <v>56.498958000000002</v>
      </c>
      <c r="AI51" s="311">
        <v>55.002980000000001</v>
      </c>
      <c r="AJ51" s="311">
        <v>53.253036000000002</v>
      </c>
      <c r="AK51" s="311">
        <v>51.190344000000003</v>
      </c>
      <c r="AL51" s="243">
        <f>AVERAGE(Sheet3!BR51:BY51)</f>
        <v>40.407980039568542</v>
      </c>
      <c r="AM51" s="183" cm="1">
        <f t="array" ref="AM51:AT51">TRANSPOSE('[55]Keithley Matavimai'!$W$6:$W$13)</f>
        <v>49.303390804574406</v>
      </c>
      <c r="AN51" s="183">
        <v>47.676391487586407</v>
      </c>
      <c r="AO51" s="183">
        <v>44.608193005104603</v>
      </c>
      <c r="AP51" s="183">
        <v>42.206271884470681</v>
      </c>
      <c r="AQ51" s="183">
        <v>39.374018138098201</v>
      </c>
      <c r="AR51" s="183">
        <v>36.56452181857415</v>
      </c>
      <c r="AS51" s="183">
        <v>32.49016318730169</v>
      </c>
      <c r="AT51" s="183">
        <v>31.040889990838231</v>
      </c>
      <c r="AU51" s="183">
        <f t="shared" si="2"/>
        <v>16.365863085431457</v>
      </c>
      <c r="AX51" s="281"/>
      <c r="AY51" s="281"/>
      <c r="AZ51" s="281"/>
      <c r="BA51" s="281"/>
    </row>
    <row r="52" spans="1:53" ht="16.8" x14ac:dyDescent="0.3">
      <c r="A52" s="282" t="str">
        <f>Sheet3!A52</f>
        <v>2023.01.12-2</v>
      </c>
      <c r="B52" s="248">
        <f>EXP(New!$LP$6-((New!$LQ$6)/(AC52+New!$LP$8)))/New!$LS$2</f>
        <v>0.18823064580616103</v>
      </c>
      <c r="C52" s="312">
        <f>EXP(New!$LP$6-((New!$LQ$6)/(AD52+New!$LP$8)))/New!$LS$2</f>
        <v>0.23579313185200648</v>
      </c>
      <c r="D52" s="312">
        <f>EXP(New!$LP$6-((New!$LQ$6)/(AE52+New!$LP$8)))/New!$LS$2</f>
        <v>0.22367711231639673</v>
      </c>
      <c r="E52" s="312">
        <f>EXP(New!$LP$6-((New!$LQ$6)/(AF52+New!$LP$8)))/New!$LS$2</f>
        <v>0.21116475502113108</v>
      </c>
      <c r="F52" s="312">
        <f>EXP(New!$LP$6-((New!$LQ$6)/(AG52+New!$LP$8)))/New!$LS$2</f>
        <v>0.19839455431011035</v>
      </c>
      <c r="G52" s="312">
        <f>EXP(New!$LP$6-((New!$LQ$6)/(AH52+New!$LP$8)))/New!$LS$2</f>
        <v>0.18511578898646491</v>
      </c>
      <c r="H52" s="312">
        <f>EXP(New!$LP$6-((New!$LQ$6)/(AI52+New!$LP$8)))/New!$LS$2</f>
        <v>0.1713704120777485</v>
      </c>
      <c r="I52" s="312">
        <f>EXP(New!$LP$6-((New!$LQ$6)/(AJ52+New!$LP$8)))/New!$LS$2</f>
        <v>0.15671839644496796</v>
      </c>
      <c r="J52" s="312">
        <f>EXP(New!$LP$6-((New!$LQ$6)/(AK52+New!$LP$8)))/New!$LS$2</f>
        <v>0.14109072602133141</v>
      </c>
      <c r="K52" s="245">
        <f>((New!FH52*New!$LP$3*LN((1-B52)/(1-New!DO52))) / (New!BV52*1000*New!$LQ$3*(1-B52-1+New!DO52)*New!B52^(2/3)))</f>
        <v>7.2304885839452424E-2</v>
      </c>
      <c r="L52" s="4">
        <f>((New!FI52*New!$LP$3*LN((1-C52)/(1-New!DP52))) / (New!BW52*1000*New!$LQ$3*(1-C52-1+New!DP52)*New!C52^(2/3)))</f>
        <v>7.4552771182435446E-2</v>
      </c>
      <c r="M52" s="4">
        <f>((New!FJ52*New!$LP$3*LN((1-D52)/(1-New!DQ52))) / (New!BX52*1000*New!$LQ$3*(1-D52-1+New!DQ52)*New!D52^(2/3)))</f>
        <v>7.3924339657827853E-2</v>
      </c>
      <c r="N52" s="4">
        <f>((New!FK52*New!$LP$3*LN((1-E52)/(1-New!DR52))) / (New!BY52*1000*New!$LQ$3*(1-E52-1+New!DR52)*New!E52^(2/3)))</f>
        <v>7.3339082385792981E-2</v>
      </c>
      <c r="O52" s="4">
        <f>((New!FL52*New!$LP$3*LN((1-F52)/(1-New!DS52))) / (New!BZ52*1000*New!$LQ$3*(1-F52-1+New!DS52)*New!F52^(2/3)))</f>
        <v>7.2730540806478339E-2</v>
      </c>
      <c r="P52" s="4">
        <f>((New!FM52*New!$LP$3*LN((1-G52)/(1-New!DT52))) / (New!CA52*1000*New!$LQ$3*(1-G52-1+New!DT52)*New!G52^(2/3)))</f>
        <v>7.2140993804968787E-2</v>
      </c>
      <c r="Q52" s="4">
        <f>((New!FN52*New!$LP$3*LN((1-H52)/(1-New!DU52))) / (New!CB52*1000*New!$LQ$3*(1-H52-1+New!DU52)*New!H52^(2/3)))</f>
        <v>7.1494937142606893E-2</v>
      </c>
      <c r="R52" s="4">
        <f>((New!FO52*New!$LP$3*LN((1-I52)/(1-New!DV52))) / (New!CC52*1000*New!$LQ$3*(1-I52-1+New!DV52)*New!I52^(2/3)))</f>
        <v>7.086614043952108E-2</v>
      </c>
      <c r="S52" s="4">
        <f>((New!FP52*New!$LP$3*LN((1-J52)/(1-New!DW52))) / (New!CD52*1000*New!$LQ$3*(1-J52-1+New!DW52)*New!J52^(2/3)))</f>
        <v>7.0141319793283349E-2</v>
      </c>
      <c r="T52" s="245">
        <f>(New!FH52*Sheet3!DF52+New!HU52*1000*K52*(New!DO52-B52)+'Cooling water'!CO52*'Cooling water'!B52) / (New!FH52+'Cooling water'!CO52)</f>
        <v>56.60281982458217</v>
      </c>
      <c r="U52" s="4">
        <f>(New!FI52*Sheet3!BZ52+New!HV52*1000*L52*(New!DP52-C52)+Sheet3!CI52*'Cooling water'!CP52) / (New!FI52+'Cooling water'!CP52)</f>
        <v>59.202681083893104</v>
      </c>
      <c r="V52" s="4">
        <f>(New!FJ52*Sheet3!CA52+New!HW52*1000*M52*(New!DQ52-D52)+Sheet3!CJ52*'Cooling water'!CQ52) / (New!FJ52+'Cooling water'!CQ52)</f>
        <v>69.571650172338536</v>
      </c>
      <c r="W52" s="4">
        <f>(New!FK52*Sheet3!CB52+New!HX52*1000*N52*(New!DR52-E52)+Sheet3!CK52*'Cooling water'!CR52) / (New!FK52+'Cooling water'!CR52)</f>
        <v>69.198462808420871</v>
      </c>
      <c r="X52" s="4">
        <f>(New!FL52*Sheet3!CC52+New!HY52*1000*O52*(New!DS52-F52)+Sheet3!CL52*'Cooling water'!CS52) / (New!FL52+'Cooling water'!CS52)</f>
        <v>68.654151022700574</v>
      </c>
      <c r="Y52" s="4">
        <f>(New!FM52*Sheet3!CD52+New!HZ52*1000*P52*(New!DT52-G52)+Sheet3!CM52*'Cooling water'!CT52) / (New!FM52+'Cooling water'!CT52)</f>
        <v>68.457615664329808</v>
      </c>
      <c r="Z52" s="4">
        <f>(New!FN52*Sheet3!CE52+New!IA52*1000*Q52*(New!DU52-H52)+Sheet3!CN52*'Cooling water'!CU52) / (New!FN52+'Cooling water'!CU52)</f>
        <v>67.790383501963689</v>
      </c>
      <c r="AA52" s="4">
        <f>(New!FO52*Sheet3!CF52+New!IB52*1000*R52*(New!DV52-I52)+Sheet3!CO52*'Cooling water'!CV52) / (New!FO52+'Cooling water'!CV52)</f>
        <v>67.705864094919093</v>
      </c>
      <c r="AB52" s="4">
        <f>(New!FP52*Sheet3!CG52+New!IC52*1000*S52*(New!DW52-J52)+Sheet3!CP52*'Cooling water'!CW52) / (New!FP52+'Cooling water'!CW52)</f>
        <v>66.788383058079873</v>
      </c>
      <c r="AC52" s="245">
        <f t="shared" si="1"/>
        <v>59.060860374999997</v>
      </c>
      <c r="AD52" s="311">
        <v>63.973528999999999</v>
      </c>
      <c r="AE52" s="311">
        <v>62.808115999999998</v>
      </c>
      <c r="AF52" s="311">
        <v>61.546987999999999</v>
      </c>
      <c r="AG52" s="311">
        <v>60.192712</v>
      </c>
      <c r="AH52" s="311">
        <v>58.703594000000002</v>
      </c>
      <c r="AI52" s="311">
        <v>57.063249999999996</v>
      </c>
      <c r="AJ52" s="311">
        <v>55.186489999999999</v>
      </c>
      <c r="AK52" s="311">
        <v>53.012203999999997</v>
      </c>
      <c r="AL52" s="243">
        <f>AVERAGE(Sheet3!BR52:BY52)</f>
        <v>44.296251006449864</v>
      </c>
      <c r="AM52" s="183" cm="1">
        <f t="array" ref="AM52:AT52">TRANSPOSE('[56]Keithley Matavimai'!$W$6:$W$13)</f>
        <v>54.012846498755096</v>
      </c>
      <c r="AN52" s="183">
        <v>50.984820479465753</v>
      </c>
      <c r="AO52" s="183">
        <v>49.008978395595527</v>
      </c>
      <c r="AP52" s="183">
        <v>44.640874494226004</v>
      </c>
      <c r="AQ52" s="183">
        <v>43.166991136886026</v>
      </c>
      <c r="AR52" s="183">
        <v>41.088692351932607</v>
      </c>
      <c r="AS52" s="183">
        <v>36.763419706050414</v>
      </c>
      <c r="AT52" s="183">
        <v>34.703384988687482</v>
      </c>
      <c r="AU52" s="183">
        <f t="shared" si="2"/>
        <v>14.764609368550133</v>
      </c>
      <c r="AW52" s="259"/>
      <c r="AX52" s="281"/>
      <c r="AY52" s="281"/>
      <c r="AZ52" s="281"/>
      <c r="BA52" s="281"/>
    </row>
    <row r="53" spans="1:53" ht="16.8" x14ac:dyDescent="0.3">
      <c r="A53" s="261">
        <f>Sheet3!A53</f>
        <v>44939</v>
      </c>
      <c r="B53" s="248">
        <f>EXP(New!$LP$6-((New!$LQ$6)/(AC53+New!$LP$8)))/New!$LS$2</f>
        <v>0.20645376706765931</v>
      </c>
      <c r="C53" s="312">
        <f>EXP(New!$LP$6-((New!$LQ$6)/(AD53+New!$LP$8)))/New!$LS$2</f>
        <v>0.24053275429336288</v>
      </c>
      <c r="D53" s="312">
        <f>EXP(New!$LP$6-((New!$LQ$6)/(AE53+New!$LP$8)))/New!$LS$2</f>
        <v>0.22802725696366413</v>
      </c>
      <c r="E53" s="312">
        <f>EXP(New!$LP$6-((New!$LQ$6)/(AF53+New!$LP$8)))/New!$LS$2</f>
        <v>0.23839066841768056</v>
      </c>
      <c r="F53" s="312">
        <f>EXP(New!$LP$6-((New!$LQ$6)/(AG53+New!$LP$8)))/New!$LS$2</f>
        <v>0.22341529174377575</v>
      </c>
      <c r="G53" s="312">
        <f>EXP(New!$LP$6-((New!$LQ$6)/(AH53+New!$LP$8)))/New!$LS$2</f>
        <v>0.20854246606271629</v>
      </c>
      <c r="H53" s="312">
        <f>EXP(New!$LP$6-((New!$LQ$6)/(AI53+New!$LP$8)))/New!$LS$2</f>
        <v>0.19289465121108521</v>
      </c>
      <c r="I53" s="312">
        <f>EXP(New!$LP$6-((New!$LQ$6)/(AJ53+New!$LP$8)))/New!$LS$2</f>
        <v>0.17588672858908763</v>
      </c>
      <c r="J53" s="312">
        <f>EXP(New!$LP$6-((New!$LQ$6)/(AK53+New!$LP$8)))/New!$LS$2</f>
        <v>0.15774564704976032</v>
      </c>
      <c r="K53" s="245">
        <f>((New!FH53*New!$LP$3*LN((1-B53)/(1-New!DO53))) / (New!BV53*1000*New!$LQ$3*(1-B53-1+New!DO53)*New!B53^(2/3)))</f>
        <v>7.9259873976223416E-2</v>
      </c>
      <c r="L53" s="4">
        <f>((New!FI53*New!$LP$3*LN((1-C53)/(1-New!DP53))) / (New!BW53*1000*New!$LQ$3*(1-C53-1+New!DP53)*New!C53^(2/3)))</f>
        <v>8.1034519582725367E-2</v>
      </c>
      <c r="M53" s="4">
        <f>((New!FJ53*New!$LP$3*LN((1-D53)/(1-New!DQ53))) / (New!BX53*1000*New!$LQ$3*(1-D53-1+New!DQ53)*New!D53^(2/3)))</f>
        <v>8.0285232164908488E-2</v>
      </c>
      <c r="N53" s="4">
        <f>((New!FK53*New!$LP$3*LN((1-E53)/(1-New!DR53))) / (New!BY53*1000*New!$LQ$3*(1-E53-1+New!DR53)*New!E53^(2/3)))</f>
        <v>8.0800522528409968E-2</v>
      </c>
      <c r="O53" s="4">
        <f>((New!FL53*New!$LP$3*LN((1-F53)/(1-New!DS53))) / (New!BZ53*1000*New!$LQ$3*(1-F53-1+New!DS53)*New!F53^(2/3)))</f>
        <v>7.9928674335461525E-2</v>
      </c>
      <c r="P53" s="4">
        <f>((New!FM53*New!$LP$3*LN((1-G53)/(1-New!DT53))) / (New!CA53*1000*New!$LQ$3*(1-G53-1+New!DT53)*New!G53^(2/3)))</f>
        <v>7.9151206593191747E-2</v>
      </c>
      <c r="Q53" s="4">
        <f>((New!FN53*New!$LP$3*LN((1-H53)/(1-New!DU53))) / (New!CB53*1000*New!$LQ$3*(1-H53-1+New!DU53)*New!H53^(2/3)))</f>
        <v>7.8299151512225176E-2</v>
      </c>
      <c r="R53" s="4">
        <f>((New!FO53*New!$LP$3*LN((1-I53)/(1-New!DV53))) / (New!CC53*1000*New!$LQ$3*(1-I53-1+New!DV53)*New!I53^(2/3)))</f>
        <v>7.7464584388357308E-2</v>
      </c>
      <c r="S53" s="4">
        <f>((New!FP53*New!$LP$3*LN((1-J53)/(1-New!DW53))) / (New!CD53*1000*New!$LQ$3*(1-J53-1+New!DW53)*New!J53^(2/3)))</f>
        <v>7.6543623201686672E-2</v>
      </c>
      <c r="T53" s="245">
        <f>(New!FH53*Sheet3!DF53+New!HU53*1000*K53*(New!DO53-B53)+'Cooling water'!CO53*'Cooling water'!B53) / (New!FH53+'Cooling water'!CO53)</f>
        <v>66.453484621257104</v>
      </c>
      <c r="U53" s="4">
        <f>(New!FI53*Sheet3!BZ53+New!HV53*1000*L53*(New!DP53-C53)+Sheet3!CI53*'Cooling water'!CP53) / (New!FI53+'Cooling water'!CP53)</f>
        <v>64.823732170310123</v>
      </c>
      <c r="V53" s="4">
        <f>(New!FJ53*Sheet3!CA53+New!HW53*1000*M53*(New!DQ53-D53)+Sheet3!CJ53*'Cooling water'!CQ53) / (New!FJ53+'Cooling water'!CQ53)</f>
        <v>63.232374419999211</v>
      </c>
      <c r="W53" s="4">
        <f>(New!FK53*Sheet3!CB53+New!HX53*1000*N53*(New!DR53-E53)+Sheet3!CK53*'Cooling water'!CR53) / (New!FK53+'Cooling water'!CR53)</f>
        <v>59.055228874970332</v>
      </c>
      <c r="X53" s="4">
        <f>(New!FL53*Sheet3!CC53+New!HY53*1000*O53*(New!DS53-F53)+Sheet3!CL53*'Cooling water'!CS53) / (New!FL53+'Cooling water'!CS53)</f>
        <v>74.044553618228377</v>
      </c>
      <c r="Y53" s="4">
        <f>(New!FM53*Sheet3!CD53+New!HZ53*1000*P53*(New!DT53-G53)+Sheet3!CM53*'Cooling water'!CT53) / (New!FM53+'Cooling water'!CT53)</f>
        <v>74.04788673469217</v>
      </c>
      <c r="Z53" s="4">
        <f>(New!FN53*Sheet3!CE53+New!IA53*1000*Q53*(New!DU53-H53)+Sheet3!CN53*'Cooling water'!CU53) / (New!FN53+'Cooling water'!CU53)</f>
        <v>73.239224047682853</v>
      </c>
      <c r="AA53" s="4">
        <f>(New!FO53*Sheet3!CF53+New!IB53*1000*R53*(New!DV53-I53)+Sheet3!CO53*'Cooling water'!CV53) / (New!FO53+'Cooling water'!CV53)</f>
        <v>73.034531187441829</v>
      </c>
      <c r="AB53" s="4">
        <f>(New!FP53*Sheet3!CG53+New!IC53*1000*S53*(New!DW53-J53)+Sheet3!CP53*'Cooling water'!CW53) / (New!FP53+'Cooling water'!CW53)</f>
        <v>72.209451085721582</v>
      </c>
      <c r="AC53" s="245">
        <f t="shared" si="1"/>
        <v>61.055693249999997</v>
      </c>
      <c r="AD53" s="311">
        <v>64.415647000000007</v>
      </c>
      <c r="AE53" s="311">
        <v>63.232568999999998</v>
      </c>
      <c r="AF53" s="311">
        <v>64.216752999999997</v>
      </c>
      <c r="AG53" s="311">
        <v>62.782347000000001</v>
      </c>
      <c r="AH53" s="311">
        <v>61.274678999999999</v>
      </c>
      <c r="AI53" s="311">
        <v>59.586528999999999</v>
      </c>
      <c r="AJ53" s="311">
        <v>57.614184999999999</v>
      </c>
      <c r="AK53" s="311">
        <v>55.322837</v>
      </c>
      <c r="AL53" s="243">
        <f>AVERAGE(Sheet3!BR53:BY53)</f>
        <v>46.653397219122752</v>
      </c>
      <c r="AM53" s="183" cm="1">
        <f t="array" ref="AM53:AT53">TRANSPOSE('[57]Keithley Matavimai'!$W$6:$W$13)</f>
        <v>54.772153146486893</v>
      </c>
      <c r="AN53" s="183">
        <v>51.369747383314497</v>
      </c>
      <c r="AO53" s="183">
        <v>51.205349413978375</v>
      </c>
      <c r="AP53" s="183">
        <v>46.407279576463019</v>
      </c>
      <c r="AQ53" s="183">
        <v>45.475754354013624</v>
      </c>
      <c r="AR53" s="183">
        <v>43.645050014290895</v>
      </c>
      <c r="AS53" s="183">
        <v>41.430649813994016</v>
      </c>
      <c r="AT53" s="183">
        <v>38.921194050440704</v>
      </c>
      <c r="AU53" s="183">
        <f t="shared" si="2"/>
        <v>14.402296030877245</v>
      </c>
      <c r="AX53" s="281"/>
      <c r="AY53" s="281"/>
      <c r="AZ53" s="281"/>
      <c r="BA53" s="281"/>
    </row>
    <row r="54" spans="1:53" ht="16.8" x14ac:dyDescent="0.3">
      <c r="A54" s="261">
        <f>Sheet3!A54</f>
        <v>44942</v>
      </c>
      <c r="B54" s="248">
        <f>EXP(New!$LP$6-((New!$LQ$6)/(AC54+New!$LP$8)))/New!$LS$2</f>
        <v>0.1617859236765353</v>
      </c>
      <c r="C54" s="312">
        <f>EXP(New!$LP$6-((New!$LQ$6)/(AD54+New!$LP$8)))/New!$LS$2</f>
        <v>0.21540955611253249</v>
      </c>
      <c r="D54" s="312">
        <f>EXP(New!$LP$6-((New!$LQ$6)/(AE54+New!$LP$8)))/New!$LS$2</f>
        <v>0.20400006111961969</v>
      </c>
      <c r="E54" s="312">
        <f>EXP(New!$LP$6-((New!$LQ$6)/(AF54+New!$LP$8)))/New!$LS$2</f>
        <v>0.19026851844260073</v>
      </c>
      <c r="F54" s="312">
        <f>EXP(New!$LP$6-((New!$LQ$6)/(AG54+New!$LP$8)))/New!$LS$2</f>
        <v>0.17487319796677706</v>
      </c>
      <c r="G54" s="312">
        <f>EXP(New!$LP$6-((New!$LQ$6)/(AH54+New!$LP$8)))/New!$LS$2</f>
        <v>0.1585779492737715</v>
      </c>
      <c r="H54" s="312">
        <f>EXP(New!$LP$6-((New!$LQ$6)/(AI54+New!$LP$8)))/New!$LS$2</f>
        <v>0.14200477433950384</v>
      </c>
      <c r="I54" s="312">
        <f>EXP(New!$LP$6-((New!$LQ$6)/(AJ54+New!$LP$8)))/New!$LS$2</f>
        <v>0.12565724452846996</v>
      </c>
      <c r="J54" s="312">
        <f>EXP(New!$LP$6-((New!$LQ$6)/(AK54+New!$LP$8)))/New!$LS$2</f>
        <v>0.11017437153585355</v>
      </c>
      <c r="K54" s="245">
        <f>((New!FH54*New!$LP$3*LN((1-B54)/(1-New!DO54))) / (New!BV54*1000*New!$LQ$3*(1-B54-1+New!DO54)*New!B54^(2/3)))</f>
        <v>4.8175482096218157E-2</v>
      </c>
      <c r="L54" s="4">
        <f>((New!FI54*New!$LP$3*LN((1-C54)/(1-New!DP54))) / (New!BW54*1000*New!$LQ$3*(1-C54-1+New!DP54)*New!C54^(2/3)))</f>
        <v>4.982639665699546E-2</v>
      </c>
      <c r="M54" s="4">
        <f>((New!FJ54*New!$LP$3*LN((1-D54)/(1-New!DQ54))) / (New!BX54*1000*New!$LQ$3*(1-D54-1+New!DQ54)*New!D54^(2/3)))</f>
        <v>4.9431138224216971E-2</v>
      </c>
      <c r="N54" s="4">
        <f>((New!FK54*New!$LP$3*LN((1-E54)/(1-New!DR54))) / (New!BY54*1000*New!$LQ$3*(1-E54-1+New!DR54)*New!E54^(2/3)))</f>
        <v>4.9021244360091261E-2</v>
      </c>
      <c r="O54" s="4">
        <f>((New!FL54*New!$LP$3*LN((1-F54)/(1-New!DS54))) / (New!BZ54*1000*New!$LQ$3*(1-F54-1+New!DS54)*New!F54^(2/3)))</f>
        <v>4.8539481071192374E-2</v>
      </c>
      <c r="P54" s="4">
        <f>((New!FM54*New!$LP$3*LN((1-G54)/(1-New!DT54))) / (New!CA54*1000*New!$LQ$3*(1-G54-1+New!DT54)*New!G54^(2/3)))</f>
        <v>4.8071796263925735E-2</v>
      </c>
      <c r="Q54" s="4">
        <f>((New!FN54*New!$LP$3*LN((1-H54)/(1-New!DU54))) / (New!CB54*1000*New!$LQ$3*(1-H54-1+New!DU54)*New!H54^(2/3)))</f>
        <v>4.7551620400826299E-2</v>
      </c>
      <c r="R54" s="4">
        <f>((New!FO54*New!$LP$3*LN((1-I54)/(1-New!DV54))) / (New!CC54*1000*New!$LQ$3*(1-I54-1+New!DV54)*New!I54^(2/3)))</f>
        <v>4.7103092961072096E-2</v>
      </c>
      <c r="S54" s="4">
        <f>((New!FP54*New!$LP$3*LN((1-J54)/(1-New!DW54))) / (New!CD54*1000*New!$LQ$3*(1-J54-1+New!DW54)*New!J54^(2/3)))</f>
        <v>4.6615862165919161E-2</v>
      </c>
      <c r="T54" s="245">
        <f>(New!FH54*Sheet3!DF54+New!HU54*1000*K54*(New!DO54-B54)+'Cooling water'!CO54*'Cooling water'!B54) / (New!FH54+'Cooling water'!CO54)</f>
        <v>41.019788954629284</v>
      </c>
      <c r="U54" s="4">
        <f>(New!FI54*Sheet3!BZ54+New!HV54*1000*L54*(New!DP54-C54)+Sheet3!CI54*'Cooling water'!CP54) / (New!FI54+'Cooling water'!CP54)</f>
        <v>62.748742344315694</v>
      </c>
      <c r="V54" s="4">
        <f>(New!FJ54*Sheet3!CA54+New!HW54*1000*M54*(New!DQ54-D54)+Sheet3!CJ54*'Cooling water'!CQ54) / (New!FJ54+'Cooling water'!CQ54)</f>
        <v>62.154830606842957</v>
      </c>
      <c r="W54" s="4">
        <f>(New!FK54*Sheet3!CB54+New!HX54*1000*N54*(New!DR54-E54)+Sheet3!CK54*'Cooling water'!CR54) / (New!FK54+'Cooling water'!CR54)</f>
        <v>61.36054702767315</v>
      </c>
      <c r="X54" s="4">
        <f>(New!FL54*Sheet3!CC54+New!HY54*1000*O54*(New!DS54-F54)+Sheet3!CL54*'Cooling water'!CS54) / (New!FL54+'Cooling water'!CS54)</f>
        <v>60.081827515709783</v>
      </c>
      <c r="Y54" s="4">
        <f>(New!FM54*Sheet3!CD54+New!HZ54*1000*P54*(New!DT54-G54)+Sheet3!CM54*'Cooling water'!CT54) / (New!FM54+'Cooling water'!CT54)</f>
        <v>58.747530161313477</v>
      </c>
      <c r="Z54" s="4">
        <f>(New!FN54*Sheet3!CE54+New!IA54*1000*Q54*(New!DU54-H54)+Sheet3!CN54*'Cooling water'!CU54) / (New!FN54+'Cooling water'!CU54)</f>
        <v>56.993969989685397</v>
      </c>
      <c r="AA54" s="4">
        <f>(New!FO54*Sheet3!CF54+New!IB54*1000*R54*(New!DV54-I54)+Sheet3!CO54*'Cooling water'!CV54) / (New!FO54+'Cooling water'!CV54)</f>
        <v>55.26088799285386</v>
      </c>
      <c r="AB54" s="4">
        <f>(New!FP54*Sheet3!CG54+New!IC54*1000*S54*(New!DW54-J54)+Sheet3!CP54*'Cooling water'!CW54) / (New!FP54+'Cooling water'!CW54)</f>
        <v>53.027612675420315</v>
      </c>
      <c r="AC54" s="245">
        <f t="shared" si="1"/>
        <v>55.851871875000001</v>
      </c>
      <c r="AD54" s="311">
        <v>61.981763999999998</v>
      </c>
      <c r="AE54" s="311">
        <v>60.796024000000003</v>
      </c>
      <c r="AF54" s="311">
        <v>59.291890000000002</v>
      </c>
      <c r="AG54" s="311">
        <v>57.491602999999998</v>
      </c>
      <c r="AH54" s="311">
        <v>55.432755</v>
      </c>
      <c r="AI54" s="311">
        <v>53.144894000000001</v>
      </c>
      <c r="AJ54" s="311">
        <v>50.653033999999998</v>
      </c>
      <c r="AK54" s="311">
        <v>48.023010999999997</v>
      </c>
      <c r="AL54" s="243">
        <f>AVERAGE(Sheet3!BR54:BY54)</f>
        <v>46.320947735675723</v>
      </c>
      <c r="AM54" s="183" cm="1">
        <f t="array" ref="AM54:AT54">TRANSPOSE('[58]Keithley Matavimai'!$W$6:$W$13)</f>
        <v>54.893947593158657</v>
      </c>
      <c r="AN54" s="183">
        <v>54.891415860198641</v>
      </c>
      <c r="AO54" s="183">
        <v>51.083534263391414</v>
      </c>
      <c r="AP54" s="183">
        <v>48.63031061479294</v>
      </c>
      <c r="AQ54" s="183">
        <v>44.869411245693016</v>
      </c>
      <c r="AR54" s="183">
        <v>41.502325637507745</v>
      </c>
      <c r="AS54" s="183">
        <v>38.915972901010853</v>
      </c>
      <c r="AT54" s="183">
        <v>35.780663769652563</v>
      </c>
      <c r="AU54" s="183">
        <f t="shared" si="2"/>
        <v>9.5309241393242772</v>
      </c>
      <c r="AX54" s="281"/>
      <c r="AY54" s="281"/>
      <c r="AZ54" s="281"/>
      <c r="BA54" s="281"/>
    </row>
    <row r="55" spans="1:53" ht="16.8" x14ac:dyDescent="0.3">
      <c r="A55" s="288" t="str">
        <f>Sheet3!A55</f>
        <v>2023.01.17-1</v>
      </c>
      <c r="B55" s="248">
        <f>EXP(New!$LP$6-((New!$LQ$6)/(AC55+New!$LP$8)))/New!$LS$2</f>
        <v>0.20135837768641754</v>
      </c>
      <c r="C55" s="312">
        <f>EXP(New!$LP$6-((New!$LQ$6)/(AD55+New!$LP$8)))/New!$LS$2</f>
        <v>0.26734007079958466</v>
      </c>
      <c r="D55" s="312">
        <f>EXP(New!$LP$6-((New!$LQ$6)/(AE55+New!$LP$8)))/New!$LS$2</f>
        <v>0.25079987646377327</v>
      </c>
      <c r="E55" s="312">
        <f>EXP(New!$LP$6-((New!$LQ$6)/(AF55+New!$LP$8)))/New!$LS$2</f>
        <v>0.23330119384871181</v>
      </c>
      <c r="F55" s="312">
        <f>EXP(New!$LP$6-((New!$LQ$6)/(AG55+New!$LP$8)))/New!$LS$2</f>
        <v>0.2155328653020652</v>
      </c>
      <c r="G55" s="312">
        <f>EXP(New!$LP$6-((New!$LQ$6)/(AH55+New!$LP$8)))/New!$LS$2</f>
        <v>0.19718911006346418</v>
      </c>
      <c r="H55" s="312">
        <f>EXP(New!$LP$6-((New!$LQ$6)/(AI55+New!$LP$8)))/New!$LS$2</f>
        <v>0.1781805226617251</v>
      </c>
      <c r="I55" s="312">
        <f>EXP(New!$LP$6-((New!$LQ$6)/(AJ55+New!$LP$8)))/New!$LS$2</f>
        <v>0.15918250499196365</v>
      </c>
      <c r="J55" s="312">
        <f>EXP(New!$LP$6-((New!$LQ$6)/(AK55+New!$LP$8)))/New!$LS$2</f>
        <v>0.13949183621440622</v>
      </c>
      <c r="K55" s="245">
        <f>((New!FH55*New!$LP$3*LN((1-B55)/(1-New!DO55))) / (New!BV55*1000*New!$LQ$3*(1-B55-1+New!DO55)*New!B55^(2/3)))</f>
        <v>5.3955073784109485E-2</v>
      </c>
      <c r="L55" s="4">
        <f>((New!FI55*New!$LP$3*LN((1-C55)/(1-New!DP55))) / (New!BW55*1000*New!$LQ$3*(1-C55-1+New!DP55)*New!C55^(2/3)))</f>
        <v>5.6370679362019602E-2</v>
      </c>
      <c r="M55" s="4">
        <f>((New!FJ55*New!$LP$3*LN((1-D55)/(1-New!DQ55))) / (New!BX55*1000*New!$LQ$3*(1-D55-1+New!DQ55)*New!D55^(2/3)))</f>
        <v>5.5716799958455202E-2</v>
      </c>
      <c r="N55" s="4">
        <f>((New!FK55*New!$LP$3*LN((1-E55)/(1-New!DR55))) / (New!BY55*1000*New!$LQ$3*(1-E55-1+New!DR55)*New!E55^(2/3)))</f>
        <v>5.5079569623073477E-2</v>
      </c>
      <c r="O55" s="4">
        <f>((New!FL55*New!$LP$3*LN((1-F55)/(1-New!DS55))) / (New!BZ55*1000*New!$LQ$3*(1-F55-1+New!DS55)*New!F55^(2/3)))</f>
        <v>5.4441022111641785E-2</v>
      </c>
      <c r="P55" s="4">
        <f>((New!FM55*New!$LP$3*LN((1-G55)/(1-New!DT55))) / (New!CA55*1000*New!$LQ$3*(1-G55-1+New!DT55)*New!G55^(2/3)))</f>
        <v>5.3812666693303139E-2</v>
      </c>
      <c r="Q55" s="4">
        <f>((New!FN55*New!$LP$3*LN((1-H55)/(1-New!DU55))) / (New!CB55*1000*New!$LQ$3*(1-H55-1+New!DU55)*New!H55^(2/3)))</f>
        <v>5.3127359915527299E-2</v>
      </c>
      <c r="R55" s="4">
        <f>((New!FO55*New!$LP$3*LN((1-I55)/(1-New!DV55))) / (New!CC55*1000*New!$LQ$3*(1-I55-1+New!DV55)*New!I55^(2/3)))</f>
        <v>5.2516413725265935E-2</v>
      </c>
      <c r="S55" s="4">
        <f>((New!FP55*New!$LP$3*LN((1-J55)/(1-New!DW55))) / (New!CD55*1000*New!$LQ$3*(1-J55-1+New!DW55)*New!J55^(2/3)))</f>
        <v>5.1836557361537312E-2</v>
      </c>
      <c r="T55" s="245">
        <f>(New!FH55*Sheet3!DF55+New!HU55*1000*K55*(New!DO55-B55)+'Cooling water'!CO55*'Cooling water'!B55) / (New!FH55+'Cooling water'!CO55)</f>
        <v>49.408156541989754</v>
      </c>
      <c r="U55" s="4">
        <f>(New!FI55*Sheet3!BZ55+New!HV55*1000*L55*(New!DP55-C55)+Sheet3!CI55*'Cooling water'!CP55) / (New!FI55+'Cooling water'!CP55)</f>
        <v>70.240000161555898</v>
      </c>
      <c r="V55" s="4">
        <f>(New!FJ55*Sheet3!CA55+New!HW55*1000*M55*(New!DQ55-D55)+Sheet3!CJ55*'Cooling water'!CQ55) / (New!FJ55+'Cooling water'!CQ55)</f>
        <v>69.006160213080605</v>
      </c>
      <c r="W55" s="4">
        <f>(New!FK55*Sheet3!CB55+New!HX55*1000*N55*(New!DR55-E55)+Sheet3!CK55*'Cooling water'!CR55) / (New!FK55+'Cooling water'!CR55)</f>
        <v>68.117294017568994</v>
      </c>
      <c r="X55" s="4">
        <f>(New!FL55*Sheet3!CC55+New!HY55*1000*O55*(New!DS55-F55)+Sheet3!CL55*'Cooling water'!CS55) / (New!FL55+'Cooling water'!CS55)</f>
        <v>66.866571490341485</v>
      </c>
      <c r="Y55" s="4">
        <f>(New!FM55*Sheet3!CD55+New!HZ55*1000*P55*(New!DT55-G55)+Sheet3!CM55*'Cooling water'!CT55) / (New!FM55+'Cooling water'!CT55)</f>
        <v>66.001537020934094</v>
      </c>
      <c r="Z55" s="4">
        <f>(New!FN55*Sheet3!CE55+New!IA55*1000*Q55*(New!DU55-H55)+Sheet3!CN55*'Cooling water'!CU55) / (New!FN55+'Cooling water'!CU55)</f>
        <v>64.487560468811509</v>
      </c>
      <c r="AA55" s="4">
        <f>(New!FO55*Sheet3!CF55+New!IB55*1000*R55*(New!DV55-I55)+Sheet3!CO55*'Cooling water'!CV55) / (New!FO55+'Cooling water'!CV55)</f>
        <v>63.16585330871419</v>
      </c>
      <c r="AB55" s="4">
        <f>(New!FP55*Sheet3!CG55+New!IC55*1000*S55*(New!DW55-J55)+Sheet3!CP55*'Cooling water'!CW55) / (New!FP55+'Cooling water'!CW55)</f>
        <v>61.228848526415867</v>
      </c>
      <c r="AC55" s="245">
        <f t="shared" si="1"/>
        <v>60.513480874999999</v>
      </c>
      <c r="AD55" s="311">
        <v>66.785781999999998</v>
      </c>
      <c r="AE55" s="311">
        <v>65.348628000000005</v>
      </c>
      <c r="AF55" s="311">
        <v>63.738050000000001</v>
      </c>
      <c r="AG55" s="311">
        <v>61.994284999999998</v>
      </c>
      <c r="AH55" s="311">
        <v>60.061084000000001</v>
      </c>
      <c r="AI55" s="311">
        <v>57.889406000000001</v>
      </c>
      <c r="AJ55" s="311">
        <v>55.512287999999998</v>
      </c>
      <c r="AK55" s="311">
        <v>52.778323999999998</v>
      </c>
      <c r="AL55" s="243">
        <f>AVERAGE(Sheet3!BR55:BY55)</f>
        <v>50.408967609545201</v>
      </c>
      <c r="AM55" s="183" cm="1">
        <f t="array" ref="AM55:AT55">TRANSPOSE('[60]Keithley Matavimai'!$W$6:$W$13)</f>
        <v>60.1100276513776</v>
      </c>
      <c r="AN55" s="183">
        <v>58.71384681738914</v>
      </c>
      <c r="AO55" s="183">
        <v>55.610541860947841</v>
      </c>
      <c r="AP55" s="183">
        <v>52.017276318122072</v>
      </c>
      <c r="AQ55" s="183">
        <v>48.995412932645309</v>
      </c>
      <c r="AR55" s="183">
        <v>45.648959623247663</v>
      </c>
      <c r="AS55" s="183">
        <v>42.954343718158668</v>
      </c>
      <c r="AT55" s="183">
        <v>39.221331954473278</v>
      </c>
      <c r="AU55" s="183">
        <f t="shared" si="2"/>
        <v>10.104513265454798</v>
      </c>
      <c r="AX55" s="281"/>
      <c r="AY55" s="281"/>
      <c r="AZ55" s="281"/>
      <c r="BA55" s="281"/>
    </row>
    <row r="56" spans="1:53" ht="16.8" x14ac:dyDescent="0.3">
      <c r="A56" s="282" t="str">
        <f>Sheet3!A56</f>
        <v>2023.01.17-2</v>
      </c>
      <c r="B56" s="248">
        <f>EXP(New!$LP$6-((New!$LQ$6)/(AC56+New!$LP$8)))/New!$LS$2</f>
        <v>0.21737080013228133</v>
      </c>
      <c r="C56" s="312">
        <f>EXP(New!$LP$6-((New!$LQ$6)/(AD56+New!$LP$8)))/New!$LS$2</f>
        <v>0.29082073977115902</v>
      </c>
      <c r="D56" s="312">
        <f>EXP(New!$LP$6-((New!$LQ$6)/(AE56+New!$LP$8)))/New!$LS$2</f>
        <v>0.27058715097948904</v>
      </c>
      <c r="E56" s="312">
        <f>EXP(New!$LP$6-((New!$LQ$6)/(AF56+New!$LP$8)))/New!$LS$2</f>
        <v>0.25049049548275948</v>
      </c>
      <c r="F56" s="312">
        <f>EXP(New!$LP$6-((New!$LQ$6)/(AG56+New!$LP$8)))/New!$LS$2</f>
        <v>0.23128587591602404</v>
      </c>
      <c r="G56" s="312">
        <f>EXP(New!$LP$6-((New!$LQ$6)/(AH56+New!$LP$8)))/New!$LS$2</f>
        <v>0.21254702024108901</v>
      </c>
      <c r="H56" s="312">
        <f>EXP(New!$LP$6-((New!$LQ$6)/(AI56+New!$LP$8)))/New!$LS$2</f>
        <v>0.19250490852882832</v>
      </c>
      <c r="I56" s="312">
        <f>EXP(New!$LP$6-((New!$LQ$6)/(AJ56+New!$LP$8)))/New!$LS$2</f>
        <v>0.17182398019175804</v>
      </c>
      <c r="J56" s="312">
        <f>EXP(New!$LP$6-((New!$LQ$6)/(AK56+New!$LP$8)))/New!$LS$2</f>
        <v>0.15135510824778545</v>
      </c>
      <c r="K56" s="245">
        <f>((New!FH56*New!$LP$3*LN((1-B56)/(1-New!DO56))) / (New!BV56*1000*New!$LQ$3*(1-B56-1+New!DO56)*New!B56^(2/3)))</f>
        <v>5.7664224624120339E-2</v>
      </c>
      <c r="L56" s="4">
        <f>((New!FI56*New!$LP$3*LN((1-C56)/(1-New!DP56))) / (New!BW56*1000*New!$LQ$3*(1-C56-1+New!DP56)*New!C56^(2/3)))</f>
        <v>6.0593299760543687E-2</v>
      </c>
      <c r="M56" s="4">
        <f>((New!FJ56*New!$LP$3*LN((1-D56)/(1-New!DQ56))) / (New!BX56*1000*New!$LQ$3*(1-D56-1+New!DQ56)*New!D56^(2/3)))</f>
        <v>5.9674804594256968E-2</v>
      </c>
      <c r="N56" s="4">
        <f>((New!FK56*New!$LP$3*LN((1-E56)/(1-New!DR56))) / (New!BY56*1000*New!$LQ$3*(1-E56-1+New!DR56)*New!E56^(2/3)))</f>
        <v>5.8833735299918033E-2</v>
      </c>
      <c r="O56" s="4">
        <f>((New!FL56*New!$LP$3*LN((1-F56)/(1-New!DS56))) / (New!BZ56*1000*New!$LQ$3*(1-F56-1+New!DS56)*New!F56^(2/3)))</f>
        <v>5.8043444553016729E-2</v>
      </c>
      <c r="P56" s="4">
        <f>((New!FM56*New!$LP$3*LN((1-G56)/(1-New!DT56))) / (New!CA56*1000*New!$LQ$3*(1-G56-1+New!DT56)*New!G56^(2/3)))</f>
        <v>5.7331642516341839E-2</v>
      </c>
      <c r="Q56" s="4">
        <f>((New!FN56*New!$LP$3*LN((1-H56)/(1-New!DU56))) / (New!CB56*1000*New!$LQ$3*(1-H56-1+New!DU56)*New!H56^(2/3)))</f>
        <v>5.6541803855541729E-2</v>
      </c>
      <c r="R56" s="4">
        <f>((New!FO56*New!$LP$3*LN((1-I56)/(1-New!DV56))) / (New!CC56*1000*New!$LQ$3*(1-I56-1+New!DV56)*New!I56^(2/3)))</f>
        <v>5.5809956495928376E-2</v>
      </c>
      <c r="S56" s="4">
        <f>((New!FP56*New!$LP$3*LN((1-J56)/(1-New!DW56))) / (New!CD56*1000*New!$LQ$3*(1-J56-1+New!DW56)*New!J56^(2/3)))</f>
        <v>5.5050613282551536E-2</v>
      </c>
      <c r="T56" s="245">
        <f>(New!FH56*Sheet3!DF56+New!HU56*1000*K56*(New!DO56-B56)+'Cooling water'!CO56*'Cooling water'!B56) / (New!FH56+'Cooling water'!CO56)</f>
        <v>51.869861049534151</v>
      </c>
      <c r="U56" s="4">
        <f>(New!FI56*Sheet3!BZ56+New!HV56*1000*L56*(New!DP56-C56)+Sheet3!CI56*'Cooling water'!CP56) / (New!FI56+'Cooling water'!CP56)</f>
        <v>72.739251725369996</v>
      </c>
      <c r="V56" s="4">
        <f>(New!FJ56*Sheet3!CA56+New!HW56*1000*M56*(New!DQ56-D56)+Sheet3!CJ56*'Cooling water'!CQ56) / (New!FJ56+'Cooling water'!CQ56)</f>
        <v>70.766806941147479</v>
      </c>
      <c r="W56" s="4">
        <f>(New!FK56*Sheet3!CB56+New!HX56*1000*N56*(New!DR56-E56)+Sheet3!CK56*'Cooling water'!CR56) / (New!FK56+'Cooling water'!CR56)</f>
        <v>69.356093653400549</v>
      </c>
      <c r="X56" s="4">
        <f>(New!FL56*Sheet3!CC56+New!HY56*1000*O56*(New!DS56-F56)+Sheet3!CL56*'Cooling water'!CS56) / (New!FL56+'Cooling water'!CS56)</f>
        <v>67.439750854084139</v>
      </c>
      <c r="Y56" s="4">
        <f>(New!FM56*Sheet3!CD56+New!HZ56*1000*P56*(New!DT56-G56)+Sheet3!CM56*'Cooling water'!CT56) / (New!FM56+'Cooling water'!CT56)</f>
        <v>66.260636889688769</v>
      </c>
      <c r="Z56" s="4">
        <f>(New!FN56*Sheet3!CE56+New!IA56*1000*Q56*(New!DU56-H56)+Sheet3!CN56*'Cooling water'!CU56) / (New!FN56+'Cooling water'!CU56)</f>
        <v>64.468620655846479</v>
      </c>
      <c r="AA56" s="4">
        <f>(New!FO56*Sheet3!CF56+New!IB56*1000*R56*(New!DV56-I56)+Sheet3!CO56*'Cooling water'!CV56) / (New!FO56+'Cooling water'!CV56)</f>
        <v>62.896908353324619</v>
      </c>
      <c r="AB56" s="4">
        <f>(New!FP56*Sheet3!CG56+New!IC56*1000*S56*(New!DW56-J56)+Sheet3!CP56*'Cooling water'!CW56) / (New!FP56+'Cooling water'!CW56)</f>
        <v>60.559081192371423</v>
      </c>
      <c r="AC56" s="245">
        <f t="shared" si="1"/>
        <v>62.180195124999997</v>
      </c>
      <c r="AD56" s="311">
        <v>68.701950999999994</v>
      </c>
      <c r="AE56" s="311">
        <v>67.059042000000005</v>
      </c>
      <c r="AF56" s="311">
        <v>65.320991000000006</v>
      </c>
      <c r="AG56" s="311">
        <v>63.546045999999997</v>
      </c>
      <c r="AH56" s="311">
        <v>61.689374999999998</v>
      </c>
      <c r="AI56" s="311">
        <v>59.543018000000004</v>
      </c>
      <c r="AJ56" s="311">
        <v>57.119134000000003</v>
      </c>
      <c r="AK56" s="311">
        <v>54.462004</v>
      </c>
      <c r="AL56" s="243">
        <f>AVERAGE(Sheet3!BR56:BY56)</f>
        <v>52.599041205704424</v>
      </c>
      <c r="AM56" s="183" cm="1">
        <f t="array" ref="AM56:AT56">TRANSPOSE('[62]Keithley Matavimai'!$W$6:$W$13)</f>
        <v>63.137219511385126</v>
      </c>
      <c r="AN56" s="183">
        <v>58.758192354424146</v>
      </c>
      <c r="AO56" s="183">
        <v>58.084557433213689</v>
      </c>
      <c r="AP56" s="183">
        <v>54.310059602803285</v>
      </c>
      <c r="AQ56" s="183">
        <v>51.773465302984739</v>
      </c>
      <c r="AR56" s="183">
        <v>48.408198484539447</v>
      </c>
      <c r="AS56" s="183">
        <v>45.06000754546158</v>
      </c>
      <c r="AT56" s="183">
        <v>41.260629410823363</v>
      </c>
      <c r="AU56" s="183">
        <f t="shared" si="2"/>
        <v>9.5811539192955735</v>
      </c>
      <c r="AX56" s="281"/>
      <c r="AY56" s="281"/>
      <c r="AZ56" s="281"/>
      <c r="BA56" s="281"/>
    </row>
    <row r="57" spans="1:53" ht="16.8" x14ac:dyDescent="0.3">
      <c r="A57" s="282">
        <f>Sheet3!A57</f>
        <v>44944</v>
      </c>
      <c r="B57" s="248">
        <f>EXP(New!$LP$6-((New!$LQ$6)/(AC57+New!$LP$8)))/New!$LS$2</f>
        <v>0.14683013740840556</v>
      </c>
      <c r="C57" s="312">
        <f>EXP(New!$LP$6-((New!$LQ$6)/(AD57+New!$LP$8)))/New!$LS$2</f>
        <v>0.16144450275613434</v>
      </c>
      <c r="D57" s="312">
        <f>EXP(New!$LP$6-((New!$LQ$6)/(AE57+New!$LP$8)))/New!$LS$2</f>
        <v>0.15440855438992498</v>
      </c>
      <c r="E57" s="312">
        <f>EXP(New!$LP$6-((New!$LQ$6)/(AF57+New!$LP$8)))/New!$LS$2</f>
        <v>0.14828329109422766</v>
      </c>
      <c r="F57" s="312">
        <f>EXP(New!$LP$6-((New!$LQ$6)/(AG57+New!$LP$8)))/New!$LS$2</f>
        <v>0.14276351343888719</v>
      </c>
      <c r="G57" s="312">
        <f>EXP(New!$LP$6-((New!$LQ$6)/(AH57+New!$LP$8)))/New!$LS$2</f>
        <v>0.13809273060330027</v>
      </c>
      <c r="H57" s="312">
        <f>EXP(New!$LP$6-((New!$LQ$6)/(AI57+New!$LP$8)))/New!$LS$2</f>
        <v>0.13442002647752971</v>
      </c>
      <c r="I57" s="312">
        <f>EXP(New!$LP$6-((New!$LQ$6)/(AJ57+New!$LP$8)))/New!$LS$2</f>
        <v>0.15358798806911669</v>
      </c>
      <c r="J57" s="312">
        <f>EXP(New!$LP$6-((New!$LQ$6)/(AK57+New!$LP$8)))/New!$LS$2</f>
        <v>0.14330901142930919</v>
      </c>
      <c r="K57" s="245">
        <f>((New!FH57*New!$LP$3*LN((1-B57)/(1-New!DO57))) / (New!BV57*1000*New!$LQ$3*(1-B57-1+New!DO57)*New!B57^(2/3)))</f>
        <v>0.10295639325215637</v>
      </c>
      <c r="L57" s="4">
        <f>((New!FI57*New!$LP$3*LN((1-C57)/(1-New!DP57))) / (New!BW57*1000*New!$LQ$3*(1-C57-1+New!DP57)*New!C57^(2/3)))</f>
        <v>0.10388915029427277</v>
      </c>
      <c r="M57" s="4">
        <f>((New!FJ57*New!$LP$3*LN((1-D57)/(1-New!DQ57))) / (New!BX57*1000*New!$LQ$3*(1-D57-1+New!DQ57)*New!D57^(2/3)))</f>
        <v>0.10343218657360885</v>
      </c>
      <c r="N57" s="4">
        <f>((New!FK57*New!$LP$3*LN((1-E57)/(1-New!DR57))) / (New!BY57*1000*New!$LQ$3*(1-E57-1+New!DR57)*New!E57^(2/3)))</f>
        <v>0.10307192572979652</v>
      </c>
      <c r="O57" s="4">
        <f>((New!FL57*New!$LP$3*LN((1-F57)/(1-New!DS57))) / (New!BZ57*1000*New!$LQ$3*(1-F57-1+New!DS57)*New!F57^(2/3)))</f>
        <v>0.10272542304454542</v>
      </c>
      <c r="P57" s="4">
        <f>((New!FM57*New!$LP$3*LN((1-G57)/(1-New!DT57))) / (New!CA57*1000*New!$LQ$3*(1-G57-1+New!DT57)*New!G57^(2/3)))</f>
        <v>0.10248628275376724</v>
      </c>
      <c r="Q57" s="4">
        <f>((New!FN57*New!$LP$3*LN((1-H57)/(1-New!DU57))) / (New!CB57*1000*New!$LQ$3*(1-H57-1+New!DU57)*New!H57^(2/3)))</f>
        <v>0.10221667182871227</v>
      </c>
      <c r="R57" s="4">
        <f>((New!FO57*New!$LP$3*LN((1-I57)/(1-New!DV57))) / (New!CC57*1000*New!$LQ$3*(1-I57-1+New!DV57)*New!I57^(2/3)))</f>
        <v>0.10343129172864214</v>
      </c>
      <c r="S57" s="4">
        <f>((New!FP57*New!$LP$3*LN((1-J57)/(1-New!DW57))) / (New!CD57*1000*New!$LQ$3*(1-J57-1+New!DW57)*New!J57^(2/3)))</f>
        <v>0.10275350111192272</v>
      </c>
      <c r="T57" s="245">
        <f>(New!FH57*Sheet3!DF57+New!HU57*1000*K57*(New!DO57-B57)+'Cooling water'!CO57*'Cooling water'!B57) / (New!FH57+'Cooling water'!CO57)</f>
        <v>77.089523283199071</v>
      </c>
      <c r="U57" s="4">
        <f>(New!FI57*Sheet3!BZ57+New!HV57*1000*L57*(New!DP57-C57)+Sheet3!CI57*'Cooling water'!CP57) / (New!FI57+'Cooling water'!CP57)</f>
        <v>54.736555450939022</v>
      </c>
      <c r="V57" s="4">
        <f>(New!FJ57*Sheet3!CA57+New!HW57*1000*M57*(New!DQ57-D57)+Sheet3!CJ57*'Cooling water'!CQ57) / (New!FJ57+'Cooling water'!CQ57)</f>
        <v>53.909381752401842</v>
      </c>
      <c r="W57" s="4">
        <f>(New!FK57*Sheet3!CB57+New!HX57*1000*N57*(New!DR57-E57)+Sheet3!CK57*'Cooling water'!CR57) / (New!FK57+'Cooling water'!CR57)</f>
        <v>53.254667959066197</v>
      </c>
      <c r="X57" s="4">
        <f>(New!FL57*Sheet3!CC57+New!HY57*1000*O57*(New!DS57-F57)+Sheet3!CL57*'Cooling water'!CS57) / (New!FL57+'Cooling water'!CS57)</f>
        <v>52.638528372887386</v>
      </c>
      <c r="Y57" s="4">
        <f>(New!FM57*Sheet3!CD57+New!HZ57*1000*P57*(New!DT57-G57)+Sheet3!CM57*'Cooling water'!CT57) / (New!FM57+'Cooling water'!CT57)</f>
        <v>52.110731457148539</v>
      </c>
      <c r="Z57" s="4">
        <f>(New!FN57*Sheet3!CE57+New!IA57*1000*Q57*(New!DU57-H57)+Sheet3!CN57*'Cooling water'!CU57) / (New!FN57+'Cooling water'!CU57)</f>
        <v>51.772153962507268</v>
      </c>
      <c r="AA57" s="4">
        <f>(New!FO57*Sheet3!CF57+New!IB57*1000*R57*(New!DV57-I57)+Sheet3!CO57*'Cooling water'!CV57) / (New!FO57+'Cooling water'!CV57)</f>
        <v>47.787074992530826</v>
      </c>
      <c r="AB57" s="4">
        <f>(New!FP57*Sheet3!CG57+New!IC57*1000*S57*(New!DW57-J57)+Sheet3!CP57*'Cooling water'!CW57) / (New!FP57+'Cooling water'!CW57)</f>
        <v>78.979135679369392</v>
      </c>
      <c r="AC57" s="245">
        <f t="shared" si="1"/>
        <v>53.833540249999992</v>
      </c>
      <c r="AD57" s="311">
        <v>55.807603999999998</v>
      </c>
      <c r="AE57" s="311">
        <v>54.877102000000001</v>
      </c>
      <c r="AF57" s="311">
        <v>54.037143999999998</v>
      </c>
      <c r="AG57" s="311">
        <v>53.254486</v>
      </c>
      <c r="AH57" s="311">
        <v>52.571784000000001</v>
      </c>
      <c r="AI57" s="311">
        <v>52.020988000000003</v>
      </c>
      <c r="AJ57" s="311">
        <v>54.766243000000003</v>
      </c>
      <c r="AK57" s="311">
        <v>53.332971000000001</v>
      </c>
      <c r="AL57" s="243">
        <f>AVERAGE(Sheet3!BR57:BY57)</f>
        <v>39.089016948229236</v>
      </c>
      <c r="AM57" s="183" cm="1">
        <f t="array" ref="AM57:AT57">TRANSPOSE('[63]Keithley Matavimai'!$W$6:$W$13)</f>
        <v>48.051605032980945</v>
      </c>
      <c r="AN57" s="183">
        <v>43.830582597877644</v>
      </c>
      <c r="AO57" s="183">
        <v>43.516380045614028</v>
      </c>
      <c r="AP57" s="183">
        <v>38.322701819847076</v>
      </c>
      <c r="AQ57" s="183">
        <v>37.835661581857664</v>
      </c>
      <c r="AR57" s="183">
        <v>37.370794823567174</v>
      </c>
      <c r="AS57" s="183">
        <v>36.190146522918134</v>
      </c>
      <c r="AT57" s="183">
        <v>27.594263161171249</v>
      </c>
      <c r="AU57" s="183">
        <f t="shared" si="2"/>
        <v>14.744523301770755</v>
      </c>
      <c r="AX57" s="281"/>
      <c r="AY57" s="281"/>
      <c r="AZ57" s="281"/>
      <c r="BA57" s="281"/>
    </row>
    <row r="58" spans="1:53" ht="16.8" x14ac:dyDescent="0.3">
      <c r="A58" s="282" t="str">
        <f>Sheet3!A58</f>
        <v>2023.01.19-1</v>
      </c>
      <c r="B58" s="248">
        <f>EXP(New!$LP$6-((New!$LQ$6)/(AC58+New!$LP$8)))/New!$LS$2</f>
        <v>0.15415687081911686</v>
      </c>
      <c r="C58" s="312">
        <f>EXP(New!$LP$6-((New!$LQ$6)/(AD58+New!$LP$8)))/New!$LS$2</f>
        <v>0.1745536269469129</v>
      </c>
      <c r="D58" s="312">
        <f>EXP(New!$LP$6-((New!$LQ$6)/(AE58+New!$LP$8)))/New!$LS$2</f>
        <v>0.16609699591069141</v>
      </c>
      <c r="E58" s="312">
        <f>EXP(New!$LP$6-((New!$LQ$6)/(AF58+New!$LP$8)))/New!$LS$2</f>
        <v>0.15860114272609979</v>
      </c>
      <c r="F58" s="312">
        <f>EXP(New!$LP$6-((New!$LQ$6)/(AG58+New!$LP$8)))/New!$LS$2</f>
        <v>0.15170505247490501</v>
      </c>
      <c r="G58" s="312">
        <f>EXP(New!$LP$6-((New!$LQ$6)/(AH58+New!$LP$8)))/New!$LS$2</f>
        <v>0.14578537730096458</v>
      </c>
      <c r="H58" s="312">
        <f>EXP(New!$LP$6-((New!$LQ$6)/(AI58+New!$LP$8)))/New!$LS$2</f>
        <v>0.14086646068866712</v>
      </c>
      <c r="I58" s="312">
        <f>EXP(New!$LP$6-((New!$LQ$6)/(AJ58+New!$LP$8)))/New!$LS$2</f>
        <v>0.13751467347957141</v>
      </c>
      <c r="J58" s="312">
        <f>EXP(New!$LP$6-((New!$LQ$6)/(AK58+New!$LP$8)))/New!$LS$2</f>
        <v>0.16131652386116091</v>
      </c>
      <c r="K58" s="245">
        <f>((New!FH58*New!$LP$3*LN((1-B58)/(1-New!DO58))) / (New!BV58*1000*New!$LQ$3*(1-B58-1+New!DO58)*New!B58^(2/3)))</f>
        <v>0.11087777395020801</v>
      </c>
      <c r="L58" s="4">
        <f>((New!FI58*New!$LP$3*LN((1-C58)/(1-New!DP58))) / (New!BW58*1000*New!$LQ$3*(1-C58-1+New!DP58)*New!C58^(2/3)))</f>
        <v>0.11226817100474523</v>
      </c>
      <c r="M58" s="4">
        <f>((New!FJ58*New!$LP$3*LN((1-D58)/(1-New!DQ58))) / (New!BX58*1000*New!$LQ$3*(1-D58-1+New!DQ58)*New!D58^(2/3)))</f>
        <v>0.111657810449677</v>
      </c>
      <c r="N58" s="4">
        <f>((New!FK58*New!$LP$3*LN((1-E58)/(1-New!DR58))) / (New!BY58*1000*New!$LQ$3*(1-E58-1+New!DR58)*New!E58^(2/3)))</f>
        <v>0.11115876392813037</v>
      </c>
      <c r="O58" s="4">
        <f>((New!FL58*New!$LP$3*LN((1-F58)/(1-New!DS58))) / (New!BZ58*1000*New!$LQ$3*(1-F58-1+New!DS58)*New!F58^(2/3)))</f>
        <v>0.11067245644214656</v>
      </c>
      <c r="P58" s="4">
        <f>((New!FM58*New!$LP$3*LN((1-G58)/(1-New!DT58))) / (New!CA58*1000*New!$LQ$3*(1-G58-1+New!DT58)*New!G58^(2/3)))</f>
        <v>0.11029193317694873</v>
      </c>
      <c r="Q58" s="4">
        <f>((New!FN58*New!$LP$3*LN((1-H58)/(1-New!DU58))) / (New!CB58*1000*New!$LQ$3*(1-H58-1+New!DU58)*New!H58^(2/3)))</f>
        <v>0.10994246775006654</v>
      </c>
      <c r="R58" s="4">
        <f>((New!FO58*New!$LP$3*LN((1-I58)/(1-New!DV58))) / (New!CC58*1000*New!$LQ$3*(1-I58-1+New!DV58)*New!I58^(2/3)))</f>
        <v>0.10974565292114179</v>
      </c>
      <c r="S58" s="4">
        <f>((New!FP58*New!$LP$3*LN((1-J58)/(1-New!DW58))) / (New!CD58*1000*New!$LQ$3*(1-J58-1+New!DW58)*New!J58^(2/3)))</f>
        <v>0.1113089124653342</v>
      </c>
      <c r="T58" s="245">
        <f>(New!FH58*Sheet3!DF58+New!HU58*1000*K58*(New!DO58-B58)+'Cooling water'!CO58*'Cooling water'!B58) / (New!FH58+'Cooling water'!CO58)</f>
        <v>88.755725842145964</v>
      </c>
      <c r="U58" s="4">
        <f>(New!FI58*Sheet3!BZ58+New!HV58*1000*L58*(New!DP58-C58)+Sheet3!CI58*'Cooling water'!CP58) / (New!FI58+'Cooling water'!CP58)</f>
        <v>56.811282442514788</v>
      </c>
      <c r="V58" s="4">
        <f>(New!FJ58*Sheet3!CA58+New!HW58*1000*M58*(New!DQ58-D58)+Sheet3!CJ58*'Cooling water'!CQ58) / (New!FJ58+'Cooling water'!CQ58)</f>
        <v>55.787507846395535</v>
      </c>
      <c r="W58" s="4">
        <f>(New!FK58*Sheet3!CB58+New!HX58*1000*N58*(New!DR58-E58)+Sheet3!CK58*'Cooling water'!CR58) / (New!FK58+'Cooling water'!CR58)</f>
        <v>54.901261127693637</v>
      </c>
      <c r="X58" s="4">
        <f>(New!FL58*Sheet3!CC58+New!HY58*1000*O58*(New!DS58-F58)+Sheet3!CL58*'Cooling water'!CS58) / (New!FL58+'Cooling water'!CS58)</f>
        <v>54.010272753154219</v>
      </c>
      <c r="Y58" s="4">
        <f>(New!FM58*Sheet3!CD58+New!HZ58*1000*P58*(New!DT58-G58)+Sheet3!CM58*'Cooling water'!CT58) / (New!FM58+'Cooling water'!CT58)</f>
        <v>53.389709368509244</v>
      </c>
      <c r="Z58" s="4">
        <f>(New!FN58*Sheet3!CE58+New!IA58*1000*Q58*(New!DU58-H58)+Sheet3!CN58*'Cooling water'!CU58) / (New!FN58+'Cooling water'!CU58)</f>
        <v>52.760711459105153</v>
      </c>
      <c r="AA58" s="4">
        <f>(New!FO58*Sheet3!CF58+New!IB58*1000*R58*(New!DV58-I58)+Sheet3!CO58*'Cooling water'!CV58) / (New!FO58+'Cooling water'!CV58)</f>
        <v>52.338616750395097</v>
      </c>
      <c r="AB58" s="4">
        <f>(New!FP58*Sheet3!CG58+New!IC58*1000*S58*(New!DW58-J58)+Sheet3!CP58*'Cooling water'!CW58) / (New!FP58+'Cooling water'!CW58)</f>
        <v>47.743662950997958</v>
      </c>
      <c r="AC58" s="245">
        <f t="shared" si="1"/>
        <v>54.843152875000001</v>
      </c>
      <c r="AD58" s="311">
        <v>57.452826999999999</v>
      </c>
      <c r="AE58" s="311">
        <v>56.404100999999997</v>
      </c>
      <c r="AF58" s="311">
        <v>55.435811000000001</v>
      </c>
      <c r="AG58" s="311">
        <v>54.509937000000001</v>
      </c>
      <c r="AH58" s="311">
        <v>53.686093</v>
      </c>
      <c r="AI58" s="311">
        <v>52.979536000000003</v>
      </c>
      <c r="AJ58" s="311">
        <v>52.485928000000001</v>
      </c>
      <c r="AK58" s="311">
        <v>55.790990000000001</v>
      </c>
      <c r="AL58" s="243">
        <f>AVERAGE(Sheet3!BR58:BY58)</f>
        <v>40.304046211714095</v>
      </c>
      <c r="AM58" s="183" cm="1">
        <f t="array" ref="AM58:AT58">TRANSPOSE('[64]Keithley Matavimai'!$W$6:$W$13)</f>
        <v>49.59029515133026</v>
      </c>
      <c r="AN58" s="183">
        <v>43.872521439150923</v>
      </c>
      <c r="AO58" s="183">
        <v>44.264886674654498</v>
      </c>
      <c r="AP58" s="183">
        <v>39.230193153007711</v>
      </c>
      <c r="AQ58" s="183">
        <v>40.154694447035119</v>
      </c>
      <c r="AR58" s="183">
        <v>39.99782843165773</v>
      </c>
      <c r="AS58" s="183">
        <v>37.793264437244964</v>
      </c>
      <c r="AT58" s="183">
        <v>27.528685959631588</v>
      </c>
      <c r="AU58" s="183">
        <f t="shared" si="2"/>
        <v>14.539106663285907</v>
      </c>
      <c r="AX58" s="281"/>
      <c r="AY58" s="281"/>
      <c r="AZ58" s="281"/>
      <c r="BA58" s="281"/>
    </row>
    <row r="59" spans="1:53" ht="16.8" x14ac:dyDescent="0.3">
      <c r="A59" s="282" t="str">
        <f>Sheet3!A59</f>
        <v>2023.01.19-2</v>
      </c>
      <c r="B59" s="248">
        <f>EXP(New!$LP$6-((New!$LQ$6)/(AC59+New!$LP$8)))/New!$LS$2</f>
        <v>0.16375129205592948</v>
      </c>
      <c r="C59" s="312">
        <f>EXP(New!$LP$6-((New!$LQ$6)/(AD59+New!$LP$8)))/New!$LS$2</f>
        <v>0.19599824286030032</v>
      </c>
      <c r="D59" s="312">
        <f>EXP(New!$LP$6-((New!$LQ$6)/(AE59+New!$LP$8)))/New!$LS$2</f>
        <v>0.18456253054905111</v>
      </c>
      <c r="E59" s="312">
        <f>EXP(New!$LP$6-((New!$LQ$6)/(AF59+New!$LP$8)))/New!$LS$2</f>
        <v>0.17435861476694781</v>
      </c>
      <c r="F59" s="312">
        <f>EXP(New!$LP$6-((New!$LQ$6)/(AG59+New!$LP$8)))/New!$LS$2</f>
        <v>0.16513879133904971</v>
      </c>
      <c r="G59" s="312">
        <f>EXP(New!$LP$6-((New!$LQ$6)/(AH59+New!$LP$8)))/New!$LS$2</f>
        <v>0.15724744964300005</v>
      </c>
      <c r="H59" s="312">
        <f>EXP(New!$LP$6-((New!$LQ$6)/(AI59+New!$LP$8)))/New!$LS$2</f>
        <v>0.15050677608301538</v>
      </c>
      <c r="I59" s="312">
        <f>EXP(New!$LP$6-((New!$LQ$6)/(AJ59+New!$LP$8)))/New!$LS$2</f>
        <v>0.14563121629979503</v>
      </c>
      <c r="J59" s="312">
        <f>EXP(New!$LP$6-((New!$LQ$6)/(AK59+New!$LP$8)))/New!$LS$2</f>
        <v>0.14303289566136854</v>
      </c>
      <c r="K59" s="245">
        <f>((New!FH59*New!$LP$3*LN((1-B59)/(1-New!DO59))) / (New!BV59*1000*New!$LQ$3*(1-B59-1+New!DO59)*New!B59^(2/3)))</f>
        <v>0.11941819044894225</v>
      </c>
      <c r="L59" s="4">
        <f>((New!FI59*New!$LP$3*LN((1-C59)/(1-New!DP59))) / (New!BW59*1000*New!$LQ$3*(1-C59-1+New!DP59)*New!C59^(2/3)))</f>
        <v>0.12183467715292659</v>
      </c>
      <c r="M59" s="4">
        <f>((New!FJ59*New!$LP$3*LN((1-D59)/(1-New!DQ59))) / (New!BX59*1000*New!$LQ$3*(1-D59-1+New!DQ59)*New!D59^(2/3)))</f>
        <v>0.12087699220713306</v>
      </c>
      <c r="N59" s="4">
        <f>((New!FK59*New!$LP$3*LN((1-E59)/(1-New!DR59))) / (New!BY59*1000*New!$LQ$3*(1-E59-1+New!DR59)*New!E59^(2/3)))</f>
        <v>0.12006294927440453</v>
      </c>
      <c r="O59" s="4">
        <f>((New!FL59*New!$LP$3*LN((1-F59)/(1-New!DS59))) / (New!BZ59*1000*New!$LQ$3*(1-F59-1+New!DS59)*New!F59^(2/3)))</f>
        <v>0.1192999662629195</v>
      </c>
      <c r="P59" s="4">
        <f>((New!FM59*New!$LP$3*LN((1-G59)/(1-New!DT59))) / (New!CA59*1000*New!$LQ$3*(1-G59-1+New!DT59)*New!G59^(2/3)))</f>
        <v>0.11870064719651383</v>
      </c>
      <c r="Q59" s="4">
        <f>((New!FN59*New!$LP$3*LN((1-H59)/(1-New!DU59))) / (New!CB59*1000*New!$LQ$3*(1-H59-1+New!DU59)*New!H59^(2/3)))</f>
        <v>0.11815283647156685</v>
      </c>
      <c r="R59" s="4">
        <f>((New!FO59*New!$LP$3*LN((1-I59)/(1-New!DV59))) / (New!CC59*1000*New!$LQ$3*(1-I59-1+New!DV59)*New!I59^(2/3)))</f>
        <v>0.11779011640790991</v>
      </c>
      <c r="S59" s="4">
        <f>((New!FP59*New!$LP$3*LN((1-J59)/(1-New!DW59))) / (New!CD59*1000*New!$LQ$3*(1-J59-1+New!DW59)*New!J59^(2/3)))</f>
        <v>0.11754244232189338</v>
      </c>
      <c r="T59" s="245">
        <f>(New!FH59*Sheet3!DF59+New!HU59*1000*K59*(New!DO59-B59)+'Cooling water'!CO59*'Cooling water'!B59) / (New!FH59+'Cooling water'!CO59)</f>
        <v>55.906684263674855</v>
      </c>
      <c r="U59" s="4">
        <f>(New!FI59*Sheet3!BZ59+New!HV59*1000*L59*(New!DP59-C59)+Sheet3!CI59*'Cooling water'!CP59) / (New!FI59+'Cooling water'!CP59)</f>
        <v>59.870608919703209</v>
      </c>
      <c r="V59" s="4">
        <f>(New!FJ59*Sheet3!CA59+New!HW59*1000*M59*(New!DQ59-D59)+Sheet3!CJ59*'Cooling water'!CQ59) / (New!FJ59+'Cooling water'!CQ59)</f>
        <v>58.518250742174516</v>
      </c>
      <c r="W59" s="4">
        <f>(New!FK59*Sheet3!CB59+New!HX59*1000*N59*(New!DR59-E59)+Sheet3!CK59*'Cooling water'!CR59) / (New!FK59+'Cooling water'!CR59)</f>
        <v>57.356835436246833</v>
      </c>
      <c r="X59" s="4">
        <f>(New!FL59*Sheet3!CC59+New!HY59*1000*O59*(New!DS59-F59)+Sheet3!CL59*'Cooling water'!CS59) / (New!FL59+'Cooling water'!CS59)</f>
        <v>56.122492556220415</v>
      </c>
      <c r="Y59" s="4">
        <f>(New!FM59*Sheet3!CD59+New!HZ59*1000*P59*(New!DT59-G59)+Sheet3!CM59*'Cooling water'!CT59) / (New!FM59+'Cooling water'!CT59)</f>
        <v>55.240020287386024</v>
      </c>
      <c r="Z59" s="4">
        <f>(New!FN59*Sheet3!CE59+New!IA59*1000*Q59*(New!DU59-H59)+Sheet3!CN59*'Cooling water'!CU59) / (New!FN59+'Cooling water'!CU59)</f>
        <v>54.31247502650443</v>
      </c>
      <c r="AA59" s="4">
        <f>(New!FO59*Sheet3!CF59+New!IB59*1000*R59*(New!DV59-I59)+Sheet3!CO59*'Cooling water'!CV59) / (New!FO59+'Cooling water'!CV59)</f>
        <v>53.621737671373708</v>
      </c>
      <c r="AB59" s="4">
        <f>(New!FP59*Sheet3!CG59+New!IC59*1000*S59*(New!DW59-J59)+Sheet3!CP59*'Cooling water'!CW59) / (New!FP59+'Cooling water'!CW59)</f>
        <v>53.009916225506871</v>
      </c>
      <c r="AC59" s="245">
        <f t="shared" si="1"/>
        <v>56.105161250000002</v>
      </c>
      <c r="AD59" s="311">
        <v>59.930374999999998</v>
      </c>
      <c r="AE59" s="311">
        <v>58.639603000000001</v>
      </c>
      <c r="AF59" s="311">
        <v>57.429135000000002</v>
      </c>
      <c r="AG59" s="311">
        <v>56.282423000000001</v>
      </c>
      <c r="AH59" s="311">
        <v>55.256805999999997</v>
      </c>
      <c r="AI59" s="311">
        <v>54.345412000000003</v>
      </c>
      <c r="AJ59" s="311">
        <v>53.664259999999999</v>
      </c>
      <c r="AK59" s="311">
        <v>53.293275999999999</v>
      </c>
      <c r="AL59" s="243">
        <f>AVERAGE(Sheet3!BR59:BY59)</f>
        <v>43.616622926358886</v>
      </c>
      <c r="AM59" s="183" cm="1">
        <f t="array" ref="AM59:AT59">TRANSPOSE('[65]Keithley Matavimai'!$W$6:$W$13)</f>
        <v>53.581416004367135</v>
      </c>
      <c r="AN59" s="183">
        <v>46.279876907121654</v>
      </c>
      <c r="AO59" s="183">
        <v>47.867907035992495</v>
      </c>
      <c r="AP59" s="183">
        <v>42.218433967651883</v>
      </c>
      <c r="AQ59" s="183">
        <v>43.221440910696423</v>
      </c>
      <c r="AR59" s="183">
        <v>43.367666055632952</v>
      </c>
      <c r="AS59" s="183">
        <v>40.972658235898479</v>
      </c>
      <c r="AT59" s="183">
        <v>31.423584293510089</v>
      </c>
      <c r="AU59" s="183">
        <f t="shared" si="2"/>
        <v>12.488538323641116</v>
      </c>
      <c r="AX59" s="281"/>
      <c r="AY59" s="281"/>
      <c r="AZ59" s="281"/>
      <c r="BA59" s="281"/>
    </row>
    <row r="60" spans="1:53" ht="16.8" x14ac:dyDescent="0.3">
      <c r="A60" s="261">
        <f>Sheet3!A60</f>
        <v>44946</v>
      </c>
      <c r="B60" s="283">
        <f>EXP(New!$LP$6-((New!$LQ$6)/(AC60+New!$LP$8)))/New!$LS$2</f>
        <v>4.1624236694288108E-2</v>
      </c>
      <c r="C60" s="312">
        <f>EXP(New!$LP$6-((New!$LQ$6)/(AD60+New!$LP$8)))/New!$LS$2</f>
        <v>5.1988241313421814E-2</v>
      </c>
      <c r="D60" s="312">
        <f>EXP(New!$LP$6-((New!$LQ$6)/(AE60+New!$LP$8)))/New!$LS$2</f>
        <v>4.8765491936576054E-2</v>
      </c>
      <c r="E60" s="312">
        <f>EXP(New!$LP$6-((New!$LQ$6)/(AF60+New!$LP$8)))/New!$LS$2</f>
        <v>4.5748185745881166E-2</v>
      </c>
      <c r="F60" s="312">
        <f>EXP(New!$LP$6-((New!$LQ$6)/(AG60+New!$LP$8)))/New!$LS$2</f>
        <v>4.2974411705056711E-2</v>
      </c>
      <c r="G60" s="312">
        <f>EXP(New!$LP$6-((New!$LQ$6)/(AH60+New!$LP$8)))/New!$LS$2</f>
        <v>4.0324162059694281E-2</v>
      </c>
      <c r="H60" s="312">
        <f>EXP(New!$LP$6-((New!$LQ$6)/(AI60+New!$LP$8)))/New!$LS$2</f>
        <v>3.7783956407924514E-2</v>
      </c>
      <c r="I60" s="312">
        <f>EXP(New!$LP$6-((New!$LQ$6)/(AJ60+New!$LP$8)))/New!$LS$2</f>
        <v>3.5397024933252329E-2</v>
      </c>
      <c r="J60" s="312">
        <f>EXP(New!$LP$6-((New!$LQ$6)/(AK60+New!$LP$8)))/New!$LS$2</f>
        <v>3.3132770854149431E-2</v>
      </c>
      <c r="K60" s="245">
        <f>((New!FH60*New!$LP$3*LN((1-B60)/(1-New!DO60))) / (New!BV60*1000*New!$LQ$3*(1-B60-1+New!DO60)*New!B60^(2/3)))</f>
        <v>6.1945153414116702E-2</v>
      </c>
      <c r="L60" s="4">
        <f>((New!FI60*New!$LP$3*LN((1-C60)/(1-New!DP60))) / (New!BW60*1000*New!$LQ$3*(1-C60-1+New!DP60)*New!C60^(2/3)))</f>
        <v>6.2301441761021134E-2</v>
      </c>
      <c r="M60" s="4">
        <f>((New!FJ60*New!$LP$3*LN((1-D60)/(1-New!DQ60))) / (New!BX60*1000*New!$LQ$3*(1-D60-1+New!DQ60)*New!D60^(2/3)))</f>
        <v>6.2147018674931206E-2</v>
      </c>
      <c r="N60" s="4">
        <f>((New!FK60*New!$LP$3*LN((1-E60)/(1-New!DR60))) / (New!BY60*1000*New!$LQ$3*(1-E60-1+New!DR60)*New!E60^(2/3)))</f>
        <v>6.2105826851919309E-2</v>
      </c>
      <c r="O60" s="4">
        <f>((New!FL60*New!$LP$3*LN((1-F60)/(1-New!DS60))) / (New!BZ60*1000*New!$LQ$3*(1-F60-1+New!DS60)*New!F60^(2/3)))</f>
        <v>6.1968766484939798E-2</v>
      </c>
      <c r="P60" s="4">
        <f>((New!FM60*New!$LP$3*LN((1-G60)/(1-New!DT60))) / (New!CA60*1000*New!$LQ$3*(1-G60-1+New!DT60)*New!G60^(2/3)))</f>
        <v>6.1896719566641258E-2</v>
      </c>
      <c r="Q60" s="4">
        <f>((New!FN60*New!$LP$3*LN((1-H60)/(1-New!DU60))) / (New!CB60*1000*New!$LQ$3*(1-H60-1+New!DU60)*New!H60^(2/3)))</f>
        <v>6.1772801375935264E-2</v>
      </c>
      <c r="R60" s="4">
        <f>((New!FO60*New!$LP$3*LN((1-I60)/(1-New!DV60))) / (New!CC60*1000*New!$LQ$3*(1-I60-1+New!DV60)*New!I60^(2/3)))</f>
        <v>6.173117282772652E-2</v>
      </c>
      <c r="S60" s="4">
        <f>((New!FP60*New!$LP$3*LN((1-J60)/(1-New!DW60))) / (New!CD60*1000*New!$LQ$3*(1-J60-1+New!DW60)*New!J60^(2/3)))</f>
        <v>6.1614407400000987E-2</v>
      </c>
      <c r="T60" s="245">
        <f>(New!FH60*Sheet3!DF60+New!HU60*1000*K60*(New!DO60-B60)+'Cooling water'!CO60*'Cooling water'!B60) / (New!FH60+'Cooling water'!CO60)</f>
        <v>27.142399990898976</v>
      </c>
      <c r="U60" s="4">
        <f>(New!FI60*Sheet3!BZ60+New!HV60*1000*L60*(New!DP60-C60)+Sheet3!CI60*'Cooling water'!CP60) / (New!FI60+'Cooling water'!CP60)</f>
        <v>32.853551014285252</v>
      </c>
      <c r="V60" s="4">
        <f>(New!FJ60*Sheet3!CA60+New!HW60*1000*M60*(New!DQ60-D60)+Sheet3!CJ60*'Cooling water'!CQ60) / (New!FJ60+'Cooling water'!CQ60)</f>
        <v>31.948829070839206</v>
      </c>
      <c r="W60" s="4">
        <f>(New!FK60*Sheet3!CB60+New!HX60*1000*N60*(New!DR60-E60)+Sheet3!CK60*'Cooling water'!CR60) / (New!FK60+'Cooling water'!CR60)</f>
        <v>31.138508974956043</v>
      </c>
      <c r="X60" s="4">
        <f>(New!FL60*Sheet3!CC60+New!HY60*1000*O60*(New!DS60-F60)+Sheet3!CL60*'Cooling water'!CS60) / (New!FL60+'Cooling water'!CS60)</f>
        <v>30.393396939490856</v>
      </c>
      <c r="Y60" s="4">
        <f>(New!FM60*Sheet3!CD60+New!HZ60*1000*P60*(New!DT60-G60)+Sheet3!CM60*'Cooling water'!CT60) / (New!FM60+'Cooling water'!CT60)</f>
        <v>29.731910430395118</v>
      </c>
      <c r="Z60" s="4">
        <f>(New!FN60*Sheet3!CE60+New!IA60*1000*Q60*(New!DU60-H60)+Sheet3!CN60*'Cooling water'!CU60) / (New!FN60+'Cooling water'!CU60)</f>
        <v>28.976751127771767</v>
      </c>
      <c r="AA60" s="4">
        <f>(New!FO60*Sheet3!CF60+New!IB60*1000*R60*(New!DV60-I60)+Sheet3!CO60*'Cooling water'!CV60) / (New!FO60+'Cooling water'!CV60)</f>
        <v>28.321592958864695</v>
      </c>
      <c r="AB60" s="4">
        <f>(New!FP60*Sheet3!CG60+New!IC60*1000*S60*(New!DW60-J60)+Sheet3!CP60*'Cooling water'!CW60) / (New!FP60+'Cooling water'!CW60)</f>
        <v>27.614297603323482</v>
      </c>
      <c r="AC60" s="245">
        <f t="shared" si="1"/>
        <v>30.005446375000002</v>
      </c>
      <c r="AD60" s="311">
        <v>33.909227000000001</v>
      </c>
      <c r="AE60" s="311">
        <v>32.773470000000003</v>
      </c>
      <c r="AF60" s="311">
        <v>31.649751999999999</v>
      </c>
      <c r="AG60" s="311">
        <v>30.558724999999999</v>
      </c>
      <c r="AH60" s="311">
        <v>29.457826000000001</v>
      </c>
      <c r="AI60" s="311">
        <v>28.342210999999999</v>
      </c>
      <c r="AJ60" s="311">
        <v>27.233059999999998</v>
      </c>
      <c r="AK60" s="311">
        <v>26.119299999999999</v>
      </c>
      <c r="AL60" s="246">
        <f>AVERAGE(Sheet3!BR60:BY60)</f>
        <v>21.637037487302358</v>
      </c>
      <c r="AM60" s="183" cm="1">
        <f t="array" ref="AM60:AT60">TRANSPOSE('[66]Keithley Matavimai'!$W$6:$W$13)</f>
        <v>28.428583260861259</v>
      </c>
      <c r="AN60" s="183">
        <v>23.473411142249574</v>
      </c>
      <c r="AO60" s="183">
        <v>24.185577893902888</v>
      </c>
      <c r="AP60" s="183">
        <v>20.583297799776947</v>
      </c>
      <c r="AQ60" s="183">
        <v>20.883423690078644</v>
      </c>
      <c r="AR60" s="183">
        <v>20.772568704019573</v>
      </c>
      <c r="AS60" s="183">
        <v>19.467021845824409</v>
      </c>
      <c r="AT60" s="183">
        <v>15.302415561705565</v>
      </c>
      <c r="AU60" s="183">
        <f t="shared" si="2"/>
        <v>8.3684088876976439</v>
      </c>
      <c r="AX60" s="281"/>
      <c r="AY60" s="281"/>
      <c r="AZ60" s="281"/>
      <c r="BA60" s="281"/>
    </row>
    <row r="61" spans="1:53" ht="16.8" x14ac:dyDescent="0.3">
      <c r="A61" s="282" t="str">
        <f>Sheet3!A61</f>
        <v>2023.01.23-1</v>
      </c>
      <c r="B61" s="248">
        <f>EXP(New!$LP$6-((New!$LQ$6)/(AC61+New!$LP$8)))/New!$LS$2</f>
        <v>4.2749740398963759E-2</v>
      </c>
      <c r="C61" s="312">
        <f>EXP(New!$LP$6-((New!$LQ$6)/(AD61+New!$LP$8)))/New!$LS$2</f>
        <v>5.4746938540159648E-2</v>
      </c>
      <c r="D61" s="312">
        <f>EXP(New!$LP$6-((New!$LQ$6)/(AE61+New!$LP$8)))/New!$LS$2</f>
        <v>5.1003408868825671E-2</v>
      </c>
      <c r="E61" s="312">
        <f>EXP(New!$LP$6-((New!$LQ$6)/(AF61+New!$LP$8)))/New!$LS$2</f>
        <v>4.7456660944221359E-2</v>
      </c>
      <c r="F61" s="312">
        <f>EXP(New!$LP$6-((New!$LQ$6)/(AG61+New!$LP$8)))/New!$LS$2</f>
        <v>4.4273673475902942E-2</v>
      </c>
      <c r="G61" s="312">
        <f>EXP(New!$LP$6-((New!$LQ$6)/(AH61+New!$LP$8)))/New!$LS$2</f>
        <v>4.1306137118858423E-2</v>
      </c>
      <c r="H61" s="312">
        <f>EXP(New!$LP$6-((New!$LQ$6)/(AI61+New!$LP$8)))/New!$LS$2</f>
        <v>3.8429571210296602E-2</v>
      </c>
      <c r="I61" s="312">
        <f>EXP(New!$LP$6-((New!$LQ$6)/(AJ61+New!$LP$8)))/New!$LS$2</f>
        <v>3.5771367664764166E-2</v>
      </c>
      <c r="J61" s="312">
        <f>EXP(New!$LP$6-((New!$LQ$6)/(AK61+New!$LP$8)))/New!$LS$2</f>
        <v>3.3000489989749672E-2</v>
      </c>
      <c r="K61" s="245">
        <f>((New!FH61*New!$LP$3*LN((1-B61)/(1-New!DO61))) / (New!BV61*1000*New!$LQ$3*(1-B61-1+New!DO61)*New!B61^(2/3)))</f>
        <v>6.6392296764940864E-2</v>
      </c>
      <c r="L61" s="4">
        <f>((New!FI61*New!$LP$3*LN((1-C61)/(1-New!DP61))) / (New!BW61*1000*New!$LQ$3*(1-C61-1+New!DP61)*New!C61^(2/3)))</f>
        <v>6.6828467588400525E-2</v>
      </c>
      <c r="M61" s="4">
        <f>((New!FJ61*New!$LP$3*LN((1-D61)/(1-New!DQ61))) / (New!BX61*1000*New!$LQ$3*(1-D61-1+New!DQ61)*New!D61^(2/3)))</f>
        <v>6.6617219085449861E-2</v>
      </c>
      <c r="N61" s="4">
        <f>((New!FK61*New!$LP$3*LN((1-E61)/(1-New!DR61))) / (New!BY61*1000*New!$LQ$3*(1-E61-1+New!DR61)*New!E61^(2/3)))</f>
        <v>6.6499933725775409E-2</v>
      </c>
      <c r="O61" s="4">
        <f>((New!FL61*New!$LP$3*LN((1-F61)/(1-New!DS61))) / (New!BZ61*1000*New!$LQ$3*(1-F61-1+New!DS61)*New!F61^(2/3)))</f>
        <v>6.6325041354037204E-2</v>
      </c>
      <c r="P61" s="4">
        <f>((New!FM61*New!$LP$3*LN((1-G61)/(1-New!DT61))) / (New!CA61*1000*New!$LQ$3*(1-G61-1+New!DT61)*New!G61^(2/3)))</f>
        <v>6.6230032138400771E-2</v>
      </c>
      <c r="Q61" s="4">
        <f>((New!FN61*New!$LP$3*LN((1-H61)/(1-New!DU61))) / (New!CB61*1000*New!$LQ$3*(1-H61-1+New!DU61)*New!H61^(2/3)))</f>
        <v>6.6081201433418169E-2</v>
      </c>
      <c r="R61" s="4">
        <f>((New!FO61*New!$LP$3*LN((1-I61)/(1-New!DV61))) / (New!CC61*1000*New!$LQ$3*(1-I61-1+New!DV61)*New!I61^(2/3)))</f>
        <v>6.6007131410503919E-2</v>
      </c>
      <c r="S61" s="4">
        <f>((New!FP61*New!$LP$3*LN((1-J61)/(1-New!DW61))) / (New!CD61*1000*New!$LQ$3*(1-J61-1+New!DW61)*New!J61^(2/3)))</f>
        <v>6.587422754650106E-2</v>
      </c>
      <c r="T61" s="245">
        <f>(New!FH61*Sheet3!DF61+New!HU61*1000*K61*(New!DO61-B61)+'Cooling water'!CO61*'Cooling water'!B61) / (New!FH61+'Cooling water'!CO61)</f>
        <v>27.290798607127364</v>
      </c>
      <c r="U61" s="4">
        <f>(New!FI61*Sheet3!BZ61+New!HV61*1000*L61*(New!DP61-C61)+Sheet3!CI61*'Cooling water'!CP61) / (New!FI61+'Cooling water'!CP61)</f>
        <v>34.186962548436362</v>
      </c>
      <c r="V61" s="4">
        <f>(New!FJ61*Sheet3!CA61+New!HW61*1000*M61*(New!DQ61-D61)+Sheet3!CJ61*'Cooling water'!CQ61) / (New!FJ61+'Cooling water'!CQ61)</f>
        <v>33.005968006378119</v>
      </c>
      <c r="W61" s="4">
        <f>(New!FK61*Sheet3!CB61+New!HX61*1000*N61*(New!DR61-E61)+Sheet3!CK61*'Cooling water'!CR61) / (New!FK61+'Cooling water'!CR61)</f>
        <v>32.0503396991447</v>
      </c>
      <c r="X61" s="4">
        <f>(New!FL61*Sheet3!CC61+New!HY61*1000*O61*(New!DS61-F61)+Sheet3!CL61*'Cooling water'!CS61) / (New!FL61+'Cooling water'!CS61)</f>
        <v>31.029980964819419</v>
      </c>
      <c r="Y61" s="4">
        <f>(New!FM61*Sheet3!CD61+New!HZ61*1000*P61*(New!DT61-G61)+Sheet3!CM61*'Cooling water'!CT61) / (New!FM61+'Cooling water'!CT61)</f>
        <v>30.226543902528579</v>
      </c>
      <c r="Z61" s="4">
        <f>(New!FN61*Sheet3!CE61+New!IA61*1000*Q61*(New!DU61-H61)+Sheet3!CN61*'Cooling water'!CU61) / (New!FN61+'Cooling water'!CU61)</f>
        <v>29.270099931212549</v>
      </c>
      <c r="AA61" s="4">
        <f>(New!FO61*Sheet3!CF61+New!IB61*1000*R61*(New!DV61-I61)+Sheet3!CO61*'Cooling water'!CV61) / (New!FO61+'Cooling water'!CV61)</f>
        <v>28.419168602430677</v>
      </c>
      <c r="AB61" s="4">
        <f>(New!FP61*Sheet3!CG61+New!IC61*1000*S61*(New!DW61-J61)+Sheet3!CP61*'Cooling water'!CW61) / (New!FP61+'Cooling water'!CW61)</f>
        <v>27.409834289767076</v>
      </c>
      <c r="AC61" s="245">
        <f t="shared" si="1"/>
        <v>30.467710999999998</v>
      </c>
      <c r="AD61" s="311">
        <v>34.834148999999996</v>
      </c>
      <c r="AE61" s="311">
        <v>33.568759</v>
      </c>
      <c r="AF61" s="311">
        <v>32.293622999999997</v>
      </c>
      <c r="AG61" s="311">
        <v>31.077124999999999</v>
      </c>
      <c r="AH61" s="311">
        <v>29.872838000000002</v>
      </c>
      <c r="AI61" s="311">
        <v>28.631768999999998</v>
      </c>
      <c r="AJ61" s="311">
        <v>27.411211999999999</v>
      </c>
      <c r="AK61" s="311">
        <v>26.052212999999998</v>
      </c>
      <c r="AL61" s="243">
        <f>AVERAGE(Sheet3!BR61:BY61)</f>
        <v>23.646731367255573</v>
      </c>
      <c r="AM61" s="183" cm="1">
        <f t="array" ref="AM61:AT61">TRANSPOSE('[67]Keithley Matavimai'!$W$6:$W$13)</f>
        <v>31.37164610841948</v>
      </c>
      <c r="AN61" s="183">
        <v>25.064603328976887</v>
      </c>
      <c r="AO61" s="183">
        <v>26.042928671230438</v>
      </c>
      <c r="AP61" s="183">
        <v>21.768338303886505</v>
      </c>
      <c r="AQ61" s="183">
        <v>21.932746211231144</v>
      </c>
      <c r="AR61" s="183">
        <v>21.757830485031324</v>
      </c>
      <c r="AS61" s="183">
        <v>22.233135867744767</v>
      </c>
      <c r="AT61" s="183">
        <v>19.002621961523996</v>
      </c>
      <c r="AU61" s="183">
        <f t="shared" si="2"/>
        <v>6.8209796327444252</v>
      </c>
      <c r="AX61" s="281"/>
      <c r="AY61" s="281"/>
      <c r="AZ61" s="281"/>
      <c r="BA61" s="281"/>
    </row>
    <row r="62" spans="1:53" ht="16.8" x14ac:dyDescent="0.3">
      <c r="A62" s="282" t="str">
        <f>Sheet3!A62</f>
        <v>2023.01.23-2</v>
      </c>
      <c r="B62" s="248">
        <f>EXP(New!$LP$6-((New!$LQ$6)/(AC62+New!$LP$8)))/New!$LS$2</f>
        <v>4.5826938564970734E-2</v>
      </c>
      <c r="C62" s="312">
        <f>EXP(New!$LP$6-((New!$LQ$6)/(AD62+New!$LP$8)))/New!$LS$2</f>
        <v>6.059098047200074E-2</v>
      </c>
      <c r="D62" s="312">
        <f>EXP(New!$LP$6-((New!$LQ$6)/(AE62+New!$LP$8)))/New!$LS$2</f>
        <v>5.5762951498671193E-2</v>
      </c>
      <c r="E62" s="312">
        <f>EXP(New!$LP$6-((New!$LQ$6)/(AF62+New!$LP$8)))/New!$LS$2</f>
        <v>5.131222064667388E-2</v>
      </c>
      <c r="F62" s="312">
        <f>EXP(New!$LP$6-((New!$LQ$6)/(AG62+New!$LP$8)))/New!$LS$2</f>
        <v>4.740341788328465E-2</v>
      </c>
      <c r="G62" s="312">
        <f>EXP(New!$LP$6-((New!$LQ$6)/(AH62+New!$LP$8)))/New!$LS$2</f>
        <v>4.4035304759313942E-2</v>
      </c>
      <c r="H62" s="312">
        <f>EXP(New!$LP$6-((New!$LQ$6)/(AI62+New!$LP$8)))/New!$LS$2</f>
        <v>4.0729132991975607E-2</v>
      </c>
      <c r="I62" s="312">
        <f>EXP(New!$LP$6-((New!$LQ$6)/(AJ62+New!$LP$8)))/New!$LS$2</f>
        <v>3.7561364575953819E-2</v>
      </c>
      <c r="J62" s="312">
        <f>EXP(New!$LP$6-((New!$LQ$6)/(AK62+New!$LP$8)))/New!$LS$2</f>
        <v>3.4505762033564931E-2</v>
      </c>
      <c r="K62" s="245">
        <f>((New!FH62*New!$LP$3*LN((1-B62)/(1-New!DO62))) / (New!BV62*1000*New!$LQ$3*(1-B62-1+New!DO62)*New!B62^(2/3)))</f>
        <v>7.206106148109237E-2</v>
      </c>
      <c r="L62" s="4">
        <f>((New!FI62*New!$LP$3*LN((1-C62)/(1-New!DP62))) / (New!BW62*1000*New!$LQ$3*(1-C62-1+New!DP62)*New!C62^(2/3)))</f>
        <v>7.2644672575996508E-2</v>
      </c>
      <c r="M62" s="4">
        <f>((New!FJ62*New!$LP$3*LN((1-D62)/(1-New!DQ62))) / (New!BX62*1000*New!$LQ$3*(1-D62-1+New!DQ62)*New!D62^(2/3)))</f>
        <v>7.2321552575048173E-2</v>
      </c>
      <c r="N62" s="4">
        <f>((New!FK62*New!$LP$3*LN((1-E62)/(1-New!DR62))) / (New!BY62*1000*New!$LQ$3*(1-E62-1+New!DR62)*New!E62^(2/3)))</f>
        <v>7.2109411362341877E-2</v>
      </c>
      <c r="O62" s="4">
        <f>((New!FL62*New!$LP$3*LN((1-F62)/(1-New!DS62))) / (New!BZ62*1000*New!$LQ$3*(1-F62-1+New!DS62)*New!F62^(2/3)))</f>
        <v>7.184803901620225E-2</v>
      </c>
      <c r="P62" s="4">
        <f>((New!FM62*New!$LP$3*LN((1-G62)/(1-New!DT62))) / (New!CA62*1000*New!$LQ$3*(1-G62-1+New!DT62)*New!G62^(2/3)))</f>
        <v>7.1703723387068929E-2</v>
      </c>
      <c r="Q62" s="4">
        <f>((New!FN62*New!$LP$3*LN((1-H62)/(1-New!DU62))) / (New!CB62*1000*New!$LQ$3*(1-H62-1+New!DU62)*New!H62^(2/3)))</f>
        <v>7.149133379699317E-2</v>
      </c>
      <c r="R62" s="4">
        <f>((New!FO62*New!$LP$3*LN((1-I62)/(1-New!DV62))) / (New!CC62*1000*New!$LQ$3*(1-I62-1+New!DV62)*New!I62^(2/3)))</f>
        <v>7.13652393746982E-2</v>
      </c>
      <c r="S62" s="4">
        <f>((New!FP62*New!$LP$3*LN((1-J62)/(1-New!DW62))) / (New!CD62*1000*New!$LQ$3*(1-J62-1+New!DW62)*New!J62^(2/3)))</f>
        <v>7.1180345528390712E-2</v>
      </c>
      <c r="T62" s="245">
        <f>(New!FH62*Sheet3!DF62+New!HU62*1000*K62*(New!DO62-B62)+'Cooling water'!CO62*'Cooling water'!B62) / (New!FH62+'Cooling water'!CO62)</f>
        <v>28.728587104418619</v>
      </c>
      <c r="U62" s="4">
        <f>(New!FI62*Sheet3!BZ62+New!HV62*1000*L62*(New!DP62-C62)+Sheet3!CI62*'Cooling water'!CP62) / (New!FI62+'Cooling water'!CP62)</f>
        <v>36.381973589252823</v>
      </c>
      <c r="V62" s="4">
        <f>(New!FJ62*Sheet3!CA62+New!HW62*1000*M62*(New!DQ62-D62)+Sheet3!CJ62*'Cooling water'!CQ62) / (New!FJ62+'Cooling water'!CQ62)</f>
        <v>34.920806259519651</v>
      </c>
      <c r="W62" s="4">
        <f>(New!FK62*Sheet3!CB62+New!HX62*1000*N62*(New!DR62-E62)+Sheet3!CK62*'Cooling water'!CR62) / (New!FK62+'Cooling water'!CR62)</f>
        <v>33.700990561409029</v>
      </c>
      <c r="X62" s="4">
        <f>(New!FL62*Sheet3!CC62+New!HY62*1000*O62*(New!DS62-F62)+Sheet3!CL62*'Cooling water'!CS62) / (New!FL62+'Cooling water'!CS62)</f>
        <v>32.42664683518187</v>
      </c>
      <c r="Y62" s="4">
        <f>(New!FM62*Sheet3!CD62+New!HZ62*1000*P62*(New!DT62-G62)+Sheet3!CM62*'Cooling water'!CT62) / (New!FM62+'Cooling water'!CT62)</f>
        <v>31.406123764219696</v>
      </c>
      <c r="Z62" s="4">
        <f>(New!FN62*Sheet3!CE62+New!IA62*1000*Q62*(New!DU62-H62)+Sheet3!CN62*'Cooling water'!CU62) / (New!FN62+'Cooling water'!CU62)</f>
        <v>30.292285798188242</v>
      </c>
      <c r="AA62" s="4">
        <f>(New!FO62*Sheet3!CF62+New!IB62*1000*R62*(New!DV62-I62)+Sheet3!CO62*'Cooling water'!CV62) / (New!FO62+'Cooling water'!CV62)</f>
        <v>29.259957831445877</v>
      </c>
      <c r="AB62" s="4">
        <f>(New!FP62*Sheet3!CG62+New!IC62*1000*S62*(New!DW62-J62)+Sheet3!CP62*'Cooling water'!CW62) / (New!FP62+'Cooling water'!CW62)</f>
        <v>28.140630456286868</v>
      </c>
      <c r="AC62" s="245">
        <f t="shared" si="1"/>
        <v>31.679884625</v>
      </c>
      <c r="AD62" s="311">
        <v>36.667746999999999</v>
      </c>
      <c r="AE62" s="311">
        <v>35.164679999999997</v>
      </c>
      <c r="AF62" s="311">
        <v>33.676124999999999</v>
      </c>
      <c r="AG62" s="311">
        <v>32.273862000000001</v>
      </c>
      <c r="AH62" s="311">
        <v>30.983011000000001</v>
      </c>
      <c r="AI62" s="311">
        <v>29.630026999999998</v>
      </c>
      <c r="AJ62" s="311">
        <v>28.241385000000001</v>
      </c>
      <c r="AK62" s="311">
        <v>26.802240000000001</v>
      </c>
      <c r="AL62" s="243">
        <f>AVERAGE(Sheet3!BR62:BY62)</f>
        <v>24.985127527182097</v>
      </c>
      <c r="AM62" s="183" cm="1">
        <f t="array" ref="AM62:AT62">TRANSPOSE('[69]Keithley Matavimai'!$W$6:$W$13)</f>
        <v>33.539055743594538</v>
      </c>
      <c r="AN62" s="183">
        <v>26.952037669981753</v>
      </c>
      <c r="AO62" s="183">
        <v>28.290763075213004</v>
      </c>
      <c r="AP62" s="183">
        <v>23.42757821805785</v>
      </c>
      <c r="AQ62" s="183">
        <v>24.351975718832424</v>
      </c>
      <c r="AR62" s="183">
        <v>24.04057919217286</v>
      </c>
      <c r="AS62" s="183">
        <v>21.684618865615494</v>
      </c>
      <c r="AT62" s="183">
        <v>17.594411733988824</v>
      </c>
      <c r="AU62" s="183">
        <f t="shared" si="2"/>
        <v>6.6947570978179023</v>
      </c>
      <c r="AX62" s="281"/>
      <c r="AY62" s="281"/>
      <c r="AZ62" s="281"/>
      <c r="BA62" s="281"/>
    </row>
    <row r="63" spans="1:53" ht="16.8" x14ac:dyDescent="0.3">
      <c r="A63" s="282" t="str">
        <f>Sheet3!A63</f>
        <v>2023.01.24-1</v>
      </c>
      <c r="B63" s="248">
        <f>EXP(New!$LP$6-((New!$LQ$6)/(AC63+New!$LP$8)))/New!$LS$2</f>
        <v>5.4192301114320544E-2</v>
      </c>
      <c r="C63" s="312">
        <f>EXP(New!$LP$6-((New!$LQ$6)/(AD63+New!$LP$8)))/New!$LS$2</f>
        <v>6.685102142755546E-2</v>
      </c>
      <c r="D63" s="312">
        <f>EXP(New!$LP$6-((New!$LQ$6)/(AE63+New!$LP$8)))/New!$LS$2</f>
        <v>6.2166958248954719E-2</v>
      </c>
      <c r="E63" s="312">
        <f>EXP(New!$LP$6-((New!$LQ$6)/(AF63+New!$LP$8)))/New!$LS$2</f>
        <v>5.7953706227993285E-2</v>
      </c>
      <c r="F63" s="312">
        <f>EXP(New!$LP$6-((New!$LQ$6)/(AG63+New!$LP$8)))/New!$LS$2</f>
        <v>5.4073689894058002E-2</v>
      </c>
      <c r="G63" s="312">
        <f>EXP(New!$LP$6-((New!$LQ$6)/(AH63+New!$LP$8)))/New!$LS$2</f>
        <v>5.0549803551978592E-2</v>
      </c>
      <c r="H63" s="312">
        <f>EXP(New!$LP$6-((New!$LQ$6)/(AI63+New!$LP$8)))/New!$LS$2</f>
        <v>4.7203563031748878E-2</v>
      </c>
      <c r="I63" s="312">
        <f>EXP(New!$LP$6-((New!$LQ$6)/(AJ63+New!$LP$8)))/New!$LS$2</f>
        <v>4.4192522931156088E-2</v>
      </c>
      <c r="J63" s="312">
        <f>EXP(New!$LP$6-((New!$LQ$6)/(AK63+New!$LP$8)))/New!$LS$2</f>
        <v>5.3672574384148027E-2</v>
      </c>
      <c r="K63" s="245">
        <f>((New!FH63*New!$LP$3*LN((1-B63)/(1-New!DO63))) / (New!BV63*1000*New!$LQ$3*(1-B63-1+New!DO63)*New!B63^(2/3)))</f>
        <v>4.5256427813229444E-2</v>
      </c>
      <c r="L63" s="4">
        <f>((New!FI63*New!$LP$3*LN((1-C63)/(1-New!DP63))) / (New!BW63*1000*New!$LQ$3*(1-C63-1+New!DP63)*New!C63^(2/3)))</f>
        <v>4.5562289306617265E-2</v>
      </c>
      <c r="M63" s="4">
        <f>((New!FJ63*New!$LP$3*LN((1-D63)/(1-New!DQ63))) / (New!BX63*1000*New!$LQ$3*(1-D63-1+New!DQ63)*New!D63^(2/3)))</f>
        <v>4.5389445365280313E-2</v>
      </c>
      <c r="N63" s="4">
        <f>((New!FK63*New!$LP$3*LN((1-E63)/(1-New!DR63))) / (New!BY63*1000*New!$LQ$3*(1-E63-1+New!DR63)*New!E63^(2/3)))</f>
        <v>4.5303387222629068E-2</v>
      </c>
      <c r="O63" s="4">
        <f>((New!FL63*New!$LP$3*LN((1-F63)/(1-New!DS63))) / (New!BZ63*1000*New!$LQ$3*(1-F63-1+New!DS63)*New!F63^(2/3)))</f>
        <v>4.5179562300753831E-2</v>
      </c>
      <c r="P63" s="4">
        <f>((New!FM63*New!$LP$3*LN((1-G63)/(1-New!DT63))) / (New!CA63*1000*New!$LQ$3*(1-G63-1+New!DT63)*New!G63^(2/3)))</f>
        <v>4.5103604307278798E-2</v>
      </c>
      <c r="Q63" s="4">
        <f>((New!FN63*New!$LP$3*LN((1-H63)/(1-New!DU63))) / (New!CB63*1000*New!$LQ$3*(1-H63-1+New!DU63)*New!H63^(2/3)))</f>
        <v>4.4983023979310796E-2</v>
      </c>
      <c r="R63" s="4">
        <f>((New!FO63*New!$LP$3*LN((1-I63)/(1-New!DV63))) / (New!CC63*1000*New!$LQ$3*(1-I63-1+New!DV63)*New!I63^(2/3)))</f>
        <v>4.4954964196356133E-2</v>
      </c>
      <c r="S63" s="4">
        <f>((New!FP63*New!$LP$3*LN((1-J63)/(1-New!DW63))) / (New!CD63*1000*New!$LQ$3*(1-J63-1+New!DW63)*New!J63^(2/3)))</f>
        <v>4.5117706357677839E-2</v>
      </c>
      <c r="T63" s="245">
        <f>(New!FH63*Sheet3!DF63+New!HU63*1000*K63*(New!DO63-B63)+'Cooling water'!CO63*'Cooling water'!B63) / (New!FH63+'Cooling water'!CO63)</f>
        <v>57.76101237590008</v>
      </c>
      <c r="U63" s="4">
        <f>(New!FI63*Sheet3!BZ63+New!HV63*1000*L63*(New!DP63-C63)+Sheet3!CI63*'Cooling water'!CP63) / (New!FI63+'Cooling water'!CP63)</f>
        <v>37.43903001536323</v>
      </c>
      <c r="V63" s="4">
        <f>(New!FJ63*Sheet3!CA63+New!HW63*1000*M63*(New!DQ63-D63)+Sheet3!CJ63*'Cooling water'!CQ63) / (New!FJ63+'Cooling water'!CQ63)</f>
        <v>36.289842693007557</v>
      </c>
      <c r="W63" s="4">
        <f>(New!FK63*Sheet3!CB63+New!HX63*1000*N63*(New!DR63-E63)+Sheet3!CK63*'Cooling water'!CR63) / (New!FK63+'Cooling water'!CR63)</f>
        <v>35.430866013331098</v>
      </c>
      <c r="X63" s="4">
        <f>(New!FL63*Sheet3!CC63+New!HY63*1000*O63*(New!DS63-F63)+Sheet3!CL63*'Cooling water'!CS63) / (New!FL63+'Cooling water'!CS63)</f>
        <v>34.547355212216999</v>
      </c>
      <c r="Y63" s="4">
        <f>(New!FM63*Sheet3!CD63+New!HZ63*1000*P63*(New!DT63-G63)+Sheet3!CM63*'Cooling water'!CT63) / (New!FM63+'Cooling water'!CT63)</f>
        <v>33.894583452672677</v>
      </c>
      <c r="Z63" s="4">
        <f>(New!FN63*Sheet3!CE63+New!IA63*1000*Q63*(New!DU63-H63)+Sheet3!CN63*'Cooling water'!CU63) / (New!FN63+'Cooling water'!CU63)</f>
        <v>33.158264853578196</v>
      </c>
      <c r="AA63" s="4">
        <f>(New!FO63*Sheet3!CF63+New!IB63*1000*R63*(New!DV63-I63)+Sheet3!CO63*'Cooling water'!CV63) / (New!FO63+'Cooling water'!CV63)</f>
        <v>32.580088709899677</v>
      </c>
      <c r="AB63" s="4">
        <f>(New!FP63*Sheet3!CG63+New!IC63*1000*S63*(New!DW63-J63)+Sheet3!CP63*'Cooling water'!CW63) / (New!FP63+'Cooling water'!CW63)</f>
        <v>31.059407784605792</v>
      </c>
      <c r="AC63" s="245">
        <f t="shared" si="1"/>
        <v>34.651474749999998</v>
      </c>
      <c r="AD63" s="311">
        <v>38.469971999999999</v>
      </c>
      <c r="AE63" s="311">
        <v>37.136049</v>
      </c>
      <c r="AF63" s="311">
        <v>35.860069000000003</v>
      </c>
      <c r="AG63" s="311">
        <v>34.612200000000001</v>
      </c>
      <c r="AH63" s="311">
        <v>33.410029999999999</v>
      </c>
      <c r="AI63" s="311">
        <v>32.199514999999998</v>
      </c>
      <c r="AJ63" s="311">
        <v>31.045134000000001</v>
      </c>
      <c r="AK63" s="311">
        <v>34.478828999999998</v>
      </c>
      <c r="AL63" s="243">
        <f>AVERAGE(Sheet3!BR63:BY63)</f>
        <v>25.30843141229186</v>
      </c>
      <c r="AM63" s="183" cm="1">
        <f t="array" ref="AM63:AT63">TRANSPOSE('[70]Keithley Matavimai'!$W$6:$W$13)</f>
        <v>34.077727856233388</v>
      </c>
      <c r="AN63" s="183">
        <v>29.910026025962804</v>
      </c>
      <c r="AO63" s="183">
        <v>28.655792653668527</v>
      </c>
      <c r="AP63" s="183">
        <v>24.639285655894849</v>
      </c>
      <c r="AQ63" s="183">
        <v>23.887769537639134</v>
      </c>
      <c r="AR63" s="183">
        <v>23.378193021691391</v>
      </c>
      <c r="AS63" s="183">
        <v>21.896720449794017</v>
      </c>
      <c r="AT63" s="183">
        <v>16.021936097450737</v>
      </c>
      <c r="AU63" s="183">
        <f t="shared" si="2"/>
        <v>9.3430433377081386</v>
      </c>
      <c r="AX63" s="281"/>
      <c r="AY63" s="281"/>
      <c r="AZ63" s="281"/>
      <c r="BA63" s="281"/>
    </row>
    <row r="64" spans="1:53" ht="16.8" x14ac:dyDescent="0.3">
      <c r="A64" s="282" t="str">
        <f>Sheet3!A64</f>
        <v>2023.01.24-2</v>
      </c>
      <c r="B64" s="248">
        <f>EXP(New!$LP$6-((New!$LQ$6)/(AC64+New!$LP$8)))/New!$LS$2</f>
        <v>5.6176410020171152E-2</v>
      </c>
      <c r="C64" s="312">
        <f>EXP(New!$LP$6-((New!$LQ$6)/(AD64+New!$LP$8)))/New!$LS$2</f>
        <v>7.4205939418817382E-2</v>
      </c>
      <c r="D64" s="312">
        <f>EXP(New!$LP$6-((New!$LQ$6)/(AE64+New!$LP$8)))/New!$LS$2</f>
        <v>6.8248507763611271E-2</v>
      </c>
      <c r="E64" s="312">
        <f>EXP(New!$LP$6-((New!$LQ$6)/(AF64+New!$LP$8)))/New!$LS$2</f>
        <v>6.2747544082768517E-2</v>
      </c>
      <c r="F64" s="312">
        <f>EXP(New!$LP$6-((New!$LQ$6)/(AG64+New!$LP$8)))/New!$LS$2</f>
        <v>5.7913277629936324E-2</v>
      </c>
      <c r="G64" s="312">
        <f>EXP(New!$LP$6-((New!$LQ$6)/(AH64+New!$LP$8)))/New!$LS$2</f>
        <v>5.359039124774221E-2</v>
      </c>
      <c r="H64" s="312">
        <f>EXP(New!$LP$6-((New!$LQ$6)/(AI64+New!$LP$8)))/New!$LS$2</f>
        <v>4.9854323779737794E-2</v>
      </c>
      <c r="I64" s="312">
        <f>EXP(New!$LP$6-((New!$LQ$6)/(AJ64+New!$LP$8)))/New!$LS$2</f>
        <v>4.621836855759983E-2</v>
      </c>
      <c r="J64" s="312">
        <f>EXP(New!$LP$6-((New!$LQ$6)/(AK64+New!$LP$8)))/New!$LS$2</f>
        <v>4.2880485963744476E-2</v>
      </c>
      <c r="K64" s="245">
        <f>((New!FH64*New!$LP$3*LN((1-B64)/(1-New!DO64))) / (New!BV64*1000*New!$LQ$3*(1-B64-1+New!DO64)*New!B64^(2/3)))</f>
        <v>4.8879762188716862E-2</v>
      </c>
      <c r="L64" s="4">
        <f>((New!FI64*New!$LP$3*LN((1-C64)/(1-New!DP64))) / (New!BW64*1000*New!$LQ$3*(1-C64-1+New!DP64)*New!C64^(2/3)))</f>
        <v>4.937210214148402E-2</v>
      </c>
      <c r="M64" s="4">
        <f>((New!FJ64*New!$LP$3*LN((1-D64)/(1-New!DQ64))) / (New!BX64*1000*New!$LQ$3*(1-D64-1+New!DQ64)*New!D64^(2/3)))</f>
        <v>4.9120671131566887E-2</v>
      </c>
      <c r="N64" s="4">
        <f>((New!FK64*New!$LP$3*LN((1-E64)/(1-New!DR64))) / (New!BY64*1000*New!$LQ$3*(1-E64-1+New!DR64)*New!E64^(2/3)))</f>
        <v>4.8980684720407106E-2</v>
      </c>
      <c r="O64" s="4">
        <f>((New!FL64*New!$LP$3*LN((1-F64)/(1-New!DS64))) / (New!BZ64*1000*New!$LQ$3*(1-F64-1+New!DS64)*New!F64^(2/3)))</f>
        <v>4.8811892172836414E-2</v>
      </c>
      <c r="P64" s="4">
        <f>((New!FM64*New!$LP$3*LN((1-G64)/(1-New!DT64))) / (New!CA64*1000*New!$LQ$3*(1-G64-1+New!DT64)*New!G64^(2/3)))</f>
        <v>4.8707476479495165E-2</v>
      </c>
      <c r="Q64" s="4">
        <f>((New!FN64*New!$LP$3*LN((1-H64)/(1-New!DU64))) / (New!CB64*1000*New!$LQ$3*(1-H64-1+New!DU64)*New!H64^(2/3)))</f>
        <v>4.8549228691935342E-2</v>
      </c>
      <c r="R64" s="4">
        <f>((New!FO64*New!$LP$3*LN((1-I64)/(1-New!DV64))) / (New!CC64*1000*New!$LQ$3*(1-I64-1+New!DV64)*New!I64^(2/3)))</f>
        <v>4.8472411534351383E-2</v>
      </c>
      <c r="S64" s="4">
        <f>((New!FP64*New!$LP$3*LN((1-J64)/(1-New!DW64))) / (New!CD64*1000*New!$LQ$3*(1-J64-1+New!DW64)*New!J64^(2/3)))</f>
        <v>4.8344652932052659E-2</v>
      </c>
      <c r="T64" s="245">
        <f>(New!FH64*Sheet3!DF64+New!HU64*1000*K64*(New!DO64-B64)+'Cooling water'!CO64*'Cooling water'!B64) / (New!FH64+'Cooling water'!CO64)</f>
        <v>33.101082845864553</v>
      </c>
      <c r="U64" s="4">
        <f>(New!FI64*Sheet3!BZ64+New!HV64*1000*L64*(New!DP64-C64)+Sheet3!CI64*'Cooling water'!CP64) / (New!FI64+'Cooling water'!CP64)</f>
        <v>39.861127317197237</v>
      </c>
      <c r="V64" s="4">
        <f>(New!FJ64*Sheet3!CA64+New!HW64*1000*M64*(New!DQ64-D64)+Sheet3!CJ64*'Cooling water'!CQ64) / (New!FJ64+'Cooling water'!CQ64)</f>
        <v>38.389363728371166</v>
      </c>
      <c r="W64" s="4">
        <f>(New!FK64*Sheet3!CB64+New!HX64*1000*N64*(New!DR64-E64)+Sheet3!CK64*'Cooling water'!CR64) / (New!FK64+'Cooling water'!CR64)</f>
        <v>37.215861750840553</v>
      </c>
      <c r="X64" s="4">
        <f>(New!FL64*Sheet3!CC64+New!HY64*1000*O64*(New!DS64-F64)+Sheet3!CL64*'Cooling water'!CS64) / (New!FL64+'Cooling water'!CS64)</f>
        <v>36.009924306098505</v>
      </c>
      <c r="Y64" s="4">
        <f>(New!FM64*Sheet3!CD64+New!HZ64*1000*P64*(New!DT64-G64)+Sheet3!CM64*'Cooling water'!CT64) / (New!FM64+'Cooling water'!CT64)</f>
        <v>35.093270521674782</v>
      </c>
      <c r="Z64" s="4">
        <f>(New!FN64*Sheet3!CE64+New!IA64*1000*Q64*(New!DU64-H64)+Sheet3!CN64*'Cooling water'!CU64) / (New!FN64+'Cooling water'!CU64)</f>
        <v>34.030544017590962</v>
      </c>
      <c r="AA64" s="4">
        <f>(New!FO64*Sheet3!CF64+New!IB64*1000*R64*(New!DV64-I64)+Sheet3!CO64*'Cooling water'!CV64) / (New!FO64+'Cooling water'!CV64)</f>
        <v>33.263788466307496</v>
      </c>
      <c r="AB64" s="4">
        <f>(New!FP64*Sheet3!CG64+New!IC64*1000*S64*(New!DW64-J64)+Sheet3!CP64*'Cooling water'!CW64) / (New!FP64+'Cooling water'!CW64)</f>
        <v>32.371821705846585</v>
      </c>
      <c r="AC64" s="245">
        <f t="shared" si="1"/>
        <v>35.297701875000001</v>
      </c>
      <c r="AD64" s="311">
        <v>40.410449</v>
      </c>
      <c r="AE64" s="311">
        <v>38.852353000000001</v>
      </c>
      <c r="AF64" s="311">
        <v>37.305995000000003</v>
      </c>
      <c r="AG64" s="311">
        <v>35.847442999999998</v>
      </c>
      <c r="AH64" s="311">
        <v>34.451397</v>
      </c>
      <c r="AI64" s="311">
        <v>33.164257999999997</v>
      </c>
      <c r="AJ64" s="311">
        <v>31.828994000000002</v>
      </c>
      <c r="AK64" s="311">
        <v>30.520726</v>
      </c>
      <c r="AL64" s="243">
        <f>AVERAGE(Sheet3!BR64:BY64)</f>
        <v>27.45659399457012</v>
      </c>
      <c r="AM64" s="183" cm="1">
        <f t="array" ref="AM64:AT64">TRANSPOSE('[71]Keithley Matavimai'!$W$6:$W$13)</f>
        <v>37.869937392334577</v>
      </c>
      <c r="AN64" s="183">
        <v>32.118465583959328</v>
      </c>
      <c r="AO64" s="183">
        <v>31.595124254940057</v>
      </c>
      <c r="AP64" s="183">
        <v>26.721073738068117</v>
      </c>
      <c r="AQ64" s="183">
        <v>26.224379685836212</v>
      </c>
      <c r="AR64" s="183">
        <v>25.755276241366271</v>
      </c>
      <c r="AS64" s="183">
        <v>22.399055317437259</v>
      </c>
      <c r="AT64" s="183">
        <v>16.969439742619162</v>
      </c>
      <c r="AU64" s="183">
        <f t="shared" si="2"/>
        <v>7.841107880429881</v>
      </c>
      <c r="AX64" s="281"/>
      <c r="AY64" s="281"/>
      <c r="AZ64" s="281"/>
      <c r="BA64" s="281"/>
    </row>
    <row r="65" spans="1:53" ht="16.8" x14ac:dyDescent="0.3">
      <c r="A65" s="282">
        <f>Sheet3!A65</f>
        <v>44951</v>
      </c>
      <c r="B65" s="248">
        <f>EXP(New!$LP$6-((New!$LQ$6)/(AC65+New!$LP$8)))/New!$LS$2</f>
        <v>5.7384744278135745E-2</v>
      </c>
      <c r="C65" s="312">
        <f>EXP(New!$LP$6-((New!$LQ$6)/(AD65+New!$LP$8)))/New!$LS$2</f>
        <v>7.793529828722856E-2</v>
      </c>
      <c r="D65" s="312">
        <f>EXP(New!$LP$6-((New!$LQ$6)/(AE65+New!$LP$8)))/New!$LS$2</f>
        <v>7.0973684654459621E-2</v>
      </c>
      <c r="E65" s="312">
        <f>EXP(New!$LP$6-((New!$LQ$6)/(AF65+New!$LP$8)))/New!$LS$2</f>
        <v>6.4675151354232588E-2</v>
      </c>
      <c r="F65" s="312">
        <f>EXP(New!$LP$6-((New!$LQ$6)/(AG65+New!$LP$8)))/New!$LS$2</f>
        <v>5.9399445175264944E-2</v>
      </c>
      <c r="G65" s="312">
        <f>EXP(New!$LP$6-((New!$LQ$6)/(AH65+New!$LP$8)))/New!$LS$2</f>
        <v>5.4673791275724824E-2</v>
      </c>
      <c r="H65" s="312">
        <f>EXP(New!$LP$6-((New!$LQ$6)/(AI65+New!$LP$8)))/New!$LS$2</f>
        <v>5.0253873876342704E-2</v>
      </c>
      <c r="I65" s="312">
        <f>EXP(New!$LP$6-((New!$LQ$6)/(AJ65+New!$LP$8)))/New!$LS$2</f>
        <v>4.6253446298749494E-2</v>
      </c>
      <c r="J65" s="312">
        <f>EXP(New!$LP$6-((New!$LQ$6)/(AK65+New!$LP$8)))/New!$LS$2</f>
        <v>4.2624670517270591E-2</v>
      </c>
      <c r="K65" s="245">
        <f>((New!FH65*New!$LP$3*LN((1-B65)/(1-New!DO65))) / (New!BV65*1000*New!$LQ$3*(1-B65-1+New!DO65)*New!B65^(2/3)))</f>
        <v>5.2390339027845539E-2</v>
      </c>
      <c r="L65" s="4">
        <f>((New!FI65*New!$LP$3*LN((1-C65)/(1-New!DP65))) / (New!BW65*1000*New!$LQ$3*(1-C65-1+New!DP65)*New!C65^(2/3)))</f>
        <v>5.2990496554548912E-2</v>
      </c>
      <c r="M65" s="4">
        <f>((New!FJ65*New!$LP$3*LN((1-D65)/(1-New!DQ65))) / (New!BX65*1000*New!$LQ$3*(1-D65-1+New!DQ65)*New!D65^(2/3)))</f>
        <v>5.2654271508411059E-2</v>
      </c>
      <c r="N65" s="4">
        <f>((New!FK65*New!$LP$3*LN((1-E65)/(1-New!DR65))) / (New!BY65*1000*New!$LQ$3*(1-E65-1+New!DR65)*New!E65^(2/3)))</f>
        <v>5.2441751530772684E-2</v>
      </c>
      <c r="O65" s="4">
        <f>((New!FL65*New!$LP$3*LN((1-F65)/(1-New!DS65))) / (New!BZ65*1000*New!$LQ$3*(1-F65-1+New!DS65)*New!F65^(2/3)))</f>
        <v>5.2186088028048527E-2</v>
      </c>
      <c r="P65" s="4">
        <f>((New!FM65*New!$LP$3*LN((1-G65)/(1-New!DT65))) / (New!CA65*1000*New!$LQ$3*(1-G65-1+New!DT65)*New!G65^(2/3)))</f>
        <v>5.2043207902068102E-2</v>
      </c>
      <c r="Q65" s="4">
        <f>((New!FN65*New!$LP$3*LN((1-H65)/(1-New!DU65))) / (New!CB65*1000*New!$LQ$3*(1-H65-1+New!DU65)*New!H65^(2/3)))</f>
        <v>5.1840588901556177E-2</v>
      </c>
      <c r="R65" s="4">
        <f>((New!FO65*New!$LP$3*LN((1-I65)/(1-New!DV65))) / (New!CC65*1000*New!$LQ$3*(1-I65-1+New!DV65)*New!I65^(2/3)))</f>
        <v>5.173003653815926E-2</v>
      </c>
      <c r="S65" s="4">
        <f>((New!FP65*New!$LP$3*LN((1-J65)/(1-New!DW65))) / (New!CD65*1000*New!$LQ$3*(1-J65-1+New!DW65)*New!J65^(2/3)))</f>
        <v>5.1572741598767888E-2</v>
      </c>
      <c r="T65" s="245">
        <f>(New!FH65*Sheet3!DF65+New!HU65*1000*K65*(New!DO65-B65)+'Cooling water'!CO65*'Cooling water'!B65) / (New!FH65+'Cooling water'!CO65)</f>
        <v>33.61453402060959</v>
      </c>
      <c r="U65" s="4">
        <f>(New!FI65*Sheet3!BZ65+New!HV65*1000*L65*(New!DP65-C65)+Sheet3!CI65*'Cooling water'!CP65) / (New!FI65+'Cooling water'!CP65)</f>
        <v>41.129213478659388</v>
      </c>
      <c r="V65" s="4">
        <f>(New!FJ65*Sheet3!CA65+New!HW65*1000*M65*(New!DQ65-D65)+Sheet3!CJ65*'Cooling water'!CQ65) / (New!FJ65+'Cooling water'!CQ65)</f>
        <v>39.41383819053479</v>
      </c>
      <c r="W65" s="4">
        <f>(New!FK65*Sheet3!CB65+New!HX65*1000*N65*(New!DR65-E65)+Sheet3!CK65*'Cooling water'!CR65) / (New!FK65+'Cooling water'!CR65)</f>
        <v>38.037302235594545</v>
      </c>
      <c r="X65" s="4">
        <f>(New!FL65*Sheet3!CC65+New!HY65*1000*O65*(New!DS65-F65)+Sheet3!CL65*'Cooling water'!CS65) / (New!FL65+'Cooling water'!CS65)</f>
        <v>36.554265623384239</v>
      </c>
      <c r="Y65" s="4">
        <f>(New!FM65*Sheet3!CD65+New!HZ65*1000*P65*(New!DT65-G65)+Sheet3!CM65*'Cooling water'!CT65) / (New!FM65+'Cooling water'!CT65)</f>
        <v>35.469420369066533</v>
      </c>
      <c r="Z65" s="4">
        <f>(New!FN65*Sheet3!CE65+New!IA65*1000*Q65*(New!DU65-H65)+Sheet3!CN65*'Cooling water'!CU65) / (New!FN65+'Cooling water'!CU65)</f>
        <v>34.248113565242321</v>
      </c>
      <c r="AA65" s="4">
        <f>(New!FO65*Sheet3!CF65+New!IB65*1000*R65*(New!DV65-I65)+Sheet3!CO65*'Cooling water'!CV65) / (New!FO65+'Cooling water'!CV65)</f>
        <v>33.250158014262603</v>
      </c>
      <c r="AB65" s="4">
        <f>(New!FP65*Sheet3!CG65+New!IC65*1000*S65*(New!DW65-J65)+Sheet3!CP65*'Cooling water'!CW65) / (New!FP65+'Cooling water'!CW65)</f>
        <v>32.141940463804907</v>
      </c>
      <c r="AC65" s="245">
        <f t="shared" si="1"/>
        <v>35.681677249999993</v>
      </c>
      <c r="AD65" s="311">
        <v>41.331902999999997</v>
      </c>
      <c r="AE65" s="311">
        <v>39.579034</v>
      </c>
      <c r="AF65" s="311">
        <v>37.860686999999999</v>
      </c>
      <c r="AG65" s="311">
        <v>36.306663999999998</v>
      </c>
      <c r="AH65" s="311">
        <v>34.810149000000003</v>
      </c>
      <c r="AI65" s="311">
        <v>33.305812000000003</v>
      </c>
      <c r="AJ65" s="311">
        <v>31.842303000000001</v>
      </c>
      <c r="AK65" s="311">
        <v>30.416865999999999</v>
      </c>
      <c r="AL65" s="243">
        <f>AVERAGE(Sheet3!BR65:BY65)</f>
        <v>28.677322557012154</v>
      </c>
      <c r="AM65" s="183" cm="1">
        <f t="array" ref="AM65:AT65">TRANSPOSE('[72]Keithley Matavimai'!$W$6:$W$13)</f>
        <v>39.155176926651869</v>
      </c>
      <c r="AN65" s="183">
        <v>32.270598852907213</v>
      </c>
      <c r="AO65" s="183">
        <v>32.572146343822013</v>
      </c>
      <c r="AP65" s="183">
        <v>27.565615193406092</v>
      </c>
      <c r="AQ65" s="183">
        <v>27.659730088940218</v>
      </c>
      <c r="AR65" s="183">
        <v>27.492307706651037</v>
      </c>
      <c r="AS65" s="183">
        <v>25.616980251572212</v>
      </c>
      <c r="AT65" s="183">
        <v>17.08602509214656</v>
      </c>
      <c r="AU65" s="183">
        <f t="shared" ref="AU65:AU96" si="3">AC65-AL65</f>
        <v>7.0043546929878389</v>
      </c>
      <c r="AX65" s="281"/>
      <c r="AY65" s="281"/>
      <c r="AZ65" s="281"/>
      <c r="BA65" s="281"/>
    </row>
    <row r="66" spans="1:53" ht="16.8" x14ac:dyDescent="0.3">
      <c r="A66" s="282">
        <f>Sheet3!A66</f>
        <v>44952</v>
      </c>
      <c r="B66" s="248">
        <f>EXP(New!$LP$6-((New!$LQ$6)/(AC66+New!$LP$8)))/New!$LS$2</f>
        <v>3.4513389625992062E-2</v>
      </c>
      <c r="C66" s="312">
        <f>EXP(New!$LP$6-((New!$LQ$6)/(AD66+New!$LP$8)))/New!$LS$2</f>
        <v>4.2432369338974714E-2</v>
      </c>
      <c r="D66" s="312">
        <f>EXP(New!$LP$6-((New!$LQ$6)/(AE66+New!$LP$8)))/New!$LS$2</f>
        <v>4.0029448269191831E-2</v>
      </c>
      <c r="E66" s="312">
        <f>EXP(New!$LP$6-((New!$LQ$6)/(AF66+New!$LP$8)))/New!$LS$2</f>
        <v>3.7767456903452443E-2</v>
      </c>
      <c r="F66" s="312">
        <f>EXP(New!$LP$6-((New!$LQ$6)/(AG66+New!$LP$8)))/New!$LS$2</f>
        <v>3.5607047686624892E-2</v>
      </c>
      <c r="G66" s="312">
        <f>EXP(New!$LP$6-((New!$LQ$6)/(AH66+New!$LP$8)))/New!$LS$2</f>
        <v>3.350755569999625E-2</v>
      </c>
      <c r="H66" s="312">
        <f>EXP(New!$LP$6-((New!$LQ$6)/(AI66+New!$LP$8)))/New!$LS$2</f>
        <v>3.1490921006135715E-2</v>
      </c>
      <c r="I66" s="312">
        <f>EXP(New!$LP$6-((New!$LQ$6)/(AJ66+New!$LP$8)))/New!$LS$2</f>
        <v>2.9627535291179969E-2</v>
      </c>
      <c r="J66" s="312">
        <f>EXP(New!$LP$6-((New!$LQ$6)/(AK66+New!$LP$8)))/New!$LS$2</f>
        <v>2.7910484761879014E-2</v>
      </c>
      <c r="K66" s="245">
        <f>((New!FH66*New!$LP$3*LN((1-B66)/(1-New!DO66))) / (New!BV66*1000*New!$LQ$3*(1-B66-1+New!DO66)*New!B66^(2/3)))</f>
        <v>9.6542271942925972E-2</v>
      </c>
      <c r="L66" s="4">
        <f>((New!FI66*New!$LP$3*LN((1-C66)/(1-New!DP66))) / (New!BW66*1000*New!$LQ$3*(1-C66-1+New!DP66)*New!C66^(2/3)))</f>
        <v>9.696990600189602E-2</v>
      </c>
      <c r="M66" s="4">
        <f>((New!FJ66*New!$LP$3*LN((1-D66)/(1-New!DQ66))) / (New!BX66*1000*New!$LQ$3*(1-D66-1+New!DQ66)*New!D66^(2/3)))</f>
        <v>9.6820703461849067E-2</v>
      </c>
      <c r="N66" s="4">
        <f>((New!FK66*New!$LP$3*LN((1-E66)/(1-New!DR66))) / (New!BY66*1000*New!$LQ$3*(1-E66-1+New!DR66)*New!E66^(2/3)))</f>
        <v>9.6731670988038143E-2</v>
      </c>
      <c r="O66" s="4">
        <f>((New!FL66*New!$LP$3*LN((1-F66)/(1-New!DS66))) / (New!BZ66*1000*New!$LQ$3*(1-F66-1+New!DS66)*New!F66^(2/3)))</f>
        <v>9.6597270379586445E-2</v>
      </c>
      <c r="P66" s="4">
        <f>((New!FM66*New!$LP$3*LN((1-G66)/(1-New!DT66))) / (New!CA66*1000*New!$LQ$3*(1-G66-1+New!DT66)*New!G66^(2/3)))</f>
        <v>9.6515743959019198E-2</v>
      </c>
      <c r="Q66" s="4">
        <f>((New!FN66*New!$LP$3*LN((1-H66)/(1-New!DU66))) / (New!CB66*1000*New!$LQ$3*(1-H66-1+New!DU66)*New!H66^(2/3)))</f>
        <v>9.6384818107834072E-2</v>
      </c>
      <c r="R66" s="4">
        <f>((New!FO66*New!$LP$3*LN((1-I66)/(1-New!DV66))) / (New!CC66*1000*New!$LQ$3*(1-I66-1+New!DV66)*New!I66^(2/3)))</f>
        <v>9.6360771605445608E-2</v>
      </c>
      <c r="S66" s="4">
        <f>((New!FP66*New!$LP$3*LN((1-J66)/(1-New!DW66))) / (New!CD66*1000*New!$LQ$3*(1-J66-1+New!DW66)*New!J66^(2/3)))</f>
        <v>9.6206960737200947E-2</v>
      </c>
      <c r="T66" s="245">
        <f>(New!FH66*Sheet3!DF66+New!HU66*1000*K66*(New!DO66-B66)+'Cooling water'!CO66*'Cooling water'!B66) / (New!FH66+'Cooling water'!CO66)</f>
        <v>23.355200874499264</v>
      </c>
      <c r="U66" s="4">
        <f>(New!FI66*Sheet3!BZ66+New!HV66*1000*L66*(New!DP66-C66)+Sheet3!CI66*'Cooling water'!CP66) / (New!FI66+'Cooling water'!CP66)</f>
        <v>29.467829262763004</v>
      </c>
      <c r="V66" s="4">
        <f>(New!FJ66*Sheet3!CA66+New!HW66*1000*M66*(New!DQ66-D66)+Sheet3!CJ66*'Cooling water'!CQ66) / (New!FJ66+'Cooling water'!CQ66)</f>
        <v>28.667847567352624</v>
      </c>
      <c r="W66" s="4">
        <f>(New!FK66*Sheet3!CB66+New!HX66*1000*N66*(New!DR66-E66)+Sheet3!CK66*'Cooling water'!CR66) / (New!FK66+'Cooling water'!CR66)</f>
        <v>27.903765096288893</v>
      </c>
      <c r="X66" s="4">
        <f>(New!FL66*Sheet3!CC66+New!HY66*1000*O66*(New!DS66-F66)+Sheet3!CL66*'Cooling water'!CS66) / (New!FL66+'Cooling water'!CS66)</f>
        <v>27.091734177800152</v>
      </c>
      <c r="Y66" s="4">
        <f>(New!FM66*Sheet3!CD66+New!HZ66*1000*P66*(New!DT66-G66)+Sheet3!CM66*'Cooling water'!CT66) / (New!FM66+'Cooling water'!CT66)</f>
        <v>26.340149834518552</v>
      </c>
      <c r="Z66" s="4">
        <f>(New!FN66*Sheet3!CE66+New!IA66*1000*Q66*(New!DU66-H66)+Sheet3!CN66*'Cooling water'!CU66) / (New!FN66+'Cooling water'!CU66)</f>
        <v>25.559363709967467</v>
      </c>
      <c r="AA66" s="4">
        <f>(New!FO66*Sheet3!CF66+New!IB66*1000*R66*(New!DV66-I66)+Sheet3!CO66*'Cooling water'!CV66) / (New!FO66+'Cooling water'!CV66)</f>
        <v>24.79814784348509</v>
      </c>
      <c r="AB66" s="4">
        <f>(New!FP66*Sheet3!CG66+New!IC66*1000*S66*(New!DW66-J66)+Sheet3!CP66*'Cooling water'!CW66) / (New!FP66+'Cooling water'!CW66)</f>
        <v>24.077300742841491</v>
      </c>
      <c r="AC66" s="245">
        <f t="shared" si="1"/>
        <v>26.805967749999997</v>
      </c>
      <c r="AD66" s="311">
        <v>30.338436999999999</v>
      </c>
      <c r="AE66" s="311">
        <v>29.331565000000001</v>
      </c>
      <c r="AF66" s="311">
        <v>28.334755000000001</v>
      </c>
      <c r="AG66" s="311">
        <v>27.333210999999999</v>
      </c>
      <c r="AH66" s="311">
        <v>26.308121</v>
      </c>
      <c r="AI66" s="311">
        <v>25.269635999999998</v>
      </c>
      <c r="AJ66" s="311">
        <v>24.257445000000001</v>
      </c>
      <c r="AK66" s="311">
        <v>23.274571999999999</v>
      </c>
      <c r="AL66" s="243">
        <f>AVERAGE(Sheet3!BR66:BY66)</f>
        <v>19.577431425169024</v>
      </c>
      <c r="AM66" s="183" cm="1">
        <f t="array" ref="AM66:AT66">TRANSPOSE('[73]Keithley Matavimai'!$W$6:$W$13)</f>
        <v>25.414617639520362</v>
      </c>
      <c r="AN66" s="183">
        <v>21.231651295747014</v>
      </c>
      <c r="AO66" s="183">
        <v>22.420768117455353</v>
      </c>
      <c r="AP66" s="183">
        <v>19.171715994979447</v>
      </c>
      <c r="AQ66" s="183">
        <v>19.271136343824143</v>
      </c>
      <c r="AR66" s="183">
        <v>18.715083295694452</v>
      </c>
      <c r="AS66" s="183">
        <v>17.380428883579519</v>
      </c>
      <c r="AT66" s="183">
        <v>13.014049830551887</v>
      </c>
      <c r="AU66" s="183">
        <f t="shared" si="3"/>
        <v>7.2285363248309729</v>
      </c>
      <c r="AX66" s="281"/>
      <c r="AY66" s="281"/>
      <c r="AZ66" s="281"/>
      <c r="BA66" s="281"/>
    </row>
    <row r="67" spans="1:53" ht="16.8" x14ac:dyDescent="0.3">
      <c r="A67" s="282">
        <f>Sheet3!A67</f>
        <v>44953</v>
      </c>
      <c r="B67" s="248">
        <f>EXP(New!$LP$6-((New!$LQ$6)/(AC67+New!$LP$8)))/New!$LS$2</f>
        <v>3.9472348825382642E-2</v>
      </c>
      <c r="C67" s="312">
        <f>EXP(New!$LP$6-((New!$LQ$6)/(AD67+New!$LP$8)))/New!$LS$2</f>
        <v>5.0049642253247047E-2</v>
      </c>
      <c r="D67" s="312">
        <f>EXP(New!$LP$6-((New!$LQ$6)/(AE67+New!$LP$8)))/New!$LS$2</f>
        <v>4.6624203684526244E-2</v>
      </c>
      <c r="E67" s="312">
        <f>EXP(New!$LP$6-((New!$LQ$6)/(AF67+New!$LP$8)))/New!$LS$2</f>
        <v>4.3549851905948136E-2</v>
      </c>
      <c r="F67" s="312">
        <f>EXP(New!$LP$6-((New!$LQ$6)/(AG67+New!$LP$8)))/New!$LS$2</f>
        <v>4.0687598180456842E-2</v>
      </c>
      <c r="G67" s="312">
        <f>EXP(New!$LP$6-((New!$LQ$6)/(AH67+New!$LP$8)))/New!$LS$2</f>
        <v>3.8096521812199746E-2</v>
      </c>
      <c r="H67" s="312">
        <f>EXP(New!$LP$6-((New!$LQ$6)/(AI67+New!$LP$8)))/New!$LS$2</f>
        <v>3.5661040133965961E-2</v>
      </c>
      <c r="I67" s="312">
        <f>EXP(New!$LP$6-((New!$LQ$6)/(AJ67+New!$LP$8)))/New!$LS$2</f>
        <v>3.3331193494333257E-2</v>
      </c>
      <c r="J67" s="312">
        <f>EXP(New!$LP$6-((New!$LQ$6)/(AK67+New!$LP$8)))/New!$LS$2</f>
        <v>3.1070149227506613E-2</v>
      </c>
      <c r="K67" s="245">
        <f>((New!FH67*New!$LP$3*LN((1-B67)/(1-New!DO67))) / (New!BV67*1000*New!$LQ$3*(1-B67-1+New!DO67)*New!B67^(2/3)))</f>
        <v>0.10379061141228917</v>
      </c>
      <c r="L67" s="4">
        <f>((New!FI67*New!$LP$3*LN((1-C67)/(1-New!DP67))) / (New!BW67*1000*New!$LQ$3*(1-C67-1+New!DP67)*New!C67^(2/3)))</f>
        <v>0.10438926240911532</v>
      </c>
      <c r="M67" s="4">
        <f>((New!FJ67*New!$LP$3*LN((1-D67)/(1-New!DQ67))) / (New!BX67*1000*New!$LQ$3*(1-D67-1+New!DQ67)*New!D67^(2/3)))</f>
        <v>0.10413638398543681</v>
      </c>
      <c r="N67" s="4">
        <f>((New!FK67*New!$LP$3*LN((1-E67)/(1-New!DR67))) / (New!BY67*1000*New!$LQ$3*(1-E67-1+New!DR67)*New!E67^(2/3)))</f>
        <v>0.10397453968566768</v>
      </c>
      <c r="O67" s="4">
        <f>((New!FL67*New!$LP$3*LN((1-F67)/(1-New!DS67))) / (New!BZ67*1000*New!$LQ$3*(1-F67-1+New!DS67)*New!F67^(2/3)))</f>
        <v>0.1037719937362447</v>
      </c>
      <c r="P67" s="4">
        <f>((New!FM67*New!$LP$3*LN((1-G67)/(1-New!DT67))) / (New!CA67*1000*New!$LQ$3*(1-G67-1+New!DT67)*New!G67^(2/3)))</f>
        <v>0.10364604699290225</v>
      </c>
      <c r="Q67" s="4">
        <f>((New!FN67*New!$LP$3*LN((1-H67)/(1-New!DU67))) / (New!CB67*1000*New!$LQ$3*(1-H67-1+New!DU67)*New!H67^(2/3)))</f>
        <v>0.10346641096658092</v>
      </c>
      <c r="R67" s="4">
        <f>((New!FO67*New!$LP$3*LN((1-I67)/(1-New!DV67))) / (New!CC67*1000*New!$LQ$3*(1-I67-1+New!DV67)*New!I67^(2/3)))</f>
        <v>0.1033621205526859</v>
      </c>
      <c r="S67" s="4">
        <f>((New!FP67*New!$LP$3*LN((1-J67)/(1-New!DW67))) / (New!CD67*1000*New!$LQ$3*(1-J67-1+New!DW67)*New!J67^(2/3)))</f>
        <v>0.10319766926923843</v>
      </c>
      <c r="T67" s="245">
        <f>(New!FH67*Sheet3!DF67+New!HU67*1000*K67*(New!DO67-B67)+'Cooling water'!CO67*'Cooling water'!B67) / (New!FH67+'Cooling water'!CO67)</f>
        <v>25.42360011969232</v>
      </c>
      <c r="U67" s="4">
        <f>(New!FI67*Sheet3!BZ67+New!HV67*1000*L67*(New!DP67-C67)+Sheet3!CI67*'Cooling water'!CP67) / (New!FI67+'Cooling water'!CP67)</f>
        <v>32.665390877844644</v>
      </c>
      <c r="V67" s="4">
        <f>(New!FJ67*Sheet3!CA67+New!HW67*1000*M67*(New!DQ67-D67)+Sheet3!CJ67*'Cooling water'!CQ67) / (New!FJ67+'Cooling water'!CQ67)</f>
        <v>31.514097646049517</v>
      </c>
      <c r="W67" s="4">
        <f>(New!FK67*Sheet3!CB67+New!HX67*1000*N67*(New!DR67-E67)+Sheet3!CK67*'Cooling water'!CR67) / (New!FK67+'Cooling water'!CR67)</f>
        <v>30.487863247836032</v>
      </c>
      <c r="X67" s="4">
        <f>(New!FL67*Sheet3!CC67+New!HY67*1000*O67*(New!DS67-F67)+Sheet3!CL67*'Cooling water'!CS67) / (New!FL67+'Cooling water'!CS67)</f>
        <v>29.473162611881335</v>
      </c>
      <c r="Y67" s="4">
        <f>(New!FM67*Sheet3!CD67+New!HZ67*1000*P67*(New!DT67-G67)+Sheet3!CM67*'Cooling water'!CT67) / (New!FM67+'Cooling water'!CT67)</f>
        <v>28.575382197266485</v>
      </c>
      <c r="Z67" s="4">
        <f>(New!FN67*Sheet3!CE67+New!IA67*1000*Q67*(New!DU67-H67)+Sheet3!CN67*'Cooling water'!CU67) / (New!FN67+'Cooling water'!CU67)</f>
        <v>27.679193547854336</v>
      </c>
      <c r="AA67" s="4">
        <f>(New!FO67*Sheet3!CF67+New!IB67*1000*R67*(New!DV67-I67)+Sheet3!CO67*'Cooling water'!CV67) / (New!FO67+'Cooling water'!CV67)</f>
        <v>26.814362378154236</v>
      </c>
      <c r="AB67" s="4">
        <f>(New!FP67*Sheet3!CG67+New!IC67*1000*S67*(New!DW67-J67)+Sheet3!CP67*'Cooling water'!CW67) / (New!FP67+'Cooling water'!CW67)</f>
        <v>25.904186955762459</v>
      </c>
      <c r="AC67" s="245">
        <f t="shared" ref="AC67:AC102" si="4">AVERAGE(AD67:AK67)</f>
        <v>29.090679124999998</v>
      </c>
      <c r="AD67" s="311">
        <v>33.233578000000001</v>
      </c>
      <c r="AE67" s="311">
        <v>31.982443</v>
      </c>
      <c r="AF67" s="311">
        <v>30.789971999999999</v>
      </c>
      <c r="AG67" s="311">
        <v>29.612434</v>
      </c>
      <c r="AH67" s="311">
        <v>28.482927</v>
      </c>
      <c r="AI67" s="311">
        <v>27.358875000000001</v>
      </c>
      <c r="AJ67" s="311">
        <v>26.219497</v>
      </c>
      <c r="AK67" s="311">
        <v>25.045707</v>
      </c>
      <c r="AL67" s="243">
        <f>AVERAGE(Sheet3!BR67:BY67)</f>
        <v>21.892015771812613</v>
      </c>
      <c r="AM67" s="183" cm="1">
        <f t="array" ref="AM67:AT67">TRANSPOSE('[74]Keithley Matavimai'!$W$6:$W$13)</f>
        <v>28.569324702796695</v>
      </c>
      <c r="AN67" s="183">
        <v>23.747080217459942</v>
      </c>
      <c r="AO67" s="183">
        <v>25.076951363173421</v>
      </c>
      <c r="AP67" s="183">
        <v>21.191280188550181</v>
      </c>
      <c r="AQ67" s="183">
        <v>21.404804552295044</v>
      </c>
      <c r="AR67" s="183">
        <v>21.050193014196065</v>
      </c>
      <c r="AS67" s="183">
        <v>20.242236164199223</v>
      </c>
      <c r="AT67" s="183">
        <v>13.854255971830337</v>
      </c>
      <c r="AU67" s="183">
        <f t="shared" si="3"/>
        <v>7.1986633531873849</v>
      </c>
      <c r="AX67" s="281"/>
      <c r="AY67" s="281"/>
      <c r="AZ67" s="281"/>
      <c r="BA67" s="281"/>
    </row>
    <row r="68" spans="1:53" ht="16.8" x14ac:dyDescent="0.3">
      <c r="A68" s="282" t="str">
        <f>Sheet3!A68</f>
        <v>2023.01.30-1</v>
      </c>
      <c r="B68" s="248">
        <f>EXP(New!$LP$6-((New!$LQ$6)/(AC68+New!$LP$8)))/New!$LS$2</f>
        <v>8.0491657651531059E-2</v>
      </c>
      <c r="C68" s="312">
        <f>EXP(New!$LP$6-((New!$LQ$6)/(AD68+New!$LP$8)))/New!$LS$2</f>
        <v>9.5741764539959404E-2</v>
      </c>
      <c r="D68" s="312">
        <f>EXP(New!$LP$6-((New!$LQ$6)/(AE68+New!$LP$8)))/New!$LS$2</f>
        <v>8.9265760211484177E-2</v>
      </c>
      <c r="E68" s="312">
        <f>EXP(New!$LP$6-((New!$LQ$6)/(AF68+New!$LP$8)))/New!$LS$2</f>
        <v>8.3664190484652151E-2</v>
      </c>
      <c r="F68" s="312">
        <f>EXP(New!$LP$6-((New!$LQ$6)/(AG68+New!$LP$8)))/New!$LS$2</f>
        <v>9.2872970277401559E-2</v>
      </c>
      <c r="G68" s="312">
        <f>EXP(New!$LP$6-((New!$LQ$6)/(AH68+New!$LP$8)))/New!$LS$2</f>
        <v>8.4178399679175162E-2</v>
      </c>
      <c r="H68" s="312">
        <f>EXP(New!$LP$6-((New!$LQ$6)/(AI68+New!$LP$8)))/New!$LS$2</f>
        <v>7.5870740315508958E-2</v>
      </c>
      <c r="I68" s="312">
        <f>EXP(New!$LP$6-((New!$LQ$6)/(AJ68+New!$LP$8)))/New!$LS$2</f>
        <v>6.7937699445474689E-2</v>
      </c>
      <c r="J68" s="312">
        <f>EXP(New!$LP$6-((New!$LQ$6)/(AK68+New!$LP$8)))/New!$LS$2</f>
        <v>6.038634847151176E-2</v>
      </c>
      <c r="K68" s="245">
        <f>((New!FH68*New!$LP$3*LN((1-B68)/(1-New!DO68))) / (New!BV68*1000*New!$LQ$3*(1-B68-1+New!DO68)*New!B68^(2/3)))</f>
        <v>4.5926979033976606E-2</v>
      </c>
      <c r="L68" s="4">
        <f>((New!FI68*New!$LP$3*LN((1-C68)/(1-New!DP68))) / (New!BW68*1000*New!$LQ$3*(1-C68-1+New!DP68)*New!C68^(2/3)))</f>
        <v>4.6319484581836275E-2</v>
      </c>
      <c r="M68" s="4">
        <f>((New!FJ68*New!$LP$3*LN((1-D68)/(1-New!DQ68))) / (New!BX68*1000*New!$LQ$3*(1-D68-1+New!DQ68)*New!D68^(2/3)))</f>
        <v>4.6090744496038734E-2</v>
      </c>
      <c r="N68" s="4">
        <f>((New!FK68*New!$LP$3*LN((1-E68)/(1-New!DR68))) / (New!BY68*1000*New!$LQ$3*(1-E68-1+New!DR68)*New!E68^(2/3)))</f>
        <v>4.5962151414805474E-2</v>
      </c>
      <c r="O68" s="4">
        <f>((New!FL68*New!$LP$3*LN((1-F68)/(1-New!DS68))) / (New!BZ68*1000*New!$LQ$3*(1-F68-1+New!DS68)*New!F68^(2/3)))</f>
        <v>4.6153765151063925E-2</v>
      </c>
      <c r="P68" s="4">
        <f>((New!FM68*New!$LP$3*LN((1-G68)/(1-New!DT68))) / (New!CA68*1000*New!$LQ$3*(1-G68-1+New!DT68)*New!G68^(2/3)))</f>
        <v>4.5908682835065599E-2</v>
      </c>
      <c r="Q68" s="4">
        <f>((New!FN68*New!$LP$3*LN((1-H68)/(1-New!DU68))) / (New!CB68*1000*New!$LQ$3*(1-H68-1+New!DU68)*New!H68^(2/3)))</f>
        <v>4.5693779581744615E-2</v>
      </c>
      <c r="R68" s="4">
        <f>((New!FO68*New!$LP$3*LN((1-I68)/(1-New!DV68))) / (New!CC68*1000*New!$LQ$3*(1-I68-1+New!DV68)*New!I68^(2/3)))</f>
        <v>4.5516866122847964E-2</v>
      </c>
      <c r="S68" s="4">
        <f>((New!FP68*New!$LP$3*LN((1-J68)/(1-New!DW68))) / (New!CD68*1000*New!$LQ$3*(1-J68-1+New!DW68)*New!J68^(2/3)))</f>
        <v>4.5262907663476161E-2</v>
      </c>
      <c r="T68" s="245">
        <f>(New!FH68*Sheet3!DF68+New!HU68*1000*K68*(New!DO68-B68)+'Cooling water'!CO68*'Cooling water'!B68) / (New!FH68+'Cooling water'!CO68)</f>
        <v>53.374824927571161</v>
      </c>
      <c r="U68" s="4">
        <f>(New!FI68*Sheet3!BZ68+New!HV68*1000*L68*(New!DP68-C68)+Sheet3!CI68*'Cooling water'!CP68) / (New!FI68+'Cooling water'!CP68)</f>
        <v>44.240407143179397</v>
      </c>
      <c r="V68" s="4">
        <f>(New!FJ68*Sheet3!CA68+New!HW68*1000*M68*(New!DQ68-D68)+Sheet3!CJ68*'Cooling water'!CQ68) / (New!FJ68+'Cooling water'!CQ68)</f>
        <v>43.027792078281095</v>
      </c>
      <c r="W68" s="4">
        <f>(New!FK68*Sheet3!CB68+New!HX68*1000*N68*(New!DR68-E68)+Sheet3!CK68*'Cooling water'!CR68) / (New!FK68+'Cooling water'!CR68)</f>
        <v>42.156809287121348</v>
      </c>
      <c r="X68" s="4">
        <f>(New!FL68*Sheet3!CC68+New!HY68*1000*O68*(New!DS68-F68)+Sheet3!CL68*'Cooling water'!CS68) / (New!FL68+'Cooling water'!CS68)</f>
        <v>40.005981746762053</v>
      </c>
      <c r="Y68" s="4">
        <f>(New!FM68*Sheet3!CD68+New!HZ68*1000*P68*(New!DT68-G68)+Sheet3!CM68*'Cooling water'!CT68) / (New!FM68+'Cooling water'!CT68)</f>
        <v>58.779743315629602</v>
      </c>
      <c r="Z68" s="4">
        <f>(New!FN68*Sheet3!CE68+New!IA68*1000*Q68*(New!DU68-H68)+Sheet3!CN68*'Cooling water'!CU68) / (New!FN68+'Cooling water'!CU68)</f>
        <v>58.045471944687776</v>
      </c>
      <c r="AA68" s="4">
        <f>(New!FO68*Sheet3!CF68+New!IB68*1000*R68*(New!DV68-I68)+Sheet3!CO68*'Cooling water'!CV68) / (New!FO68+'Cooling water'!CV68)</f>
        <v>57.322783320458072</v>
      </c>
      <c r="AB68" s="4">
        <f>(New!FP68*Sheet3!CG68+New!IC68*1000*S68*(New!DW68-J68)+Sheet3!CP68*'Cooling water'!CW68) / (New!FP68+'Cooling water'!CW68)</f>
        <v>56.15129278030934</v>
      </c>
      <c r="AC68" s="245">
        <f t="shared" si="4"/>
        <v>41.94188362500001</v>
      </c>
      <c r="AD68" s="311">
        <v>45.269238999999999</v>
      </c>
      <c r="AE68" s="311">
        <v>43.916212000000002</v>
      </c>
      <c r="AF68" s="311">
        <v>42.676169000000002</v>
      </c>
      <c r="AG68" s="311">
        <v>44.679861000000002</v>
      </c>
      <c r="AH68" s="311">
        <v>42.792923999999999</v>
      </c>
      <c r="AI68" s="311">
        <v>40.826594999999998</v>
      </c>
      <c r="AJ68" s="311">
        <v>38.767896</v>
      </c>
      <c r="AK68" s="311">
        <v>36.606172999999998</v>
      </c>
      <c r="AL68" s="243">
        <f>AVERAGE(Sheet3!BR68:BY68)</f>
        <v>30.751212115823215</v>
      </c>
      <c r="AM68" s="183" cm="1">
        <f t="array" ref="AM68:AT68">TRANSPOSE('[75]Keithley Matavimai'!$W$6:$W$13)</f>
        <v>40.63553573618622</v>
      </c>
      <c r="AN68" s="183">
        <v>37.534867287302028</v>
      </c>
      <c r="AO68" s="183">
        <v>34.891156320762597</v>
      </c>
      <c r="AP68" s="183">
        <v>31.156330352921788</v>
      </c>
      <c r="AQ68" s="183">
        <v>29.646958419273734</v>
      </c>
      <c r="AR68" s="183">
        <v>28.132577971019881</v>
      </c>
      <c r="AS68" s="183">
        <v>23.8167724069347</v>
      </c>
      <c r="AT68" s="183">
        <v>20.195498432184774</v>
      </c>
      <c r="AU68" s="183">
        <f t="shared" si="3"/>
        <v>11.190671509176795</v>
      </c>
      <c r="AX68" s="281"/>
      <c r="AY68" s="281"/>
      <c r="AZ68" s="281"/>
      <c r="BA68" s="281"/>
    </row>
    <row r="69" spans="1:53" ht="16.8" x14ac:dyDescent="0.3">
      <c r="A69" s="282" t="str">
        <f>Sheet3!A69</f>
        <v>2023.01.30-2</v>
      </c>
      <c r="B69" s="248">
        <f>EXP(New!$LP$6-((New!$LQ$6)/(AC69+New!$LP$8)))/New!$LS$2</f>
        <v>8.6081863879717585E-2</v>
      </c>
      <c r="C69" s="312">
        <f>EXP(New!$LP$6-((New!$LQ$6)/(AD69+New!$LP$8)))/New!$LS$2</f>
        <v>0.10312620683148818</v>
      </c>
      <c r="D69" s="312">
        <f>EXP(New!$LP$6-((New!$LQ$6)/(AE69+New!$LP$8)))/New!$LS$2</f>
        <v>9.5489361378251578E-2</v>
      </c>
      <c r="E69" s="312">
        <f>EXP(New!$LP$6-((New!$LQ$6)/(AF69+New!$LP$8)))/New!$LS$2</f>
        <v>8.8700614649315349E-2</v>
      </c>
      <c r="F69" s="312">
        <f>EXP(New!$LP$6-((New!$LQ$6)/(AG69+New!$LP$8)))/New!$LS$2</f>
        <v>8.2958914719938395E-2</v>
      </c>
      <c r="G69" s="312">
        <f>EXP(New!$LP$6-((New!$LQ$6)/(AH69+New!$LP$8)))/New!$LS$2</f>
        <v>7.7991181484616673E-2</v>
      </c>
      <c r="H69" s="312">
        <f>EXP(New!$LP$6-((New!$LQ$6)/(AI69+New!$LP$8)))/New!$LS$2</f>
        <v>9.0484911630917084E-2</v>
      </c>
      <c r="I69" s="312">
        <f>EXP(New!$LP$6-((New!$LQ$6)/(AJ69+New!$LP$8)))/New!$LS$2</f>
        <v>8.128365294450357E-2</v>
      </c>
      <c r="J69" s="312">
        <f>EXP(New!$LP$6-((New!$LQ$6)/(AK69+New!$LP$8)))/New!$LS$2</f>
        <v>7.2060089929019036E-2</v>
      </c>
      <c r="K69" s="245">
        <f>((New!FH69*New!$LP$3*LN((1-B69)/(1-New!DO69))) / (New!BV69*1000*New!$LQ$3*(1-B69-1+New!DO69)*New!B69^(2/3)))</f>
        <v>4.9708567873193929E-2</v>
      </c>
      <c r="L69" s="4">
        <f>((New!FI69*New!$LP$3*LN((1-C69)/(1-New!DP69))) / (New!BW69*1000*New!$LQ$3*(1-C69-1+New!DP69)*New!C69^(2/3)))</f>
        <v>5.0193905952790156E-2</v>
      </c>
      <c r="M69" s="4">
        <f>((New!FJ69*New!$LP$3*LN((1-D69)/(1-New!DQ69))) / (New!BX69*1000*New!$LQ$3*(1-D69-1+New!DQ69)*New!D69^(2/3)))</f>
        <v>4.9899959550835607E-2</v>
      </c>
      <c r="N69" s="4">
        <f>((New!FK69*New!$LP$3*LN((1-E69)/(1-New!DR69))) / (New!BY69*1000*New!$LQ$3*(1-E69-1+New!DR69)*New!E69^(2/3)))</f>
        <v>4.9717483169205427E-2</v>
      </c>
      <c r="O69" s="4">
        <f>((New!FL69*New!$LP$3*LN((1-F69)/(1-New!DS69))) / (New!BZ69*1000*New!$LQ$3*(1-F69-1+New!DS69)*New!F69^(2/3)))</f>
        <v>4.950391476198425E-2</v>
      </c>
      <c r="P69" s="4">
        <f>((New!FM69*New!$LP$3*LN((1-G69)/(1-New!DT69))) / (New!CA69*1000*New!$LQ$3*(1-G69-1+New!DT69)*New!G69^(2/3)))</f>
        <v>4.9356367500176468E-2</v>
      </c>
      <c r="Q69" s="4">
        <f>((New!FN69*New!$LP$3*LN((1-H69)/(1-New!DU69))) / (New!CB69*1000*New!$LQ$3*(1-H69-1+New!DU69)*New!H69^(2/3)))</f>
        <v>4.971102851058419E-2</v>
      </c>
      <c r="R69" s="4">
        <f>((New!FO69*New!$LP$3*LN((1-I69)/(1-New!DV69))) / (New!CC69*1000*New!$LQ$3*(1-I69-1+New!DV69)*New!I69^(2/3)))</f>
        <v>4.9468569802050597E-2</v>
      </c>
      <c r="S69" s="4">
        <f>((New!FP69*New!$LP$3*LN((1-J69)/(1-New!DW69))) / (New!CD69*1000*New!$LQ$3*(1-J69-1+New!DW69)*New!J69^(2/3)))</f>
        <v>4.9153121045268887E-2</v>
      </c>
      <c r="T69" s="245">
        <f>(New!FH69*Sheet3!DF69+New!HU69*1000*K69*(New!DO69-B69)+'Cooling water'!CO69*'Cooling water'!B69) / (New!FH69+'Cooling water'!CO69)</f>
        <v>62.898565692867358</v>
      </c>
      <c r="U69" s="4">
        <f>(New!FI69*Sheet3!BZ69+New!HV69*1000*L69*(New!DP69-C69)+Sheet3!CI69*'Cooling water'!CP69) / (New!FI69+'Cooling water'!CP69)</f>
        <v>46.114823631434149</v>
      </c>
      <c r="V69" s="4">
        <f>(New!FJ69*Sheet3!CA69+New!HW69*1000*M69*(New!DQ69-D69)+Sheet3!CJ69*'Cooling water'!CQ69) / (New!FJ69+'Cooling water'!CQ69)</f>
        <v>44.572216326944165</v>
      </c>
      <c r="W69" s="4">
        <f>(New!FK69*Sheet3!CB69+New!HX69*1000*N69*(New!DR69-E69)+Sheet3!CK69*'Cooling water'!CR69) / (New!FK69+'Cooling water'!CR69)</f>
        <v>43.522220280971005</v>
      </c>
      <c r="X69" s="4">
        <f>(New!FL69*Sheet3!CC69+New!HY69*1000*O69*(New!DS69-F69)+Sheet3!CL69*'Cooling water'!CS69) / (New!FL69+'Cooling water'!CS69)</f>
        <v>42.433453883623258</v>
      </c>
      <c r="Y69" s="4">
        <f>(New!FM69*Sheet3!CD69+New!HZ69*1000*P69*(New!DT69-G69)+Sheet3!CM69*'Cooling water'!CT69) / (New!FM69+'Cooling water'!CT69)</f>
        <v>41.740285961964922</v>
      </c>
      <c r="Z69" s="4">
        <f>(New!FN69*Sheet3!CE69+New!IA69*1000*Q69*(New!DU69-H69)+Sheet3!CN69*'Cooling water'!CU69) / (New!FN69+'Cooling water'!CU69)</f>
        <v>39.621231514313976</v>
      </c>
      <c r="AA69" s="4">
        <f>(New!FO69*Sheet3!CF69+New!IB69*1000*R69*(New!DV69-I69)+Sheet3!CO69*'Cooling water'!CV69) / (New!FO69+'Cooling water'!CV69)</f>
        <v>63.540381753478037</v>
      </c>
      <c r="AB69" s="4">
        <f>(New!FP69*Sheet3!CG69+New!IC69*1000*S69*(New!DW69-J69)+Sheet3!CP69*'Cooling water'!CW69) / (New!FP69+'Cooling water'!CW69)</f>
        <v>62.276905075942331</v>
      </c>
      <c r="AC69" s="245">
        <f t="shared" si="4"/>
        <v>43.219860000000004</v>
      </c>
      <c r="AD69" s="311">
        <v>46.719496999999997</v>
      </c>
      <c r="AE69" s="311">
        <v>45.217995999999999</v>
      </c>
      <c r="AF69" s="311">
        <v>43.794181000000002</v>
      </c>
      <c r="AG69" s="311">
        <v>42.515025000000001</v>
      </c>
      <c r="AH69" s="311">
        <v>41.345419999999997</v>
      </c>
      <c r="AI69" s="311">
        <v>44.177221000000003</v>
      </c>
      <c r="AJ69" s="311">
        <v>42.127488</v>
      </c>
      <c r="AK69" s="311">
        <v>39.862051999999998</v>
      </c>
      <c r="AL69" s="243">
        <f>AVERAGE(Sheet3!BR69:BY69)</f>
        <v>31.651397814313892</v>
      </c>
      <c r="AM69" s="183" cm="1">
        <f t="array" ref="AM69:AT69">TRANSPOSE('[76]Keithley Matavimai'!$W$6:$W$13)</f>
        <v>42.07061711482244</v>
      </c>
      <c r="AN69" s="183">
        <v>37.357568429973121</v>
      </c>
      <c r="AO69" s="183">
        <v>35.778125831508262</v>
      </c>
      <c r="AP69" s="183">
        <v>31.174401238303805</v>
      </c>
      <c r="AQ69" s="183">
        <v>30.101641437115124</v>
      </c>
      <c r="AR69" s="183">
        <v>29.200209151433327</v>
      </c>
      <c r="AS69" s="183">
        <v>27.454341445829453</v>
      </c>
      <c r="AT69" s="183">
        <v>20.07427786552563</v>
      </c>
      <c r="AU69" s="183">
        <f t="shared" si="3"/>
        <v>11.568462185686112</v>
      </c>
      <c r="AX69" s="281"/>
      <c r="AY69" s="281"/>
      <c r="AZ69" s="281"/>
      <c r="BA69" s="281"/>
    </row>
    <row r="70" spans="1:53" ht="16.8" x14ac:dyDescent="0.3">
      <c r="A70" s="261" t="str">
        <f>Sheet3!A70</f>
        <v>01.31.2023</v>
      </c>
      <c r="B70" s="248">
        <f>EXP(New!$LP$6-((New!$LQ$6)/(AC70+New!$LP$8)))/New!$LS$2</f>
        <v>8.6548983098988286E-2</v>
      </c>
      <c r="C70" s="312">
        <f>EXP(New!$LP$6-((New!$LQ$6)/(AD70+New!$LP$8)))/New!$LS$2</f>
        <v>0.11239958943469326</v>
      </c>
      <c r="D70" s="312">
        <f>EXP(New!$LP$6-((New!$LQ$6)/(AE70+New!$LP$8)))/New!$LS$2</f>
        <v>0.10194413104257358</v>
      </c>
      <c r="E70" s="312">
        <f>EXP(New!$LP$6-((New!$LQ$6)/(AF70+New!$LP$8)))/New!$LS$2</f>
        <v>9.3060426160078161E-2</v>
      </c>
      <c r="F70" s="312">
        <f>EXP(New!$LP$6-((New!$LQ$6)/(AG70+New!$LP$8)))/New!$LS$2</f>
        <v>8.5871180547039627E-2</v>
      </c>
      <c r="G70" s="312">
        <f>EXP(New!$LP$6-((New!$LQ$6)/(AH70+New!$LP$8)))/New!$LS$2</f>
        <v>7.9881397164428478E-2</v>
      </c>
      <c r="H70" s="312">
        <f>EXP(New!$LP$6-((New!$LQ$6)/(AI70+New!$LP$8)))/New!$LS$2</f>
        <v>7.4317531444922161E-2</v>
      </c>
      <c r="I70" s="312">
        <f>EXP(New!$LP$6-((New!$LQ$6)/(AJ70+New!$LP$8)))/New!$LS$2</f>
        <v>6.9453330385226594E-2</v>
      </c>
      <c r="J70" s="312">
        <f>EXP(New!$LP$6-((New!$LQ$6)/(AK70+New!$LP$8)))/New!$LS$2</f>
        <v>8.2324544830965046E-2</v>
      </c>
      <c r="K70" s="245">
        <f>((New!FH70*New!$LP$3*LN((1-B70)/(1-New!DO70))) / (New!BV70*1000*New!$LQ$3*(1-B70-1+New!DO70)*New!B70^(2/3)))</f>
        <v>5.3257098943653401E-2</v>
      </c>
      <c r="L70" s="4">
        <f>((New!FI70*New!$LP$3*LN((1-C70)/(1-New!DP70))) / (New!BW70*1000*New!$LQ$3*(1-C70-1+New!DP70)*New!C70^(2/3)))</f>
        <v>5.4052327340534966E-2</v>
      </c>
      <c r="M70" s="4">
        <f>((New!FJ70*New!$LP$3*LN((1-D70)/(1-New!DQ70))) / (New!BX70*1000*New!$LQ$3*(1-D70-1+New!DQ70)*New!D70^(2/3)))</f>
        <v>5.3601709777752818E-2</v>
      </c>
      <c r="N70" s="4">
        <f>((New!FK70*New!$LP$3*LN((1-E70)/(1-New!DR70))) / (New!BY70*1000*New!$LQ$3*(1-E70-1+New!DR70)*New!E70^(2/3)))</f>
        <v>5.3299245387701151E-2</v>
      </c>
      <c r="O70" s="4">
        <f>((New!FL70*New!$LP$3*LN((1-F70)/(1-New!DS70))) / (New!BZ70*1000*New!$LQ$3*(1-F70-1+New!DS70)*New!F70^(2/3)))</f>
        <v>5.2989962536065083E-2</v>
      </c>
      <c r="P70" s="4">
        <f>((New!FM70*New!$LP$3*LN((1-G70)/(1-New!DT70))) / (New!CA70*1000*New!$LQ$3*(1-G70-1+New!DT70)*New!G70^(2/3)))</f>
        <v>5.2802249806645635E-2</v>
      </c>
      <c r="Q70" s="4">
        <f>((New!FN70*New!$LP$3*LN((1-H70)/(1-New!DU70))) / (New!CB70*1000*New!$LQ$3*(1-H70-1+New!DU70)*New!H70^(2/3)))</f>
        <v>5.2559295930858708E-2</v>
      </c>
      <c r="R70" s="4">
        <f>((New!FO70*New!$LP$3*LN((1-I70)/(1-New!DV70))) / (New!CC70*1000*New!$LQ$3*(1-I70-1+New!DV70)*New!I70^(2/3)))</f>
        <v>5.2418243145342068E-2</v>
      </c>
      <c r="S70" s="4">
        <f>((New!FP70*New!$LP$3*LN((1-J70)/(1-New!DW70))) / (New!CD70*1000*New!$LQ$3*(1-J70-1+New!DW70)*New!J70^(2/3)))</f>
        <v>5.273993494964551E-2</v>
      </c>
      <c r="T70" s="245">
        <f>(New!FH70*Sheet3!DF70+New!HU70*1000*K70*(New!DO70-B70)+'Cooling water'!CO70*'Cooling water'!B70) / (New!FH70+'Cooling water'!CO70)</f>
        <v>72.673910075318787</v>
      </c>
      <c r="U70" s="4">
        <f>(New!FI70*Sheet3!BZ70+New!HV70*1000*L70*(New!DP70-C70)+Sheet3!CI70*'Cooling water'!CP70) / (New!FI70+'Cooling water'!CP70)</f>
        <v>48.454041689367379</v>
      </c>
      <c r="V70" s="4">
        <f>(New!FJ70*Sheet3!CA70+New!HW70*1000*M70*(New!DQ70-D70)+Sheet3!CJ70*'Cooling water'!CQ70) / (New!FJ70+'Cooling water'!CQ70)</f>
        <v>46.385009727993804</v>
      </c>
      <c r="W70" s="4">
        <f>(New!FK70*Sheet3!CB70+New!HX70*1000*N70*(New!DR70-E70)+Sheet3!CK70*'Cooling water'!CR70) / (New!FK70+'Cooling water'!CR70)</f>
        <v>44.87314297493603</v>
      </c>
      <c r="X70" s="4">
        <f>(New!FL70*Sheet3!CC70+New!HY70*1000*O70*(New!DS70-F70)+Sheet3!CL70*'Cooling water'!CS70) / (New!FL70+'Cooling water'!CS70)</f>
        <v>43.362631857108575</v>
      </c>
      <c r="Y70" s="4">
        <f>(New!FM70*Sheet3!CD70+New!HZ70*1000*P70*(New!DT70-G70)+Sheet3!CM70*'Cooling water'!CT70) / (New!FM70+'Cooling water'!CT70)</f>
        <v>42.37719822702622</v>
      </c>
      <c r="Z70" s="4">
        <f>(New!FN70*Sheet3!CE70+New!IA70*1000*Q70*(New!DU70-H70)+Sheet3!CN70*'Cooling water'!CU70) / (New!FN70+'Cooling water'!CU70)</f>
        <v>41.248827432037771</v>
      </c>
      <c r="AA70" s="4">
        <f>(New!FO70*Sheet3!CF70+New!IB70*1000*R70*(New!DV70-I70)+Sheet3!CO70*'Cooling water'!CV70) / (New!FO70+'Cooling water'!CV70)</f>
        <v>40.510332620134804</v>
      </c>
      <c r="AB70" s="4">
        <f>(New!FP70*Sheet3!CG70+New!IC70*1000*S70*(New!DW70-J70)+Sheet3!CP70*'Cooling water'!CW70) / (New!FP70+'Cooling water'!CW70)</f>
        <v>38.194401051170217</v>
      </c>
      <c r="AC70" s="245">
        <f t="shared" si="4"/>
        <v>43.323393000000003</v>
      </c>
      <c r="AD70" s="311">
        <v>48.419728999999997</v>
      </c>
      <c r="AE70" s="311">
        <v>46.493453000000002</v>
      </c>
      <c r="AF70" s="311">
        <v>44.718845999999999</v>
      </c>
      <c r="AG70" s="311">
        <v>43.173006000000001</v>
      </c>
      <c r="AH70" s="311">
        <v>41.797795999999998</v>
      </c>
      <c r="AI70" s="311">
        <v>40.438592999999997</v>
      </c>
      <c r="AJ70" s="311">
        <v>39.176647000000003</v>
      </c>
      <c r="AK70" s="311">
        <v>42.369073999999998</v>
      </c>
      <c r="AL70" s="243">
        <f>AVERAGE(Sheet3!BR70:BY70)</f>
        <v>33.940131601513869</v>
      </c>
      <c r="AM70" s="183" cm="1">
        <f t="array" ref="AM70:AT70">TRANSPOSE('[77]Keithley Matavimai'!$W$6:$W$13)</f>
        <v>45.452134434829013</v>
      </c>
      <c r="AN70" s="183">
        <v>39.4363954547647</v>
      </c>
      <c r="AO70" s="183">
        <v>38.55343678772423</v>
      </c>
      <c r="AP70" s="183">
        <v>32.935118279729778</v>
      </c>
      <c r="AQ70" s="183">
        <v>32.679001440121063</v>
      </c>
      <c r="AR70" s="183">
        <v>32.265274423116495</v>
      </c>
      <c r="AS70" s="183">
        <v>28.657335308321269</v>
      </c>
      <c r="AT70" s="183">
        <v>21.54235668350438</v>
      </c>
      <c r="AU70" s="183">
        <f t="shared" si="3"/>
        <v>9.3832613984861339</v>
      </c>
      <c r="AX70" s="281"/>
      <c r="AY70" s="281"/>
      <c r="AZ70" s="281"/>
      <c r="BA70" s="281"/>
    </row>
    <row r="71" spans="1:53" ht="16.8" x14ac:dyDescent="0.3">
      <c r="A71" s="282" t="str">
        <f>Sheet3!A71</f>
        <v>2023.02.01-1</v>
      </c>
      <c r="B71" s="248">
        <f>EXP(New!$LP$6-((New!$LQ$6)/(AC71+New!$LP$8)))/New!$LS$2</f>
        <v>5.7423934674454488E-2</v>
      </c>
      <c r="C71" s="312">
        <f>EXP(New!$LP$6-((New!$LQ$6)/(AD71+New!$LP$8)))/New!$LS$2</f>
        <v>7.0504996838525777E-2</v>
      </c>
      <c r="D71" s="312">
        <f>EXP(New!$LP$6-((New!$LQ$6)/(AE71+New!$LP$8)))/New!$LS$2</f>
        <v>6.6328399645073727E-2</v>
      </c>
      <c r="E71" s="312">
        <f>EXP(New!$LP$6-((New!$LQ$6)/(AF71+New!$LP$8)))/New!$LS$2</f>
        <v>6.2578634993971122E-2</v>
      </c>
      <c r="F71" s="312">
        <f>EXP(New!$LP$6-((New!$LQ$6)/(AG71+New!$LP$8)))/New!$LS$2</f>
        <v>5.8991473109791831E-2</v>
      </c>
      <c r="G71" s="312">
        <f>EXP(New!$LP$6-((New!$LQ$6)/(AH71+New!$LP$8)))/New!$LS$2</f>
        <v>5.5658533063782413E-2</v>
      </c>
      <c r="H71" s="312">
        <f>EXP(New!$LP$6-((New!$LQ$6)/(AI71+New!$LP$8)))/New!$LS$2</f>
        <v>5.2509058034087404E-2</v>
      </c>
      <c r="I71" s="312">
        <f>EXP(New!$LP$6-((New!$LQ$6)/(AJ71+New!$LP$8)))/New!$LS$2</f>
        <v>4.9577107017577213E-2</v>
      </c>
      <c r="J71" s="312">
        <f>EXP(New!$LP$6-((New!$LQ$6)/(AK71+New!$LP$8)))/New!$LS$2</f>
        <v>4.6802192598715424E-2</v>
      </c>
      <c r="K71" s="245">
        <f>((New!FH71*New!$LP$3*LN((1-B71)/(1-New!DO71))) / (New!BV71*1000*New!$LQ$3*(1-B71-1+New!DO71)*New!B71^(2/3)))</f>
        <v>6.2486719078888302E-2</v>
      </c>
      <c r="L71" s="4">
        <f>((New!FI71*New!$LP$3*LN((1-C71)/(1-New!DP71))) / (New!BW71*1000*New!$LQ$3*(1-C71-1+New!DP71)*New!C71^(2/3)))</f>
        <v>6.2942687180533488E-2</v>
      </c>
      <c r="M71" s="4">
        <f>((New!FJ71*New!$LP$3*LN((1-D71)/(1-New!DQ71))) / (New!BX71*1000*New!$LQ$3*(1-D71-1+New!DQ71)*New!D71^(2/3)))</f>
        <v>6.2756388893712864E-2</v>
      </c>
      <c r="N71" s="4">
        <f>((New!FK71*New!$LP$3*LN((1-E71)/(1-New!DR71))) / (New!BY71*1000*New!$LQ$3*(1-E71-1+New!DR71)*New!E71^(2/3)))</f>
        <v>6.2662182386690274E-2</v>
      </c>
      <c r="O71" s="4">
        <f>((New!FL71*New!$LP$3*LN((1-F71)/(1-New!DS71))) / (New!BZ71*1000*New!$LQ$3*(1-F71-1+New!DS71)*New!F71^(2/3)))</f>
        <v>6.2520282165904537E-2</v>
      </c>
      <c r="P71" s="4">
        <f>((New!FM71*New!$LP$3*LN((1-G71)/(1-New!DT71))) / (New!CA71*1000*New!$LQ$3*(1-G71-1+New!DT71)*New!G71^(2/3)))</f>
        <v>6.2425949209007146E-2</v>
      </c>
      <c r="Q71" s="4">
        <f>((New!FN71*New!$LP$3*LN((1-H71)/(1-New!DU71))) / (New!CB71*1000*New!$LQ$3*(1-H71-1+New!DU71)*New!H71^(2/3)))</f>
        <v>6.229512715958728E-2</v>
      </c>
      <c r="R71" s="4">
        <f>((New!FO71*New!$LP$3*LN((1-I71)/(1-New!DV71))) / (New!CC71*1000*New!$LQ$3*(1-I71-1+New!DV71)*New!I71^(2/3)))</f>
        <v>6.2223704053365705E-2</v>
      </c>
      <c r="S71" s="4">
        <f>((New!FP71*New!$LP$3*LN((1-J71)/(1-New!DW71))) / (New!CD71*1000*New!$LQ$3*(1-J71-1+New!DW71)*New!J71^(2/3)))</f>
        <v>6.2087601158236673E-2</v>
      </c>
      <c r="T71" s="245">
        <f>(New!FH71*Sheet3!DF71+New!HU71*1000*K71*(New!DO71-B71)+'Cooling water'!CO71*'Cooling water'!B71) / (New!FH71+'Cooling water'!CO71)</f>
        <v>33.353304489492018</v>
      </c>
      <c r="U71" s="4">
        <f>(New!FI71*Sheet3!BZ71+New!HV71*1000*L71*(New!DP71-C71)+Sheet3!CI71*'Cooling water'!CP71) / (New!FI71+'Cooling water'!CP71)</f>
        <v>38.127358399660594</v>
      </c>
      <c r="V71" s="4">
        <f>(New!FJ71*Sheet3!CA71+New!HW71*1000*M71*(New!DQ71-D71)+Sheet3!CJ71*'Cooling water'!CQ71) / (New!FJ71+'Cooling water'!CQ71)</f>
        <v>37.250200080990361</v>
      </c>
      <c r="W71" s="4">
        <f>(New!FK71*Sheet3!CB71+New!HX71*1000*N71*(New!DR71-E71)+Sheet3!CK71*'Cooling water'!CR71) / (New!FK71+'Cooling water'!CR71)</f>
        <v>36.541727656406991</v>
      </c>
      <c r="X71" s="4">
        <f>(New!FL71*Sheet3!CC71+New!HY71*1000*O71*(New!DS71-F71)+Sheet3!CL71*'Cooling water'!CS71) / (New!FL71+'Cooling water'!CS71)</f>
        <v>35.82788041209907</v>
      </c>
      <c r="Y71" s="4">
        <f>(New!FM71*Sheet3!CD71+New!HZ71*1000*P71*(New!DT71-G71)+Sheet3!CM71*'Cooling water'!CT71) / (New!FM71+'Cooling water'!CT71)</f>
        <v>35.296212979738428</v>
      </c>
      <c r="Z71" s="4">
        <f>(New!FN71*Sheet3!CE71+New!IA71*1000*Q71*(New!DU71-H71)+Sheet3!CN71*'Cooling water'!CU71) / (New!FN71+'Cooling water'!CU71)</f>
        <v>34.679974213786124</v>
      </c>
      <c r="AA71" s="4">
        <f>(New!FO71*Sheet3!CF71+New!IB71*1000*R71*(New!DV71-I71)+Sheet3!CO71*'Cooling water'!CV71) / (New!FO71+'Cooling water'!CV71)</f>
        <v>34.223644072232076</v>
      </c>
      <c r="AB71" s="4">
        <f>(New!FP71*Sheet3!CG71+New!IC71*1000*S71*(New!DW71-J71)+Sheet3!CP71*'Cooling water'!CW71) / (New!FP71+'Cooling water'!CW71)</f>
        <v>33.697776785785635</v>
      </c>
      <c r="AC71" s="245">
        <f t="shared" si="4"/>
        <v>35.694013750000003</v>
      </c>
      <c r="AD71" s="311">
        <v>39.455784999999999</v>
      </c>
      <c r="AE71" s="311">
        <v>38.325203000000002</v>
      </c>
      <c r="AF71" s="311">
        <v>37.256692999999999</v>
      </c>
      <c r="AG71" s="311">
        <v>36.181596999999996</v>
      </c>
      <c r="AH71" s="311">
        <v>35.130951000000003</v>
      </c>
      <c r="AI71" s="311">
        <v>34.087035</v>
      </c>
      <c r="AJ71" s="311">
        <v>33.065468000000003</v>
      </c>
      <c r="AK71" s="311">
        <v>32.049377999999997</v>
      </c>
      <c r="AL71" s="243">
        <f>AVERAGE(Sheet3!BR71:BY71)</f>
        <v>23.813297664281198</v>
      </c>
      <c r="AM71" s="183" cm="1">
        <f t="array" ref="AM71:AT71">TRANSPOSE('[78]Keithley Matavimai'!$W$6:$W$13)</f>
        <v>31.05960548277837</v>
      </c>
      <c r="AN71" s="183">
        <v>26.934224690401951</v>
      </c>
      <c r="AO71" s="183">
        <v>26.677489700980875</v>
      </c>
      <c r="AP71" s="183">
        <v>22.821555552655312</v>
      </c>
      <c r="AQ71" s="183">
        <v>22.684507538140036</v>
      </c>
      <c r="AR71" s="183">
        <v>22.719899407127723</v>
      </c>
      <c r="AS71" s="183">
        <v>20.773571341267282</v>
      </c>
      <c r="AT71" s="183">
        <v>16.835527600898043</v>
      </c>
      <c r="AU71" s="183">
        <f t="shared" si="3"/>
        <v>11.880716085718806</v>
      </c>
      <c r="AX71" s="281"/>
      <c r="AY71" s="281"/>
      <c r="AZ71" s="281"/>
      <c r="BA71" s="281"/>
    </row>
    <row r="72" spans="1:53" ht="16.8" x14ac:dyDescent="0.3">
      <c r="A72" s="282" t="str">
        <f>Sheet3!A72</f>
        <v>2023.02.01-2</v>
      </c>
      <c r="B72" s="248">
        <f>EXP(New!$LP$6-((New!$LQ$6)/(AC72+New!$LP$8)))/New!$LS$2</f>
        <v>5.9455521998644033E-2</v>
      </c>
      <c r="C72" s="312">
        <f>EXP(New!$LP$6-((New!$LQ$6)/(AD72+New!$LP$8)))/New!$LS$2</f>
        <v>7.5416341446631507E-2</v>
      </c>
      <c r="D72" s="312">
        <f>EXP(New!$LP$6-((New!$LQ$6)/(AE72+New!$LP$8)))/New!$LS$2</f>
        <v>7.0313246673845628E-2</v>
      </c>
      <c r="E72" s="312">
        <f>EXP(New!$LP$6-((New!$LQ$6)/(AF72+New!$LP$8)))/New!$LS$2</f>
        <v>6.5495637539336599E-2</v>
      </c>
      <c r="F72" s="312">
        <f>EXP(New!$LP$6-((New!$LQ$6)/(AG72+New!$LP$8)))/New!$LS$2</f>
        <v>6.1187457733805677E-2</v>
      </c>
      <c r="G72" s="312">
        <f>EXP(New!$LP$6-((New!$LQ$6)/(AH72+New!$LP$8)))/New!$LS$2</f>
        <v>5.7287744400951204E-2</v>
      </c>
      <c r="H72" s="312">
        <f>EXP(New!$LP$6-((New!$LQ$6)/(AI72+New!$LP$8)))/New!$LS$2</f>
        <v>5.3575926379576463E-2</v>
      </c>
      <c r="I72" s="312">
        <f>EXP(New!$LP$6-((New!$LQ$6)/(AJ72+New!$LP$8)))/New!$LS$2</f>
        <v>5.0307015711070671E-2</v>
      </c>
      <c r="J72" s="312">
        <f>EXP(New!$LP$6-((New!$LQ$6)/(AK72+New!$LP$8)))/New!$LS$2</f>
        <v>4.6965199081411967E-2</v>
      </c>
      <c r="K72" s="245">
        <f>((New!FH72*New!$LP$3*LN((1-B72)/(1-New!DO72))) / (New!BV72*1000*New!$LQ$3*(1-B72-1+New!DO72)*New!B72^(2/3)))</f>
        <v>6.7007143427821755E-2</v>
      </c>
      <c r="L72" s="4">
        <f>((New!FI72*New!$LP$3*LN((1-C72)/(1-New!DP72))) / (New!BW72*1000*New!$LQ$3*(1-C72-1+New!DP72)*New!C72^(2/3)))</f>
        <v>6.7603579262490221E-2</v>
      </c>
      <c r="M72" s="4">
        <f>((New!FJ72*New!$LP$3*LN((1-D72)/(1-New!DQ72))) / (New!BX72*1000*New!$LQ$3*(1-D72-1+New!DQ72)*New!D72^(2/3)))</f>
        <v>6.7346420019774325E-2</v>
      </c>
      <c r="N72" s="4">
        <f>((New!FK72*New!$LP$3*LN((1-E72)/(1-New!DR72))) / (New!BY72*1000*New!$LQ$3*(1-E72-1+New!DR72)*New!E72^(2/3)))</f>
        <v>6.7176328276023101E-2</v>
      </c>
      <c r="O72" s="4">
        <f>((New!FL72*New!$LP$3*LN((1-F72)/(1-New!DS72))) / (New!BZ72*1000*New!$LQ$3*(1-F72-1+New!DS72)*New!F72^(2/3)))</f>
        <v>6.6985598406477553E-2</v>
      </c>
      <c r="P72" s="4">
        <f>((New!FM72*New!$LP$3*LN((1-G72)/(1-New!DT72))) / (New!CA72*1000*New!$LQ$3*(1-G72-1+New!DT72)*New!G72^(2/3)))</f>
        <v>6.6854049761538636E-2</v>
      </c>
      <c r="Q72" s="4">
        <f>((New!FN72*New!$LP$3*LN((1-H72)/(1-New!DU72))) / (New!CB72*1000*New!$LQ$3*(1-H72-1+New!DU72)*New!H72^(2/3)))</f>
        <v>6.6678304013819023E-2</v>
      </c>
      <c r="R72" s="4">
        <f>((New!FO72*New!$LP$3*LN((1-I72)/(1-New!DV72))) / (New!CC72*1000*New!$LQ$3*(1-I72-1+New!DV72)*New!I72^(2/3)))</f>
        <v>6.6581643466242152E-2</v>
      </c>
      <c r="S72" s="4">
        <f>((New!FP72*New!$LP$3*LN((1-J72)/(1-New!DW72))) / (New!CD72*1000*New!$LQ$3*(1-J72-1+New!DW72)*New!J72^(2/3)))</f>
        <v>6.6416678862745035E-2</v>
      </c>
      <c r="T72" s="245">
        <f>(New!FH72*Sheet3!DF72+New!HU72*1000*K72*(New!DO72-B72)+'Cooling water'!CO72*'Cooling water'!B72) / (New!FH72+'Cooling water'!CO72)</f>
        <v>33.901295488007008</v>
      </c>
      <c r="U72" s="4">
        <f>(New!FI72*Sheet3!BZ72+New!HV72*1000*L72*(New!DP72-C72)+Sheet3!CI72*'Cooling water'!CP72) / (New!FI72+'Cooling water'!CP72)</f>
        <v>39.923717620622106</v>
      </c>
      <c r="V72" s="4">
        <f>(New!FJ72*Sheet3!CA72+New!HW72*1000*M72*(New!DQ72-D72)+Sheet3!CJ72*'Cooling water'!CQ72) / (New!FJ72+'Cooling water'!CQ72)</f>
        <v>38.685406641057192</v>
      </c>
      <c r="W72" s="4">
        <f>(New!FK72*Sheet3!CB72+New!HX72*1000*N72*(New!DR72-E72)+Sheet3!CK72*'Cooling water'!CR72) / (New!FK72+'Cooling water'!CR72)</f>
        <v>37.734790902446996</v>
      </c>
      <c r="X72" s="4">
        <f>(New!FL72*Sheet3!CC72+New!HY72*1000*O72*(New!DS72-F72)+Sheet3!CL72*'Cooling water'!CS72) / (New!FL72+'Cooling water'!CS72)</f>
        <v>36.702104732983742</v>
      </c>
      <c r="Y72" s="4">
        <f>(New!FM72*Sheet3!CD72+New!HZ72*1000*P72*(New!DT72-G72)+Sheet3!CM72*'Cooling water'!CT72) / (New!FM72+'Cooling water'!CT72)</f>
        <v>35.962144844719568</v>
      </c>
      <c r="Z72" s="4">
        <f>(New!FN72*Sheet3!CE72+New!IA72*1000*Q72*(New!DU72-H72)+Sheet3!CN72*'Cooling water'!CU72) / (New!FN72+'Cooling water'!CU72)</f>
        <v>35.075814871812653</v>
      </c>
      <c r="AA72" s="4">
        <f>(New!FO72*Sheet3!CF72+New!IB72*1000*R72*(New!DV72-I72)+Sheet3!CO72*'Cooling water'!CV72) / (New!FO72+'Cooling water'!CV72)</f>
        <v>34.359021083523544</v>
      </c>
      <c r="AB72" s="4">
        <f>(New!FP72*Sheet3!CG72+New!IC72*1000*S72*(New!DW72-J72)+Sheet3!CP72*'Cooling water'!CW72) / (New!FP72+'Cooling water'!CW72)</f>
        <v>33.527525231372252</v>
      </c>
      <c r="AC72" s="245">
        <f t="shared" si="4"/>
        <v>36.323796874999992</v>
      </c>
      <c r="AD72" s="311">
        <v>40.713794999999998</v>
      </c>
      <c r="AE72" s="311">
        <v>39.405158</v>
      </c>
      <c r="AF72" s="311">
        <v>38.092481999999997</v>
      </c>
      <c r="AG72" s="311">
        <v>36.846210999999997</v>
      </c>
      <c r="AH72" s="311">
        <v>35.651111999999998</v>
      </c>
      <c r="AI72" s="311">
        <v>34.446565</v>
      </c>
      <c r="AJ72" s="311">
        <v>33.324565999999997</v>
      </c>
      <c r="AK72" s="311">
        <v>32.110486000000002</v>
      </c>
      <c r="AL72" s="243">
        <f>AVERAGE(Sheet3!BR72:BY72)</f>
        <v>26.445035222823297</v>
      </c>
      <c r="AM72" s="183" cm="1">
        <f t="array" ref="AM72:AT72">TRANSPOSE('[79]Keithley Matavimai'!$W$6:$W$13)</f>
        <v>35.007816767338007</v>
      </c>
      <c r="AN72" s="183">
        <v>28.985262739923119</v>
      </c>
      <c r="AO72" s="183">
        <v>29.518787465941955</v>
      </c>
      <c r="AP72" s="183">
        <v>24.757537660359343</v>
      </c>
      <c r="AQ72" s="183">
        <v>24.691303160631989</v>
      </c>
      <c r="AR72" s="183">
        <v>24.649129047878045</v>
      </c>
      <c r="AS72" s="183">
        <v>23.962869227581411</v>
      </c>
      <c r="AT72" s="183">
        <v>19.987575712932479</v>
      </c>
      <c r="AU72" s="183">
        <f t="shared" si="3"/>
        <v>9.8787616521766957</v>
      </c>
      <c r="AX72" s="281"/>
      <c r="AY72" s="281"/>
      <c r="AZ72" s="281"/>
      <c r="BA72" s="281"/>
    </row>
    <row r="73" spans="1:53" ht="16.8" x14ac:dyDescent="0.3">
      <c r="A73" s="282" t="str">
        <f>Sheet3!A73</f>
        <v>2023.02.02-1</v>
      </c>
      <c r="B73" s="248">
        <f>EXP(New!$LP$6-((New!$LQ$6)/(AC73+New!$LP$8)))/New!$LS$2</f>
        <v>6.3069663805947418E-2</v>
      </c>
      <c r="C73" s="312">
        <f>EXP(New!$LP$6-((New!$LQ$6)/(AD73+New!$LP$8)))/New!$LS$2</f>
        <v>8.3580810712040654E-2</v>
      </c>
      <c r="D73" s="312">
        <f>EXP(New!$LP$6-((New!$LQ$6)/(AE73+New!$LP$8)))/New!$LS$2</f>
        <v>7.6709995267717462E-2</v>
      </c>
      <c r="E73" s="312">
        <f>EXP(New!$LP$6-((New!$LQ$6)/(AF73+New!$LP$8)))/New!$LS$2</f>
        <v>7.0506835952630562E-2</v>
      </c>
      <c r="F73" s="312">
        <f>EXP(New!$LP$6-((New!$LQ$6)/(AG73+New!$LP$8)))/New!$LS$2</f>
        <v>6.5094117070794211E-2</v>
      </c>
      <c r="G73" s="312">
        <f>EXP(New!$LP$6-((New!$LQ$6)/(AH73+New!$LP$8)))/New!$LS$2</f>
        <v>6.0421543460354221E-2</v>
      </c>
      <c r="H73" s="312">
        <f>EXP(New!$LP$6-((New!$LQ$6)/(AI73+New!$LP$8)))/New!$LS$2</f>
        <v>5.6005096487537057E-2</v>
      </c>
      <c r="I73" s="312">
        <f>EXP(New!$LP$6-((New!$LQ$6)/(AJ73+New!$LP$8)))/New!$LS$2</f>
        <v>5.1728916617816222E-2</v>
      </c>
      <c r="J73" s="312">
        <f>EXP(New!$LP$6-((New!$LQ$6)/(AK73+New!$LP$8)))/New!$LS$2</f>
        <v>4.7721945391086644E-2</v>
      </c>
      <c r="K73" s="245">
        <f>((New!FH73*New!$LP$3*LN((1-B73)/(1-New!DO73))) / (New!BV73*1000*New!$LQ$3*(1-B73-1+New!DO73)*New!B73^(2/3)))</f>
        <v>7.275226592860573E-2</v>
      </c>
      <c r="L73" s="4">
        <f>((New!FI73*New!$LP$3*LN((1-C73)/(1-New!DP73))) / (New!BW73*1000*New!$LQ$3*(1-C73-1+New!DP73)*New!C73^(2/3)))</f>
        <v>7.3587025072453446E-2</v>
      </c>
      <c r="M73" s="4">
        <f>((New!FJ73*New!$LP$3*LN((1-D73)/(1-New!DQ73))) / (New!BX73*1000*New!$LQ$3*(1-D73-1+New!DQ73)*New!D73^(2/3)))</f>
        <v>7.3171298497490364E-2</v>
      </c>
      <c r="N73" s="4">
        <f>((New!FK73*New!$LP$3*LN((1-E73)/(1-New!DR73))) / (New!BY73*1000*New!$LQ$3*(1-E73-1+New!DR73)*New!E73^(2/3)))</f>
        <v>7.2885542434055248E-2</v>
      </c>
      <c r="O73" s="4">
        <f>((New!FL73*New!$LP$3*LN((1-F73)/(1-New!DS73))) / (New!BZ73*1000*New!$LQ$3*(1-F73-1+New!DS73)*New!F73^(2/3)))</f>
        <v>7.2551644487627714E-2</v>
      </c>
      <c r="P73" s="4">
        <f>((New!FM73*New!$LP$3*LN((1-G73)/(1-New!DT73))) / (New!CA73*1000*New!$LQ$3*(1-G73-1+New!DT73)*New!G73^(2/3)))</f>
        <v>7.2351178720293022E-2</v>
      </c>
      <c r="Q73" s="4">
        <f>((New!FN73*New!$LP$3*LN((1-H73)/(1-New!DU73))) / (New!CB73*1000*New!$LQ$3*(1-H73-1+New!DU73)*New!H73^(2/3)))</f>
        <v>7.2087302153086424E-2</v>
      </c>
      <c r="R73" s="4">
        <f>((New!FO73*New!$LP$3*LN((1-I73)/(1-New!DV73))) / (New!CC73*1000*New!$LQ$3*(1-I73-1+New!DV73)*New!I73^(2/3)))</f>
        <v>7.191352399542715E-2</v>
      </c>
      <c r="S73" s="4">
        <f>((New!FP73*New!$LP$3*LN((1-J73)/(1-New!DW73))) / (New!CD73*1000*New!$LQ$3*(1-J73-1+New!DW73)*New!J73^(2/3)))</f>
        <v>7.1685010945870445E-2</v>
      </c>
      <c r="T73" s="245">
        <f>(New!FH73*Sheet3!DF73+New!HU73*1000*K73*(New!DO73-B73)+'Cooling water'!CO73*'Cooling water'!B73) / (New!FH73+'Cooling water'!CO73)</f>
        <v>34.759089747781381</v>
      </c>
      <c r="U73" s="4">
        <f>(New!FI73*Sheet3!BZ73+New!HV73*1000*L73*(New!DP73-C73)+Sheet3!CI73*'Cooling water'!CP73) / (New!FI73+'Cooling water'!CP73)</f>
        <v>42.377531430201756</v>
      </c>
      <c r="V73" s="4">
        <f>(New!FJ73*Sheet3!CA73+New!HW73*1000*M73*(New!DQ73-D73)+Sheet3!CJ73*'Cooling water'!CQ73) / (New!FJ73+'Cooling water'!CQ73)</f>
        <v>40.730590276336329</v>
      </c>
      <c r="W73" s="4">
        <f>(New!FK73*Sheet3!CB73+New!HX73*1000*N73*(New!DR73-E73)+Sheet3!CK73*'Cooling water'!CR73) / (New!FK73+'Cooling water'!CR73)</f>
        <v>39.445465544377718</v>
      </c>
      <c r="X73" s="4">
        <f>(New!FL73*Sheet3!CC73+New!HY73*1000*O73*(New!DS73-F73)+Sheet3!CL73*'Cooling water'!CS73) / (New!FL73+'Cooling water'!CS73)</f>
        <v>38.063866063319843</v>
      </c>
      <c r="Y73" s="4">
        <f>(New!FM73*Sheet3!CD73+New!HZ73*1000*P73*(New!DT73-G73)+Sheet3!CM73*'Cooling water'!CT73) / (New!FM73+'Cooling water'!CT73)</f>
        <v>37.026974079443633</v>
      </c>
      <c r="Z73" s="4">
        <f>(New!FN73*Sheet3!CE73+New!IA73*1000*Q73*(New!DU73-H73)+Sheet3!CN73*'Cooling water'!CU73) / (New!FN73+'Cooling water'!CU73)</f>
        <v>35.867699714552614</v>
      </c>
      <c r="AA73" s="4">
        <f>(New!FO73*Sheet3!CF73+New!IB73*1000*R73*(New!DV73-I73)+Sheet3!CO73*'Cooling water'!CV73) / (New!FO73+'Cooling water'!CV73)</f>
        <v>34.862290364586734</v>
      </c>
      <c r="AB73" s="4">
        <f>(New!FP73*Sheet3!CG73+New!IC73*1000*S73*(New!DW73-J73)+Sheet3!CP73*'Cooling water'!CW73) / (New!FP73+'Cooling water'!CW73)</f>
        <v>33.747067184006845</v>
      </c>
      <c r="AC73" s="245">
        <f t="shared" si="4"/>
        <v>37.399700874999994</v>
      </c>
      <c r="AD73" s="311">
        <v>42.657178999999999</v>
      </c>
      <c r="AE73" s="311">
        <v>41.033414</v>
      </c>
      <c r="AF73" s="311">
        <v>39.456270000000004</v>
      </c>
      <c r="AG73" s="311">
        <v>37.979362999999999</v>
      </c>
      <c r="AH73" s="311">
        <v>36.616776000000002</v>
      </c>
      <c r="AI73" s="311">
        <v>35.242688000000001</v>
      </c>
      <c r="AJ73" s="311">
        <v>33.820118999999998</v>
      </c>
      <c r="AK73" s="311">
        <v>32.391798000000001</v>
      </c>
      <c r="AL73" s="243">
        <f>AVERAGE(Sheet3!BR73:BY73)</f>
        <v>29.041974882184242</v>
      </c>
      <c r="AM73" s="183" cm="1">
        <f t="array" ref="AM73:AT73">TRANSPOSE('[80]Keithley Matavimai'!$W$6:$W$13)</f>
        <v>38.577329366994299</v>
      </c>
      <c r="AN73" s="183">
        <v>31.944636061667627</v>
      </c>
      <c r="AO73" s="183">
        <v>33.004438629460267</v>
      </c>
      <c r="AP73" s="183">
        <v>27.661394534653066</v>
      </c>
      <c r="AQ73" s="183">
        <v>28.633095138168688</v>
      </c>
      <c r="AR73" s="183">
        <v>28.5707314572293</v>
      </c>
      <c r="AS73" s="183">
        <v>25.345555653010972</v>
      </c>
      <c r="AT73" s="183">
        <v>18.598618216289719</v>
      </c>
      <c r="AU73" s="183">
        <f t="shared" si="3"/>
        <v>8.3577259928157517</v>
      </c>
      <c r="AX73" s="281"/>
      <c r="AY73" s="281"/>
      <c r="AZ73" s="281"/>
      <c r="BA73" s="281"/>
    </row>
    <row r="74" spans="1:53" ht="16.8" x14ac:dyDescent="0.3">
      <c r="A74" s="282" t="str">
        <f>Sheet3!A74</f>
        <v>2023.02.02-2</v>
      </c>
      <c r="B74" s="248">
        <f>EXP(New!$LP$6-((New!$LQ$6)/(AC74+New!$LP$8)))/New!$LS$2</f>
        <v>4.8842651396614624E-2</v>
      </c>
      <c r="C74" s="312">
        <f>EXP(New!$LP$6-((New!$LQ$6)/(AD74+New!$LP$8)))/New!$LS$2</f>
        <v>6.3064606937347209E-2</v>
      </c>
      <c r="D74" s="312">
        <f>EXP(New!$LP$6-((New!$LQ$6)/(AE74+New!$LP$8)))/New!$LS$2</f>
        <v>5.8301474865259967E-2</v>
      </c>
      <c r="E74" s="312">
        <f>EXP(New!$LP$6-((New!$LQ$6)/(AF74+New!$LP$8)))/New!$LS$2</f>
        <v>5.4129436023721278E-2</v>
      </c>
      <c r="F74" s="312">
        <f>EXP(New!$LP$6-((New!$LQ$6)/(AG74+New!$LP$8)))/New!$LS$2</f>
        <v>5.0358966076555205E-2</v>
      </c>
      <c r="G74" s="312">
        <f>EXP(New!$LP$6-((New!$LQ$6)/(AH74+New!$LP$8)))/New!$LS$2</f>
        <v>4.7002910013066106E-2</v>
      </c>
      <c r="H74" s="312">
        <f>EXP(New!$LP$6-((New!$LQ$6)/(AI74+New!$LP$8)))/New!$LS$2</f>
        <v>4.3862337497975759E-2</v>
      </c>
      <c r="I74" s="312">
        <f>EXP(New!$LP$6-((New!$LQ$6)/(AJ74+New!$LP$8)))/New!$LS$2</f>
        <v>4.0894169786559964E-2</v>
      </c>
      <c r="J74" s="312">
        <f>EXP(New!$LP$6-((New!$LQ$6)/(AK74+New!$LP$8)))/New!$LS$2</f>
        <v>3.7762045469325441E-2</v>
      </c>
      <c r="K74" s="245">
        <f>((New!FH74*New!$LP$3*LN((1-B74)/(1-New!DO74))) / (New!BV74*1000*New!$LQ$3*(1-B74-1+New!DO74)*New!B74^(2/3)))</f>
        <v>0.11170479080617475</v>
      </c>
      <c r="L74" s="4">
        <f>((New!FI74*New!$LP$3*LN((1-C74)/(1-New!DP74))) / (New!BW74*1000*New!$LQ$3*(1-C74-1+New!DP74)*New!C74^(2/3)))</f>
        <v>0.11257129107796408</v>
      </c>
      <c r="M74" s="4">
        <f>((New!FJ74*New!$LP$3*LN((1-D74)/(1-New!DQ74))) / (New!BX74*1000*New!$LQ$3*(1-D74-1+New!DQ74)*New!D74^(2/3)))</f>
        <v>0.11216755230748129</v>
      </c>
      <c r="N74" s="4">
        <f>((New!FK74*New!$LP$3*LN((1-E74)/(1-New!DR74))) / (New!BY74*1000*New!$LQ$3*(1-E74-1+New!DR74)*New!E74^(2/3)))</f>
        <v>0.11186287522137399</v>
      </c>
      <c r="O74" s="4">
        <f>((New!FL74*New!$LP$3*LN((1-F74)/(1-New!DS74))) / (New!BZ74*1000*New!$LQ$3*(1-F74-1+New!DS74)*New!F74^(2/3)))</f>
        <v>0.11153173927785866</v>
      </c>
      <c r="P74" s="4">
        <f>((New!FM74*New!$LP$3*LN((1-G74)/(1-New!DT74))) / (New!CA74*1000*New!$LQ$3*(1-G74-1+New!DT74)*New!G74^(2/3)))</f>
        <v>0.11129785395371238</v>
      </c>
      <c r="Q74" s="4">
        <f>((New!FN74*New!$LP$3*LN((1-H74)/(1-New!DU74))) / (New!CB74*1000*New!$LQ$3*(1-H74-1+New!DU74)*New!H74^(2/3)))</f>
        <v>0.11103789069334233</v>
      </c>
      <c r="R74" s="4">
        <f>((New!FO74*New!$LP$3*LN((1-I74)/(1-New!DV74))) / (New!CC74*1000*New!$LQ$3*(1-I74-1+New!DV74)*New!I74^(2/3)))</f>
        <v>0.11084520155173758</v>
      </c>
      <c r="S74" s="4">
        <f>((New!FP74*New!$LP$3*LN((1-J74)/(1-New!DW74))) / (New!CD74*1000*New!$LQ$3*(1-J74-1+New!DW74)*New!J74^(2/3)))</f>
        <v>0.11059026490708644</v>
      </c>
      <c r="T74" s="245">
        <f>(New!FH74*Sheet3!DF74+New!HU74*1000*K74*(New!DO74-B74)+'Cooling water'!CO74*'Cooling water'!B74) / (New!FH74+'Cooling water'!CO74)</f>
        <v>29.160653426327887</v>
      </c>
      <c r="U74" s="4">
        <f>(New!FI74*Sheet3!BZ74+New!HV74*1000*L74*(New!DP74-C74)+Sheet3!CI74*'Cooling water'!CP74) / (New!FI74+'Cooling water'!CP74)</f>
        <v>37.050740683642623</v>
      </c>
      <c r="V74" s="4">
        <f>(New!FJ74*Sheet3!CA74+New!HW74*1000*M74*(New!DQ74-D74)+Sheet3!CJ74*'Cooling water'!CQ74) / (New!FJ74+'Cooling water'!CQ74)</f>
        <v>35.655336427709805</v>
      </c>
      <c r="W74" s="4">
        <f>(New!FK74*Sheet3!CB74+New!HX74*1000*N74*(New!DR74-E74)+Sheet3!CK74*'Cooling water'!CR74) / (New!FK74+'Cooling water'!CR74)</f>
        <v>34.460995859356103</v>
      </c>
      <c r="X74" s="4">
        <f>(New!FL74*Sheet3!CC74+New!HY74*1000*O74*(New!DS74-F74)+Sheet3!CL74*'Cooling water'!CS74) / (New!FL74+'Cooling water'!CS74)</f>
        <v>33.309341228923167</v>
      </c>
      <c r="Y74" s="4">
        <f>(New!FM74*Sheet3!CD74+New!HZ74*1000*P74*(New!DT74-G74)+Sheet3!CM74*'Cooling water'!CT74) / (New!FM74+'Cooling water'!CT74)</f>
        <v>32.302766762010691</v>
      </c>
      <c r="Z74" s="4">
        <f>(New!FN74*Sheet3!CE74+New!IA74*1000*Q74*(New!DU74-H74)+Sheet3!CN74*'Cooling water'!CU74) / (New!FN74+'Cooling water'!CU74)</f>
        <v>31.316465652712058</v>
      </c>
      <c r="AA74" s="4">
        <f>(New!FO74*Sheet3!CF74+New!IB74*1000*R74*(New!DV74-I74)+Sheet3!CO74*'Cooling water'!CV74) / (New!FO74+'Cooling water'!CV74)</f>
        <v>30.346549629668125</v>
      </c>
      <c r="AB74" s="4">
        <f>(New!FP74*Sheet3!CG74+New!IC74*1000*S74*(New!DW74-J74)+Sheet3!CP74*'Cooling water'!CW74) / (New!FP74+'Cooling water'!CW74)</f>
        <v>29.247692831768067</v>
      </c>
      <c r="AC74" s="245">
        <f t="shared" si="4"/>
        <v>32.801409749999998</v>
      </c>
      <c r="AD74" s="311">
        <v>37.398232999999998</v>
      </c>
      <c r="AE74" s="311">
        <v>35.968366000000003</v>
      </c>
      <c r="AF74" s="311">
        <v>34.630668</v>
      </c>
      <c r="AG74" s="311">
        <v>33.342883</v>
      </c>
      <c r="AH74" s="311">
        <v>32.124597000000001</v>
      </c>
      <c r="AI74" s="311">
        <v>30.914442999999999</v>
      </c>
      <c r="AJ74" s="311">
        <v>29.699778999999999</v>
      </c>
      <c r="AK74" s="311">
        <v>28.332308999999999</v>
      </c>
      <c r="AL74" s="243">
        <f>AVERAGE(Sheet3!BR74:BY74)</f>
        <v>25.290012527347905</v>
      </c>
      <c r="AM74" s="183" cm="1">
        <f t="array" ref="AM74:AT74">TRANSPOSE('[81]Keithley Matavimai'!$W$6:$W$13)</f>
        <v>32.527116804037405</v>
      </c>
      <c r="AN74" s="183">
        <v>26.998302120794893</v>
      </c>
      <c r="AO74" s="183">
        <v>28.802918186877985</v>
      </c>
      <c r="AP74" s="183">
        <v>24.164098087457592</v>
      </c>
      <c r="AQ74" s="183">
        <v>24.138396697168229</v>
      </c>
      <c r="AR74" s="183">
        <v>23.488997349206983</v>
      </c>
      <c r="AS74" s="183">
        <v>22.59871420955821</v>
      </c>
      <c r="AT74" s="183">
        <v>19.601556763681948</v>
      </c>
      <c r="AU74" s="183">
        <f t="shared" si="3"/>
        <v>7.5113972226520929</v>
      </c>
      <c r="AX74" s="281"/>
      <c r="AY74" s="281"/>
      <c r="AZ74" s="281"/>
      <c r="BA74" s="281"/>
    </row>
    <row r="75" spans="1:53" ht="16.8" x14ac:dyDescent="0.3">
      <c r="A75" s="282">
        <f>Sheet3!A75</f>
        <v>44960</v>
      </c>
      <c r="B75" s="248">
        <f>EXP(New!$LP$6-((New!$LQ$6)/(AC75+New!$LP$8)))/New!$LS$2</f>
        <v>4.4080871764423754E-2</v>
      </c>
      <c r="C75" s="312">
        <f>EXP(New!$LP$6-((New!$LQ$6)/(AD75+New!$LP$8)))/New!$LS$2</f>
        <v>5.4667069009578191E-2</v>
      </c>
      <c r="D75" s="312">
        <f>EXP(New!$LP$6-((New!$LQ$6)/(AE75+New!$LP$8)))/New!$LS$2</f>
        <v>5.119521238470106E-2</v>
      </c>
      <c r="E75" s="312">
        <f>EXP(New!$LP$6-((New!$LQ$6)/(AF75+New!$LP$8)))/New!$LS$2</f>
        <v>4.8170843330423249E-2</v>
      </c>
      <c r="F75" s="312">
        <f>EXP(New!$LP$6-((New!$LQ$6)/(AG75+New!$LP$8)))/New!$LS$2</f>
        <v>4.5428534408805184E-2</v>
      </c>
      <c r="G75" s="312">
        <f>EXP(New!$LP$6-((New!$LQ$6)/(AH75+New!$LP$8)))/New!$LS$2</f>
        <v>4.280260618747922E-2</v>
      </c>
      <c r="H75" s="312">
        <f>EXP(New!$LP$6-((New!$LQ$6)/(AI75+New!$LP$8)))/New!$LS$2</f>
        <v>4.027419850701186E-2</v>
      </c>
      <c r="I75" s="312">
        <f>EXP(New!$LP$6-((New!$LQ$6)/(AJ75+New!$LP$8)))/New!$LS$2</f>
        <v>3.7796193438778374E-2</v>
      </c>
      <c r="J75" s="312">
        <f>EXP(New!$LP$6-((New!$LQ$6)/(AK75+New!$LP$8)))/New!$LS$2</f>
        <v>3.5343840720453948E-2</v>
      </c>
      <c r="K75" s="245">
        <f>((New!FH75*New!$LP$3*LN((1-B75)/(1-New!DO75))) / (New!BV75*1000*New!$LQ$3*(1-B75-1+New!DO75)*New!B75^(2/3)))</f>
        <v>9.7048483706435207E-2</v>
      </c>
      <c r="L75" s="4">
        <f>((New!FI75*New!$LP$3*LN((1-C75)/(1-New!DP75))) / (New!BW75*1000*New!$LQ$3*(1-C75-1+New!DP75)*New!C75^(2/3)))</f>
        <v>9.7631349598395339E-2</v>
      </c>
      <c r="M75" s="4">
        <f>((New!FJ75*New!$LP$3*LN((1-D75)/(1-New!DQ75))) / (New!BX75*1000*New!$LQ$3*(1-D75-1+New!DQ75)*New!D75^(2/3)))</f>
        <v>9.7422464788425409E-2</v>
      </c>
      <c r="N75" s="4">
        <f>((New!FK75*New!$LP$3*LN((1-E75)/(1-New!DR75))) / (New!BY75*1000*New!$LQ$3*(1-E75-1+New!DR75)*New!E75^(2/3)))</f>
        <v>9.7288055721188385E-2</v>
      </c>
      <c r="O75" s="4">
        <f>((New!FL75*New!$LP$3*LN((1-F75)/(1-New!DS75))) / (New!BZ75*1000*New!$LQ$3*(1-F75-1+New!DS75)*New!F75^(2/3)))</f>
        <v>9.7126992844136353E-2</v>
      </c>
      <c r="P75" s="4">
        <f>((New!FM75*New!$LP$3*LN((1-G75)/(1-New!DT75))) / (New!CA75*1000*New!$LQ$3*(1-G75-1+New!DT75)*New!G75^(2/3)))</f>
        <v>9.7012516974504734E-2</v>
      </c>
      <c r="Q75" s="4">
        <f>((New!FN75*New!$LP$3*LN((1-H75)/(1-New!DU75))) / (New!CB75*1000*New!$LQ$3*(1-H75-1+New!DU75)*New!H75^(2/3)))</f>
        <v>9.6859158770158119E-2</v>
      </c>
      <c r="R75" s="4">
        <f>((New!FO75*New!$LP$3*LN((1-I75)/(1-New!DV75))) / (New!CC75*1000*New!$LQ$3*(1-I75-1+New!DV75)*New!I75^(2/3)))</f>
        <v>9.6763173136904565E-2</v>
      </c>
      <c r="S75" s="4">
        <f>((New!FP75*New!$LP$3*LN((1-J75)/(1-New!DW75))) / (New!CD75*1000*New!$LQ$3*(1-J75-1+New!DW75)*New!J75^(2/3)))</f>
        <v>9.6616954803748004E-2</v>
      </c>
      <c r="T75" s="245">
        <f>(New!FH75*Sheet3!DF75+New!HU75*1000*K75*(New!DO75-B75)+'Cooling water'!CO75*'Cooling water'!B75) / (New!FH75+'Cooling water'!CO75)</f>
        <v>27.05008913046322</v>
      </c>
      <c r="U75" s="4">
        <f>(New!FI75*Sheet3!BZ75+New!HV75*1000*L75*(New!DP75-C75)+Sheet3!CI75*'Cooling water'!CP75) / (New!FI75+'Cooling water'!CP75)</f>
        <v>33.846488572572973</v>
      </c>
      <c r="V75" s="4">
        <f>(New!FJ75*Sheet3!CA75+New!HW75*1000*M75*(New!DQ75-D75)+Sheet3!CJ75*'Cooling water'!CQ75) / (New!FJ75+'Cooling water'!CQ75)</f>
        <v>32.827838648683098</v>
      </c>
      <c r="W75" s="4">
        <f>(New!FK75*Sheet3!CB75+New!HX75*1000*N75*(New!DR75-E75)+Sheet3!CK75*'Cooling water'!CR75) / (New!FK75+'Cooling water'!CR75)</f>
        <v>31.975063395410441</v>
      </c>
      <c r="X75" s="4">
        <f>(New!FL75*Sheet3!CC75+New!HY75*1000*O75*(New!DS75-F75)+Sheet3!CL75*'Cooling water'!CS75) / (New!FL75+'Cooling water'!CS75)</f>
        <v>31.147730418614806</v>
      </c>
      <c r="Y75" s="4">
        <f>(New!FM75*Sheet3!CD75+New!HZ75*1000*P75*(New!DT75-G75)+Sheet3!CM75*'Cooling water'!CT75) / (New!FM75+'Cooling water'!CT75)</f>
        <v>30.434563933986134</v>
      </c>
      <c r="Z75" s="4">
        <f>(New!FN75*Sheet3!CE75+New!IA75*1000*Q75*(New!DU75-H75)+Sheet3!CN75*'Cooling water'!CU75) / (New!FN75+'Cooling water'!CU75)</f>
        <v>29.68843529598238</v>
      </c>
      <c r="AA75" s="4">
        <f>(New!FO75*Sheet3!CF75+New!IB75*1000*R75*(New!DV75-I75)+Sheet3!CO75*'Cooling water'!CV75) / (New!FO75+'Cooling water'!CV75)</f>
        <v>28.97677472421751</v>
      </c>
      <c r="AB75" s="4">
        <f>(New!FP75*Sheet3!CG75+New!IC75*1000*S75*(New!DW75-J75)+Sheet3!CP75*'Cooling water'!CW75) / (New!FP75+'Cooling water'!CW75)</f>
        <v>28.177893174235791</v>
      </c>
      <c r="AC75" s="245">
        <f t="shared" si="4"/>
        <v>31.001035999999996</v>
      </c>
      <c r="AD75" s="311">
        <v>34.807941999999997</v>
      </c>
      <c r="AE75" s="311">
        <v>33.635509999999996</v>
      </c>
      <c r="AF75" s="311">
        <v>32.556854999999999</v>
      </c>
      <c r="AG75" s="311">
        <v>31.526983999999999</v>
      </c>
      <c r="AH75" s="311">
        <v>30.489163999999999</v>
      </c>
      <c r="AI75" s="311">
        <v>29.436477</v>
      </c>
      <c r="AJ75" s="311">
        <v>28.347739000000001</v>
      </c>
      <c r="AK75" s="311">
        <v>27.207616999999999</v>
      </c>
      <c r="AL75" s="243">
        <f>AVERAGE(Sheet3!BR75:BY75)</f>
        <v>21.697071035701367</v>
      </c>
      <c r="AM75" s="183" cm="1">
        <f t="array" ref="AM75:AT75">TRANSPOSE('[82]Keithley Matavimai'!$W$6:$W$13)</f>
        <v>28.768422363150279</v>
      </c>
      <c r="AN75" s="183">
        <v>23.819572525952015</v>
      </c>
      <c r="AO75" s="183">
        <v>25.375130520345763</v>
      </c>
      <c r="AP75" s="183">
        <v>20.873276816868508</v>
      </c>
      <c r="AQ75" s="183">
        <v>20.975841597589962</v>
      </c>
      <c r="AR75" s="183">
        <v>20.730382489411625</v>
      </c>
      <c r="AS75" s="183">
        <v>19.577072651602197</v>
      </c>
      <c r="AT75" s="183">
        <v>13.456869320690563</v>
      </c>
      <c r="AU75" s="183">
        <f t="shared" si="3"/>
        <v>9.3039649642986291</v>
      </c>
      <c r="AX75" s="281"/>
      <c r="AY75" s="281"/>
      <c r="AZ75" s="281"/>
      <c r="BA75" s="281"/>
    </row>
    <row r="76" spans="1:53" ht="16.8" x14ac:dyDescent="0.3">
      <c r="A76" s="282" t="str">
        <f>Sheet3!A76</f>
        <v>2023.02.06-1</v>
      </c>
      <c r="B76" s="248">
        <f>EXP(New!$LP$6-((New!$LQ$6)/(AC76+New!$LP$8)))/New!$LS$2</f>
        <v>4.3386862407641107E-2</v>
      </c>
      <c r="C76" s="312">
        <f>EXP(New!$LP$6-((New!$LQ$6)/(AD76+New!$LP$8)))/New!$LS$2</f>
        <v>5.3354307594180882E-2</v>
      </c>
      <c r="D76" s="312">
        <f>EXP(New!$LP$6-((New!$LQ$6)/(AE76+New!$LP$8)))/New!$LS$2</f>
        <v>5.0115415905204866E-2</v>
      </c>
      <c r="E76" s="312">
        <f>EXP(New!$LP$6-((New!$LQ$6)/(AF76+New!$LP$8)))/New!$LS$2</f>
        <v>4.728085181215793E-2</v>
      </c>
      <c r="F76" s="312">
        <f>EXP(New!$LP$6-((New!$LQ$6)/(AG76+New!$LP$8)))/New!$LS$2</f>
        <v>4.4683188576182233E-2</v>
      </c>
      <c r="G76" s="312">
        <f>EXP(New!$LP$6-((New!$LQ$6)/(AH76+New!$LP$8)))/New!$LS$2</f>
        <v>4.2174498909684222E-2</v>
      </c>
      <c r="H76" s="312">
        <f>EXP(New!$LP$6-((New!$LQ$6)/(AI76+New!$LP$8)))/New!$LS$2</f>
        <v>3.9759136583201418E-2</v>
      </c>
      <c r="I76" s="312">
        <f>EXP(New!$LP$6-((New!$LQ$6)/(AJ76+New!$LP$8)))/New!$LS$2</f>
        <v>3.7407539370578689E-2</v>
      </c>
      <c r="J76" s="312">
        <f>EXP(New!$LP$6-((New!$LQ$6)/(AK76+New!$LP$8)))/New!$LS$2</f>
        <v>3.5085073683052442E-2</v>
      </c>
      <c r="K76" s="245">
        <f>((New!FH76*New!$LP$3*LN((1-B76)/(1-New!DO76))) / (New!BV76*1000*New!$LQ$3*(1-B76-1+New!DO76)*New!B76^(2/3)))</f>
        <v>9.7011530460621984E-2</v>
      </c>
      <c r="L76" s="4">
        <f>((New!FI76*New!$LP$3*LN((1-C76)/(1-New!DP76))) / (New!BW76*1000*New!$LQ$3*(1-C76-1+New!DP76)*New!C76^(2/3)))</f>
        <v>9.7550897424301591E-2</v>
      </c>
      <c r="M76" s="4">
        <f>((New!FJ76*New!$LP$3*LN((1-D76)/(1-New!DQ76))) / (New!BX76*1000*New!$LQ$3*(1-D76-1+New!DQ76)*New!D76^(2/3)))</f>
        <v>9.7358060719406489E-2</v>
      </c>
      <c r="N76" s="4">
        <f>((New!FK76*New!$LP$3*LN((1-E76)/(1-New!DR76))) / (New!BY76*1000*New!$LQ$3*(1-E76-1+New!DR76)*New!E76^(2/3)))</f>
        <v>9.7239805260366033E-2</v>
      </c>
      <c r="O76" s="4">
        <f>((New!FL76*New!$LP$3*LN((1-F76)/(1-New!DS76))) / (New!BZ76*1000*New!$LQ$3*(1-F76-1+New!DS76)*New!F76^(2/3)))</f>
        <v>9.7091806655793367E-2</v>
      </c>
      <c r="P76" s="4">
        <f>((New!FM76*New!$LP$3*LN((1-G76)/(1-New!DT76))) / (New!CA76*1000*New!$LQ$3*(1-G76-1+New!DT76)*New!G76^(2/3)))</f>
        <v>9.6987358995873685E-2</v>
      </c>
      <c r="Q76" s="4">
        <f>((New!FN76*New!$LP$3*LN((1-H76)/(1-New!DU76))) / (New!CB76*1000*New!$LQ$3*(1-H76-1+New!DU76)*New!H76^(2/3)))</f>
        <v>9.684643017103052E-2</v>
      </c>
      <c r="R76" s="4">
        <f>((New!FO76*New!$LP$3*LN((1-I76)/(1-New!DV76))) / (New!CC76*1000*New!$LQ$3*(1-I76-1+New!DV76)*New!I76^(2/3)))</f>
        <v>9.6757321417369396E-2</v>
      </c>
      <c r="S76" s="4">
        <f>((New!FP76*New!$LP$3*LN((1-J76)/(1-New!DW76))) / (New!CD76*1000*New!$LQ$3*(1-J76-1+New!DW76)*New!J76^(2/3)))</f>
        <v>9.6621865952812136E-2</v>
      </c>
      <c r="T76" s="245">
        <f>(New!FH76*Sheet3!DF76+New!HU76*1000*K76*(New!DO76-B76)+'Cooling water'!CO76*'Cooling water'!B76) / (New!FH76+'Cooling water'!CO76)</f>
        <v>26.862450325473137</v>
      </c>
      <c r="U76" s="4">
        <f>(New!FI76*Sheet3!BZ76+New!HV76*1000*L76*(New!DP76-C76)+Sheet3!CI76*'Cooling water'!CP76) / (New!FI76+'Cooling water'!CP76)</f>
        <v>33.320893045468857</v>
      </c>
      <c r="V76" s="4">
        <f>(New!FJ76*Sheet3!CA76+New!HW76*1000*M76*(New!DQ76-D76)+Sheet3!CJ76*'Cooling water'!CQ76) / (New!FJ76+'Cooling water'!CQ76)</f>
        <v>32.396923238553491</v>
      </c>
      <c r="W76" s="4">
        <f>(New!FK76*Sheet3!CB76+New!HX76*1000*N76*(New!DR76-E76)+Sheet3!CK76*'Cooling water'!CR76) / (New!FK76+'Cooling water'!CR76)</f>
        <v>31.604167575462853</v>
      </c>
      <c r="X76" s="4">
        <f>(New!FL76*Sheet3!CC76+New!HY76*1000*O76*(New!DS76-F76)+Sheet3!CL76*'Cooling water'!CS76) / (New!FL76+'Cooling water'!CS76)</f>
        <v>30.825074544103376</v>
      </c>
      <c r="Y76" s="4">
        <f>(New!FM76*Sheet3!CD76+New!HZ76*1000*P76*(New!DT76-G76)+Sheet3!CM76*'Cooling water'!CT76) / (New!FM76+'Cooling water'!CT76)</f>
        <v>30.150650400044146</v>
      </c>
      <c r="Z76" s="4">
        <f>(New!FN76*Sheet3!CE76+New!IA76*1000*Q76*(New!DU76-H76)+Sheet3!CN76*'Cooling water'!CU76) / (New!FN76+'Cooling water'!CU76)</f>
        <v>29.446682106442793</v>
      </c>
      <c r="AA76" s="4">
        <f>(New!FO76*Sheet3!CF76+New!IB76*1000*R76*(New!DV76-I76)+Sheet3!CO76*'Cooling water'!CV76) / (New!FO76+'Cooling water'!CV76)</f>
        <v>28.776664957626977</v>
      </c>
      <c r="AB76" s="4">
        <f>(New!FP76*Sheet3!CG76+New!IC76*1000*S76*(New!DW76-J76)+Sheet3!CP76*'Cooling water'!CW76) / (New!FP76+'Cooling water'!CW76)</f>
        <v>28.03715300372447</v>
      </c>
      <c r="AC76" s="245">
        <f t="shared" si="4"/>
        <v>30.724742375000002</v>
      </c>
      <c r="AD76" s="311">
        <v>34.372391999999998</v>
      </c>
      <c r="AE76" s="311">
        <v>33.256869000000002</v>
      </c>
      <c r="AF76" s="311">
        <v>32.228299</v>
      </c>
      <c r="AG76" s="311">
        <v>31.237794000000001</v>
      </c>
      <c r="AH76" s="311">
        <v>30.232782</v>
      </c>
      <c r="AI76" s="311">
        <v>29.215049</v>
      </c>
      <c r="AJ76" s="311">
        <v>28.171405</v>
      </c>
      <c r="AK76" s="311">
        <v>27.083348999999998</v>
      </c>
      <c r="AL76" s="243">
        <f>AVERAGE(Sheet3!BR76:BY76)</f>
        <v>21.031898378025257</v>
      </c>
      <c r="AM76" s="252" cm="1">
        <f t="array" ref="AM76:AT76">TRANSPOSE('[83]Keithley Matavimai'!$W$6:$W$13)</f>
        <v>27.762768173703723</v>
      </c>
      <c r="AN76" s="252">
        <v>22.583883403093939</v>
      </c>
      <c r="AO76" s="252">
        <v>24.195115538929642</v>
      </c>
      <c r="AP76" s="252">
        <v>20.037186767218476</v>
      </c>
      <c r="AQ76" s="252">
        <v>20.673507786245704</v>
      </c>
      <c r="AR76" s="252">
        <v>20.522676828478499</v>
      </c>
      <c r="AS76" s="252">
        <v>19.393280498669039</v>
      </c>
      <c r="AT76" s="252">
        <v>13.086768027863036</v>
      </c>
      <c r="AU76" s="183">
        <f t="shared" si="3"/>
        <v>9.6928439969747444</v>
      </c>
      <c r="AX76" s="281"/>
      <c r="AY76" s="281"/>
      <c r="AZ76" s="281"/>
      <c r="BA76" s="281"/>
    </row>
    <row r="77" spans="1:53" ht="16.8" x14ac:dyDescent="0.3">
      <c r="A77" s="282" t="str">
        <f>Sheet3!A77</f>
        <v>2023.02.06-2</v>
      </c>
      <c r="B77" s="248">
        <f>EXP(New!$LP$6-((New!$LQ$6)/(AC77+New!$LP$8)))/New!$LS$2</f>
        <v>4.6105455997782013E-2</v>
      </c>
      <c r="C77" s="312">
        <f>EXP(New!$LP$6-((New!$LQ$6)/(AD77+New!$LP$8)))/New!$LS$2</f>
        <v>5.85751173953864E-2</v>
      </c>
      <c r="D77" s="312">
        <f>EXP(New!$LP$6-((New!$LQ$6)/(AE77+New!$LP$8)))/New!$LS$2</f>
        <v>5.4590083392725405E-2</v>
      </c>
      <c r="E77" s="312">
        <f>EXP(New!$LP$6-((New!$LQ$6)/(AF77+New!$LP$8)))/New!$LS$2</f>
        <v>5.100713264317449E-2</v>
      </c>
      <c r="F77" s="312">
        <f>EXP(New!$LP$6-((New!$LQ$6)/(AG77+New!$LP$8)))/New!$LS$2</f>
        <v>4.7660441397282587E-2</v>
      </c>
      <c r="G77" s="312">
        <f>EXP(New!$LP$6-((New!$LQ$6)/(AH77+New!$LP$8)))/New!$LS$2</f>
        <v>4.4575731714934334E-2</v>
      </c>
      <c r="H77" s="312">
        <f>EXP(New!$LP$6-((New!$LQ$6)/(AI77+New!$LP$8)))/New!$LS$2</f>
        <v>4.1620953087507621E-2</v>
      </c>
      <c r="I77" s="312">
        <f>EXP(New!$LP$6-((New!$LQ$6)/(AJ77+New!$LP$8)))/New!$LS$2</f>
        <v>3.8774816200748206E-2</v>
      </c>
      <c r="J77" s="312">
        <f>EXP(New!$LP$6-((New!$LQ$6)/(AK77+New!$LP$8)))/New!$LS$2</f>
        <v>3.6020855826675309E-2</v>
      </c>
      <c r="K77" s="245">
        <f>((New!FH77*New!$LP$3*LN((1-B77)/(1-New!DO77))) / (New!BV77*1000*New!$LQ$3*(1-B77-1+New!DO77)*New!B77^(2/3)))</f>
        <v>0.10416849760587925</v>
      </c>
      <c r="L77" s="4">
        <f>((New!FI77*New!$LP$3*LN((1-C77)/(1-New!DP77))) / (New!BW77*1000*New!$LQ$3*(1-C77-1+New!DP77)*New!C77^(2/3)))</f>
        <v>0.10488278448467321</v>
      </c>
      <c r="M77" s="4">
        <f>((New!FJ77*New!$LP$3*LN((1-D77)/(1-New!DQ77))) / (New!BX77*1000*New!$LQ$3*(1-D77-1+New!DQ77)*New!D77^(2/3)))</f>
        <v>0.10460807172818848</v>
      </c>
      <c r="N77" s="4">
        <f>((New!FK77*New!$LP$3*LN((1-E77)/(1-New!DR77))) / (New!BY77*1000*New!$LQ$3*(1-E77-1+New!DR77)*New!E77^(2/3)))</f>
        <v>0.10441470353204238</v>
      </c>
      <c r="O77" s="4">
        <f>((New!FL77*New!$LP$3*LN((1-F77)/(1-New!DS77))) / (New!BZ77*1000*New!$LQ$3*(1-F77-1+New!DS77)*New!F77^(2/3)))</f>
        <v>0.10418551595758863</v>
      </c>
      <c r="P77" s="4">
        <f>((New!FM77*New!$LP$3*LN((1-G77)/(1-New!DT77))) / (New!CA77*1000*New!$LQ$3*(1-G77-1+New!DT77)*New!G77^(2/3)))</f>
        <v>0.10402682171803254</v>
      </c>
      <c r="Q77" s="4">
        <f>((New!FN77*New!$LP$3*LN((1-H77)/(1-New!DU77))) / (New!CB77*1000*New!$LQ$3*(1-H77-1+New!DU77)*New!H77^(2/3)))</f>
        <v>0.10382811322398447</v>
      </c>
      <c r="R77" s="4">
        <f>((New!FO77*New!$LP$3*LN((1-I77)/(1-New!DV77))) / (New!CC77*1000*New!$LQ$3*(1-I77-1+New!DV77)*New!I77^(2/3)))</f>
        <v>0.10369433470452982</v>
      </c>
      <c r="S77" s="4">
        <f>((New!FP77*New!$LP$3*LN((1-J77)/(1-New!DW77))) / (New!CD77*1000*New!$LQ$3*(1-J77-1+New!DW77)*New!J77^(2/3)))</f>
        <v>0.10350779454137278</v>
      </c>
      <c r="T77" s="245">
        <f>(New!FH77*Sheet3!DF77+New!HU77*1000*K77*(New!DO77-B77)+'Cooling water'!CO77*'Cooling water'!B77) / (New!FH77+'Cooling water'!CO77)</f>
        <v>27.834454251746489</v>
      </c>
      <c r="U77" s="4">
        <f>(New!FI77*Sheet3!BZ77+New!HV77*1000*L77*(New!DP77-C77)+Sheet3!CI77*'Cooling water'!CP77) / (New!FI77+'Cooling water'!CP77)</f>
        <v>35.409777943910399</v>
      </c>
      <c r="V77" s="4">
        <f>(New!FJ77*Sheet3!CA77+New!HW77*1000*M77*(New!DQ77-D77)+Sheet3!CJ77*'Cooling water'!CQ77) / (New!FJ77+'Cooling water'!CQ77)</f>
        <v>34.250875458109157</v>
      </c>
      <c r="W77" s="4">
        <f>(New!FK77*Sheet3!CB77+New!HX77*1000*N77*(New!DR77-E77)+Sheet3!CK77*'Cooling water'!CR77) / (New!FK77+'Cooling water'!CR77)</f>
        <v>33.214903863584802</v>
      </c>
      <c r="X77" s="4">
        <f>(New!FL77*Sheet3!CC77+New!HY77*1000*O77*(New!DS77-F77)+Sheet3!CL77*'Cooling water'!CS77) / (New!FL77+'Cooling water'!CS77)</f>
        <v>32.190846133253103</v>
      </c>
      <c r="Y77" s="4">
        <f>(New!FM77*Sheet3!CD77+New!HZ77*1000*P77*(New!DT77-G77)+Sheet3!CM77*'Cooling water'!CT77) / (New!FM77+'Cooling water'!CT77)</f>
        <v>31.290992714771598</v>
      </c>
      <c r="Z77" s="4">
        <f>(New!FN77*Sheet3!CE77+New!IA77*1000*Q77*(New!DU77-H77)+Sheet3!CN77*'Cooling water'!CU77) / (New!FN77+'Cooling water'!CU77)</f>
        <v>30.352660811598479</v>
      </c>
      <c r="AA77" s="4">
        <f>(New!FO77*Sheet3!CF77+New!IB77*1000*R77*(New!DV77-I77)+Sheet3!CO77*'Cooling water'!CV77) / (New!FO77+'Cooling water'!CV77)</f>
        <v>29.442891093709417</v>
      </c>
      <c r="AB77" s="4">
        <f>(New!FP77*Sheet3!CG77+New!IC77*1000*S77*(New!DW77-J77)+Sheet3!CP77*'Cooling water'!CW77) / (New!FP77+'Cooling water'!CW77)</f>
        <v>28.473325797952889</v>
      </c>
      <c r="AC77" s="245">
        <f t="shared" si="4"/>
        <v>31.786094000000002</v>
      </c>
      <c r="AD77" s="311">
        <v>36.053189000000003</v>
      </c>
      <c r="AE77" s="311">
        <v>34.782649999999997</v>
      </c>
      <c r="AF77" s="311">
        <v>33.570056999999998</v>
      </c>
      <c r="AG77" s="311">
        <v>32.369078999999999</v>
      </c>
      <c r="AH77" s="311">
        <v>31.195758000000001</v>
      </c>
      <c r="AI77" s="311">
        <v>30.004082</v>
      </c>
      <c r="AJ77" s="311">
        <v>28.784887000000001</v>
      </c>
      <c r="AK77" s="311">
        <v>27.529050000000002</v>
      </c>
      <c r="AL77" s="243">
        <f>AVERAGE(Sheet3!BR77:BY77)</f>
        <v>23.469565501906551</v>
      </c>
      <c r="AM77" s="183" cm="1">
        <f t="array" ref="AM77:AT77">TRANSPOSE('[84]Keithley Matavimai'!$W$6:$W$13)</f>
        <v>31.094825457541152</v>
      </c>
      <c r="AN77" s="183">
        <v>25.469379084934406</v>
      </c>
      <c r="AO77" s="183">
        <v>27.187864893644463</v>
      </c>
      <c r="AP77" s="183">
        <v>22.752795911006402</v>
      </c>
      <c r="AQ77" s="183">
        <v>22.95282933019514</v>
      </c>
      <c r="AR77" s="183">
        <v>22.58789771036081</v>
      </c>
      <c r="AS77" s="183">
        <v>21.281411660956454</v>
      </c>
      <c r="AT77" s="183">
        <v>14.429519966613578</v>
      </c>
      <c r="AU77" s="183">
        <f t="shared" si="3"/>
        <v>8.3165284980934508</v>
      </c>
      <c r="AX77" s="281"/>
      <c r="AY77" s="281"/>
      <c r="AZ77" s="281"/>
      <c r="BA77" s="281"/>
    </row>
    <row r="78" spans="1:53" ht="16.8" x14ac:dyDescent="0.3">
      <c r="A78" s="282" t="str">
        <f>Sheet3!A78</f>
        <v>2023.02.08</v>
      </c>
      <c r="B78" s="248">
        <f>EXP(New!$LP$6-((New!$LQ$6)/(AC78+New!$LP$8)))/New!$LS$2</f>
        <v>7.9142912000015608E-2</v>
      </c>
      <c r="C78" s="312">
        <f>EXP(New!$LP$6-((New!$LQ$6)/(AD78+New!$LP$8)))/New!$LS$2</f>
        <v>0.11140192885028818</v>
      </c>
      <c r="D78" s="312">
        <f>EXP(New!$LP$6-((New!$LQ$6)/(AE78+New!$LP$8)))/New!$LS$2</f>
        <v>0.10142121037306928</v>
      </c>
      <c r="E78" s="312">
        <f>EXP(New!$LP$6-((New!$LQ$6)/(AF78+New!$LP$8)))/New!$LS$2</f>
        <v>9.2328441187698007E-2</v>
      </c>
      <c r="F78" s="312">
        <f>EXP(New!$LP$6-((New!$LQ$6)/(AG78+New!$LP$8)))/New!$LS$2</f>
        <v>8.3997833365089106E-2</v>
      </c>
      <c r="G78" s="312">
        <f>EXP(New!$LP$6-((New!$LQ$6)/(AH78+New!$LP$8)))/New!$LS$2</f>
        <v>7.6186687266212208E-2</v>
      </c>
      <c r="H78" s="312">
        <f>EXP(New!$LP$6-((New!$LQ$6)/(AI78+New!$LP$8)))/New!$LS$2</f>
        <v>6.8514449754329992E-2</v>
      </c>
      <c r="I78" s="312">
        <f>EXP(New!$LP$6-((New!$LQ$6)/(AJ78+New!$LP$8)))/New!$LS$2</f>
        <v>6.096545380986311E-2</v>
      </c>
      <c r="J78" s="312">
        <f>EXP(New!$LP$6-((New!$LQ$6)/(AK78+New!$LP$8)))/New!$LS$2</f>
        <v>5.348043272025331E-2</v>
      </c>
      <c r="K78" s="245">
        <f>((New!FH78*New!$LP$3*LN((1-B78)/(1-New!DO78))) / (New!BV78*1000*New!$LQ$3*(1-B78-1+New!DO78)*New!B78^(2/3)))</f>
        <v>4.6180778569876534E-2</v>
      </c>
      <c r="L78" s="4">
        <f>((New!FI78*New!$LP$3*LN((1-C78)/(1-New!DP78))) / (New!BW78*1000*New!$LQ$3*(1-C78-1+New!DP78)*New!C78^(2/3)))</f>
        <v>4.6995677636390475E-2</v>
      </c>
      <c r="M78" s="4">
        <f>((New!FJ78*New!$LP$3*LN((1-D78)/(1-New!DQ78))) / (New!BX78*1000*New!$LQ$3*(1-D78-1+New!DQ78)*New!D78^(2/3)))</f>
        <v>4.6739885032277176E-2</v>
      </c>
      <c r="N78" s="4">
        <f>((New!FK78*New!$LP$3*LN((1-E78)/(1-New!DR78))) / (New!BY78*1000*New!$LQ$3*(1-E78-1+New!DR78)*New!E78^(2/3)))</f>
        <v>4.6515683899060835E-2</v>
      </c>
      <c r="O78" s="4">
        <f>((New!FL78*New!$LP$3*LN((1-F78)/(1-New!DS78))) / (New!BZ78*1000*New!$LQ$3*(1-F78-1+New!DS78)*New!F78^(2/3)))</f>
        <v>4.6292587156819658E-2</v>
      </c>
      <c r="P78" s="4">
        <f>((New!FM78*New!$LP$3*LN((1-G78)/(1-New!DT78))) / (New!CA78*1000*New!$LQ$3*(1-G78-1+New!DT78)*New!G78^(2/3)))</f>
        <v>4.6101970176340337E-2</v>
      </c>
      <c r="Q78" s="4">
        <f>((New!FN78*New!$LP$3*LN((1-H78)/(1-New!DU78))) / (New!CB78*1000*New!$LQ$3*(1-H78-1+New!DU78)*New!H78^(2/3)))</f>
        <v>4.5891062184821585E-2</v>
      </c>
      <c r="R78" s="4">
        <f>((New!FO78*New!$LP$3*LN((1-I78)/(1-New!DV78))) / (New!CC78*1000*New!$LQ$3*(1-I78-1+New!DV78)*New!I78^(2/3)))</f>
        <v>4.5720322271228991E-2</v>
      </c>
      <c r="S78" s="4">
        <f>((New!FP78*New!$LP$3*LN((1-J78)/(1-New!DW78))) / (New!CD78*1000*New!$LQ$3*(1-J78-1+New!DW78)*New!J78^(2/3)))</f>
        <v>4.5518662352233542E-2</v>
      </c>
      <c r="T78" s="245">
        <f>(New!FH78*Sheet3!DF78+New!HU78*1000*K78*(New!DO78-B78)+'Cooling water'!CO78*'Cooling water'!B78) / (New!FH78+'Cooling water'!CO78)</f>
        <v>32.578836859438113</v>
      </c>
      <c r="U78" s="4">
        <f>(New!FI78*Sheet3!BZ78+New!HV78*1000*L78*(New!DP78-C78)+Sheet3!CI78*'Cooling water'!CP78) / (New!FI78+'Cooling water'!CP78)</f>
        <v>49.928063033368993</v>
      </c>
      <c r="V78" s="4">
        <f>(New!FJ78*Sheet3!CA78+New!HW78*1000*M78*(New!DQ78-D78)+Sheet3!CJ78*'Cooling water'!CQ78) / (New!FJ78+'Cooling water'!CQ78)</f>
        <v>48.182694552384312</v>
      </c>
      <c r="W78" s="4">
        <f>(New!FK78*Sheet3!CB78+New!HX78*1000*N78*(New!DR78-E78)+Sheet3!CK78*'Cooling water'!CR78) / (New!FK78+'Cooling water'!CR78)</f>
        <v>46.635577789342371</v>
      </c>
      <c r="X78" s="4">
        <f>(New!FL78*Sheet3!CC78+New!HY78*1000*O78*(New!DS78-F78)+Sheet3!CL78*'Cooling water'!CS78) / (New!FL78+'Cooling water'!CS78)</f>
        <v>44.936276334092824</v>
      </c>
      <c r="Y78" s="4">
        <f>(New!FM78*Sheet3!CD78+New!HZ78*1000*P78*(New!DT78-G78)+Sheet3!CM78*'Cooling water'!CT78) / (New!FM78+'Cooling water'!CT78)</f>
        <v>43.615968629000356</v>
      </c>
      <c r="Z78" s="4">
        <f>(New!FN78*Sheet3!CE78+New!IA78*1000*Q78*(New!DU78-H78)+Sheet3!CN78*'Cooling water'!CU78) / (New!FN78+'Cooling water'!CU78)</f>
        <v>41.985762847409141</v>
      </c>
      <c r="AA78" s="4">
        <f>(New!FO78*Sheet3!CF78+New!IB78*1000*R78*(New!DV78-I78)+Sheet3!CO78*'Cooling water'!CV78) / (New!FO78+'Cooling water'!CV78)</f>
        <v>40.457657092032726</v>
      </c>
      <c r="AB78" s="4">
        <f>(New!FP78*Sheet3!CG78+New!IC78*1000*S78*(New!DW78-J78)+Sheet3!CP78*'Cooling water'!CW78) / (New!FP78+'Cooling water'!CW78)</f>
        <v>38.580920043334622</v>
      </c>
      <c r="AC78" s="245">
        <f t="shared" si="4"/>
        <v>41.622163749999999</v>
      </c>
      <c r="AD78" s="311">
        <v>48.242702000000001</v>
      </c>
      <c r="AE78" s="311">
        <v>46.392740000000003</v>
      </c>
      <c r="AF78" s="311">
        <v>44.566231999999999</v>
      </c>
      <c r="AG78" s="311">
        <v>42.751995000000001</v>
      </c>
      <c r="AH78" s="311">
        <v>40.904684000000003</v>
      </c>
      <c r="AI78" s="311">
        <v>38.924356000000003</v>
      </c>
      <c r="AJ78" s="311">
        <v>36.779964</v>
      </c>
      <c r="AK78" s="311">
        <v>34.414636999999999</v>
      </c>
      <c r="AL78" s="243">
        <f>AVERAGE(Sheet3!BR78:BY78)</f>
        <v>32.326752716501574</v>
      </c>
      <c r="AM78" s="183" cm="1">
        <f t="array" ref="AM78:AT78">TRANSPOSE('[85]Keithley Matavimai'!$W$6:$W$13)</f>
        <v>43.687890795193404</v>
      </c>
      <c r="AN78" s="183">
        <v>32.909754380426406</v>
      </c>
      <c r="AO78" s="183">
        <v>36.350712356409502</v>
      </c>
      <c r="AP78" s="183">
        <v>30.196963279519014</v>
      </c>
      <c r="AQ78" s="183">
        <v>31.078076298315256</v>
      </c>
      <c r="AR78" s="183">
        <v>29.70422391208179</v>
      </c>
      <c r="AS78" s="183">
        <v>29.518920726202765</v>
      </c>
      <c r="AT78" s="183">
        <v>25.167479983864418</v>
      </c>
      <c r="AU78" s="183">
        <f t="shared" si="3"/>
        <v>9.295411033498425</v>
      </c>
      <c r="AX78" s="281"/>
      <c r="AY78" s="281"/>
      <c r="AZ78" s="281"/>
      <c r="BA78" s="281"/>
    </row>
    <row r="79" spans="1:53" ht="16.8" x14ac:dyDescent="0.3">
      <c r="A79" s="282" t="str">
        <f>Sheet3!A79</f>
        <v>2023.02.09-1</v>
      </c>
      <c r="B79" s="248">
        <f>EXP(New!$LP$6-((New!$LQ$6)/(AC79+New!$LP$8)))/New!$LS$2</f>
        <v>9.1675971372567847E-2</v>
      </c>
      <c r="C79" s="312">
        <f>EXP(New!$LP$6-((New!$LQ$6)/(AD79+New!$LP$8)))/New!$LS$2</f>
        <v>0.13349701335886505</v>
      </c>
      <c r="D79" s="312">
        <f>EXP(New!$LP$6-((New!$LQ$6)/(AE79+New!$LP$8)))/New!$LS$2</f>
        <v>0.11982018618422741</v>
      </c>
      <c r="E79" s="312">
        <f>EXP(New!$LP$6-((New!$LQ$6)/(AF79+New!$LP$8)))/New!$LS$2</f>
        <v>0.10780256378767211</v>
      </c>
      <c r="F79" s="312">
        <f>EXP(New!$LP$6-((New!$LQ$6)/(AG79+New!$LP$8)))/New!$LS$2</f>
        <v>9.7212289422140274E-2</v>
      </c>
      <c r="G79" s="312">
        <f>EXP(New!$LP$6-((New!$LQ$6)/(AH79+New!$LP$8)))/New!$LS$2</f>
        <v>8.7583692294206414E-2</v>
      </c>
      <c r="H79" s="312">
        <f>EXP(New!$LP$6-((New!$LQ$6)/(AI79+New!$LP$8)))/New!$LS$2</f>
        <v>7.8404908215973901E-2</v>
      </c>
      <c r="I79" s="312">
        <f>EXP(New!$LP$6-((New!$LQ$6)/(AJ79+New!$LP$8)))/New!$LS$2</f>
        <v>6.9327020027694614E-2</v>
      </c>
      <c r="J79" s="312">
        <f>EXP(New!$LP$6-((New!$LQ$6)/(AK79+New!$LP$8)))/New!$LS$2</f>
        <v>6.0236472523743027E-2</v>
      </c>
      <c r="K79" s="245">
        <f>((New!FH79*New!$LP$3*LN((1-B79)/(1-New!DO79))) / (New!BV79*1000*New!$LQ$3*(1-B79-1+New!DO79)*New!B79^(2/3)))</f>
        <v>4.8684520615823089E-2</v>
      </c>
      <c r="L79" s="4">
        <f>((New!FI79*New!$LP$3*LN((1-C79)/(1-New!DP79))) / (New!BW79*1000*New!$LQ$3*(1-C79-1+New!DP79)*New!C79^(2/3)))</f>
        <v>4.9850673410375759E-2</v>
      </c>
      <c r="M79" s="4">
        <f>((New!FJ79*New!$LP$3*LN((1-D79)/(1-New!DQ79))) / (New!BX79*1000*New!$LQ$3*(1-D79-1+New!DQ79)*New!D79^(2/3)))</f>
        <v>4.9425645337496757E-2</v>
      </c>
      <c r="N79" s="4">
        <f>((New!FK79*New!$LP$3*LN((1-E79)/(1-New!DR79))) / (New!BY79*1000*New!$LQ$3*(1-E79-1+New!DR79)*New!E79^(2/3)))</f>
        <v>4.9085604610106665E-2</v>
      </c>
      <c r="O79" s="4">
        <f>((New!FL79*New!$LP$3*LN((1-F79)/(1-New!DS79))) / (New!BZ79*1000*New!$LQ$3*(1-F79-1+New!DS79)*New!F79^(2/3)))</f>
        <v>4.8767733257103256E-2</v>
      </c>
      <c r="P79" s="4">
        <f>((New!FM79*New!$LP$3*LN((1-G79)/(1-New!DT79))) / (New!CA79*1000*New!$LQ$3*(1-G79-1+New!DT79)*New!G79^(2/3)))</f>
        <v>4.8510666269199101E-2</v>
      </c>
      <c r="Q79" s="4">
        <f>((New!FN79*New!$LP$3*LN((1-H79)/(1-New!DU79))) / (New!CB79*1000*New!$LQ$3*(1-H79-1+New!DU79)*New!H79^(2/3)))</f>
        <v>4.8242410246041589E-2</v>
      </c>
      <c r="R79" s="4">
        <f>((New!FO79*New!$LP$3*LN((1-I79)/(1-New!DV79))) / (New!CC79*1000*New!$LQ$3*(1-I79-1+New!DV79)*New!I79^(2/3)))</f>
        <v>4.8012223519492428E-2</v>
      </c>
      <c r="S79" s="4">
        <f>((New!FP79*New!$LP$3*LN((1-J79)/(1-New!DW79))) / (New!CD79*1000*New!$LQ$3*(1-J79-1+New!DW79)*New!J79^(2/3)))</f>
        <v>4.7757765052997538E-2</v>
      </c>
      <c r="T79" s="245">
        <f>(New!FH79*Sheet3!DF79+New!HU79*1000*K79*(New!DO79-B79)+'Cooling water'!CO79*'Cooling water'!B79) / (New!FH79+'Cooling water'!CO79)</f>
        <v>36.946191958537831</v>
      </c>
      <c r="U79" s="4">
        <f>(New!FI79*Sheet3!BZ79+New!HV79*1000*L79*(New!DP79-C79)+Sheet3!CI79*'Cooling water'!CP79) / (New!FI79+'Cooling water'!CP79)</f>
        <v>54.628171738001086</v>
      </c>
      <c r="V79" s="4">
        <f>(New!FJ79*Sheet3!CA79+New!HW79*1000*M79*(New!DQ79-D79)+Sheet3!CJ79*'Cooling water'!CQ79) / (New!FJ79+'Cooling water'!CQ79)</f>
        <v>52.100786943073409</v>
      </c>
      <c r="W79" s="4">
        <f>(New!FK79*Sheet3!CB79+New!HX79*1000*N79*(New!DR79-E79)+Sheet3!CK79*'Cooling water'!CR79) / (New!FK79+'Cooling water'!CR79)</f>
        <v>50.123056343079966</v>
      </c>
      <c r="X79" s="4">
        <f>(New!FL79*Sheet3!CC79+New!HY79*1000*O79*(New!DS79-F79)+Sheet3!CL79*'Cooling water'!CS79) / (New!FL79+'Cooling water'!CS79)</f>
        <v>47.969795586757328</v>
      </c>
      <c r="Y79" s="4">
        <f>(New!FM79*Sheet3!CD79+New!HZ79*1000*P79*(New!DT79-G79)+Sheet3!CM79*'Cooling water'!CT79) / (New!FM79+'Cooling water'!CT79)</f>
        <v>46.342836890701726</v>
      </c>
      <c r="Z79" s="4">
        <f>(New!FN79*Sheet3!CE79+New!IA79*1000*Q79*(New!DU79-H79)+Sheet3!CN79*'Cooling water'!CU79) / (New!FN79+'Cooling water'!CU79)</f>
        <v>44.418279348426914</v>
      </c>
      <c r="AA79" s="4">
        <f>(New!FO79*Sheet3!CF79+New!IB79*1000*R79*(New!DV79-I79)+Sheet3!CO79*'Cooling water'!CV79) / (New!FO79+'Cooling water'!CV79)</f>
        <v>42.694126973160607</v>
      </c>
      <c r="AB79" s="4">
        <f>(New!FP79*Sheet3!CG79+New!IC79*1000*S79*(New!DW79-J79)+Sheet3!CP79*'Cooling water'!CW79) / (New!FP79+'Cooling water'!CW79)</f>
        <v>40.482303692330966</v>
      </c>
      <c r="AC79" s="245">
        <f t="shared" si="4"/>
        <v>44.429319375000006</v>
      </c>
      <c r="AD79" s="311">
        <v>51.880546000000002</v>
      </c>
      <c r="AE79" s="311">
        <v>49.695864</v>
      </c>
      <c r="AF79" s="311">
        <v>47.592537999999998</v>
      </c>
      <c r="AG79" s="311">
        <v>45.565503999999997</v>
      </c>
      <c r="AH79" s="311">
        <v>43.551031000000002</v>
      </c>
      <c r="AI79" s="311">
        <v>41.445233999999999</v>
      </c>
      <c r="AJ79" s="311">
        <v>39.142876999999999</v>
      </c>
      <c r="AK79" s="311">
        <v>36.560960999999999</v>
      </c>
      <c r="AL79" s="243">
        <f>AVERAGE(Sheet3!BR79:BY79)</f>
        <v>34.948822672192271</v>
      </c>
      <c r="AM79" s="183" cm="1">
        <f t="array" ref="AM79:AT79">TRANSPOSE('[86]Keithley Matavimai'!$W$6:$W$13)</f>
        <v>46.565373522008294</v>
      </c>
      <c r="AN79" s="183">
        <v>34.705423698425427</v>
      </c>
      <c r="AO79" s="183">
        <v>38.98054068001975</v>
      </c>
      <c r="AP79" s="183">
        <v>34.601126205619487</v>
      </c>
      <c r="AQ79" s="183">
        <v>34.313709817848455</v>
      </c>
      <c r="AR79" s="183">
        <v>32.148418649408946</v>
      </c>
      <c r="AS79" s="183">
        <v>31.002851269242012</v>
      </c>
      <c r="AT79" s="183">
        <v>27.273137534965805</v>
      </c>
      <c r="AU79" s="183">
        <f t="shared" si="3"/>
        <v>9.4804967028077343</v>
      </c>
      <c r="AX79" s="281"/>
      <c r="AY79" s="281"/>
      <c r="AZ79" s="281"/>
      <c r="BA79" s="281"/>
    </row>
    <row r="80" spans="1:53" ht="16.8" x14ac:dyDescent="0.3">
      <c r="A80" s="282" t="str">
        <f>Sheet3!A80</f>
        <v>2023.02.09-2</v>
      </c>
      <c r="B80" s="248">
        <f>EXP(New!$LP$6-((New!$LQ$6)/(AC80+New!$LP$8)))/New!$LS$2</f>
        <v>0.11571120698080391</v>
      </c>
      <c r="C80" s="312">
        <f>EXP(New!$LP$6-((New!$LQ$6)/(AD80+New!$LP$8)))/New!$LS$2</f>
        <v>0.17227683466763322</v>
      </c>
      <c r="D80" s="312">
        <f>EXP(New!$LP$6-((New!$LQ$6)/(AE80+New!$LP$8)))/New!$LS$2</f>
        <v>0.15380278602982972</v>
      </c>
      <c r="E80" s="312">
        <f>EXP(New!$LP$6-((New!$LQ$6)/(AF80+New!$LP$8)))/New!$LS$2</f>
        <v>0.13718228214067896</v>
      </c>
      <c r="F80" s="312">
        <f>EXP(New!$LP$6-((New!$LQ$6)/(AG80+New!$LP$8)))/New!$LS$2</f>
        <v>0.12306548720705295</v>
      </c>
      <c r="G80" s="312">
        <f>EXP(New!$LP$6-((New!$LQ$6)/(AH80+New!$LP$8)))/New!$LS$2</f>
        <v>0.110364231827125</v>
      </c>
      <c r="H80" s="312">
        <f>EXP(New!$LP$6-((New!$LQ$6)/(AI80+New!$LP$8)))/New!$LS$2</f>
        <v>9.7801802006052985E-2</v>
      </c>
      <c r="I80" s="312">
        <f>EXP(New!$LP$6-((New!$LQ$6)/(AJ80+New!$LP$8)))/New!$LS$2</f>
        <v>8.5831758716313433E-2</v>
      </c>
      <c r="J80" s="312">
        <f>EXP(New!$LP$6-((New!$LQ$6)/(AK80+New!$LP$8)))/New!$LS$2</f>
        <v>7.4319364495154722E-2</v>
      </c>
      <c r="K80" s="245">
        <f>((New!FH80*New!$LP$3*LN((1-B80)/(1-New!DO80))) / (New!BV80*1000*New!$LQ$3*(1-B80-1+New!DO80)*New!B80^(2/3)))</f>
        <v>5.2384183465051269E-2</v>
      </c>
      <c r="L80" s="4">
        <f>((New!FI80*New!$LP$3*LN((1-C80)/(1-New!DP80))) / (New!BW80*1000*New!$LQ$3*(1-C80-1+New!DP80)*New!C80^(2/3)))</f>
        <v>5.413002625781925E-2</v>
      </c>
      <c r="M80" s="4">
        <f>((New!FJ80*New!$LP$3*LN((1-D80)/(1-New!DQ80))) / (New!BX80*1000*New!$LQ$3*(1-D80-1+New!DQ80)*New!D80^(2/3)))</f>
        <v>5.3447080387929287E-2</v>
      </c>
      <c r="N80" s="4">
        <f>((New!FK80*New!$LP$3*LN((1-E80)/(1-New!DR80))) / (New!BY80*1000*New!$LQ$3*(1-E80-1+New!DR80)*New!E80^(2/3)))</f>
        <v>5.2884647316213548E-2</v>
      </c>
      <c r="O80" s="4">
        <f>((New!FL80*New!$LP$3*LN((1-F80)/(1-New!DS80))) / (New!BZ80*1000*New!$LQ$3*(1-F80-1+New!DS80)*New!F80^(2/3)))</f>
        <v>5.2386399319441966E-2</v>
      </c>
      <c r="P80" s="4">
        <f>((New!FM80*New!$LP$3*LN((1-G80)/(1-New!DT80))) / (New!CA80*1000*New!$LQ$3*(1-G80-1+New!DT80)*New!G80^(2/3)))</f>
        <v>5.1994131147289756E-2</v>
      </c>
      <c r="Q80" s="4">
        <f>((New!FN80*New!$LP$3*LN((1-H80)/(1-New!DU80))) / (New!CB80*1000*New!$LQ$3*(1-H80-1+New!DU80)*New!H80^(2/3)))</f>
        <v>5.1575605002714402E-2</v>
      </c>
      <c r="R80" s="4">
        <f>((New!FO80*New!$LP$3*LN((1-I80)/(1-New!DV80))) / (New!CC80*1000*New!$LQ$3*(1-I80-1+New!DV80)*New!I80^(2/3)))</f>
        <v>5.1220687268192636E-2</v>
      </c>
      <c r="S80" s="4">
        <f>((New!FP80*New!$LP$3*LN((1-J80)/(1-New!DW80))) / (New!CD80*1000*New!$LQ$3*(1-J80-1+New!DW80)*New!J80^(2/3)))</f>
        <v>5.0853302219951241E-2</v>
      </c>
      <c r="T80" s="245">
        <f>(New!FH80*Sheet3!DF80+New!HU80*1000*K80*(New!DO80-B80)+'Cooling water'!CO80*'Cooling water'!B80) / (New!FH80+'Cooling water'!CO80)</f>
        <v>43.006514664245174</v>
      </c>
      <c r="U80" s="4">
        <f>(New!FI80*Sheet3!BZ80+New!HV80*1000*L80*(New!DP80-C80)+Sheet3!CI80*'Cooling water'!CP80) / (New!FI80+'Cooling water'!CP80)</f>
        <v>60.910149839693439</v>
      </c>
      <c r="V80" s="4">
        <f>(New!FJ80*Sheet3!CA80+New!HW80*1000*M80*(New!DQ80-D80)+Sheet3!CJ80*'Cooling water'!CQ80) / (New!FJ80+'Cooling water'!CQ80)</f>
        <v>57.905962945458882</v>
      </c>
      <c r="W80" s="4">
        <f>(New!FK80*Sheet3!CB80+New!HX80*1000*N80*(New!DR80-E80)+Sheet3!CK80*'Cooling water'!CR80) / (New!FK80+'Cooling water'!CR80)</f>
        <v>55.722111595560001</v>
      </c>
      <c r="X80" s="4">
        <f>(New!FL80*Sheet3!CC80+New!HY80*1000*O80*(New!DS80-F80)+Sheet3!CL80*'Cooling water'!CS80) / (New!FL80+'Cooling water'!CS80)</f>
        <v>52.85030880533715</v>
      </c>
      <c r="Y80" s="4">
        <f>(New!FM80*Sheet3!CD80+New!HZ80*1000*P80*(New!DT80-G80)+Sheet3!CM80*'Cooling water'!CT80) / (New!FM80+'Cooling water'!CT80)</f>
        <v>51.21426362490346</v>
      </c>
      <c r="Z80" s="4">
        <f>(New!FN80*Sheet3!CE80+New!IA80*1000*Q80*(New!DU80-H80)+Sheet3!CN80*'Cooling water'!CU80) / (New!FN80+'Cooling water'!CU80)</f>
        <v>48.828758474549623</v>
      </c>
      <c r="AA80" s="4">
        <f>(New!FO80*Sheet3!CF80+New!IB80*1000*R80*(New!DV80-I80)+Sheet3!CO80*'Cooling water'!CV80) / (New!FO80+'Cooling water'!CV80)</f>
        <v>46.820650333005645</v>
      </c>
      <c r="AB80" s="4">
        <f>(New!FP80*Sheet3!CG80+New!IC80*1000*S80*(New!DW80-J80)+Sheet3!CP80*'Cooling water'!CW80) / (New!FP80+'Cooling water'!CW80)</f>
        <v>44.185924649976748</v>
      </c>
      <c r="AC80" s="245">
        <f t="shared" si="4"/>
        <v>48.997870874999997</v>
      </c>
      <c r="AD80" s="311">
        <v>57.174804999999999</v>
      </c>
      <c r="AE80" s="311">
        <v>54.795310999999998</v>
      </c>
      <c r="AF80" s="311">
        <v>52.436419999999998</v>
      </c>
      <c r="AG80" s="311">
        <v>50.232827</v>
      </c>
      <c r="AH80" s="311">
        <v>48.057125999999997</v>
      </c>
      <c r="AI80" s="311">
        <v>45.683194999999998</v>
      </c>
      <c r="AJ80" s="311">
        <v>43.164228000000001</v>
      </c>
      <c r="AK80" s="311">
        <v>40.439055000000003</v>
      </c>
      <c r="AL80" s="243">
        <f>AVERAGE(Sheet3!BR80:BY80)</f>
        <v>39.836626759077163</v>
      </c>
      <c r="AM80" s="183" cm="1">
        <f t="array" ref="AM80:AT80">TRANSPOSE('[87]Keithley Matavimai'!$W$6:$W$13)</f>
        <v>51.563064900589602</v>
      </c>
      <c r="AN80" s="183">
        <v>39.056543850103765</v>
      </c>
      <c r="AO80" s="183">
        <v>44.355938450401418</v>
      </c>
      <c r="AP80" s="183">
        <v>39.777382131836042</v>
      </c>
      <c r="AQ80" s="183">
        <v>39.79292111768536</v>
      </c>
      <c r="AR80" s="183">
        <v>37.789742457308911</v>
      </c>
      <c r="AS80" s="183">
        <v>35.595772402537101</v>
      </c>
      <c r="AT80" s="183">
        <v>30.761648762155126</v>
      </c>
      <c r="AU80" s="183">
        <f t="shared" si="3"/>
        <v>9.1612441159228339</v>
      </c>
      <c r="AX80" s="281"/>
      <c r="AY80" s="281"/>
      <c r="AZ80" s="281"/>
      <c r="BA80" s="281"/>
    </row>
    <row r="81" spans="1:53" ht="16.8" x14ac:dyDescent="0.3">
      <c r="A81" s="282" t="str">
        <f>Sheet3!A81</f>
        <v>2023.02.10</v>
      </c>
      <c r="B81" s="248">
        <f>EXP(New!$LP$6-((New!$LQ$6)/(AC81+New!$LP$8)))/New!$LS$2</f>
        <v>7.5467766909243256E-2</v>
      </c>
      <c r="C81" s="312">
        <f>EXP(New!$LP$6-((New!$LQ$6)/(AD81+New!$LP$8)))/New!$LS$2</f>
        <v>9.9986387446807309E-2</v>
      </c>
      <c r="D81" s="312">
        <f>EXP(New!$LP$6-((New!$LQ$6)/(AE81+New!$LP$8)))/New!$LS$2</f>
        <v>9.2817673005533619E-2</v>
      </c>
      <c r="E81" s="312">
        <f>EXP(New!$LP$6-((New!$LQ$6)/(AF81+New!$LP$8)))/New!$LS$2</f>
        <v>8.6029306720583981E-2</v>
      </c>
      <c r="F81" s="312">
        <f>EXP(New!$LP$6-((New!$LQ$6)/(AG81+New!$LP$8)))/New!$LS$2</f>
        <v>7.9619934475399695E-2</v>
      </c>
      <c r="G81" s="312">
        <f>EXP(New!$LP$6-((New!$LQ$6)/(AH81+New!$LP$8)))/New!$LS$2</f>
        <v>7.340602860187985E-2</v>
      </c>
      <c r="H81" s="312">
        <f>EXP(New!$LP$6-((New!$LQ$6)/(AI81+New!$LP$8)))/New!$LS$2</f>
        <v>6.7050373355290155E-2</v>
      </c>
      <c r="I81" s="312">
        <f>EXP(New!$LP$6-((New!$LQ$6)/(AJ81+New!$LP$8)))/New!$LS$2</f>
        <v>6.0650983474296413E-2</v>
      </c>
      <c r="J81" s="312">
        <f>EXP(New!$LP$6-((New!$LQ$6)/(AK81+New!$LP$8)))/New!$LS$2</f>
        <v>5.4242223602773636E-2</v>
      </c>
      <c r="K81" s="245">
        <f>((New!FH81*New!$LP$3*LN((1-B81)/(1-New!DO81))) / (New!BV81*1000*New!$LQ$3*(1-B81-1+New!DO81)*New!B81^(2/3)))</f>
        <v>6.1170171169292964E-2</v>
      </c>
      <c r="L81" s="4">
        <f>((New!FI81*New!$LP$3*LN((1-C81)/(1-New!DP81))) / (New!BW81*1000*New!$LQ$3*(1-C81-1+New!DP81)*New!C81^(2/3)))</f>
        <v>6.2008236916325905E-2</v>
      </c>
      <c r="M81" s="4">
        <f>((New!FJ81*New!$LP$3*LN((1-D81)/(1-New!DQ81))) / (New!BX81*1000*New!$LQ$3*(1-D81-1+New!DQ81)*New!D81^(2/3)))</f>
        <v>6.1748890254675566E-2</v>
      </c>
      <c r="N81" s="4">
        <f>((New!FK81*New!$LP$3*LN((1-E81)/(1-New!DR81))) / (New!BY81*1000*New!$LQ$3*(1-E81-1+New!DR81)*New!E81^(2/3)))</f>
        <v>6.1534530244950231E-2</v>
      </c>
      <c r="O81" s="4">
        <f>((New!FL81*New!$LP$3*LN((1-F81)/(1-New!DS81))) / (New!BZ81*1000*New!$LQ$3*(1-F81-1+New!DS81)*New!F81^(2/3)))</f>
        <v>6.130431916589088E-2</v>
      </c>
      <c r="P81" s="4">
        <f>((New!FM81*New!$LP$3*LN((1-G81)/(1-New!DT81))) / (New!CA81*1000*New!$LQ$3*(1-G81-1+New!DT81)*New!G81^(2/3)))</f>
        <v>6.1104791254254651E-2</v>
      </c>
      <c r="Q81" s="4">
        <f>((New!FN81*New!$LP$3*LN((1-H81)/(1-New!DU81))) / (New!CB81*1000*New!$LQ$3*(1-H81-1+New!DU81)*New!H81^(2/3)))</f>
        <v>6.0878136948456445E-2</v>
      </c>
      <c r="R81" s="4">
        <f>((New!FO81*New!$LP$3*LN((1-I81)/(1-New!DV81))) / (New!CC81*1000*New!$LQ$3*(1-I81-1+New!DV81)*New!I81^(2/3)))</f>
        <v>6.0688898121783595E-2</v>
      </c>
      <c r="S81" s="4">
        <f>((New!FP81*New!$LP$3*LN((1-J81)/(1-New!DW81))) / (New!CD81*1000*New!$LQ$3*(1-J81-1+New!DW81)*New!J81^(2/3)))</f>
        <v>6.0463859580535913E-2</v>
      </c>
      <c r="T81" s="245">
        <f>(New!FH81*Sheet3!DF81+New!HU81*1000*K81*(New!DO81-B81)+'Cooling water'!CO81*'Cooling water'!B81) / (New!FH81+'Cooling water'!CO81)</f>
        <v>37.531051365018136</v>
      </c>
      <c r="U81" s="4">
        <f>(New!FI81*Sheet3!BZ81+New!HV81*1000*L81*(New!DP81-C81)+Sheet3!CI81*'Cooling water'!CP81) / (New!FI81+'Cooling water'!CP81)</f>
        <v>49.813643329694386</v>
      </c>
      <c r="V81" s="4">
        <f>(New!FJ81*Sheet3!CA81+New!HW81*1000*M81*(New!DQ81-D81)+Sheet3!CJ81*'Cooling water'!CQ81) / (New!FJ81+'Cooling water'!CQ81)</f>
        <v>48.701211715514759</v>
      </c>
      <c r="W81" s="4">
        <f>(New!FK81*Sheet3!CB81+New!HX81*1000*N81*(New!DR81-E81)+Sheet3!CK81*'Cooling water'!CR81) / (New!FK81+'Cooling water'!CR81)</f>
        <v>47.818101031775967</v>
      </c>
      <c r="X81" s="4">
        <f>(New!FL81*Sheet3!CC81+New!HY81*1000*O81*(New!DS81-F81)+Sheet3!CL81*'Cooling water'!CS81) / (New!FL81+'Cooling water'!CS81)</f>
        <v>46.684451625073912</v>
      </c>
      <c r="Y81" s="4">
        <f>(New!FM81*Sheet3!CD81+New!HZ81*1000*P81*(New!DT81-G81)+Sheet3!CM81*'Cooling water'!CT81) / (New!FM81+'Cooling water'!CT81)</f>
        <v>45.953217704646356</v>
      </c>
      <c r="Z81" s="4">
        <f>(New!FN81*Sheet3!CE81+New!IA81*1000*Q81*(New!DU81-H81)+Sheet3!CN81*'Cooling water'!CU81) / (New!FN81+'Cooling water'!CU81)</f>
        <v>44.861222850704038</v>
      </c>
      <c r="AA81" s="4">
        <f>(New!FO81*Sheet3!CF81+New!IB81*1000*R81*(New!DV81-I81)+Sheet3!CO81*'Cooling water'!CV81) / (New!FO81+'Cooling water'!CV81)</f>
        <v>43.862793124308531</v>
      </c>
      <c r="AB81" s="4">
        <f>(New!FP81*Sheet3!CG81+New!IC81*1000*S81*(New!DW81-J81)+Sheet3!CP81*'Cooling water'!CW81) / (New!FP81+'Cooling water'!CW81)</f>
        <v>42.546662940309481</v>
      </c>
      <c r="AC81" s="245">
        <f t="shared" si="4"/>
        <v>40.726590125000001</v>
      </c>
      <c r="AD81" s="311">
        <v>46.114094999999999</v>
      </c>
      <c r="AE81" s="311">
        <v>44.668348000000002</v>
      </c>
      <c r="AF81" s="311">
        <v>43.208181000000003</v>
      </c>
      <c r="AG81" s="311">
        <v>41.735773000000002</v>
      </c>
      <c r="AH81" s="311">
        <v>40.207636000000001</v>
      </c>
      <c r="AI81" s="311">
        <v>38.524937000000001</v>
      </c>
      <c r="AJ81" s="311">
        <v>36.685768000000003</v>
      </c>
      <c r="AK81" s="311">
        <v>34.667983</v>
      </c>
      <c r="AL81" s="243">
        <f>AVERAGE(Sheet3!BR81:BY81)</f>
        <v>31.761612159443974</v>
      </c>
      <c r="AM81" s="183" cm="1">
        <f t="array" ref="AM81:AT81">TRANSPOSE('[88]Keithley Matavimai'!$W$6:$W$13)</f>
        <v>37.511517919301596</v>
      </c>
      <c r="AN81" s="183">
        <v>38.524291172547585</v>
      </c>
      <c r="AO81" s="183">
        <v>35.186430964319527</v>
      </c>
      <c r="AP81" s="183">
        <v>33.172459661124869</v>
      </c>
      <c r="AQ81" s="183">
        <v>30.903700681769838</v>
      </c>
      <c r="AR81" s="183">
        <v>28.682308993822193</v>
      </c>
      <c r="AS81" s="183">
        <v>26.82162632930552</v>
      </c>
      <c r="AT81" s="183">
        <v>23.290561553360646</v>
      </c>
      <c r="AU81" s="183">
        <f t="shared" si="3"/>
        <v>8.9649779655560273</v>
      </c>
      <c r="AX81" s="281"/>
      <c r="AY81" s="281"/>
      <c r="AZ81" s="281"/>
      <c r="BA81" s="281"/>
    </row>
    <row r="82" spans="1:53" ht="16.8" x14ac:dyDescent="0.3">
      <c r="A82" s="282" t="str">
        <f>Sheet3!A82</f>
        <v>2023.02.13-1</v>
      </c>
      <c r="B82" s="248">
        <f>EXP(New!$LP$6-((New!$LQ$6)/(AC82+New!$LP$8)))/New!$LS$2</f>
        <v>9.2876601154172636E-2</v>
      </c>
      <c r="C82" s="312">
        <f>EXP(New!$LP$6-((New!$LQ$6)/(AD82+New!$LP$8)))/New!$LS$2</f>
        <v>0.12452933247452978</v>
      </c>
      <c r="D82" s="312">
        <f>EXP(New!$LP$6-((New!$LQ$6)/(AE82+New!$LP$8)))/New!$LS$2</f>
        <v>0.11554453132247156</v>
      </c>
      <c r="E82" s="312">
        <f>EXP(New!$LP$6-((New!$LQ$6)/(AF82+New!$LP$8)))/New!$LS$2</f>
        <v>0.1068350085347736</v>
      </c>
      <c r="F82" s="312">
        <f>EXP(New!$LP$6-((New!$LQ$6)/(AG82+New!$LP$8)))/New!$LS$2</f>
        <v>9.8600008555610824E-2</v>
      </c>
      <c r="G82" s="312">
        <f>EXP(New!$LP$6-((New!$LQ$6)/(AH82+New!$LP$8)))/New!$LS$2</f>
        <v>9.0547819576802621E-2</v>
      </c>
      <c r="H82" s="312">
        <f>EXP(New!$LP$6-((New!$LQ$6)/(AI82+New!$LP$8)))/New!$LS$2</f>
        <v>8.2189256384906872E-2</v>
      </c>
      <c r="I82" s="312">
        <f>EXP(New!$LP$6-((New!$LQ$6)/(AJ82+New!$LP$8)))/New!$LS$2</f>
        <v>7.3662704883268842E-2</v>
      </c>
      <c r="J82" s="312">
        <f>EXP(New!$LP$6-((New!$LQ$6)/(AK82+New!$LP$8)))/New!$LS$2</f>
        <v>6.4980351449739737E-2</v>
      </c>
      <c r="K82" s="245">
        <f>((New!FH82*New!$LP$3*LN((1-B82)/(1-New!DO82))) / (New!BV82*1000*New!$LQ$3*(1-B82-1+New!DO82)*New!B82^(2/3)))</f>
        <v>6.7448459739650579E-2</v>
      </c>
      <c r="L82" s="4">
        <f>((New!FI82*New!$LP$3*LN((1-C82)/(1-New!DP82))) / (New!BW82*1000*New!$LQ$3*(1-C82-1+New!DP82)*New!C82^(2/3)))</f>
        <v>6.8661120070630438E-2</v>
      </c>
      <c r="M82" s="4">
        <f>((New!FJ82*New!$LP$3*LN((1-D82)/(1-New!DQ82))) / (New!BX82*1000*New!$LQ$3*(1-D82-1+New!DQ82)*New!D82^(2/3)))</f>
        <v>6.8284358720880525E-2</v>
      </c>
      <c r="N82" s="4">
        <f>((New!FK82*New!$LP$3*LN((1-E82)/(1-New!DR82))) / (New!BY82*1000*New!$LQ$3*(1-E82-1+New!DR82)*New!E82^(2/3)))</f>
        <v>6.7942673362763481E-2</v>
      </c>
      <c r="O82" s="4">
        <f>((New!FL82*New!$LP$3*LN((1-F82)/(1-New!DS82))) / (New!BZ82*1000*New!$LQ$3*(1-F82-1+New!DS82)*New!F82^(2/3)))</f>
        <v>6.7596958669098775E-2</v>
      </c>
      <c r="P82" s="4">
        <f>((New!FM82*New!$LP$3*LN((1-G82)/(1-New!DT82))) / (New!CA82*1000*New!$LQ$3*(1-G82-1+New!DT82)*New!G82^(2/3)))</f>
        <v>6.7295653384551665E-2</v>
      </c>
      <c r="Q82" s="4">
        <f>((New!FN82*New!$LP$3*LN((1-H82)/(1-New!DU82))) / (New!CB82*1000*New!$LQ$3*(1-H82-1+New!DU82)*New!H82^(2/3)))</f>
        <v>6.6959499877018783E-2</v>
      </c>
      <c r="R82" s="4">
        <f>((New!FO82*New!$LP$3*LN((1-I82)/(1-New!DV82))) / (New!CC82*1000*New!$LQ$3*(1-I82-1+New!DV82)*New!I82^(2/3)))</f>
        <v>6.6654437593495056E-2</v>
      </c>
      <c r="S82" s="4">
        <f>((New!FP82*New!$LP$3*LN((1-J82)/(1-New!DW82))) / (New!CD82*1000*New!$LQ$3*(1-J82-1+New!DW82)*New!J82^(2/3)))</f>
        <v>6.6315373263334879E-2</v>
      </c>
      <c r="T82" s="245">
        <f>(New!FH82*Sheet3!DF82+New!HU82*1000*K82*(New!DO82-B82)+'Cooling water'!CO82*'Cooling water'!B82) / (New!FH82+'Cooling water'!CO82)</f>
        <v>44.500513858281082</v>
      </c>
      <c r="U82" s="4">
        <f>(New!FI82*Sheet3!BZ82+New!HV82*1000*L82*(New!DP82-C82)+Sheet3!CI82*'Cooling water'!CP82) / (New!FI82+'Cooling water'!CP82)</f>
        <v>56.43936634594079</v>
      </c>
      <c r="V82" s="4">
        <f>(New!FJ82*Sheet3!CA82+New!HW82*1000*M82*(New!DQ82-D82)+Sheet3!CJ82*'Cooling water'!CQ82) / (New!FJ82+'Cooling water'!CQ82)</f>
        <v>55.103959759544175</v>
      </c>
      <c r="W82" s="4">
        <f>(New!FK82*Sheet3!CB82+New!HX82*1000*N82*(New!DR82-E82)+Sheet3!CK82*'Cooling water'!CR82) / (New!FK82+'Cooling water'!CR82)</f>
        <v>54.18594525813058</v>
      </c>
      <c r="X82" s="4">
        <f>(New!FL82*Sheet3!CC82+New!HY82*1000*O82*(New!DS82-F82)+Sheet3!CL82*'Cooling water'!CS82) / (New!FL82+'Cooling water'!CS82)</f>
        <v>52.760829319028126</v>
      </c>
      <c r="Y82" s="4">
        <f>(New!FM82*Sheet3!CD82+New!HZ82*1000*P82*(New!DT82-G82)+Sheet3!CM82*'Cooling water'!CT82) / (New!FM82+'Cooling water'!CT82)</f>
        <v>52.007729978500365</v>
      </c>
      <c r="Z82" s="4">
        <f>(New!FN82*Sheet3!CE82+New!IA82*1000*Q82*(New!DU82-H82)+Sheet3!CN82*'Cooling water'!CU82) / (New!FN82+'Cooling water'!CU82)</f>
        <v>50.682282071858346</v>
      </c>
      <c r="AA82" s="4">
        <f>(New!FO82*Sheet3!CF82+New!IB82*1000*R82*(New!DV82-I82)+Sheet3!CO82*'Cooling water'!CV82) / (New!FO82+'Cooling water'!CV82)</f>
        <v>49.582079345884978</v>
      </c>
      <c r="AB82" s="4">
        <f>(New!FP82*Sheet3!CG82+New!IC82*1000*S82*(New!DW82-J82)+Sheet3!CP82*'Cooling water'!CW82) / (New!FP82+'Cooling water'!CW82)</f>
        <v>47.985328240458593</v>
      </c>
      <c r="AC82" s="245">
        <f t="shared" si="4"/>
        <v>44.680616749999999</v>
      </c>
      <c r="AD82" s="311">
        <v>50.471082000000003</v>
      </c>
      <c r="AE82" s="311">
        <v>48.969113</v>
      </c>
      <c r="AF82" s="311">
        <v>47.4146</v>
      </c>
      <c r="AG82" s="311">
        <v>45.841585000000002</v>
      </c>
      <c r="AH82" s="311">
        <v>44.190607</v>
      </c>
      <c r="AI82" s="311">
        <v>42.337823</v>
      </c>
      <c r="AJ82" s="311">
        <v>40.272920999999997</v>
      </c>
      <c r="AK82" s="311">
        <v>37.947203000000002</v>
      </c>
      <c r="AL82" s="243">
        <f>AVERAGE(Sheet3!BR82:BY82)</f>
        <v>35.85421054393224</v>
      </c>
      <c r="AM82" s="183" cm="1">
        <f t="array" ref="AM82:AT82">TRANSPOSE('[89]Keithley Matavimai'!$W$6:$W$13)</f>
        <v>43.863621200377878</v>
      </c>
      <c r="AN82" s="183">
        <v>42.653462295797119</v>
      </c>
      <c r="AO82" s="183">
        <v>39.40302206554275</v>
      </c>
      <c r="AP82" s="183">
        <v>36.542560208838886</v>
      </c>
      <c r="AQ82" s="183">
        <v>34.562109416069944</v>
      </c>
      <c r="AR82" s="183">
        <v>32.520543172166391</v>
      </c>
      <c r="AS82" s="183">
        <v>31.511103588536951</v>
      </c>
      <c r="AT82" s="183">
        <v>25.777262404127988</v>
      </c>
      <c r="AU82" s="183">
        <f t="shared" si="3"/>
        <v>8.8264062060677588</v>
      </c>
      <c r="AX82" s="281"/>
      <c r="AY82" s="281"/>
      <c r="AZ82" s="281"/>
      <c r="BA82" s="281"/>
    </row>
    <row r="83" spans="1:53" ht="16.8" x14ac:dyDescent="0.3">
      <c r="A83" s="282" t="str">
        <f>Sheet3!A83</f>
        <v>2023.02.13-2</v>
      </c>
      <c r="B83" s="248">
        <f>EXP(New!$LP$6-((New!$LQ$6)/(AC83+New!$LP$8)))/New!$LS$2</f>
        <v>0.11578341570995246</v>
      </c>
      <c r="C83" s="312">
        <f>EXP(New!$LP$6-((New!$LQ$6)/(AD83+New!$LP$8)))/New!$LS$2</f>
        <v>0.14569973239120598</v>
      </c>
      <c r="D83" s="312">
        <f>EXP(New!$LP$6-((New!$LQ$6)/(AE83+New!$LP$8)))/New!$LS$2</f>
        <v>0.14834683239470658</v>
      </c>
      <c r="E83" s="312">
        <f>EXP(New!$LP$6-((New!$LQ$6)/(AF83+New!$LP$8)))/New!$LS$2</f>
        <v>0.1361925710265558</v>
      </c>
      <c r="F83" s="312">
        <f>EXP(New!$LP$6-((New!$LQ$6)/(AG83+New!$LP$8)))/New!$LS$2</f>
        <v>0.12497686089497813</v>
      </c>
      <c r="G83" s="312">
        <f>EXP(New!$LP$6-((New!$LQ$6)/(AH83+New!$LP$8)))/New!$LS$2</f>
        <v>0.11426578590195946</v>
      </c>
      <c r="H83" s="312">
        <f>EXP(New!$LP$6-((New!$LQ$6)/(AI83+New!$LP$8)))/New!$LS$2</f>
        <v>0.10304586504710017</v>
      </c>
      <c r="I83" s="312">
        <f>EXP(New!$LP$6-((New!$LQ$6)/(AJ83+New!$LP$8)))/New!$LS$2</f>
        <v>9.1447680311936536E-2</v>
      </c>
      <c r="J83" s="312">
        <f>EXP(New!$LP$6-((New!$LQ$6)/(AK83+New!$LP$8)))/New!$LS$2</f>
        <v>7.9461131370822724E-2</v>
      </c>
      <c r="K83" s="245">
        <f>((New!FH83*New!$LP$3*LN((1-B83)/(1-New!DO83))) / (New!BV83*1000*New!$LQ$3*(1-B83-1+New!DO83)*New!B83^(2/3)))</f>
        <v>7.2161481020515769E-2</v>
      </c>
      <c r="L83" s="4">
        <f>((New!FI83*New!$LP$3*LN((1-C83)/(1-New!DP83))) / (New!BW83*1000*New!$LQ$3*(1-C83-1+New!DP83)*New!C83^(2/3)))</f>
        <v>7.3414420490944238E-2</v>
      </c>
      <c r="M83" s="4">
        <f>((New!FJ83*New!$LP$3*LN((1-D83)/(1-New!DQ83))) / (New!BX83*1000*New!$LQ$3*(1-D83-1+New!DQ83)*New!D83^(2/3)))</f>
        <v>7.3445453433328006E-2</v>
      </c>
      <c r="N83" s="4">
        <f>((New!FK83*New!$LP$3*LN((1-E83)/(1-New!DR83))) / (New!BY83*1000*New!$LQ$3*(1-E83-1+New!DR83)*New!E83^(2/3)))</f>
        <v>7.2872049834347766E-2</v>
      </c>
      <c r="O83" s="4">
        <f>((New!FL83*New!$LP$3*LN((1-F83)/(1-New!DS83))) / (New!BZ83*1000*New!$LQ$3*(1-F83-1+New!DS83)*New!F83^(2/3)))</f>
        <v>7.2315108123536767E-2</v>
      </c>
      <c r="P83" s="4">
        <f>((New!FM83*New!$LP$3*LN((1-G83)/(1-New!DT83))) / (New!CA83*1000*New!$LQ$3*(1-G83-1+New!DT83)*New!G83^(2/3)))</f>
        <v>7.1848224129289678E-2</v>
      </c>
      <c r="Q83" s="4">
        <f>((New!FN83*New!$LP$3*LN((1-H83)/(1-New!DU83))) / (New!CB83*1000*New!$LQ$3*(1-H83-1+New!DU83)*New!H83^(2/3)))</f>
        <v>7.1328607197007926E-2</v>
      </c>
      <c r="R83" s="4">
        <f>((New!FO83*New!$LP$3*LN((1-I83)/(1-New!DV83))) / (New!CC83*1000*New!$LQ$3*(1-I83-1+New!DV83)*New!I83^(2/3)))</f>
        <v>7.0843356897085263E-2</v>
      </c>
      <c r="S83" s="4">
        <f>((New!FP83*New!$LP$3*LN((1-J83)/(1-New!DW83))) / (New!CD83*1000*New!$LQ$3*(1-J83-1+New!DW83)*New!J83^(2/3)))</f>
        <v>7.0315598330050813E-2</v>
      </c>
      <c r="T83" s="245">
        <f>(New!FH83*Sheet3!DF83+New!HU83*1000*K83*(New!DO83-B83)+'Cooling water'!CO83*'Cooling water'!B83) / (New!FH83+'Cooling water'!CO83)</f>
        <v>51.625379394666673</v>
      </c>
      <c r="U83" s="4">
        <f>(New!FI83*Sheet3!BZ83+New!HV83*1000*L83*(New!DP83-C83)+Sheet3!CI83*'Cooling water'!CP83) / (New!FI83+'Cooling water'!CP83)</f>
        <v>53.761290758678527</v>
      </c>
      <c r="V83" s="4">
        <f>(New!FJ83*Sheet3!CA83+New!HW83*1000*M83*(New!DQ83-D83)+Sheet3!CJ83*'Cooling water'!CQ83) / (New!FJ83+'Cooling water'!CQ83)</f>
        <v>61.792650252282158</v>
      </c>
      <c r="W83" s="4">
        <f>(New!FK83*Sheet3!CB83+New!HX83*1000*N83*(New!DR83-E83)+Sheet3!CK83*'Cooling water'!CR83) / (New!FK83+'Cooling water'!CR83)</f>
        <v>60.680025494403871</v>
      </c>
      <c r="X83" s="4">
        <f>(New!FL83*Sheet3!CC83+New!HY83*1000*O83*(New!DS83-F83)+Sheet3!CL83*'Cooling water'!CS83) / (New!FL83+'Cooling water'!CS83)</f>
        <v>58.795426024306153</v>
      </c>
      <c r="Y83" s="4">
        <f>(New!FM83*Sheet3!CD83+New!HZ83*1000*P83*(New!DT83-G83)+Sheet3!CM83*'Cooling water'!CT83) / (New!FM83+'Cooling water'!CT83)</f>
        <v>57.953213496783334</v>
      </c>
      <c r="Z83" s="4">
        <f>(New!FN83*Sheet3!CE83+New!IA83*1000*Q83*(New!DU83-H83)+Sheet3!CN83*'Cooling water'!CU83) / (New!FN83+'Cooling water'!CU83)</f>
        <v>56.393607852955995</v>
      </c>
      <c r="AA83" s="4">
        <f>(New!FO83*Sheet3!CF83+New!IB83*1000*R83*(New!DV83-I83)+Sheet3!CO83*'Cooling water'!CV83) / (New!FO83+'Cooling water'!CV83)</f>
        <v>55.099477944233684</v>
      </c>
      <c r="AB83" s="4">
        <f>(New!FP83*Sheet3!CG83+New!IC83*1000*S83*(New!DW83-J83)+Sheet3!CP83*'Cooling water'!CW83) / (New!FP83+'Cooling water'!CW83)</f>
        <v>53.249720616183794</v>
      </c>
      <c r="AC83" s="245">
        <f t="shared" si="4"/>
        <v>49.010318624999996</v>
      </c>
      <c r="AD83" s="311">
        <v>53.673966</v>
      </c>
      <c r="AE83" s="311">
        <v>54.046008</v>
      </c>
      <c r="AF83" s="311">
        <v>52.288398999999998</v>
      </c>
      <c r="AG83" s="311">
        <v>50.543444000000001</v>
      </c>
      <c r="AH83" s="311">
        <v>48.747292999999999</v>
      </c>
      <c r="AI83" s="311">
        <v>46.704203999999997</v>
      </c>
      <c r="AJ83" s="311">
        <v>44.381217999999997</v>
      </c>
      <c r="AK83" s="311">
        <v>41.698017</v>
      </c>
      <c r="AL83" s="243">
        <f>AVERAGE(Sheet3!BR83:BY83)</f>
        <v>40.970150190562343</v>
      </c>
      <c r="AM83" s="183" cm="1">
        <f t="array" ref="AM83:AT83">TRANSPOSE('[90]Keithley Matavimai'!$W$6:$W$13)</f>
        <v>49.837035059486446</v>
      </c>
      <c r="AN83" s="183">
        <v>47.643402165070654</v>
      </c>
      <c r="AO83" s="183">
        <v>45.016359346263719</v>
      </c>
      <c r="AP83" s="183">
        <v>41.205206408683779</v>
      </c>
      <c r="AQ83" s="183">
        <v>40.071876037053983</v>
      </c>
      <c r="AR83" s="183">
        <v>38.358691438516679</v>
      </c>
      <c r="AS83" s="183">
        <v>36.193522598910199</v>
      </c>
      <c r="AT83" s="183">
        <v>29.435108470513271</v>
      </c>
      <c r="AU83" s="183">
        <f t="shared" si="3"/>
        <v>8.0401684344376534</v>
      </c>
      <c r="AX83" s="281"/>
      <c r="AY83" s="281"/>
      <c r="AZ83" s="281"/>
      <c r="BA83" s="281"/>
    </row>
    <row r="84" spans="1:53" ht="16.8" x14ac:dyDescent="0.3">
      <c r="A84" s="282" t="str">
        <f>Sheet3!A84</f>
        <v>2023.02.14-1</v>
      </c>
      <c r="B84" s="248">
        <f>EXP(New!$LP$6-((New!$LQ$6)/(AC84+New!$LP$8)))/New!$LS$2</f>
        <v>6.497743615892973E-2</v>
      </c>
      <c r="C84" s="312">
        <f>EXP(New!$LP$6-((New!$LQ$6)/(AD84+New!$LP$8)))/New!$LS$2</f>
        <v>7.1156662316831751E-2</v>
      </c>
      <c r="D84" s="312">
        <f>EXP(New!$LP$6-((New!$LQ$6)/(AE84+New!$LP$8)))/New!$LS$2</f>
        <v>6.8026081032629471E-2</v>
      </c>
      <c r="E84" s="312">
        <f>EXP(New!$LP$6-((New!$LQ$6)/(AF84+New!$LP$8)))/New!$LS$2</f>
        <v>6.5157742659628495E-2</v>
      </c>
      <c r="F84" s="312">
        <f>EXP(New!$LP$6-((New!$LQ$6)/(AG84+New!$LP$8)))/New!$LS$2</f>
        <v>6.2452444302956669E-2</v>
      </c>
      <c r="G84" s="312">
        <f>EXP(New!$LP$6-((New!$LQ$6)/(AH84+New!$LP$8)))/New!$LS$2</f>
        <v>5.996534808396578E-2</v>
      </c>
      <c r="H84" s="312">
        <f>EXP(New!$LP$6-((New!$LQ$6)/(AI84+New!$LP$8)))/New!$LS$2</f>
        <v>6.9212990952463985E-2</v>
      </c>
      <c r="I84" s="312">
        <f>EXP(New!$LP$6-((New!$LQ$6)/(AJ84+New!$LP$8)))/New!$LS$2</f>
        <v>6.4668680903710196E-2</v>
      </c>
      <c r="J84" s="312">
        <f>EXP(New!$LP$6-((New!$LQ$6)/(AK84+New!$LP$8)))/New!$LS$2</f>
        <v>5.9985010309165615E-2</v>
      </c>
      <c r="K84" s="245">
        <f>((New!FH84*New!$LP$3*LN((1-B84)/(1-New!DO84))) / (New!BV84*1000*New!$LQ$3*(1-B84-1+New!DO84)*New!B84^(2/3)))</f>
        <v>9.3794591496493288E-2</v>
      </c>
      <c r="L84" s="4">
        <f>((New!FI84*New!$LP$3*LN((1-C84)/(1-New!DP84))) / (New!BW84*1000*New!$LQ$3*(1-C84-1+New!DP84)*New!C84^(2/3)))</f>
        <v>9.4106071313688686E-2</v>
      </c>
      <c r="M84" s="4">
        <f>((New!FJ84*New!$LP$3*LN((1-D84)/(1-New!DQ84))) / (New!BX84*1000*New!$LQ$3*(1-D84-1+New!DQ84)*New!D84^(2/3)))</f>
        <v>9.3964292127782595E-2</v>
      </c>
      <c r="N84" s="4">
        <f>((New!FK84*New!$LP$3*LN((1-E84)/(1-New!DR84))) / (New!BY84*1000*New!$LQ$3*(1-E84-1+New!DR84)*New!E84^(2/3)))</f>
        <v>9.3843247854253201E-2</v>
      </c>
      <c r="O84" s="4">
        <f>((New!FL84*New!$LP$3*LN((1-F84)/(1-New!DS84))) / (New!BZ84*1000*New!$LQ$3*(1-F84-1+New!DS84)*New!F84^(2/3)))</f>
        <v>9.3707897169414453E-2</v>
      </c>
      <c r="P84" s="4">
        <f>((New!FM84*New!$LP$3*LN((1-G84)/(1-New!DT84))) / (New!CA84*1000*New!$LQ$3*(1-G84-1+New!DT84)*New!G84^(2/3)))</f>
        <v>9.3608772911575308E-2</v>
      </c>
      <c r="Q84" s="4">
        <f>((New!FN84*New!$LP$3*LN((1-H84)/(1-New!DU84))) / (New!CB84*1000*New!$LQ$3*(1-H84-1+New!DU84)*New!H84^(2/3)))</f>
        <v>9.4073137691880346E-2</v>
      </c>
      <c r="R84" s="4">
        <f>((New!FO84*New!$LP$3*LN((1-I84)/(1-New!DV84))) / (New!CC84*1000*New!$LQ$3*(1-I84-1+New!DV84)*New!I84^(2/3)))</f>
        <v>9.3866345504877727E-2</v>
      </c>
      <c r="S84" s="4">
        <f>((New!FP84*New!$LP$3*LN((1-J84)/(1-New!DW84))) / (New!CD84*1000*New!$LQ$3*(1-J84-1+New!DW84)*New!J84^(2/3)))</f>
        <v>9.3624015852114356E-2</v>
      </c>
      <c r="T84" s="245">
        <f>(New!FH84*Sheet3!DF84+New!HU84*1000*K84*(New!DO84-B84)+'Cooling water'!CO84*'Cooling water'!B84) / (New!FH84+'Cooling water'!CO84)</f>
        <v>52.923514276939009</v>
      </c>
      <c r="U84" s="4">
        <f>(New!FI84*Sheet3!BZ84+New!HV84*1000*L84*(New!DP84-C84)+Sheet3!CI84*'Cooling water'!CP84) / (New!FI84+'Cooling water'!CP84)</f>
        <v>38.522253415002645</v>
      </c>
      <c r="V84" s="4">
        <f>(New!FJ84*Sheet3!CA84+New!HW84*1000*M84*(New!DQ84-D84)+Sheet3!CJ84*'Cooling water'!CQ84) / (New!FJ84+'Cooling water'!CQ84)</f>
        <v>37.83066835845198</v>
      </c>
      <c r="W84" s="4">
        <f>(New!FK84*Sheet3!CB84+New!HX84*1000*N84*(New!DR84-E84)+Sheet3!CK84*'Cooling water'!CR84) / (New!FK84+'Cooling water'!CR84)</f>
        <v>37.197542716704234</v>
      </c>
      <c r="X84" s="4">
        <f>(New!FL84*Sheet3!CC84+New!HY84*1000*O84*(New!DS84-F84)+Sheet3!CL84*'Cooling water'!CS84) / (New!FL84+'Cooling water'!CS84)</f>
        <v>36.562672499105425</v>
      </c>
      <c r="Y84" s="4">
        <f>(New!FM84*Sheet3!CD84+New!HZ84*1000*P84*(New!DT84-G84)+Sheet3!CM84*'Cooling water'!CT84) / (New!FM84+'Cooling water'!CT84)</f>
        <v>35.996346011604125</v>
      </c>
      <c r="Z84" s="4">
        <f>(New!FN84*Sheet3!CE84+New!IA84*1000*Q84*(New!DU84-H84)+Sheet3!CN84*'Cooling water'!CU84) / (New!FN84+'Cooling water'!CU84)</f>
        <v>33.592736425974422</v>
      </c>
      <c r="AA84" s="4">
        <f>(New!FO84*Sheet3!CF84+New!IB84*1000*R84*(New!DV84-I84)+Sheet3!CO84*'Cooling water'!CV84) / (New!FO84+'Cooling water'!CV84)</f>
        <v>53.809562078670346</v>
      </c>
      <c r="AB84" s="4">
        <f>(New!FP84*Sheet3!CG84+New!IC84*1000*S84*(New!DW84-J84)+Sheet3!CP84*'Cooling water'!CW84) / (New!FP84+'Cooling water'!CW84)</f>
        <v>53.333346165666924</v>
      </c>
      <c r="AC84" s="245">
        <f t="shared" si="4"/>
        <v>37.946378250000002</v>
      </c>
      <c r="AD84" s="311">
        <v>39.626961000000001</v>
      </c>
      <c r="AE84" s="311">
        <v>38.791946000000003</v>
      </c>
      <c r="AF84" s="311">
        <v>37.997328000000003</v>
      </c>
      <c r="AG84" s="311">
        <v>37.219785000000002</v>
      </c>
      <c r="AH84" s="311">
        <v>36.478926000000001</v>
      </c>
      <c r="AI84" s="311">
        <v>39.112344999999998</v>
      </c>
      <c r="AJ84" s="311">
        <v>37.858848999999999</v>
      </c>
      <c r="AK84" s="311">
        <v>36.484886000000003</v>
      </c>
      <c r="AL84" s="243">
        <f>AVERAGE(Sheet3!BR84:BY84)</f>
        <v>26.661676543216689</v>
      </c>
      <c r="AM84" s="183" cm="1">
        <f t="array" ref="AM84:AT84">TRANSPOSE('[91]Keithley Matavimai'!$W$6:$W$13)</f>
        <v>32.269491624319556</v>
      </c>
      <c r="AN84" s="183">
        <v>30.8345210369109</v>
      </c>
      <c r="AO84" s="183">
        <v>29.371829448679676</v>
      </c>
      <c r="AP84" s="183">
        <v>25.963059902676076</v>
      </c>
      <c r="AQ84" s="183">
        <v>26.046947361704024</v>
      </c>
      <c r="AR84" s="183">
        <v>25.732084189960457</v>
      </c>
      <c r="AS84" s="183">
        <v>24.582268833668781</v>
      </c>
      <c r="AT84" s="183">
        <v>18.49320994781403</v>
      </c>
      <c r="AU84" s="183">
        <f t="shared" si="3"/>
        <v>11.284701706783313</v>
      </c>
      <c r="AX84" s="281"/>
      <c r="AY84" s="281"/>
      <c r="AZ84" s="281"/>
      <c r="BA84" s="281"/>
    </row>
    <row r="85" spans="1:53" ht="16.8" x14ac:dyDescent="0.3">
      <c r="A85" s="282" t="str">
        <f>Sheet3!A85</f>
        <v>2023.02.14-2</v>
      </c>
      <c r="B85" s="248">
        <f>EXP(New!$LP$6-((New!$LQ$6)/(AC85+New!$LP$8)))/New!$LS$2</f>
        <v>7.1905560395013279E-2</v>
      </c>
      <c r="C85" s="312">
        <f>EXP(New!$LP$6-((New!$LQ$6)/(AD85+New!$LP$8)))/New!$LS$2</f>
        <v>8.3810785008924318E-2</v>
      </c>
      <c r="D85" s="312">
        <f>EXP(New!$LP$6-((New!$LQ$6)/(AE85+New!$LP$8)))/New!$LS$2</f>
        <v>7.9149911412697838E-2</v>
      </c>
      <c r="E85" s="312">
        <f>EXP(New!$LP$6-((New!$LQ$6)/(AF85+New!$LP$8)))/New!$LS$2</f>
        <v>7.4935939503771989E-2</v>
      </c>
      <c r="F85" s="312">
        <f>EXP(New!$LP$6-((New!$LQ$6)/(AG85+New!$LP$8)))/New!$LS$2</f>
        <v>7.1178863873285939E-2</v>
      </c>
      <c r="G85" s="312">
        <f>EXP(New!$LP$6-((New!$LQ$6)/(AH85+New!$LP$8)))/New!$LS$2</f>
        <v>6.783162526219122E-2</v>
      </c>
      <c r="H85" s="312">
        <f>EXP(New!$LP$6-((New!$LQ$6)/(AI85+New!$LP$8)))/New!$LS$2</f>
        <v>6.4628606806239497E-2</v>
      </c>
      <c r="I85" s="312">
        <f>EXP(New!$LP$6-((New!$LQ$6)/(AJ85+New!$LP$8)))/New!$LS$2</f>
        <v>6.1668112135517976E-2</v>
      </c>
      <c r="J85" s="312">
        <f>EXP(New!$LP$6-((New!$LQ$6)/(AK85+New!$LP$8)))/New!$LS$2</f>
        <v>7.4326082043853048E-2</v>
      </c>
      <c r="K85" s="245">
        <f>((New!FH85*New!$LP$3*LN((1-B85)/(1-New!DO85))) / (New!BV85*1000*New!$LQ$3*(1-B85-1+New!DO85)*New!B85^(2/3)))</f>
        <v>0.10267867174237232</v>
      </c>
      <c r="L85" s="4">
        <f>((New!FI85*New!$LP$3*LN((1-C85)/(1-New!DP85))) / (New!BW85*1000*New!$LQ$3*(1-C85-1+New!DP85)*New!C85^(2/3)))</f>
        <v>0.10334313095241877</v>
      </c>
      <c r="M85" s="4">
        <f>((New!FJ85*New!$LP$3*LN((1-D85)/(1-New!DQ85))) / (New!BX85*1000*New!$LQ$3*(1-D85-1+New!DQ85)*New!D85^(2/3)))</f>
        <v>0.10305983099824423</v>
      </c>
      <c r="N85" s="4">
        <f>((New!FK85*New!$LP$3*LN((1-E85)/(1-New!DR85))) / (New!BY85*1000*New!$LQ$3*(1-E85-1+New!DR85)*New!E85^(2/3)))</f>
        <v>0.10281286242081603</v>
      </c>
      <c r="O85" s="4">
        <f>((New!FL85*New!$LP$3*LN((1-F85)/(1-New!DS85))) / (New!BZ85*1000*New!$LQ$3*(1-F85-1+New!DS85)*New!F85^(2/3)))</f>
        <v>0.10257729547644216</v>
      </c>
      <c r="P85" s="4">
        <f>((New!FM85*New!$LP$3*LN((1-G85)/(1-New!DT85))) / (New!CA85*1000*New!$LQ$3*(1-G85-1+New!DT85)*New!G85^(2/3)))</f>
        <v>0.10239009633653189</v>
      </c>
      <c r="Q85" s="4">
        <f>((New!FN85*New!$LP$3*LN((1-H85)/(1-New!DU85))) / (New!CB85*1000*New!$LQ$3*(1-H85-1+New!DU85)*New!H85^(2/3)))</f>
        <v>0.1021946256407627</v>
      </c>
      <c r="R85" s="4">
        <f>((New!FO85*New!$LP$3*LN((1-I85)/(1-New!DV85))) / (New!CC85*1000*New!$LQ$3*(1-I85-1+New!DV85)*New!I85^(2/3)))</f>
        <v>0.10203726579041955</v>
      </c>
      <c r="S85" s="4">
        <f>((New!FP85*New!$LP$3*LN((1-J85)/(1-New!DW85))) / (New!CD85*1000*New!$LQ$3*(1-J85-1+New!DW85)*New!J85^(2/3)))</f>
        <v>0.10272302665396865</v>
      </c>
      <c r="T85" s="245">
        <f>(New!FH85*Sheet3!DF85+New!HU85*1000*K85*(New!DO85-B85)+'Cooling water'!CO85*'Cooling water'!B85) / (New!FH85+'Cooling water'!CO85)</f>
        <v>65.631304823940226</v>
      </c>
      <c r="U85" s="4">
        <f>(New!FI85*Sheet3!BZ85+New!HV85*1000*L85*(New!DP85-C85)+Sheet3!CI85*'Cooling water'!CP85) / (New!FI85+'Cooling water'!CP85)</f>
        <v>41.982011631899262</v>
      </c>
      <c r="V85" s="4">
        <f>(New!FJ85*Sheet3!CA85+New!HW85*1000*M85*(New!DQ85-D85)+Sheet3!CJ85*'Cooling water'!CQ85) / (New!FJ85+'Cooling water'!CQ85)</f>
        <v>40.871402504922706</v>
      </c>
      <c r="W85" s="4">
        <f>(New!FK85*Sheet3!CB85+New!HX85*1000*N85*(New!DR85-E85)+Sheet3!CK85*'Cooling water'!CR85) / (New!FK85+'Cooling water'!CR85)</f>
        <v>39.937173723492243</v>
      </c>
      <c r="X85" s="4">
        <f>(New!FL85*Sheet3!CC85+New!HY85*1000*O85*(New!DS85-F85)+Sheet3!CL85*'Cooling water'!CS85) / (New!FL85+'Cooling water'!CS85)</f>
        <v>38.937281988903536</v>
      </c>
      <c r="Y85" s="4">
        <f>(New!FM85*Sheet3!CD85+New!HZ85*1000*P85*(New!DT85-G85)+Sheet3!CM85*'Cooling water'!CT85) / (New!FM85+'Cooling water'!CT85)</f>
        <v>38.216619869561242</v>
      </c>
      <c r="Z85" s="4">
        <f>(New!FN85*Sheet3!CE85+New!IA85*1000*Q85*(New!DU85-H85)+Sheet3!CN85*'Cooling water'!CU85) / (New!FN85+'Cooling water'!CU85)</f>
        <v>37.408929421879272</v>
      </c>
      <c r="AA85" s="4">
        <f>(New!FO85*Sheet3!CF85+New!IB85*1000*R85*(New!DV85-I85)+Sheet3!CO85*'Cooling water'!CV85) / (New!FO85+'Cooling water'!CV85)</f>
        <v>36.711158742373819</v>
      </c>
      <c r="AB85" s="4">
        <f>(New!FP85*Sheet3!CG85+New!IC85*1000*S85*(New!DW85-J85)+Sheet3!CP85*'Cooling water'!CW85) / (New!FP85+'Cooling water'!CW85)</f>
        <v>33.486162627060011</v>
      </c>
      <c r="AC85" s="245">
        <f t="shared" si="4"/>
        <v>39.822020499999994</v>
      </c>
      <c r="AD85" s="311">
        <v>42.709516999999998</v>
      </c>
      <c r="AE85" s="311">
        <v>41.623835</v>
      </c>
      <c r="AF85" s="311">
        <v>40.593902999999997</v>
      </c>
      <c r="AG85" s="311">
        <v>39.632769000000003</v>
      </c>
      <c r="AH85" s="311">
        <v>38.738996</v>
      </c>
      <c r="AI85" s="311">
        <v>37.847462</v>
      </c>
      <c r="AJ85" s="311">
        <v>36.988934</v>
      </c>
      <c r="AK85" s="311">
        <v>40.440747999999999</v>
      </c>
      <c r="AL85" s="243">
        <f>AVERAGE(Sheet3!BR85:BY85)</f>
        <v>29.07882495955127</v>
      </c>
      <c r="AM85" s="183" cm="1">
        <f t="array" ref="AM85:AT85">TRANSPOSE('[92]Keithley Matavimai'!$W$6:$W$13)</f>
        <v>36.342396703304672</v>
      </c>
      <c r="AN85" s="183">
        <v>33.172524416735349</v>
      </c>
      <c r="AO85" s="183">
        <v>32.881747037980091</v>
      </c>
      <c r="AP85" s="183">
        <v>28.120440996274173</v>
      </c>
      <c r="AQ85" s="183">
        <v>28.582677831135658</v>
      </c>
      <c r="AR85" s="183">
        <v>28.405261343036244</v>
      </c>
      <c r="AS85" s="183">
        <v>26.611939285943802</v>
      </c>
      <c r="AT85" s="183">
        <v>18.513612062000156</v>
      </c>
      <c r="AU85" s="183">
        <f t="shared" si="3"/>
        <v>10.743195540448724</v>
      </c>
      <c r="AX85" s="281"/>
      <c r="AY85" s="281"/>
      <c r="AZ85" s="281"/>
      <c r="BA85" s="281"/>
    </row>
    <row r="86" spans="1:53" ht="16.8" x14ac:dyDescent="0.3">
      <c r="A86" s="282" t="str">
        <f>Sheet3!A86</f>
        <v>2023.02.15-1</v>
      </c>
      <c r="B86" s="248">
        <f>EXP(New!$LP$6-((New!$LQ$6)/(AC86+New!$LP$8)))/New!$LS$2</f>
        <v>8.6225472067226874E-2</v>
      </c>
      <c r="C86" s="312">
        <f>EXP(New!$LP$6-((New!$LQ$6)/(AD86+New!$LP$8)))/New!$LS$2</f>
        <v>0.10670997388635817</v>
      </c>
      <c r="D86" s="312">
        <f>EXP(New!$LP$6-((New!$LQ$6)/(AE86+New!$LP$8)))/New!$LS$2</f>
        <v>9.9858678301044793E-2</v>
      </c>
      <c r="E86" s="312">
        <f>EXP(New!$LP$6-((New!$LQ$6)/(AF86+New!$LP$8)))/New!$LS$2</f>
        <v>9.3490745405366074E-2</v>
      </c>
      <c r="F86" s="312">
        <f>EXP(New!$LP$6-((New!$LQ$6)/(AG86+New!$LP$8)))/New!$LS$2</f>
        <v>8.792619938354912E-2</v>
      </c>
      <c r="G86" s="312">
        <f>EXP(New!$LP$6-((New!$LQ$6)/(AH86+New!$LP$8)))/New!$LS$2</f>
        <v>8.3097111025287482E-2</v>
      </c>
      <c r="H86" s="312">
        <f>EXP(New!$LP$6-((New!$LQ$6)/(AI86+New!$LP$8)))/New!$LS$2</f>
        <v>7.8496612839515228E-2</v>
      </c>
      <c r="I86" s="312">
        <f>EXP(New!$LP$6-((New!$LQ$6)/(AJ86+New!$LP$8)))/New!$LS$2</f>
        <v>7.4477021103284954E-2</v>
      </c>
      <c r="J86" s="312">
        <f>EXP(New!$LP$6-((New!$LQ$6)/(AK86+New!$LP$8)))/New!$LS$2</f>
        <v>7.1078835749202665E-2</v>
      </c>
      <c r="K86" s="245">
        <f>((New!FH86*New!$LP$3*LN((1-B86)/(1-New!DO86))) / (New!BV86*1000*New!$LQ$3*(1-B86-1+New!DO86)*New!B86^(2/3)))</f>
        <v>0.11044445650283614</v>
      </c>
      <c r="L86" s="4">
        <f>((New!FI86*New!$LP$3*LN((1-C86)/(1-New!DP86))) / (New!BW86*1000*New!$LQ$3*(1-C86-1+New!DP86)*New!C86^(2/3)))</f>
        <v>0.11170278747594409</v>
      </c>
      <c r="M86" s="4">
        <f>((New!FJ86*New!$LP$3*LN((1-D86)/(1-New!DQ86))) / (New!BX86*1000*New!$LQ$3*(1-D86-1+New!DQ86)*New!D86^(2/3)))</f>
        <v>0.11117562389974411</v>
      </c>
      <c r="N86" s="4">
        <f>((New!FK86*New!$LP$3*LN((1-E86)/(1-New!DR86))) / (New!BY86*1000*New!$LQ$3*(1-E86-1+New!DR86)*New!E86^(2/3)))</f>
        <v>0.11070840312855365</v>
      </c>
      <c r="O86" s="4">
        <f>((New!FL86*New!$LP$3*LN((1-F86)/(1-New!DS86))) / (New!BZ86*1000*New!$LQ$3*(1-F86-1+New!DS86)*New!F86^(2/3)))</f>
        <v>0.11026969407876051</v>
      </c>
      <c r="P86" s="4">
        <f>((New!FM86*New!$LP$3*LN((1-G86)/(1-New!DT86))) / (New!CA86*1000*New!$LQ$3*(1-G86-1+New!DT86)*New!G86^(2/3)))</f>
        <v>0.1099355912391954</v>
      </c>
      <c r="Q86" s="4">
        <f>((New!FN86*New!$LP$3*LN((1-H86)/(1-New!DU86))) / (New!CB86*1000*New!$LQ$3*(1-H86-1+New!DU86)*New!H86^(2/3)))</f>
        <v>0.10959032258185461</v>
      </c>
      <c r="R86" s="4">
        <f>((New!FO86*New!$LP$3*LN((1-I86)/(1-New!DV86))) / (New!CC86*1000*New!$LQ$3*(1-I86-1+New!DV86)*New!I86^(2/3)))</f>
        <v>0.10931172828345107</v>
      </c>
      <c r="S86" s="4">
        <f>((New!FP86*New!$LP$3*LN((1-J86)/(1-New!DW86))) / (New!CD86*1000*New!$LQ$3*(1-J86-1+New!DW86)*New!J86^(2/3)))</f>
        <v>0.10904258409785796</v>
      </c>
      <c r="T86" s="245">
        <f>(New!FH86*Sheet3!DF86+New!HU86*1000*K86*(New!DO86-B86)+'Cooling water'!CO86*'Cooling water'!B86) / (New!FH86+'Cooling water'!CO86)</f>
        <v>42.139758609146028</v>
      </c>
      <c r="U86" s="4">
        <f>(New!FI86*Sheet3!BZ86+New!HV86*1000*L86*(New!DP86-C86)+Sheet3!CI86*'Cooling water'!CP86) / (New!FI86+'Cooling water'!CP86)</f>
        <v>46.903023239654893</v>
      </c>
      <c r="V86" s="4">
        <f>(New!FJ86*Sheet3!CA86+New!HW86*1000*M86*(New!DQ86-D86)+Sheet3!CJ86*'Cooling water'!CQ86) / (New!FJ86+'Cooling water'!CQ86)</f>
        <v>45.487150547836322</v>
      </c>
      <c r="W86" s="4">
        <f>(New!FK86*Sheet3!CB86+New!HX86*1000*N86*(New!DR86-E86)+Sheet3!CK86*'Cooling water'!CR86) / (New!FK86+'Cooling water'!CR86)</f>
        <v>44.294052324743767</v>
      </c>
      <c r="X86" s="4">
        <f>(New!FL86*Sheet3!CC86+New!HY86*1000*O86*(New!DS86-F86)+Sheet3!CL86*'Cooling water'!CS86) / (New!FL86+'Cooling water'!CS86)</f>
        <v>42.936735810444191</v>
      </c>
      <c r="Y86" s="4">
        <f>(New!FM86*Sheet3!CD86+New!HZ86*1000*P86*(New!DT86-G86)+Sheet3!CM86*'Cooling water'!CT86) / (New!FM86+'Cooling water'!CT86)</f>
        <v>41.996622601785084</v>
      </c>
      <c r="Z86" s="4">
        <f>(New!FN86*Sheet3!CE86+New!IA86*1000*Q86*(New!DU86-H86)+Sheet3!CN86*'Cooling water'!CU86) / (New!FN86+'Cooling water'!CU86)</f>
        <v>40.88660112286307</v>
      </c>
      <c r="AA86" s="4">
        <f>(New!FO86*Sheet3!CF86+New!IB86*1000*R86*(New!DV86-I86)+Sheet3!CO86*'Cooling water'!CV86) / (New!FO86+'Cooling water'!CV86)</f>
        <v>39.923629686098295</v>
      </c>
      <c r="AB86" s="4">
        <f>(New!FP86*Sheet3!CG86+New!IC86*1000*S86*(New!DW86-J86)+Sheet3!CP86*'Cooling water'!CW86) / (New!FP86+'Cooling water'!CW86)</f>
        <v>38.885264220165205</v>
      </c>
      <c r="AC86" s="245">
        <f t="shared" si="4"/>
        <v>43.251740749999996</v>
      </c>
      <c r="AD86" s="311">
        <v>47.391505000000002</v>
      </c>
      <c r="AE86" s="311">
        <v>46.089128000000002</v>
      </c>
      <c r="AF86" s="311">
        <v>44.808084999999998</v>
      </c>
      <c r="AG86" s="311">
        <v>43.625875000000001</v>
      </c>
      <c r="AH86" s="311">
        <v>42.546692999999998</v>
      </c>
      <c r="AI86" s="311">
        <v>41.467297000000002</v>
      </c>
      <c r="AJ86" s="311">
        <v>40.478754000000002</v>
      </c>
      <c r="AK86" s="311">
        <v>39.606589</v>
      </c>
      <c r="AL86" s="243">
        <f>AVERAGE(Sheet3!BR86:BY86)</f>
        <v>33.863633134490584</v>
      </c>
      <c r="AM86" s="183" cm="1">
        <f t="array" ref="AM86:AT86">TRANSPOSE('[93]Keithley Matavimai'!$W$6:$W$13)</f>
        <v>42.594528819963479</v>
      </c>
      <c r="AN86" s="183">
        <v>37.472938329562226</v>
      </c>
      <c r="AO86" s="183">
        <v>37.807879066596364</v>
      </c>
      <c r="AP86" s="183">
        <v>32.698290509602117</v>
      </c>
      <c r="AQ86" s="183">
        <v>33.455869985684608</v>
      </c>
      <c r="AR86" s="183">
        <v>33.626855006837729</v>
      </c>
      <c r="AS86" s="183">
        <v>31.751982228547735</v>
      </c>
      <c r="AT86" s="183">
        <v>21.50072112913039</v>
      </c>
      <c r="AU86" s="183">
        <f t="shared" si="3"/>
        <v>9.3881076155094121</v>
      </c>
      <c r="AX86" s="281"/>
      <c r="AY86" s="281"/>
      <c r="AZ86" s="281"/>
      <c r="BA86" s="281"/>
    </row>
    <row r="87" spans="1:53" ht="16.8" x14ac:dyDescent="0.3">
      <c r="A87" s="282" t="str">
        <f>Sheet3!A87</f>
        <v>2023.02.20-1</v>
      </c>
      <c r="B87" s="248">
        <f>EXP(New!$LP$6-((New!$LQ$6)/(AC87+New!$LP$8)))/New!$LS$2</f>
        <v>2.6269135647172748E-2</v>
      </c>
      <c r="C87" s="312">
        <f>EXP(New!$LP$6-((New!$LQ$6)/(AD87+New!$LP$8)))/New!$LS$2</f>
        <v>3.2645756856170854E-2</v>
      </c>
      <c r="D87" s="312">
        <f>EXP(New!$LP$6-((New!$LQ$6)/(AE87+New!$LP$8)))/New!$LS$2</f>
        <v>3.0559832394122608E-2</v>
      </c>
      <c r="E87" s="312">
        <f>EXP(New!$LP$6-((New!$LQ$6)/(AF87+New!$LP$8)))/New!$LS$2</f>
        <v>2.8672338895908041E-2</v>
      </c>
      <c r="F87" s="312">
        <f>EXP(New!$LP$6-((New!$LQ$6)/(AG87+New!$LP$8)))/New!$LS$2</f>
        <v>2.6991404241361525E-2</v>
      </c>
      <c r="G87" s="312">
        <f>EXP(New!$LP$6-((New!$LQ$6)/(AH87+New!$LP$8)))/New!$LS$2</f>
        <v>2.5456363863531447E-2</v>
      </c>
      <c r="H87" s="312">
        <f>EXP(New!$LP$6-((New!$LQ$6)/(AI87+New!$LP$8)))/New!$LS$2</f>
        <v>2.3942533204530304E-2</v>
      </c>
      <c r="I87" s="312">
        <f>EXP(New!$LP$6-((New!$LQ$6)/(AJ87+New!$LP$8)))/New!$LS$2</f>
        <v>2.2529950922416584E-2</v>
      </c>
      <c r="J87" s="312">
        <f>EXP(New!$LP$6-((New!$LQ$6)/(AK87+New!$LP$8)))/New!$LS$2</f>
        <v>2.1167731629870165E-2</v>
      </c>
      <c r="K87" s="245">
        <f>((New!FH87*New!$LP$3*LN((1-B87)/(1-New!DO87))) / (New!BV87*1000*New!$LQ$3*(1-B87-1+New!DO87)*New!B87^(2/3)))</f>
        <v>4.4883940855593267E-2</v>
      </c>
      <c r="L87" s="4">
        <f>((New!FI87*New!$LP$3*LN((1-C87)/(1-New!DP87))) / (New!BW87*1000*New!$LQ$3*(1-C87-1+New!DP87)*New!C87^(2/3)))</f>
        <v>4.5036132577429867E-2</v>
      </c>
      <c r="M87" s="4">
        <f>((New!FJ87*New!$LP$3*LN((1-D87)/(1-New!DQ87))) / (New!BX87*1000*New!$LQ$3*(1-D87-1+New!DQ87)*New!D87^(2/3)))</f>
        <v>4.4960744897149497E-2</v>
      </c>
      <c r="N87" s="4">
        <f>((New!FK87*New!$LP$3*LN((1-E87)/(1-New!DR87))) / (New!BY87*1000*New!$LQ$3*(1-E87-1+New!DR87)*New!E87^(2/3)))</f>
        <v>4.4933805456178644E-2</v>
      </c>
      <c r="O87" s="4">
        <f>((New!FL87*New!$LP$3*LN((1-F87)/(1-New!DS87))) / (New!BZ87*1000*New!$LQ$3*(1-F87-1+New!DS87)*New!F87^(2/3)))</f>
        <v>4.4881169526594961E-2</v>
      </c>
      <c r="P87" s="4">
        <f>((New!FM87*New!$LP$3*LN((1-G87)/(1-New!DT87))) / (New!CA87*1000*New!$LQ$3*(1-G87-1+New!DT87)*New!G87^(2/3)))</f>
        <v>4.4856925909337056E-2</v>
      </c>
      <c r="Q87" s="4">
        <f>((New!FN87*New!$LP$3*LN((1-H87)/(1-New!DU87))) / (New!CB87*1000*New!$LQ$3*(1-H87-1+New!DU87)*New!H87^(2/3)))</f>
        <v>4.4808728603280862E-2</v>
      </c>
      <c r="R87" s="4">
        <f>((New!FO87*New!$LP$3*LN((1-I87)/(1-New!DV87))) / (New!CC87*1000*New!$LQ$3*(1-I87-1+New!DV87)*New!I87^(2/3)))</f>
        <v>4.4807077574738126E-2</v>
      </c>
      <c r="S87" s="4">
        <f>((New!FP87*New!$LP$3*LN((1-J87)/(1-New!DW87))) / (New!CD87*1000*New!$LQ$3*(1-J87-1+New!DW87)*New!J87^(2/3)))</f>
        <v>4.4750389749523597E-2</v>
      </c>
      <c r="T87" s="245">
        <f>(New!FH87*Sheet3!DF87+New!HU87*1000*K87*(New!DO87-B87)+'Cooling water'!CO87*'Cooling water'!B87) / (New!FH87+'Cooling water'!CO87)</f>
        <v>20.194125727096367</v>
      </c>
      <c r="U87" s="4">
        <f>(New!FI87*Sheet3!BZ87+New!HV87*1000*L87*(New!DP87-C87)+Sheet3!CI87*'Cooling water'!CP87) / (New!FI87+'Cooling water'!CP87)</f>
        <v>25.228499772214136</v>
      </c>
      <c r="V87" s="4">
        <f>(New!FJ87*Sheet3!CA87+New!HW87*1000*M87*(New!DQ87-D87)+Sheet3!CJ87*'Cooling water'!CQ87) / (New!FJ87+'Cooling water'!CQ87)</f>
        <v>24.223619484068912</v>
      </c>
      <c r="W87" s="4">
        <f>(New!FK87*Sheet3!CB87+New!HX87*1000*N87*(New!DR87-E87)+Sheet3!CK87*'Cooling water'!CR87) / (New!FK87+'Cooling water'!CR87)</f>
        <v>23.440552595451926</v>
      </c>
      <c r="X87" s="4">
        <f>(New!FL87*Sheet3!CC87+New!HY87*1000*O87*(New!DS87-F87)+Sheet3!CL87*'Cooling water'!CS87) / (New!FL87+'Cooling water'!CS87)</f>
        <v>22.61168798784934</v>
      </c>
      <c r="Y87" s="4">
        <f>(New!FM87*Sheet3!CD87+New!HZ87*1000*P87*(New!DT87-G87)+Sheet3!CM87*'Cooling water'!CT87) / (New!FM87+'Cooling water'!CT87)</f>
        <v>21.996983368220256</v>
      </c>
      <c r="Z87" s="4">
        <f>(New!FN87*Sheet3!CE87+New!IA87*1000*Q87*(New!DU87-H87)+Sheet3!CN87*'Cooling water'!CU87) / (New!FN87+'Cooling water'!CU87)</f>
        <v>21.270120394459141</v>
      </c>
      <c r="AA87" s="4">
        <f>(New!FO87*Sheet3!CF87+New!IB87*1000*R87*(New!DV87-I87)+Sheet3!CO87*'Cooling water'!CV87) / (New!FO87+'Cooling water'!CV87)</f>
        <v>20.598639585348394</v>
      </c>
      <c r="AB87" s="4">
        <f>(New!FP87*Sheet3!CG87+New!IC87*1000*S87*(New!DW87-J87)+Sheet3!CP87*'Cooling water'!CW87) / (New!FP87+'Cooling water'!CW87)</f>
        <v>19.912972187920936</v>
      </c>
      <c r="AC87" s="245">
        <f t="shared" si="4"/>
        <v>22.284638875000002</v>
      </c>
      <c r="AD87" s="311">
        <v>25.87115</v>
      </c>
      <c r="AE87" s="311">
        <v>24.770565000000001</v>
      </c>
      <c r="AF87" s="311">
        <v>23.716972999999999</v>
      </c>
      <c r="AG87" s="311">
        <v>22.726690999999999</v>
      </c>
      <c r="AH87" s="311">
        <v>21.774381000000002</v>
      </c>
      <c r="AI87" s="311">
        <v>20.785011000000001</v>
      </c>
      <c r="AJ87" s="311">
        <v>19.811446</v>
      </c>
      <c r="AK87" s="311">
        <v>18.820893999999999</v>
      </c>
      <c r="AL87" s="243">
        <f>AVERAGE(Sheet3!BR87:BY87)</f>
        <v>17.954696392488081</v>
      </c>
      <c r="AM87" s="183" cm="1">
        <f t="array" ref="AM87:AT87">TRANSPOSE('[94]Keithley Matavimai'!$W$6:$W$13)</f>
        <v>23.881112639344011</v>
      </c>
      <c r="AN87" s="183">
        <v>21.462402571506413</v>
      </c>
      <c r="AO87" s="183">
        <v>20.313077839929981</v>
      </c>
      <c r="AP87" s="183">
        <v>17.4493466292395</v>
      </c>
      <c r="AQ87" s="183">
        <v>16.915821314063574</v>
      </c>
      <c r="AR87" s="183">
        <v>16.602121364999032</v>
      </c>
      <c r="AS87" s="183">
        <v>15.735170744290286</v>
      </c>
      <c r="AT87" s="183">
        <v>11.27851803653185</v>
      </c>
      <c r="AU87" s="183">
        <f t="shared" si="3"/>
        <v>4.329942482511921</v>
      </c>
      <c r="AX87" s="281"/>
      <c r="AY87" s="281"/>
      <c r="AZ87" s="281"/>
      <c r="BA87" s="281"/>
    </row>
    <row r="88" spans="1:53" ht="16.8" x14ac:dyDescent="0.3">
      <c r="A88" s="282" t="str">
        <f>Sheet3!A88</f>
        <v>2023.02.20-2</v>
      </c>
      <c r="B88" s="248">
        <f>EXP(New!$LP$6-((New!$LQ$6)/(AC88+New!$LP$8)))/New!$LS$2</f>
        <v>2.9514168326075164E-2</v>
      </c>
      <c r="C88" s="312">
        <f>EXP(New!$LP$6-((New!$LQ$6)/(AD88+New!$LP$8)))/New!$LS$2</f>
        <v>3.8066471578145258E-2</v>
      </c>
      <c r="D88" s="312">
        <f>EXP(New!$LP$6-((New!$LQ$6)/(AE88+New!$LP$8)))/New!$LS$2</f>
        <v>3.5249810022230599E-2</v>
      </c>
      <c r="E88" s="312">
        <f>EXP(New!$LP$6-((New!$LQ$6)/(AF88+New!$LP$8)))/New!$LS$2</f>
        <v>3.2673039447400382E-2</v>
      </c>
      <c r="F88" s="312">
        <f>EXP(New!$LP$6-((New!$LQ$6)/(AG88+New!$LP$8)))/New!$LS$2</f>
        <v>3.0421906925449119E-2</v>
      </c>
      <c r="G88" s="312">
        <f>EXP(New!$LP$6-((New!$LQ$6)/(AH88+New!$LP$8)))/New!$LS$2</f>
        <v>2.8390306139393078E-2</v>
      </c>
      <c r="H88" s="312">
        <f>EXP(New!$LP$6-((New!$LQ$6)/(AI88+New!$LP$8)))/New!$LS$2</f>
        <v>2.6499718725925919E-2</v>
      </c>
      <c r="I88" s="312">
        <f>EXP(New!$LP$6-((New!$LQ$6)/(AJ88+New!$LP$8)))/New!$LS$2</f>
        <v>2.4684349724992741E-2</v>
      </c>
      <c r="J88" s="312">
        <f>EXP(New!$LP$6-((New!$LQ$6)/(AK88+New!$LP$8)))/New!$LS$2</f>
        <v>2.2915619536705869E-2</v>
      </c>
      <c r="K88" s="245">
        <f>((New!FH88*New!$LP$3*LN((1-B88)/(1-New!DO88))) / (New!BV88*1000*New!$LQ$3*(1-B88-1+New!DO88)*New!B88^(2/3)))</f>
        <v>4.6885624669865754E-2</v>
      </c>
      <c r="L88" s="4">
        <f>((New!FI88*New!$LP$3*LN((1-C88)/(1-New!DP88))) / (New!BW88*1000*New!$LQ$3*(1-C88-1+New!DP88)*New!C88^(2/3)))</f>
        <v>4.7095056503979472E-2</v>
      </c>
      <c r="M88" s="4">
        <f>((New!FJ88*New!$LP$3*LN((1-D88)/(1-New!DQ88))) / (New!BX88*1000*New!$LQ$3*(1-D88-1+New!DQ88)*New!D88^(2/3)))</f>
        <v>4.6971559273457308E-2</v>
      </c>
      <c r="N88" s="4">
        <f>((New!FK88*New!$LP$3*LN((1-E88)/(1-New!DR88))) / (New!BY88*1000*New!$LQ$3*(1-E88-1+New!DR88)*New!E88^(2/3)))</f>
        <v>4.6903838791131594E-2</v>
      </c>
      <c r="O88" s="4">
        <f>((New!FL88*New!$LP$3*LN((1-F88)/(1-New!DS88))) / (New!BZ88*1000*New!$LQ$3*(1-F88-1+New!DS88)*New!F88^(2/3)))</f>
        <v>4.6814954415198458E-2</v>
      </c>
      <c r="P88" s="4">
        <f>((New!FM88*New!$LP$3*LN((1-G88)/(1-New!DT88))) / (New!CA88*1000*New!$LQ$3*(1-G88-1+New!DT88)*New!G88^(2/3)))</f>
        <v>4.6769835621620168E-2</v>
      </c>
      <c r="Q88" s="4">
        <f>((New!FN88*New!$LP$3*LN((1-H88)/(1-New!DU88))) / (New!CB88*1000*New!$LQ$3*(1-H88-1+New!DU88)*New!H88^(2/3)))</f>
        <v>4.6699203401835934E-2</v>
      </c>
      <c r="R88" s="4">
        <f>((New!FO88*New!$LP$3*LN((1-I88)/(1-New!DV88))) / (New!CC88*1000*New!$LQ$3*(1-I88-1+New!DV88)*New!I88^(2/3)))</f>
        <v>4.666676720318548E-2</v>
      </c>
      <c r="S88" s="4">
        <f>((New!FP88*New!$LP$3*LN((1-J88)/(1-New!DW88))) / (New!CD88*1000*New!$LQ$3*(1-J88-1+New!DW88)*New!J88^(2/3)))</f>
        <v>4.6606070478202109E-2</v>
      </c>
      <c r="T88" s="245">
        <f>(New!FH88*Sheet3!DF88+New!HU88*1000*K88*(New!DO88-B88)+'Cooling water'!CO88*'Cooling water'!B88) / (New!FH88+'Cooling water'!CO88)</f>
        <v>22.279919808603591</v>
      </c>
      <c r="U88" s="4">
        <f>(New!FI88*Sheet3!BZ88+New!HV88*1000*L88*(New!DP88-C88)+Sheet3!CI88*'Cooling water'!CP88) / (New!FI88+'Cooling water'!CP88)</f>
        <v>28.029664518825903</v>
      </c>
      <c r="V88" s="4">
        <f>(New!FJ88*Sheet3!CA88+New!HW88*1000*M88*(New!DQ88-D88)+Sheet3!CJ88*'Cooling water'!CQ88) / (New!FJ88+'Cooling water'!CQ88)</f>
        <v>26.785986582288228</v>
      </c>
      <c r="W88" s="4">
        <f>(New!FK88*Sheet3!CB88+New!HX88*1000*N88*(New!DR88-E88)+Sheet3!CK88*'Cooling water'!CR88) / (New!FK88+'Cooling water'!CR88)</f>
        <v>25.742369670377467</v>
      </c>
      <c r="X88" s="4">
        <f>(New!FL88*Sheet3!CC88+New!HY88*1000*O88*(New!DS88-F88)+Sheet3!CL88*'Cooling water'!CS88) / (New!FL88+'Cooling water'!CS88)</f>
        <v>24.641392724546282</v>
      </c>
      <c r="Y88" s="4">
        <f>(New!FM88*Sheet3!CD88+New!HZ88*1000*P88*(New!DT88-G88)+Sheet3!CM88*'Cooling water'!CT88) / (New!FM88+'Cooling water'!CT88)</f>
        <v>23.801166948339677</v>
      </c>
      <c r="Z88" s="4">
        <f>(New!FN88*Sheet3!CE88+New!IA88*1000*Q88*(New!DU88-H88)+Sheet3!CN88*'Cooling water'!CU88) / (New!FN88+'Cooling water'!CU88)</f>
        <v>22.819702113286112</v>
      </c>
      <c r="AA88" s="4">
        <f>(New!FO88*Sheet3!CF88+New!IB88*1000*R88*(New!DV88-I88)+Sheet3!CO88*'Cooling water'!CV88) / (New!FO88+'Cooling water'!CV88)</f>
        <v>21.983977949008363</v>
      </c>
      <c r="AB88" s="4">
        <f>(New!FP88*Sheet3!CG88+New!IC88*1000*S88*(New!DW88-J88)+Sheet3!CP88*'Cooling water'!CW88) / (New!FP88+'Cooling water'!CW88)</f>
        <v>21.031268926762834</v>
      </c>
      <c r="AC88" s="245">
        <f t="shared" si="4"/>
        <v>24.194097374999998</v>
      </c>
      <c r="AD88" s="311">
        <v>28.469442000000001</v>
      </c>
      <c r="AE88" s="311">
        <v>27.162552000000002</v>
      </c>
      <c r="AF88" s="311">
        <v>25.885135999999999</v>
      </c>
      <c r="AG88" s="311">
        <v>24.695516999999999</v>
      </c>
      <c r="AH88" s="311">
        <v>23.554403000000001</v>
      </c>
      <c r="AI88" s="311">
        <v>22.426898999999999</v>
      </c>
      <c r="AJ88" s="311">
        <v>21.276420999999999</v>
      </c>
      <c r="AK88" s="311">
        <v>20.082408999999998</v>
      </c>
      <c r="AL88" s="243">
        <f>AVERAGE(Sheet3!BR88:BY88)</f>
        <v>20.346891564569066</v>
      </c>
      <c r="AM88" s="183" cm="1">
        <f t="array" ref="AM88:AT88">TRANSPOSE('[95]Keithley Matavimai'!$W$6:$W$13)</f>
        <v>27.143841869996582</v>
      </c>
      <c r="AN88" s="183">
        <v>23.526733189725103</v>
      </c>
      <c r="AO88" s="183">
        <v>22.924239214749324</v>
      </c>
      <c r="AP88" s="183">
        <v>19.609020296616709</v>
      </c>
      <c r="AQ88" s="183">
        <v>19.422657176765142</v>
      </c>
      <c r="AR88" s="183">
        <v>19.297119165845675</v>
      </c>
      <c r="AS88" s="183">
        <v>18.269576801889276</v>
      </c>
      <c r="AT88" s="183">
        <v>12.581944800964717</v>
      </c>
      <c r="AU88" s="183">
        <f t="shared" si="3"/>
        <v>3.8472058104309319</v>
      </c>
      <c r="AX88" s="281"/>
      <c r="AY88" s="281"/>
      <c r="AZ88" s="281"/>
      <c r="BA88" s="281"/>
    </row>
    <row r="89" spans="1:53" ht="16.8" x14ac:dyDescent="0.3">
      <c r="A89" s="282" t="str">
        <f>Sheet3!A89</f>
        <v>2023.02.21-1</v>
      </c>
      <c r="B89" s="248">
        <f>EXP(New!$LP$6-((New!$LQ$6)/(AC89+New!$LP$8)))/New!$LS$2</f>
        <v>3.1498896129782503E-2</v>
      </c>
      <c r="C89" s="312">
        <f>EXP(New!$LP$6-((New!$LQ$6)/(AD89+New!$LP$8)))/New!$LS$2</f>
        <v>4.212543930584204E-2</v>
      </c>
      <c r="D89" s="312">
        <f>EXP(New!$LP$6-((New!$LQ$6)/(AE89+New!$LP$8)))/New!$LS$2</f>
        <v>3.8356962153975424E-2</v>
      </c>
      <c r="E89" s="312">
        <f>EXP(New!$LP$6-((New!$LQ$6)/(AF89+New!$LP$8)))/New!$LS$2</f>
        <v>3.5172519921562284E-2</v>
      </c>
      <c r="F89" s="312">
        <f>EXP(New!$LP$6-((New!$LQ$6)/(AG89+New!$LP$8)))/New!$LS$2</f>
        <v>3.2581633117491161E-2</v>
      </c>
      <c r="G89" s="312">
        <f>EXP(New!$LP$6-((New!$LQ$6)/(AH89+New!$LP$8)))/New!$LS$2</f>
        <v>3.0191290886099773E-2</v>
      </c>
      <c r="H89" s="312">
        <f>EXP(New!$LP$6-((New!$LQ$6)/(AI89+New!$LP$8)))/New!$LS$2</f>
        <v>2.7896003866490812E-2</v>
      </c>
      <c r="I89" s="312">
        <f>EXP(New!$LP$6-((New!$LQ$6)/(AJ89+New!$LP$8)))/New!$LS$2</f>
        <v>2.5769666357700984E-2</v>
      </c>
      <c r="J89" s="312">
        <f>EXP(New!$LP$6-((New!$LQ$6)/(AK89+New!$LP$8)))/New!$LS$2</f>
        <v>2.3678606254374335E-2</v>
      </c>
      <c r="K89" s="245">
        <f>((New!FH89*New!$LP$3*LN((1-B89)/(1-New!DO89))) / (New!BV89*1000*New!$LQ$3*(1-B89-1+New!DO89)*New!B89^(2/3)))</f>
        <v>4.9924737635543573E-2</v>
      </c>
      <c r="L89" s="4">
        <f>((New!FI89*New!$LP$3*LN((1-C89)/(1-New!DP89))) / (New!BW89*1000*New!$LQ$3*(1-C89-1+New!DP89)*New!C89^(2/3)))</f>
        <v>5.0203048443480849E-2</v>
      </c>
      <c r="M89" s="4">
        <f>((New!FJ89*New!$LP$3*LN((1-D89)/(1-New!DQ89))) / (New!BX89*1000*New!$LQ$3*(1-D89-1+New!DQ89)*New!D89^(2/3)))</f>
        <v>4.9988173724849171E-2</v>
      </c>
      <c r="N89" s="4">
        <f>((New!FK89*New!$LP$3*LN((1-E89)/(1-New!DR89))) / (New!BY89*1000*New!$LQ$3*(1-E89-1+New!DR89)*New!E89^(2/3)))</f>
        <v>4.984869540521733E-2</v>
      </c>
      <c r="O89" s="4">
        <f>((New!FL89*New!$LP$3*LN((1-F89)/(1-New!DS89))) / (New!BZ89*1000*New!$LQ$3*(1-F89-1+New!DS89)*New!F89^(2/3)))</f>
        <v>4.9704710399979084E-2</v>
      </c>
      <c r="P89" s="4">
        <f>((New!FM89*New!$LP$3*LN((1-G89)/(1-New!DT89))) / (New!CA89*1000*New!$LQ$3*(1-G89-1+New!DT89)*New!G89^(2/3)))</f>
        <v>4.9624602049277808E-2</v>
      </c>
      <c r="Q89" s="4">
        <f>((New!FN89*New!$LP$3*LN((1-H89)/(1-New!DU89))) / (New!CB89*1000*New!$LQ$3*(1-H89-1+New!DU89)*New!H89^(2/3)))</f>
        <v>4.9509493437671692E-2</v>
      </c>
      <c r="R89" s="4">
        <f>((New!FO89*New!$LP$3*LN((1-I89)/(1-New!DV89))) / (New!CC89*1000*New!$LQ$3*(1-I89-1+New!DV89)*New!I89^(2/3)))</f>
        <v>4.9443813294879319E-2</v>
      </c>
      <c r="S89" s="4">
        <f>((New!FP89*New!$LP$3*LN((1-J89)/(1-New!DW89))) / (New!CD89*1000*New!$LQ$3*(1-J89-1+New!DW89)*New!J89^(2/3)))</f>
        <v>4.9347835565174379E-2</v>
      </c>
      <c r="T89" s="245">
        <f>(New!FH89*Sheet3!DF89+New!HU89*1000*K89*(New!DO89-B89)+'Cooling water'!CO89*'Cooling water'!B89) / (New!FH89+'Cooling water'!CO89)</f>
        <v>23.872275042844926</v>
      </c>
      <c r="U89" s="4">
        <f>(New!FI89*Sheet3!BZ89+New!HV89*1000*L89*(New!DP89-C89)+Sheet3!CI89*'Cooling water'!CP89) / (New!FI89+'Cooling water'!CP89)</f>
        <v>29.967407265003484</v>
      </c>
      <c r="V89" s="4">
        <f>(New!FJ89*Sheet3!CA89+New!HW89*1000*M89*(New!DQ89-D89)+Sheet3!CJ89*'Cooling water'!CQ89) / (New!FJ89+'Cooling water'!CQ89)</f>
        <v>28.333304505520587</v>
      </c>
      <c r="W89" s="4">
        <f>(New!FK89*Sheet3!CB89+New!HX89*1000*N89*(New!DR89-E89)+Sheet3!CK89*'Cooling water'!CR89) / (New!FK89+'Cooling water'!CR89)</f>
        <v>27.019354277185652</v>
      </c>
      <c r="X89" s="4">
        <f>(New!FL89*Sheet3!CC89+New!HY89*1000*O89*(New!DS89-F89)+Sheet3!CL89*'Cooling water'!CS89) / (New!FL89+'Cooling water'!CS89)</f>
        <v>25.723492233778046</v>
      </c>
      <c r="Y89" s="4">
        <f>(New!FM89*Sheet3!CD89+New!HZ89*1000*P89*(New!DT89-G89)+Sheet3!CM89*'Cooling water'!CT89) / (New!FM89+'Cooling water'!CT89)</f>
        <v>24.773502832595298</v>
      </c>
      <c r="Z89" s="4">
        <f>(New!FN89*Sheet3!CE89+New!IA89*1000*Q89*(New!DU89-H89)+Sheet3!CN89*'Cooling water'!CU89) / (New!FN89+'Cooling water'!CU89)</f>
        <v>23.59325771388572</v>
      </c>
      <c r="AA89" s="4">
        <f>(New!FO89*Sheet3!CF89+New!IB89*1000*R89*(New!DV89-I89)+Sheet3!CO89*'Cooling water'!CV89) / (New!FO89+'Cooling water'!CV89)</f>
        <v>22.599402665395669</v>
      </c>
      <c r="AB89" s="4">
        <f>(New!FP89*Sheet3!CG89+New!IC89*1000*S89*(New!DW89-J89)+Sheet3!CP89*'Cooling water'!CW89) / (New!FP89+'Cooling water'!CW89)</f>
        <v>21.408806297552626</v>
      </c>
      <c r="AC89" s="245">
        <f t="shared" si="4"/>
        <v>25.273855125000001</v>
      </c>
      <c r="AD89" s="311">
        <v>30.212617999999999</v>
      </c>
      <c r="AE89" s="311">
        <v>28.599415</v>
      </c>
      <c r="AF89" s="311">
        <v>27.125432</v>
      </c>
      <c r="AG89" s="311">
        <v>25.838238</v>
      </c>
      <c r="AH89" s="311">
        <v>24.569372000000001</v>
      </c>
      <c r="AI89" s="311">
        <v>23.266062000000002</v>
      </c>
      <c r="AJ89" s="311">
        <v>21.972726999999999</v>
      </c>
      <c r="AK89" s="311">
        <v>20.606977000000001</v>
      </c>
      <c r="AL89" s="243">
        <f>AVERAGE(Sheet3!BR89:BY89)</f>
        <v>21.076665122995617</v>
      </c>
      <c r="AM89" s="183" cm="1">
        <f t="array" ref="AM89:AT89">TRANSPOSE('[96]Keithley Matavimai'!$W$6:$W$13)</f>
        <v>28.809586954960121</v>
      </c>
      <c r="AN89" s="183">
        <v>24.536154054684321</v>
      </c>
      <c r="AO89" s="183">
        <v>23.993340221660649</v>
      </c>
      <c r="AP89" s="183">
        <v>20.189699651811328</v>
      </c>
      <c r="AQ89" s="183">
        <v>19.93682102504863</v>
      </c>
      <c r="AR89" s="183">
        <v>19.718537025610583</v>
      </c>
      <c r="AS89" s="183">
        <v>18.888376099141293</v>
      </c>
      <c r="AT89" s="183">
        <v>12.540805951048037</v>
      </c>
      <c r="AU89" s="183">
        <f t="shared" si="3"/>
        <v>4.1971900020043833</v>
      </c>
      <c r="AX89" s="281"/>
      <c r="AY89" s="281"/>
      <c r="AZ89" s="281"/>
      <c r="BA89" s="281"/>
    </row>
    <row r="90" spans="1:53" ht="16.8" x14ac:dyDescent="0.3">
      <c r="A90" s="282" t="str">
        <f>Sheet3!A90</f>
        <v>2023.02.21-2</v>
      </c>
      <c r="B90" s="248">
        <f>EXP(New!$LP$6-((New!$LQ$6)/(AC90+New!$LP$8)))/New!$LS$2</f>
        <v>2.7341184999690325E-2</v>
      </c>
      <c r="C90" s="312">
        <f>EXP(New!$LP$6-((New!$LQ$6)/(AD90+New!$LP$8)))/New!$LS$2</f>
        <v>3.5328353975952215E-2</v>
      </c>
      <c r="D90" s="312">
        <f>EXP(New!$LP$6-((New!$LQ$6)/(AE90+New!$LP$8)))/New!$LS$2</f>
        <v>3.2610940106111083E-2</v>
      </c>
      <c r="E90" s="312">
        <f>EXP(New!$LP$6-((New!$LQ$6)/(AF90+New!$LP$8)))/New!$LS$2</f>
        <v>3.0232329867071993E-2</v>
      </c>
      <c r="F90" s="312">
        <f>EXP(New!$LP$6-((New!$LQ$6)/(AG90+New!$LP$8)))/New!$LS$2</f>
        <v>2.8201930442995217E-2</v>
      </c>
      <c r="G90" s="312">
        <f>EXP(New!$LP$6-((New!$LQ$6)/(AH90+New!$LP$8)))/New!$LS$2</f>
        <v>2.6414440954124825E-2</v>
      </c>
      <c r="H90" s="312">
        <f>EXP(New!$LP$6-((New!$LQ$6)/(AI90+New!$LP$8)))/New!$LS$2</f>
        <v>2.4608966749604968E-2</v>
      </c>
      <c r="I90" s="312">
        <f>EXP(New!$LP$6-((New!$LQ$6)/(AJ90+New!$LP$8)))/New!$LS$2</f>
        <v>2.2847160117987056E-2</v>
      </c>
      <c r="J90" s="312">
        <f>EXP(New!$LP$6-((New!$LQ$6)/(AK90+New!$LP$8)))/New!$LS$2</f>
        <v>2.1099969609571834E-2</v>
      </c>
      <c r="K90" s="245">
        <f>((New!FH90*New!$LP$3*LN((1-B90)/(1-New!DO90))) / (New!BV90*1000*New!$LQ$3*(1-B90-1+New!DO90)*New!B90^(2/3)))</f>
        <v>6.8602891271218658E-2</v>
      </c>
      <c r="L90" s="4">
        <f>((New!FI90*New!$LP$3*LN((1-C90)/(1-New!DP90))) / (New!BW90*1000*New!$LQ$3*(1-C90-1+New!DP90)*New!C90^(2/3)))</f>
        <v>6.8884573421117992E-2</v>
      </c>
      <c r="M90" s="4">
        <f>((New!FJ90*New!$LP$3*LN((1-D90)/(1-New!DQ90))) / (New!BX90*1000*New!$LQ$3*(1-D90-1+New!DQ90)*New!D90^(2/3)))</f>
        <v>6.8688595001828071E-2</v>
      </c>
      <c r="N90" s="4">
        <f>((New!FK90*New!$LP$3*LN((1-E90)/(1-New!DR90))) / (New!BY90*1000*New!$LQ$3*(1-E90-1+New!DR90)*New!E90^(2/3)))</f>
        <v>6.8549050445964418E-2</v>
      </c>
      <c r="O90" s="4">
        <f>((New!FL90*New!$LP$3*LN((1-F90)/(1-New!DS90))) / (New!BZ90*1000*New!$LQ$3*(1-F90-1+New!DS90)*New!F90^(2/3)))</f>
        <v>6.8377923836723045E-2</v>
      </c>
      <c r="P90" s="4">
        <f>((New!FM90*New!$LP$3*LN((1-G90)/(1-New!DT90))) / (New!CA90*1000*New!$LQ$3*(1-G90-1+New!DT90)*New!G90^(2/3)))</f>
        <v>6.8289321709490453E-2</v>
      </c>
      <c r="Q90" s="4">
        <f>((New!FN90*New!$LP$3*LN((1-H90)/(1-New!DU90))) / (New!CB90*1000*New!$LQ$3*(1-H90-1+New!DU90)*New!H90^(2/3)))</f>
        <v>6.8148743122318695E-2</v>
      </c>
      <c r="R90" s="4">
        <f>((New!FO90*New!$LP$3*LN((1-I90)/(1-New!DV90))) / (New!CC90*1000*New!$LQ$3*(1-I90-1+New!DV90)*New!I90^(2/3)))</f>
        <v>6.806415292699404E-2</v>
      </c>
      <c r="S90" s="4">
        <f>((New!FP90*New!$LP$3*LN((1-J90)/(1-New!DW90))) / (New!CD90*1000*New!$LQ$3*(1-J90-1+New!DW90)*New!J90^(2/3)))</f>
        <v>6.7943375004207079E-2</v>
      </c>
      <c r="T90" s="245">
        <f>(New!FH90*Sheet3!DF90+New!HU90*1000*K90*(New!DO90-B90)+'Cooling water'!CO90*'Cooling water'!B90) / (New!FH90+'Cooling water'!CO90)</f>
        <v>20.607476876191395</v>
      </c>
      <c r="U90" s="4">
        <f>(New!FI90*Sheet3!BZ90+New!HV90*1000*L90*(New!DP90-C90)+Sheet3!CI90*'Cooling water'!CP90) / (New!FI90+'Cooling water'!CP90)</f>
        <v>26.952348109769069</v>
      </c>
      <c r="V90" s="4">
        <f>(New!FJ90*Sheet3!CA90+New!HW90*1000*M90*(New!DQ90-D90)+Sheet3!CJ90*'Cooling water'!CQ90) / (New!FJ90+'Cooling water'!CQ90)</f>
        <v>25.591639487337439</v>
      </c>
      <c r="W90" s="4">
        <f>(New!FK90*Sheet3!CB90+New!HX90*1000*N90*(New!DR90-E90)+Sheet3!CK90*'Cooling water'!CR90) / (New!FK90+'Cooling water'!CR90)</f>
        <v>24.495454253427123</v>
      </c>
      <c r="X90" s="4">
        <f>(New!FL90*Sheet3!CC90+New!HY90*1000*O90*(New!DS90-F90)+Sheet3!CL90*'Cooling water'!CS90) / (New!FL90+'Cooling water'!CS90)</f>
        <v>23.347056312638397</v>
      </c>
      <c r="Y90" s="4">
        <f>(New!FM90*Sheet3!CD90+New!HZ90*1000*P90*(New!DT90-G90)+Sheet3!CM90*'Cooling water'!CT90) / (New!FM90+'Cooling water'!CT90)</f>
        <v>22.490014106412094</v>
      </c>
      <c r="Z90" s="4">
        <f>(New!FN90*Sheet3!CE90+New!IA90*1000*Q90*(New!DU90-H90)+Sheet3!CN90*'Cooling water'!CU90) / (New!FN90+'Cooling water'!CU90)</f>
        <v>21.465638865897354</v>
      </c>
      <c r="AA90" s="4">
        <f>(New!FO90*Sheet3!CF90+New!IB90*1000*R90*(New!DV90-I90)+Sheet3!CO90*'Cooling water'!CV90) / (New!FO90+'Cooling water'!CV90)</f>
        <v>20.508692742149858</v>
      </c>
      <c r="AB90" s="4">
        <f>(New!FP90*Sheet3!CG90+New!IC90*1000*S90*(New!DW90-J90)+Sheet3!CP90*'Cooling water'!CW90) / (New!FP90+'Cooling water'!CW90)</f>
        <v>19.402074286527583</v>
      </c>
      <c r="AC90" s="245">
        <f t="shared" si="4"/>
        <v>22.937085</v>
      </c>
      <c r="AD90" s="311">
        <v>27.200202000000001</v>
      </c>
      <c r="AE90" s="311">
        <v>25.853287000000002</v>
      </c>
      <c r="AF90" s="311">
        <v>24.591881000000001</v>
      </c>
      <c r="AG90" s="311">
        <v>23.445036000000002</v>
      </c>
      <c r="AH90" s="311">
        <v>22.374412</v>
      </c>
      <c r="AI90" s="311">
        <v>21.227074999999999</v>
      </c>
      <c r="AJ90" s="311">
        <v>20.034602</v>
      </c>
      <c r="AK90" s="311">
        <v>18.770185000000001</v>
      </c>
      <c r="AL90" s="243">
        <f>AVERAGE(Sheet3!BR90:BY90)</f>
        <v>19.510893557277186</v>
      </c>
      <c r="AM90" s="183" cm="1">
        <f t="array" ref="AM90:AT90">TRANSPOSE('[97]Keithley Matavimai'!$W$6:$W$13)</f>
        <v>26.072377331634801</v>
      </c>
      <c r="AN90" s="183">
        <v>21.439192384393607</v>
      </c>
      <c r="AO90" s="183">
        <v>22.288580067004602</v>
      </c>
      <c r="AP90" s="183">
        <v>18.349911167533492</v>
      </c>
      <c r="AQ90" s="183">
        <v>18.585017582675267</v>
      </c>
      <c r="AR90" s="183">
        <v>18.442828792453145</v>
      </c>
      <c r="AS90" s="183">
        <v>17.626967611509684</v>
      </c>
      <c r="AT90" s="183">
        <v>13.28227352101287</v>
      </c>
      <c r="AU90" s="183">
        <f t="shared" si="3"/>
        <v>3.4261914427228142</v>
      </c>
      <c r="AX90" s="281"/>
      <c r="AY90" s="281"/>
      <c r="AZ90" s="281"/>
      <c r="BA90" s="281"/>
    </row>
    <row r="91" spans="1:53" ht="16.8" x14ac:dyDescent="0.3">
      <c r="A91" s="282" t="str">
        <f>Sheet3!A91</f>
        <v>2023.02.22-1</v>
      </c>
      <c r="B91" s="248">
        <f>EXP(New!$LP$6-((New!$LQ$6)/(AC91+New!$LP$8)))/New!$LS$2</f>
        <v>2.2886153708791667E-2</v>
      </c>
      <c r="C91" s="312">
        <f>EXP(New!$LP$6-((New!$LQ$6)/(AD91+New!$LP$8)))/New!$LS$2</f>
        <v>2.7710119472049589E-2</v>
      </c>
      <c r="D91" s="312">
        <f>EXP(New!$LP$6-((New!$LQ$6)/(AE91+New!$LP$8)))/New!$LS$2</f>
        <v>2.620515956526125E-2</v>
      </c>
      <c r="E91" s="312">
        <f>EXP(New!$LP$6-((New!$LQ$6)/(AF91+New!$LP$8)))/New!$LS$2</f>
        <v>2.4807637582725164E-2</v>
      </c>
      <c r="F91" s="312">
        <f>EXP(New!$LP$6-((New!$LQ$6)/(AG91+New!$LP$8)))/New!$LS$2</f>
        <v>2.3488444993447984E-2</v>
      </c>
      <c r="G91" s="312">
        <f>EXP(New!$LP$6-((New!$LQ$6)/(AH91+New!$LP$8)))/New!$LS$2</f>
        <v>2.2268681379613634E-2</v>
      </c>
      <c r="H91" s="312">
        <f>EXP(New!$LP$6-((New!$LQ$6)/(AI91+New!$LP$8)))/New!$LS$2</f>
        <v>2.1098301633698243E-2</v>
      </c>
      <c r="I91" s="312">
        <f>EXP(New!$LP$6-((New!$LQ$6)/(AJ91+New!$LP$8)))/New!$LS$2</f>
        <v>1.9950404113329531E-2</v>
      </c>
      <c r="J91" s="312">
        <f>EXP(New!$LP$6-((New!$LQ$6)/(AK91+New!$LP$8)))/New!$LS$2</f>
        <v>1.882179465324257E-2</v>
      </c>
      <c r="K91" s="245">
        <f>((New!FH91*New!$LP$3*LN((1-B91)/(1-New!DO91))) / (New!BV91*1000*New!$LQ$3*(1-B91-1+New!DO91)*New!B91^(2/3)))</f>
        <v>5.9630888971444258E-2</v>
      </c>
      <c r="L91" s="4">
        <f>((New!FI91*New!$LP$3*LN((1-C91)/(1-New!DP91))) / (New!BW91*1000*New!$LQ$3*(1-C91-1+New!DP91)*New!C91^(2/3)))</f>
        <v>5.9779894237992549E-2</v>
      </c>
      <c r="M91" s="4">
        <f>((New!FJ91*New!$LP$3*LN((1-D91)/(1-New!DQ91))) / (New!BX91*1000*New!$LQ$3*(1-D91-1+New!DQ91)*New!D91^(2/3)))</f>
        <v>5.9728769268814604E-2</v>
      </c>
      <c r="N91" s="4">
        <f>((New!FK91*New!$LP$3*LN((1-E91)/(1-New!DR91))) / (New!BY91*1000*New!$LQ$3*(1-E91-1+New!DR91)*New!E91^(2/3)))</f>
        <v>5.9705427942809162E-2</v>
      </c>
      <c r="O91" s="4">
        <f>((New!FL91*New!$LP$3*LN((1-F91)/(1-New!DS91))) / (New!BZ91*1000*New!$LQ$3*(1-F91-1+New!DS91)*New!F91^(2/3)))</f>
        <v>5.9647952888228238E-2</v>
      </c>
      <c r="P91" s="4">
        <f>((New!FM91*New!$LP$3*LN((1-G91)/(1-New!DT91))) / (New!CA91*1000*New!$LQ$3*(1-G91-1+New!DT91)*New!G91^(2/3)))</f>
        <v>5.9630487814594402E-2</v>
      </c>
      <c r="Q91" s="4">
        <f>((New!FN91*New!$LP$3*LN((1-H91)/(1-New!DU91))) / (New!CB91*1000*New!$LQ$3*(1-H91-1+New!DU91)*New!H91^(2/3)))</f>
        <v>5.9575500040694881E-2</v>
      </c>
      <c r="R91" s="4">
        <f>((New!FO91*New!$LP$3*LN((1-I91)/(1-New!DV91))) / (New!CC91*1000*New!$LQ$3*(1-I91-1+New!DV91)*New!I91^(2/3)))</f>
        <v>5.9561544838307508E-2</v>
      </c>
      <c r="S91" s="4">
        <f>((New!FP91*New!$LP$3*LN((1-J91)/(1-New!DW91))) / (New!CD91*1000*New!$LQ$3*(1-J91-1+New!DW91)*New!J91^(2/3)))</f>
        <v>5.9512192816524805E-2</v>
      </c>
      <c r="T91" s="245">
        <f>(New!FH91*Sheet3!DF91+New!HU91*1000*K91*(New!DO91-B91)+'Cooling water'!CO91*'Cooling water'!B91) / (New!FH91+'Cooling water'!CO91)</f>
        <v>17.669755126244972</v>
      </c>
      <c r="U91" s="4">
        <f>(New!FI91*Sheet3!BZ91+New!HV91*1000*L91*(New!DP91-C91)+Sheet3!CI91*'Cooling water'!CP91) / (New!FI91+'Cooling water'!CP91)</f>
        <v>22.576218137219918</v>
      </c>
      <c r="V91" s="4">
        <f>(New!FJ91*Sheet3!CA91+New!HW91*1000*M91*(New!DQ91-D91)+Sheet3!CJ91*'Cooling water'!CQ91) / (New!FJ91+'Cooling water'!CQ91)</f>
        <v>21.795570890018737</v>
      </c>
      <c r="W91" s="4">
        <f>(New!FK91*Sheet3!CB91+New!HX91*1000*N91*(New!DR91-E91)+Sheet3!CK91*'Cooling water'!CR91) / (New!FK91+'Cooling water'!CR91)</f>
        <v>21.10981594760008</v>
      </c>
      <c r="X91" s="4">
        <f>(New!FL91*Sheet3!CC91+New!HY91*1000*O91*(New!DS91-F91)+Sheet3!CL91*'Cooling water'!CS91) / (New!FL91+'Cooling water'!CS91)</f>
        <v>20.369815938962617</v>
      </c>
      <c r="Y91" s="4">
        <f>(New!FM91*Sheet3!CD91+New!HZ91*1000*P91*(New!DT91-G91)+Sheet3!CM91*'Cooling water'!CT91) / (New!FM91+'Cooling water'!CT91)</f>
        <v>19.737727767752325</v>
      </c>
      <c r="Z91" s="4">
        <f>(New!FN91*Sheet3!CE91+New!IA91*1000*Q91*(New!DU91-H91)+Sheet3!CN91*'Cooling water'!CU91) / (New!FN91+'Cooling water'!CU91)</f>
        <v>19.062950409034716</v>
      </c>
      <c r="AA91" s="4">
        <f>(New!FO91*Sheet3!CF91+New!IB91*1000*R91*(New!DV91-I91)+Sheet3!CO91*'Cooling water'!CV91) / (New!FO91+'Cooling water'!CV91)</f>
        <v>18.429558758826627</v>
      </c>
      <c r="AB91" s="4">
        <f>(New!FP91*Sheet3!CG91+New!IC91*1000*S91*(New!DW91-J91)+Sheet3!CP91*'Cooling water'!CW91) / (New!FP91+'Cooling water'!CW91)</f>
        <v>17.718460702605565</v>
      </c>
      <c r="AC91" s="245">
        <f t="shared" si="4"/>
        <v>20.061847499999999</v>
      </c>
      <c r="AD91" s="311">
        <v>23.156480999999999</v>
      </c>
      <c r="AE91" s="311">
        <v>22.244976000000001</v>
      </c>
      <c r="AF91" s="311">
        <v>21.356843999999999</v>
      </c>
      <c r="AG91" s="311">
        <v>20.477629</v>
      </c>
      <c r="AH91" s="311">
        <v>19.625579999999999</v>
      </c>
      <c r="AI91" s="311">
        <v>18.768934999999999</v>
      </c>
      <c r="AJ91" s="311">
        <v>17.887550999999998</v>
      </c>
      <c r="AK91" s="311">
        <v>16.976783999999999</v>
      </c>
      <c r="AL91" s="243">
        <f>AVERAGE(Sheet3!BR91:BY91)</f>
        <v>16.541589286515656</v>
      </c>
      <c r="AM91" s="183" cm="1">
        <f t="array" ref="AM91:AT91">TRANSPOSE('[98]Keithley Matavimai'!$W$6:$W$13)</f>
        <v>21.608990415634636</v>
      </c>
      <c r="AN91" s="183">
        <v>18.135978858703105</v>
      </c>
      <c r="AO91" s="183">
        <v>18.684324138903243</v>
      </c>
      <c r="AP91" s="183">
        <v>15.715517689186457</v>
      </c>
      <c r="AQ91" s="183">
        <v>16.064359472441723</v>
      </c>
      <c r="AR91" s="183">
        <v>16.147627336888778</v>
      </c>
      <c r="AS91" s="183">
        <v>15.331526331669442</v>
      </c>
      <c r="AT91" s="183">
        <v>10.644390048697868</v>
      </c>
      <c r="AU91" s="183">
        <f t="shared" si="3"/>
        <v>3.5202582134843432</v>
      </c>
      <c r="AX91" s="281"/>
      <c r="AY91" s="281"/>
      <c r="AZ91" s="281"/>
      <c r="BA91" s="281"/>
    </row>
    <row r="92" spans="1:53" ht="16.8" x14ac:dyDescent="0.3">
      <c r="A92" s="282" t="str">
        <f>Sheet3!A92</f>
        <v>2023.02.22-2</v>
      </c>
      <c r="B92" s="248">
        <f>EXP(New!$LP$6-((New!$LQ$6)/(AC92+New!$LP$8)))/New!$LS$2</f>
        <v>2.4919873009276224E-2</v>
      </c>
      <c r="C92" s="312">
        <f>EXP(New!$LP$6-((New!$LQ$6)/(AD92+New!$LP$8)))/New!$LS$2</f>
        <v>3.0885264846293156E-2</v>
      </c>
      <c r="D92" s="312">
        <f>EXP(New!$LP$6-((New!$LQ$6)/(AE92+New!$LP$8)))/New!$LS$2</f>
        <v>2.9004591897301028E-2</v>
      </c>
      <c r="E92" s="312">
        <f>EXP(New!$LP$6-((New!$LQ$6)/(AF92+New!$LP$8)))/New!$LS$2</f>
        <v>2.7216571082290697E-2</v>
      </c>
      <c r="F92" s="312">
        <f>EXP(New!$LP$6-((New!$LQ$6)/(AG92+New!$LP$8)))/New!$LS$2</f>
        <v>2.5624815989052783E-2</v>
      </c>
      <c r="G92" s="312">
        <f>EXP(New!$LP$6-((New!$LQ$6)/(AH92+New!$LP$8)))/New!$LS$2</f>
        <v>2.4171874514304803E-2</v>
      </c>
      <c r="H92" s="312">
        <f>EXP(New!$LP$6-((New!$LQ$6)/(AI92+New!$LP$8)))/New!$LS$2</f>
        <v>2.2767260371894811E-2</v>
      </c>
      <c r="I92" s="312">
        <f>EXP(New!$LP$6-((New!$LQ$6)/(AJ92+New!$LP$8)))/New!$LS$2</f>
        <v>2.1414153240403151E-2</v>
      </c>
      <c r="J92" s="312">
        <f>EXP(New!$LP$6-((New!$LQ$6)/(AK92+New!$LP$8)))/New!$LS$2</f>
        <v>1.9991755812047551E-2</v>
      </c>
      <c r="K92" s="245">
        <f>((New!FH92*New!$LP$3*LN((1-B92)/(1-New!DO92))) / (New!BV92*1000*New!$LQ$3*(1-B92-1+New!DO92)*New!B92^(2/3)))</f>
        <v>6.5169009381415233E-2</v>
      </c>
      <c r="L92" s="4">
        <f>((New!FI92*New!$LP$3*LN((1-C92)/(1-New!DP92))) / (New!BW92*1000*New!$LQ$3*(1-C92-1+New!DP92)*New!C92^(2/3)))</f>
        <v>6.5364162222560279E-2</v>
      </c>
      <c r="M92" s="4">
        <f>((New!FJ92*New!$LP$3*LN((1-D92)/(1-New!DQ92))) / (New!BX92*1000*New!$LQ$3*(1-D92-1+New!DQ92)*New!D92^(2/3)))</f>
        <v>6.5265204117130549E-2</v>
      </c>
      <c r="N92" s="4">
        <f>((New!FK92*New!$LP$3*LN((1-E92)/(1-New!DR92))) / (New!BY92*1000*New!$LQ$3*(1-E92-1+New!DR92)*New!E92^(2/3)))</f>
        <v>6.5198313095143387E-2</v>
      </c>
      <c r="O92" s="4">
        <f>((New!FL92*New!$LP$3*LN((1-F92)/(1-New!DS92))) / (New!BZ92*1000*New!$LQ$3*(1-F92-1+New!DS92)*New!F92^(2/3)))</f>
        <v>6.5100459954184148E-2</v>
      </c>
      <c r="P92" s="4">
        <f>((New!FM92*New!$LP$3*LN((1-G92)/(1-New!DT92))) / (New!CA92*1000*New!$LQ$3*(1-G92-1+New!DT92)*New!G92^(2/3)))</f>
        <v>6.5054332505536314E-2</v>
      </c>
      <c r="Q92" s="4">
        <f>((New!FN92*New!$LP$3*LN((1-H92)/(1-New!DU92))) / (New!CB92*1000*New!$LQ$3*(1-H92-1+New!DU92)*New!H92^(2/3)))</f>
        <v>6.4977436422508819E-2</v>
      </c>
      <c r="R92" s="4">
        <f>((New!FO92*New!$LP$3*LN((1-I92)/(1-New!DV92))) / (New!CC92*1000*New!$LQ$3*(1-I92-1+New!DV92)*New!I92^(2/3)))</f>
        <v>6.4940911508027235E-2</v>
      </c>
      <c r="S92" s="4">
        <f>((New!FP92*New!$LP$3*LN((1-J92)/(1-New!DW92))) / (New!CD92*1000*New!$LQ$3*(1-J92-1+New!DW92)*New!J92^(2/3)))</f>
        <v>6.4868558565698356E-2</v>
      </c>
      <c r="T92" s="245">
        <f>(New!FH92*Sheet3!DF92+New!HU92*1000*K92*(New!DO92-B92)+'Cooling water'!CO92*'Cooling water'!B92) / (New!FH92+'Cooling water'!CO92)</f>
        <v>19.084543851303977</v>
      </c>
      <c r="U92" s="4">
        <f>(New!FI92*Sheet3!BZ92+New!HV92*1000*L92*(New!DP92-C92)+Sheet3!CI92*'Cooling water'!CP92) / (New!FI92+'Cooling water'!CP92)</f>
        <v>24.505760709203596</v>
      </c>
      <c r="V92" s="4">
        <f>(New!FJ92*Sheet3!CA92+New!HW92*1000*M92*(New!DQ92-D92)+Sheet3!CJ92*'Cooling water'!CQ92) / (New!FJ92+'Cooling water'!CQ92)</f>
        <v>23.555776024289088</v>
      </c>
      <c r="W92" s="4">
        <f>(New!FK92*Sheet3!CB92+New!HX92*1000*N92*(New!DR92-E92)+Sheet3!CK92*'Cooling water'!CR92) / (New!FK92+'Cooling water'!CR92)</f>
        <v>22.687344937104299</v>
      </c>
      <c r="X92" s="4">
        <f>(New!FL92*Sheet3!CC92+New!HY92*1000*O92*(New!DS92-F92)+Sheet3!CL92*'Cooling water'!CS92) / (New!FL92+'Cooling water'!CS92)</f>
        <v>21.772692484055703</v>
      </c>
      <c r="Y92" s="4">
        <f>(New!FM92*Sheet3!CD92+New!HZ92*1000*P92*(New!DT92-G92)+Sheet3!CM92*'Cooling water'!CT92) / (New!FM92+'Cooling water'!CT92)</f>
        <v>21.041208462443237</v>
      </c>
      <c r="Z92" s="4">
        <f>(New!FN92*Sheet3!CE92+New!IA92*1000*Q92*(New!DU92-H92)+Sheet3!CN92*'Cooling water'!CU92) / (New!FN92+'Cooling water'!CU92)</f>
        <v>20.218105403716635</v>
      </c>
      <c r="AA92" s="4">
        <f>(New!FO92*Sheet3!CF92+New!IB92*1000*R92*(New!DV92-I92)+Sheet3!CO92*'Cooling water'!CV92) / (New!FO92+'Cooling water'!CV92)</f>
        <v>19.457573621128894</v>
      </c>
      <c r="AB92" s="4">
        <f>(New!FP92*Sheet3!CG92+New!IC92*1000*S92*(New!DW92-J92)+Sheet3!CP92*'Cooling water'!CW92) / (New!FP92+'Cooling water'!CW92)</f>
        <v>18.577560178870804</v>
      </c>
      <c r="AC92" s="245">
        <f t="shared" si="4"/>
        <v>21.429755625000002</v>
      </c>
      <c r="AD92" s="311">
        <v>24.946480999999999</v>
      </c>
      <c r="AE92" s="311">
        <v>23.906718999999999</v>
      </c>
      <c r="AF92" s="311">
        <v>22.862399</v>
      </c>
      <c r="AG92" s="311">
        <v>21.881287</v>
      </c>
      <c r="AH92" s="311">
        <v>20.938334000000001</v>
      </c>
      <c r="AI92" s="311">
        <v>19.978648</v>
      </c>
      <c r="AJ92" s="311">
        <v>19.004117000000001</v>
      </c>
      <c r="AK92" s="311">
        <v>17.920059999999999</v>
      </c>
      <c r="AL92" s="243">
        <f>AVERAGE(Sheet3!BR92:BY92)</f>
        <v>17.754993987540022</v>
      </c>
      <c r="AM92" s="183" cm="1">
        <f t="array" ref="AM92:AT92">TRANSPOSE('[99]Keithley Matavimai'!$W$6:$W$13)</f>
        <v>23.27621269191728</v>
      </c>
      <c r="AN92" s="183">
        <v>19.177254686243483</v>
      </c>
      <c r="AO92" s="183">
        <v>20.10583684727489</v>
      </c>
      <c r="AP92" s="183">
        <v>16.850084671305964</v>
      </c>
      <c r="AQ92" s="183">
        <v>17.398638546789275</v>
      </c>
      <c r="AR92" s="183">
        <v>17.473068899855495</v>
      </c>
      <c r="AS92" s="183">
        <v>16.398114519000483</v>
      </c>
      <c r="AT92" s="183">
        <v>11.360741037933302</v>
      </c>
      <c r="AU92" s="183">
        <f t="shared" si="3"/>
        <v>3.6747616374599801</v>
      </c>
      <c r="AX92" s="281"/>
      <c r="AY92" s="281"/>
      <c r="AZ92" s="281"/>
      <c r="BA92" s="281"/>
    </row>
    <row r="93" spans="1:53" ht="16.8" x14ac:dyDescent="0.3">
      <c r="A93" s="282" t="str">
        <f>Sheet3!A93</f>
        <v>2023.02.23-1</v>
      </c>
      <c r="B93" s="248">
        <f>EXP(New!$LP$6-((New!$LQ$6)/(AC93+New!$LP$8)))/New!$LS$2</f>
        <v>4.1610072308117349E-2</v>
      </c>
      <c r="C93" s="312">
        <f>EXP(New!$LP$6-((New!$LQ$6)/(AD93+New!$LP$8)))/New!$LS$2</f>
        <v>4.7199653701445306E-2</v>
      </c>
      <c r="D93" s="312">
        <f>EXP(New!$LP$6-((New!$LQ$6)/(AE93+New!$LP$8)))/New!$LS$2</f>
        <v>5.2430250710097388E-2</v>
      </c>
      <c r="E93" s="312">
        <f>EXP(New!$LP$6-((New!$LQ$6)/(AF93+New!$LP$8)))/New!$LS$2</f>
        <v>4.8265918590208221E-2</v>
      </c>
      <c r="F93" s="312">
        <f>EXP(New!$LP$6-((New!$LQ$6)/(AG93+New!$LP$8)))/New!$LS$2</f>
        <v>4.4467048333579798E-2</v>
      </c>
      <c r="G93" s="312">
        <f>EXP(New!$LP$6-((New!$LQ$6)/(AH93+New!$LP$8)))/New!$LS$2</f>
        <v>4.1035744384025984E-2</v>
      </c>
      <c r="H93" s="312">
        <f>EXP(New!$LP$6-((New!$LQ$6)/(AI93+New!$LP$8)))/New!$LS$2</f>
        <v>3.7709070590348531E-2</v>
      </c>
      <c r="I93" s="312">
        <f>EXP(New!$LP$6-((New!$LQ$6)/(AJ93+New!$LP$8)))/New!$LS$2</f>
        <v>3.44417583387319E-2</v>
      </c>
      <c r="J93" s="312">
        <f>EXP(New!$LP$6-((New!$LQ$6)/(AK93+New!$LP$8)))/New!$LS$2</f>
        <v>3.1274336271872864E-2</v>
      </c>
      <c r="K93" s="245">
        <f>((New!FH93*New!$LP$3*LN((1-B93)/(1-New!DO93))) / (New!BV93*1000*New!$LQ$3*(1-B93-1+New!DO93)*New!B93^(2/3)))</f>
        <v>4.5250340165503895E-2</v>
      </c>
      <c r="L93" s="4">
        <f>((New!FI93*New!$LP$3*LN((1-C93)/(1-New!DP93))) / (New!BW93*1000*New!$LQ$3*(1-C93-1+New!DP93)*New!C93^(2/3)))</f>
        <v>4.5381852706704917E-2</v>
      </c>
      <c r="M93" s="4">
        <f>((New!FJ93*New!$LP$3*LN((1-D93)/(1-New!DQ93))) / (New!BX93*1000*New!$LQ$3*(1-D93-1+New!DQ93)*New!D93^(2/3)))</f>
        <v>4.5482860822395575E-2</v>
      </c>
      <c r="N93" s="4">
        <f>((New!FK93*New!$LP$3*LN((1-E93)/(1-New!DR93))) / (New!BY93*1000*New!$LQ$3*(1-E93-1+New!DR93)*New!E93^(2/3)))</f>
        <v>4.5398825377409774E-2</v>
      </c>
      <c r="O93" s="4">
        <f>((New!FL93*New!$LP$3*LN((1-F93)/(1-New!DS93))) / (New!BZ93*1000*New!$LQ$3*(1-F93-1+New!DS93)*New!F93^(2/3)))</f>
        <v>4.5304574359263841E-2</v>
      </c>
      <c r="P93" s="4">
        <f>((New!FM93*New!$LP$3*LN((1-G93)/(1-New!DT93))) / (New!CA93*1000*New!$LQ$3*(1-G93-1+New!DT93)*New!G93^(2/3)))</f>
        <v>4.5237139943047365E-2</v>
      </c>
      <c r="Q93" s="4">
        <f>((New!FN93*New!$LP$3*LN((1-H93)/(1-New!DU93))) / (New!CB93*1000*New!$LQ$3*(1-H93-1+New!DU93)*New!H93^(2/3)))</f>
        <v>4.51327871159274E-2</v>
      </c>
      <c r="R93" s="4">
        <f>((New!FO93*New!$LP$3*LN((1-I93)/(1-New!DV93))) / (New!CC93*1000*New!$LQ$3*(1-I93-1+New!DV93)*New!I93^(2/3)))</f>
        <v>4.5077778585842741E-2</v>
      </c>
      <c r="S93" s="4">
        <f>((New!FP93*New!$LP$3*LN((1-J93)/(1-New!DW93))) / (New!CD93*1000*New!$LQ$3*(1-J93-1+New!DW93)*New!J93^(2/3)))</f>
        <v>4.4988753457060368E-2</v>
      </c>
      <c r="T93" s="245">
        <f>(New!FH93*Sheet3!DF93+New!HU93*1000*K93*(New!DO93-B93)+'Cooling water'!CO93*'Cooling water'!B93) / (New!FH93+'Cooling water'!CO93)</f>
        <v>37.594537756779424</v>
      </c>
      <c r="U93" s="4">
        <f>(New!FI93*Sheet3!BZ93+New!HV93*1000*L93*(New!DP93-C93)+Sheet3!CI93*'Cooling water'!CP93) / (New!FI93+'Cooling water'!CP93)</f>
        <v>31.357764064387982</v>
      </c>
      <c r="V93" s="4">
        <f>(New!FJ93*Sheet3!CA93+New!HW93*1000*M93*(New!DQ93-D93)+Sheet3!CJ93*'Cooling water'!CQ93) / (New!FJ93+'Cooling water'!CQ93)</f>
        <v>29.595678287812209</v>
      </c>
      <c r="W93" s="4">
        <f>(New!FK93*Sheet3!CB93+New!HX93*1000*N93*(New!DR93-E93)+Sheet3!CK93*'Cooling water'!CR93) / (New!FK93+'Cooling water'!CR93)</f>
        <v>42.464986546729477</v>
      </c>
      <c r="X93" s="4">
        <f>(New!FL93*Sheet3!CC93+New!HY93*1000*O93*(New!DS93-F93)+Sheet3!CL93*'Cooling water'!CS93) / (New!FL93+'Cooling water'!CS93)</f>
        <v>41.390684478008239</v>
      </c>
      <c r="Y93" s="4">
        <f>(New!FM93*Sheet3!CD93+New!HZ93*1000*P93*(New!DT93-G93)+Sheet3!CM93*'Cooling water'!CT93) / (New!FM93+'Cooling water'!CT93)</f>
        <v>40.65469070793015</v>
      </c>
      <c r="Z93" s="4">
        <f>(New!FN93*Sheet3!CE93+New!IA93*1000*Q93*(New!DU93-H93)+Sheet3!CN93*'Cooling water'!CU93) / (New!FN93+'Cooling water'!CU93)</f>
        <v>39.693661115074882</v>
      </c>
      <c r="AA93" s="4">
        <f>(New!FO93*Sheet3!CF93+New!IB93*1000*R93*(New!DV93-I93)+Sheet3!CO93*'Cooling water'!CV93) / (New!FO93+'Cooling water'!CV93)</f>
        <v>38.835426177780484</v>
      </c>
      <c r="AB93" s="4">
        <f>(New!FP93*Sheet3!CG93+New!IC93*1000*S93*(New!DW93-J93)+Sheet3!CP93*'Cooling water'!CW93) / (New!FP93+'Cooling water'!CW93)</f>
        <v>37.702252041355365</v>
      </c>
      <c r="AC93" s="245">
        <f t="shared" si="4"/>
        <v>29.999560249999998</v>
      </c>
      <c r="AD93" s="311">
        <v>32.198058000000003</v>
      </c>
      <c r="AE93" s="311">
        <v>34.060228000000002</v>
      </c>
      <c r="AF93" s="311">
        <v>32.591642999999998</v>
      </c>
      <c r="AG93" s="311">
        <v>31.153153</v>
      </c>
      <c r="AH93" s="311">
        <v>29.759421</v>
      </c>
      <c r="AI93" s="311">
        <v>28.308347999999999</v>
      </c>
      <c r="AJ93" s="311">
        <v>26.770931999999998</v>
      </c>
      <c r="AK93" s="311">
        <v>25.154699000000001</v>
      </c>
      <c r="AL93" s="243">
        <f>AVERAGE(Sheet3!BR93:BY93)</f>
        <v>21.893251424869138</v>
      </c>
      <c r="AM93" s="183" cm="1">
        <f t="array" ref="AM93:AT93">TRANSPOSE('[100]Keithley Matavimai'!$W$6:$W$13)</f>
        <v>27.910307573896379</v>
      </c>
      <c r="AN93" s="183">
        <v>26.393445024569377</v>
      </c>
      <c r="AO93" s="183">
        <v>24.456423782140721</v>
      </c>
      <c r="AP93" s="183">
        <v>21.979896516930825</v>
      </c>
      <c r="AQ93" s="183">
        <v>20.817103082731439</v>
      </c>
      <c r="AR93" s="183">
        <v>20.027771939093313</v>
      </c>
      <c r="AS93" s="183">
        <v>18.879288818803584</v>
      </c>
      <c r="AT93" s="183">
        <v>14.681774660787486</v>
      </c>
      <c r="AU93" s="183">
        <f t="shared" si="3"/>
        <v>8.1063088251308599</v>
      </c>
      <c r="AX93" s="281"/>
      <c r="AY93" s="281"/>
      <c r="AZ93" s="281"/>
      <c r="BA93" s="281"/>
    </row>
    <row r="94" spans="1:53" ht="16.8" x14ac:dyDescent="0.3">
      <c r="A94" s="282" t="str">
        <f>Sheet3!A94</f>
        <v>2023.02.23-2</v>
      </c>
      <c r="B94" s="248">
        <f>EXP(New!$LP$6-((New!$LQ$6)/(AC94+New!$LP$8)))/New!$LS$2</f>
        <v>4.2814655700798197E-2</v>
      </c>
      <c r="C94" s="312">
        <f>EXP(New!$LP$6-((New!$LQ$6)/(AD94+New!$LP$8)))/New!$LS$2</f>
        <v>5.108227503328764E-2</v>
      </c>
      <c r="D94" s="312">
        <f>EXP(New!$LP$6-((New!$LQ$6)/(AE94+New!$LP$8)))/New!$LS$2</f>
        <v>4.7260662522666717E-2</v>
      </c>
      <c r="E94" s="312">
        <f>EXP(New!$LP$6-((New!$LQ$6)/(AF94+New!$LP$8)))/New!$LS$2</f>
        <v>4.3833740468138919E-2</v>
      </c>
      <c r="F94" s="312">
        <f>EXP(New!$LP$6-((New!$LQ$6)/(AG94+New!$LP$8)))/New!$LS$2</f>
        <v>4.0857024514169733E-2</v>
      </c>
      <c r="G94" s="312">
        <f>EXP(New!$LP$6-((New!$LQ$6)/(AH94+New!$LP$8)))/New!$LS$2</f>
        <v>4.6279852130510599E-2</v>
      </c>
      <c r="H94" s="312">
        <f>EXP(New!$LP$6-((New!$LQ$6)/(AI94+New!$LP$8)))/New!$LS$2</f>
        <v>4.229553392902384E-2</v>
      </c>
      <c r="I94" s="312">
        <f>EXP(New!$LP$6-((New!$LQ$6)/(AJ94+New!$LP$8)))/New!$LS$2</f>
        <v>3.8374599658126118E-2</v>
      </c>
      <c r="J94" s="312">
        <f>EXP(New!$LP$6-((New!$LQ$6)/(AK94+New!$LP$8)))/New!$LS$2</f>
        <v>3.4513795319173111E-2</v>
      </c>
      <c r="K94" s="245">
        <f>((New!FH94*New!$LP$3*LN((1-B94)/(1-New!DO94))) / (New!BV94*1000*New!$LQ$3*(1-B94-1+New!DO94)*New!B94^(2/3)))</f>
        <v>4.7405482921190373E-2</v>
      </c>
      <c r="L94" s="4">
        <f>((New!FI94*New!$LP$3*LN((1-C94)/(1-New!DP94))) / (New!BW94*1000*New!$LQ$3*(1-C94-1+New!DP94)*New!C94^(2/3)))</f>
        <v>4.7601991527793125E-2</v>
      </c>
      <c r="M94" s="4">
        <f>((New!FJ94*New!$LP$3*LN((1-D94)/(1-New!DQ94))) / (New!BX94*1000*New!$LQ$3*(1-D94-1+New!DQ94)*New!D94^(2/3)))</f>
        <v>4.7464405055160218E-2</v>
      </c>
      <c r="N94" s="4">
        <f>((New!FK94*New!$LP$3*LN((1-E94)/(1-New!DR94))) / (New!BY94*1000*New!$LQ$3*(1-E94-1+New!DR94)*New!E94^(2/3)))</f>
        <v>4.737424792334631E-2</v>
      </c>
      <c r="O94" s="4">
        <f>((New!FL94*New!$LP$3*LN((1-F94)/(1-New!DS94))) / (New!BZ94*1000*New!$LQ$3*(1-F94-1+New!DS94)*New!F94^(2/3)))</f>
        <v>4.7279831079840143E-2</v>
      </c>
      <c r="P94" s="4">
        <f>((New!FM94*New!$LP$3*LN((1-G94)/(1-New!DT94))) / (New!CA94*1000*New!$LQ$3*(1-G94-1+New!DT94)*New!G94^(2/3)))</f>
        <v>4.7422327477697951E-2</v>
      </c>
      <c r="Q94" s="4">
        <f>((New!FN94*New!$LP$3*LN((1-H94)/(1-New!DU94))) / (New!CB94*1000*New!$LQ$3*(1-H94-1+New!DU94)*New!H94^(2/3)))</f>
        <v>4.729365211867885E-2</v>
      </c>
      <c r="R94" s="4">
        <f>((New!FO94*New!$LP$3*LN((1-I94)/(1-New!DV94))) / (New!CC94*1000*New!$LQ$3*(1-I94-1+New!DV94)*New!I94^(2/3)))</f>
        <v>4.7206990993400942E-2</v>
      </c>
      <c r="S94" s="4">
        <f>((New!FP94*New!$LP$3*LN((1-J94)/(1-New!DW94))) / (New!CD94*1000*New!$LQ$3*(1-J94-1+New!DW94)*New!J94^(2/3)))</f>
        <v>4.7093852703320879E-2</v>
      </c>
      <c r="T94" s="245">
        <f>(New!FH94*Sheet3!DF94+New!HU94*1000*K94*(New!DO94-B94)+'Cooling water'!CO94*'Cooling water'!B94) / (New!FH94+'Cooling water'!CO94)</f>
        <v>43.904847013678967</v>
      </c>
      <c r="U94" s="4">
        <f>(New!FI94*Sheet3!BZ94+New!HV94*1000*L94*(New!DP94-C94)+Sheet3!CI94*'Cooling water'!CP94) / (New!FI94+'Cooling water'!CP94)</f>
        <v>33.032065105638672</v>
      </c>
      <c r="V94" s="4">
        <f>(New!FJ94*Sheet3!CA94+New!HW94*1000*M94*(New!DQ94-D94)+Sheet3!CJ94*'Cooling water'!CQ94) / (New!FJ94+'Cooling water'!CQ94)</f>
        <v>31.678024707226481</v>
      </c>
      <c r="W94" s="4">
        <f>(New!FK94*Sheet3!CB94+New!HX94*1000*N94*(New!DR94-E94)+Sheet3!CK94*'Cooling water'!CR94) / (New!FK94+'Cooling water'!CR94)</f>
        <v>30.605820249459356</v>
      </c>
      <c r="X94" s="4">
        <f>(New!FL94*Sheet3!CC94+New!HY94*1000*O94*(New!DS94-F94)+Sheet3!CL94*'Cooling water'!CS94) / (New!FL94+'Cooling water'!CS94)</f>
        <v>29.489664582832244</v>
      </c>
      <c r="Y94" s="4">
        <f>(New!FM94*Sheet3!CD94+New!HZ94*1000*P94*(New!DT94-G94)+Sheet3!CM94*'Cooling water'!CT94) / (New!FM94+'Cooling water'!CT94)</f>
        <v>27.985625614843784</v>
      </c>
      <c r="Z94" s="4">
        <f>(New!FN94*Sheet3!CE94+New!IA94*1000*Q94*(New!DU94-H94)+Sheet3!CN94*'Cooling water'!CU94) / (New!FN94+'Cooling water'!CU94)</f>
        <v>42.944900385870753</v>
      </c>
      <c r="AA94" s="4">
        <f>(New!FO94*Sheet3!CF94+New!IB94*1000*R94*(New!DV94-I94)+Sheet3!CO94*'Cooling water'!CV94) / (New!FO94+'Cooling water'!CV94)</f>
        <v>41.895676047464981</v>
      </c>
      <c r="AB94" s="4">
        <f>(New!FP94*Sheet3!CG94+New!IC94*1000*S94*(New!DW94-J94)+Sheet3!CP94*'Cooling water'!CW94) / (New!FP94+'Cooling water'!CW94)</f>
        <v>40.466005490711844</v>
      </c>
      <c r="AC94" s="245">
        <f t="shared" si="4"/>
        <v>30.4940505</v>
      </c>
      <c r="AD94" s="311">
        <v>33.596232000000001</v>
      </c>
      <c r="AE94" s="311">
        <v>32.220784000000002</v>
      </c>
      <c r="AF94" s="311">
        <v>30.903084</v>
      </c>
      <c r="AG94" s="311">
        <v>29.684100999999998</v>
      </c>
      <c r="AH94" s="311">
        <v>31.852315999999998</v>
      </c>
      <c r="AI94" s="311">
        <v>30.282442</v>
      </c>
      <c r="AJ94" s="311">
        <v>28.607278999999998</v>
      </c>
      <c r="AK94" s="311">
        <v>26.806166000000001</v>
      </c>
      <c r="AL94" s="243">
        <f>AVERAGE(Sheet3!BR94:BY94)</f>
        <v>23.045177939628051</v>
      </c>
      <c r="AM94" s="183" cm="1">
        <f t="array" ref="AM94:AT94">TRANSPOSE('[101]Keithley Matavimai'!$W$6:$W$13)</f>
        <v>30.44505194269134</v>
      </c>
      <c r="AN94" s="183">
        <v>27.766160287864356</v>
      </c>
      <c r="AO94" s="183">
        <v>25.778730551691933</v>
      </c>
      <c r="AP94" s="183">
        <v>22.989865596559827</v>
      </c>
      <c r="AQ94" s="183">
        <v>22.042976242256298</v>
      </c>
      <c r="AR94" s="183">
        <v>21.067852126357806</v>
      </c>
      <c r="AS94" s="183">
        <v>19.427676174171371</v>
      </c>
      <c r="AT94" s="183">
        <v>14.843110595431458</v>
      </c>
      <c r="AU94" s="183">
        <f t="shared" si="3"/>
        <v>7.4488725603719494</v>
      </c>
      <c r="AX94" s="281"/>
      <c r="AY94" s="281"/>
      <c r="AZ94" s="281"/>
      <c r="BA94" s="281"/>
    </row>
    <row r="95" spans="1:53" ht="16.8" x14ac:dyDescent="0.3">
      <c r="A95" s="282" t="str">
        <f>Sheet3!A95</f>
        <v>2023.02.24</v>
      </c>
      <c r="B95" s="248">
        <f>EXP(New!$LP$6-((New!$LQ$6)/(AC95+New!$LP$8)))/New!$LS$2</f>
        <v>1.9327209726932245E-2</v>
      </c>
      <c r="C95" s="312">
        <f>EXP(New!$LP$6-((New!$LQ$6)/(AD95+New!$LP$8)))/New!$LS$2</f>
        <v>2.2253907049564786E-2</v>
      </c>
      <c r="D95" s="312">
        <f>EXP(New!$LP$6-((New!$LQ$6)/(AE95+New!$LP$8)))/New!$LS$2</f>
        <v>2.1300580341274016E-2</v>
      </c>
      <c r="E95" s="312">
        <f>EXP(New!$LP$6-((New!$LQ$6)/(AF95+New!$LP$8)))/New!$LS$2</f>
        <v>2.0450919426778749E-2</v>
      </c>
      <c r="F95" s="312">
        <f>EXP(New!$LP$6-((New!$LQ$6)/(AG95+New!$LP$8)))/New!$LS$2</f>
        <v>1.9675661300470017E-2</v>
      </c>
      <c r="G95" s="312">
        <f>EXP(New!$LP$6-((New!$LQ$6)/(AH95+New!$LP$8)))/New!$LS$2</f>
        <v>1.895857076846779E-2</v>
      </c>
      <c r="H95" s="312">
        <f>EXP(New!$LP$6-((New!$LQ$6)/(AI95+New!$LP$8)))/New!$LS$2</f>
        <v>1.8243949001778E-2</v>
      </c>
      <c r="I95" s="312">
        <f>EXP(New!$LP$6-((New!$LQ$6)/(AJ95+New!$LP$8)))/New!$LS$2</f>
        <v>1.7519084661908348E-2</v>
      </c>
      <c r="J95" s="312">
        <f>EXP(New!$LP$6-((New!$LQ$6)/(AK95+New!$LP$8)))/New!$LS$2</f>
        <v>1.6773799697019469E-2</v>
      </c>
      <c r="K95" s="245">
        <f>((New!FH95*New!$LP$3*LN((1-B95)/(1-New!DO95))) / (New!BV95*1000*New!$LQ$3*(1-B95-1+New!DO95)*New!B95^(2/3)))</f>
        <v>9.1665838600482011E-2</v>
      </c>
      <c r="L95" s="4">
        <f>((New!FI95*New!$LP$3*LN((1-C95)/(1-New!DP95))) / (New!BW95*1000*New!$LQ$3*(1-C95-1+New!DP95)*New!C95^(2/3)))</f>
        <v>9.1806849486347028E-2</v>
      </c>
      <c r="M95" s="4">
        <f>((New!FJ95*New!$LP$3*LN((1-D95)/(1-New!DQ95))) / (New!BX95*1000*New!$LQ$3*(1-D95-1+New!DQ95)*New!D95^(2/3)))</f>
        <v>9.1763549288573956E-2</v>
      </c>
      <c r="N95" s="4">
        <f>((New!FK95*New!$LP$3*LN((1-E95)/(1-New!DR95))) / (New!BY95*1000*New!$LQ$3*(1-E95-1+New!DR95)*New!E95^(2/3)))</f>
        <v>9.1748834466020543E-2</v>
      </c>
      <c r="O95" s="4">
        <f>((New!FL95*New!$LP$3*LN((1-F95)/(1-New!DS95))) / (New!BZ95*1000*New!$LQ$3*(1-F95-1+New!DS95)*New!F95^(2/3)))</f>
        <v>9.1720046709758807E-2</v>
      </c>
      <c r="P95" s="4">
        <f>((New!FM95*New!$LP$3*LN((1-G95)/(1-New!DT95))) / (New!CA95*1000*New!$LQ$3*(1-G95-1+New!DT95)*New!G95^(2/3)))</f>
        <v>9.1701072740418346E-2</v>
      </c>
      <c r="Q95" s="4">
        <f>((New!FN95*New!$LP$3*LN((1-H95)/(1-New!DU95))) / (New!CB95*1000*New!$LQ$3*(1-H95-1+New!DU95)*New!H95^(2/3)))</f>
        <v>9.1656814823159516E-2</v>
      </c>
      <c r="R95" s="4">
        <f>((New!FO95*New!$LP$3*LN((1-I95)/(1-New!DV95))) / (New!CC95*1000*New!$LQ$3*(1-I95-1+New!DV95)*New!I95^(2/3)))</f>
        <v>9.1649990498443926E-2</v>
      </c>
      <c r="S95" s="4">
        <f>((New!FP95*New!$LP$3*LN((1-J95)/(1-New!DW95))) / (New!CD95*1000*New!$LQ$3*(1-J95-1+New!DW95)*New!J95^(2/3)))</f>
        <v>9.1609045777578585E-2</v>
      </c>
      <c r="T95" s="245">
        <f>(New!FH95*Sheet3!DF95+New!HU95*1000*K95*(New!DO95-B95)+'Cooling water'!CO95*'Cooling water'!B95) / (New!FH95+'Cooling water'!CO95)</f>
        <v>15.437921820384114</v>
      </c>
      <c r="U95" s="4">
        <f>(New!FI95*Sheet3!BZ95+New!HV95*1000*L95*(New!DP95-C95)+Sheet3!CI95*'Cooling water'!CP95) / (New!FI95+'Cooling water'!CP95)</f>
        <v>19.083393330726963</v>
      </c>
      <c r="V95" s="4">
        <f>(New!FJ95*Sheet3!CA95+New!HW95*1000*M95*(New!DQ95-D95)+Sheet3!CJ95*'Cooling water'!CQ95) / (New!FJ95+'Cooling water'!CQ95)</f>
        <v>18.464476091615825</v>
      </c>
      <c r="W95" s="4">
        <f>(New!FK95*Sheet3!CB95+New!HX95*1000*N95*(New!DR95-E95)+Sheet3!CK95*'Cooling water'!CR95) / (New!FK95+'Cooling water'!CR95)</f>
        <v>17.945556462251876</v>
      </c>
      <c r="X95" s="4">
        <f>(New!FL95*Sheet3!CC95+New!HY95*1000*O95*(New!DS95-F95)+Sheet3!CL95*'Cooling water'!CS95) / (New!FL95+'Cooling water'!CS95)</f>
        <v>17.42112593979142</v>
      </c>
      <c r="Y95" s="4">
        <f>(New!FM95*Sheet3!CD95+New!HZ95*1000*P95*(New!DT95-G95)+Sheet3!CM95*'Cooling water'!CT95) / (New!FM95+'Cooling water'!CT95)</f>
        <v>17.003368929849405</v>
      </c>
      <c r="Z95" s="4">
        <f>(New!FN95*Sheet3!CE95+New!IA95*1000*Q95*(New!DU95-H95)+Sheet3!CN95*'Cooling water'!CU95) / (New!FN95+'Cooling water'!CU95)</f>
        <v>16.53123026614589</v>
      </c>
      <c r="AA95" s="4">
        <f>(New!FO95*Sheet3!CF95+New!IB95*1000*R95*(New!DV95-I95)+Sheet3!CO95*'Cooling water'!CV95) / (New!FO95+'Cooling water'!CV95)</f>
        <v>16.082531080268357</v>
      </c>
      <c r="AB95" s="4">
        <f>(New!FP95*Sheet3!CG95+New!IC95*1000*S95*(New!DW95-J95)+Sheet3!CP95*'Cooling water'!CW95) / (New!FP95+'Cooling water'!CW95)</f>
        <v>15.557180404736132</v>
      </c>
      <c r="AC95" s="245">
        <f t="shared" si="4"/>
        <v>17.390370875000002</v>
      </c>
      <c r="AD95" s="311">
        <v>19.615013000000001</v>
      </c>
      <c r="AE95" s="311">
        <v>18.919900999999999</v>
      </c>
      <c r="AF95" s="311">
        <v>18.277152000000001</v>
      </c>
      <c r="AG95" s="311">
        <v>17.670055999999999</v>
      </c>
      <c r="AH95" s="311">
        <v>17.089656000000002</v>
      </c>
      <c r="AI95" s="311">
        <v>16.491890000000001</v>
      </c>
      <c r="AJ95" s="311">
        <v>15.864317</v>
      </c>
      <c r="AK95" s="311">
        <v>15.194982</v>
      </c>
      <c r="AL95" s="243">
        <f>AVERAGE(Sheet3!BR95:BY95)</f>
        <v>13.272110587506209</v>
      </c>
      <c r="AM95" s="183" cm="1">
        <f t="array" ref="AM95:AT95">TRANSPOSE('[102]Keithley Matavimai'!$W$6:$W$13)</f>
        <v>16.691959373743355</v>
      </c>
      <c r="AN95" s="183">
        <v>14.215685633515292</v>
      </c>
      <c r="AO95" s="183">
        <v>14.966670709942967</v>
      </c>
      <c r="AP95" s="183">
        <v>12.871508568991382</v>
      </c>
      <c r="AQ95" s="183">
        <v>12.968795349203489</v>
      </c>
      <c r="AR95" s="183">
        <v>12.714409526292888</v>
      </c>
      <c r="AS95" s="183">
        <v>12.201758467455967</v>
      </c>
      <c r="AT95" s="183">
        <v>9.5460970709043558</v>
      </c>
      <c r="AU95" s="183">
        <f t="shared" si="3"/>
        <v>4.1182602874937935</v>
      </c>
      <c r="AX95" s="281"/>
      <c r="AY95" s="281"/>
      <c r="AZ95" s="281"/>
      <c r="BA95" s="281"/>
    </row>
    <row r="96" spans="1:53" ht="16.8" x14ac:dyDescent="0.3">
      <c r="A96" s="282" t="str">
        <f>Sheet3!A96</f>
        <v>2023.02.27-1</v>
      </c>
      <c r="B96" s="248">
        <f>EXP(New!$LP$6-((New!$LQ$6)/(AC96+New!$LP$8)))/New!$LS$2</f>
        <v>4.6193253177022366E-2</v>
      </c>
      <c r="C96" s="312">
        <f>EXP(New!$LP$6-((New!$LQ$6)/(AD96+New!$LP$8)))/New!$LS$2</f>
        <v>5.9117373327267013E-2</v>
      </c>
      <c r="D96" s="312">
        <f>EXP(New!$LP$6-((New!$LQ$6)/(AE96+New!$LP$8)))/New!$LS$2</f>
        <v>5.378263334782802E-2</v>
      </c>
      <c r="E96" s="312">
        <f>EXP(New!$LP$6-((New!$LQ$6)/(AF96+New!$LP$8)))/New!$LS$2</f>
        <v>4.9020553938611759E-2</v>
      </c>
      <c r="F96" s="312">
        <f>EXP(New!$LP$6-((New!$LQ$6)/(AG96+New!$LP$8)))/New!$LS$2</f>
        <v>4.5128050701456188E-2</v>
      </c>
      <c r="G96" s="312">
        <f>EXP(New!$LP$6-((New!$LQ$6)/(AH96+New!$LP$8)))/New!$LS$2</f>
        <v>4.1797474728576985E-2</v>
      </c>
      <c r="H96" s="312">
        <f>EXP(New!$LP$6-((New!$LQ$6)/(AI96+New!$LP$8)))/New!$LS$2</f>
        <v>3.8590170153295675E-2</v>
      </c>
      <c r="I96" s="312">
        <f>EXP(New!$LP$6-((New!$LQ$6)/(AJ96+New!$LP$8)))/New!$LS$2</f>
        <v>4.5113289620346504E-2</v>
      </c>
      <c r="J96" s="312">
        <f>EXP(New!$LP$6-((New!$LQ$6)/(AK96+New!$LP$8)))/New!$LS$2</f>
        <v>4.009030048856884E-2</v>
      </c>
      <c r="K96" s="245">
        <f>((New!FH96*New!$LP$3*LN((1-B96)/(1-New!DO96))) / (New!BV96*1000*New!$LQ$3*(1-B96-1+New!DO96)*New!B96^(2/3)))</f>
        <v>5.0499642099493897E-2</v>
      </c>
      <c r="L96" s="4">
        <f>((New!FI96*New!$LP$3*LN((1-C96)/(1-New!DP96))) / (New!BW96*1000*New!$LQ$3*(1-C96-1+New!DP96)*New!C96^(2/3)))</f>
        <v>5.0844072384218723E-2</v>
      </c>
      <c r="M96" s="4">
        <f>((New!FJ96*New!$LP$3*LN((1-D96)/(1-New!DQ96))) / (New!BX96*1000*New!$LQ$3*(1-D96-1+New!DQ96)*New!D96^(2/3)))</f>
        <v>5.05962252810934E-2</v>
      </c>
      <c r="N96" s="4">
        <f>((New!FK96*New!$LP$3*LN((1-E96)/(1-New!DR96))) / (New!BY96*1000*New!$LQ$3*(1-E96-1+New!DR96)*New!E96^(2/3)))</f>
        <v>5.0420489621102391E-2</v>
      </c>
      <c r="O96" s="4">
        <f>((New!FL96*New!$LP$3*LN((1-F96)/(1-New!DS96))) / (New!BZ96*1000*New!$LQ$3*(1-F96-1+New!DS96)*New!F96^(2/3)))</f>
        <v>5.0226138898674236E-2</v>
      </c>
      <c r="P96" s="4">
        <f>((New!FM96*New!$LP$3*LN((1-G96)/(1-New!DT96))) / (New!CA96*1000*New!$LQ$3*(1-G96-1+New!DT96)*New!G96^(2/3)))</f>
        <v>5.0118174895996299E-2</v>
      </c>
      <c r="Q96" s="4">
        <f>((New!FN96*New!$LP$3*LN((1-H96)/(1-New!DU96))) / (New!CB96*1000*New!$LQ$3*(1-H96-1+New!DU96)*New!H96^(2/3)))</f>
        <v>4.9979135718406321E-2</v>
      </c>
      <c r="R96" s="4">
        <f>((New!FO96*New!$LP$3*LN((1-I96)/(1-New!DV96))) / (New!CC96*1000*New!$LQ$3*(1-I96-1+New!DV96)*New!I96^(2/3)))</f>
        <v>5.0140471467628178E-2</v>
      </c>
      <c r="S96" s="4">
        <f>((New!FP96*New!$LP$3*LN((1-J96)/(1-New!DW96))) / (New!CD96*1000*New!$LQ$3*(1-J96-1+New!DW96)*New!J96^(2/3)))</f>
        <v>4.9963626502842085E-2</v>
      </c>
      <c r="T96" s="245">
        <f>(New!FH96*Sheet3!DF96+New!HU96*1000*K96*(New!DO96-B96)+'Cooling water'!CO96*'Cooling water'!B96) / (New!FH96+'Cooling water'!CO96)</f>
        <v>52.163322717225988</v>
      </c>
      <c r="U96" s="4">
        <f>(New!FI96*Sheet3!BZ96+New!HV96*1000*L96*(New!DP96-C96)+Sheet3!CI96*'Cooling water'!CP96) / (New!FI96+'Cooling water'!CP96)</f>
        <v>35.949008800628008</v>
      </c>
      <c r="V96" s="4">
        <f>(New!FJ96*Sheet3!CA96+New!HW96*1000*M96*(New!DQ96-D96)+Sheet3!CJ96*'Cooling water'!CQ96) / (New!FJ96+'Cooling water'!CQ96)</f>
        <v>34.169261398025753</v>
      </c>
      <c r="W96" s="4">
        <f>(New!FK96*Sheet3!CB96+New!HX96*1000*N96*(New!DR96-E96)+Sheet3!CK96*'Cooling water'!CR96) / (New!FK96+'Cooling water'!CR96)</f>
        <v>32.779396178107987</v>
      </c>
      <c r="X96" s="4">
        <f>(New!FL96*Sheet3!CC96+New!HY96*1000*O96*(New!DS96-F96)+Sheet3!CL96*'Cooling water'!CS96) / (New!FL96+'Cooling water'!CS96)</f>
        <v>31.162813731332729</v>
      </c>
      <c r="Y96" s="4">
        <f>(New!FM96*Sheet3!CD96+New!HZ96*1000*P96*(New!DT96-G96)+Sheet3!CM96*'Cooling water'!CT96) / (New!FM96+'Cooling water'!CT96)</f>
        <v>30.149966475037743</v>
      </c>
      <c r="Z96" s="4">
        <f>(New!FN96*Sheet3!CE96+New!IA96*1000*Q96*(New!DU96-H96)+Sheet3!CN96*'Cooling water'!CU96) / (New!FN96+'Cooling water'!CU96)</f>
        <v>28.892993784945311</v>
      </c>
      <c r="AA96" s="4">
        <f>(New!FO96*Sheet3!CF96+New!IB96*1000*R96*(New!DV96-I96)+Sheet3!CO96*'Cooling water'!CV96) / (New!FO96+'Cooling water'!CV96)</f>
        <v>27.068893352696758</v>
      </c>
      <c r="AB96" s="4">
        <f>(New!FP96*Sheet3!CG96+New!IC96*1000*S96*(New!DW96-J96)+Sheet3!CP96*'Cooling water'!CW96) / (New!FP96+'Cooling water'!CW96)</f>
        <v>44.602479601515221</v>
      </c>
      <c r="AC96" s="245">
        <f t="shared" si="4"/>
        <v>31.819459499999997</v>
      </c>
      <c r="AD96" s="311">
        <v>36.220272000000001</v>
      </c>
      <c r="AE96" s="311">
        <v>34.515509000000002</v>
      </c>
      <c r="AF96" s="311">
        <v>32.865684000000002</v>
      </c>
      <c r="AG96" s="311">
        <v>31.410895</v>
      </c>
      <c r="AH96" s="311">
        <v>30.077297000000002</v>
      </c>
      <c r="AI96" s="311">
        <v>28.703143000000001</v>
      </c>
      <c r="AJ96" s="311">
        <v>31.405175</v>
      </c>
      <c r="AK96" s="311">
        <v>29.357700999999999</v>
      </c>
      <c r="AL96" s="243">
        <f>AVERAGE(Sheet3!BR96:BY96)</f>
        <v>25.820781472766907</v>
      </c>
      <c r="AM96" s="183" cm="1">
        <f t="array" ref="AM96:AT96">TRANSPOSE('[103]Keithley Matavimai'!$W$6:$W$13)</f>
        <v>34.333482450718805</v>
      </c>
      <c r="AN96" s="183">
        <v>30.712170671330785</v>
      </c>
      <c r="AO96" s="183">
        <v>28.865003331426028</v>
      </c>
      <c r="AP96" s="183">
        <v>24.988109950961398</v>
      </c>
      <c r="AQ96" s="183">
        <v>24.452601983436196</v>
      </c>
      <c r="AR96" s="183">
        <v>23.989589854492333</v>
      </c>
      <c r="AS96" s="183">
        <v>22.280323210144488</v>
      </c>
      <c r="AT96" s="183">
        <v>16.944970329625242</v>
      </c>
      <c r="AU96" s="183">
        <f t="shared" si="3"/>
        <v>5.9986780272330904</v>
      </c>
      <c r="AX96" s="281"/>
      <c r="AY96" s="281"/>
      <c r="AZ96" s="281"/>
      <c r="BA96" s="281"/>
    </row>
    <row r="97" spans="1:53" ht="16.8" x14ac:dyDescent="0.3">
      <c r="A97" s="282" t="str">
        <f>Sheet3!A97</f>
        <v>2023.02.27-2</v>
      </c>
      <c r="B97" s="248">
        <f>EXP(New!$LP$6-((New!$LQ$6)/(AC97+New!$LP$8)))/New!$LS$2</f>
        <v>3.5897098753857853E-2</v>
      </c>
      <c r="C97" s="312">
        <f>EXP(New!$LP$6-((New!$LQ$6)/(AD97+New!$LP$8)))/New!$LS$2</f>
        <v>4.7698330843602033E-2</v>
      </c>
      <c r="D97" s="312">
        <f>EXP(New!$LP$6-((New!$LQ$6)/(AE97+New!$LP$8)))/New!$LS$2</f>
        <v>4.3730367990990365E-2</v>
      </c>
      <c r="E97" s="312">
        <f>EXP(New!$LP$6-((New!$LQ$6)/(AF97+New!$LP$8)))/New!$LS$2</f>
        <v>4.0168093245180933E-2</v>
      </c>
      <c r="F97" s="312">
        <f>EXP(New!$LP$6-((New!$LQ$6)/(AG97+New!$LP$8)))/New!$LS$2</f>
        <v>3.7015671201355932E-2</v>
      </c>
      <c r="G97" s="312">
        <f>EXP(New!$LP$6-((New!$LQ$6)/(AH97+New!$LP$8)))/New!$LS$2</f>
        <v>3.4358610363440879E-2</v>
      </c>
      <c r="H97" s="312">
        <f>EXP(New!$LP$6-((New!$LQ$6)/(AI97+New!$LP$8)))/New!$LS$2</f>
        <v>3.183811183265943E-2</v>
      </c>
      <c r="I97" s="312">
        <f>EXP(New!$LP$6-((New!$LQ$6)/(AJ97+New!$LP$8)))/New!$LS$2</f>
        <v>2.9434270958334993E-2</v>
      </c>
      <c r="J97" s="312">
        <f>EXP(New!$LP$6-((New!$LQ$6)/(AK97+New!$LP$8)))/New!$LS$2</f>
        <v>2.7121813575314124E-2</v>
      </c>
      <c r="K97" s="245">
        <f>((New!FH97*New!$LP$3*LN((1-B97)/(1-New!DO97))) / (New!BV97*1000*New!$LQ$3*(1-B97-1+New!DO97)*New!B97^(2/3)))</f>
        <v>6.9216417031466637E-2</v>
      </c>
      <c r="L97" s="4">
        <f>((New!FI97*New!$LP$3*LN((1-C97)/(1-New!DP97))) / (New!BW97*1000*New!$LQ$3*(1-C97-1+New!DP97)*New!C97^(2/3)))</f>
        <v>6.9645934016727529E-2</v>
      </c>
      <c r="M97" s="4">
        <f>((New!FJ97*New!$LP$3*LN((1-D97)/(1-New!DQ97))) / (New!BX97*1000*New!$LQ$3*(1-D97-1+New!DQ97)*New!D97^(2/3)))</f>
        <v>6.9409742508139555E-2</v>
      </c>
      <c r="N97" s="4">
        <f>((New!FK97*New!$LP$3*LN((1-E97)/(1-New!DR97))) / (New!BY97*1000*New!$LQ$3*(1-E97-1+New!DR97)*New!E97^(2/3)))</f>
        <v>6.9227500190906968E-2</v>
      </c>
      <c r="O97" s="4">
        <f>((New!FL97*New!$LP$3*LN((1-F97)/(1-New!DS97))) / (New!BZ97*1000*New!$LQ$3*(1-F97-1+New!DS97)*New!F97^(2/3)))</f>
        <v>6.9007693605328477E-2</v>
      </c>
      <c r="P97" s="4">
        <f>((New!FM97*New!$LP$3*LN((1-G97)/(1-New!DT97))) / (New!CA97*1000*New!$LQ$3*(1-G97-1+New!DT97)*New!G97^(2/3)))</f>
        <v>6.8880010974031014E-2</v>
      </c>
      <c r="Q97" s="4">
        <f>((New!FN97*New!$LP$3*LN((1-H97)/(1-New!DU97))) / (New!CB97*1000*New!$LQ$3*(1-H97-1+New!DU97)*New!H97^(2/3)))</f>
        <v>6.8721473517960208E-2</v>
      </c>
      <c r="R97" s="4">
        <f>((New!FO97*New!$LP$3*LN((1-I97)/(1-New!DV97))) / (New!CC97*1000*New!$LQ$3*(1-I97-1+New!DV97)*New!I97^(2/3)))</f>
        <v>6.8613661310113233E-2</v>
      </c>
      <c r="S97" s="4">
        <f>((New!FP97*New!$LP$3*LN((1-J97)/(1-New!DW97))) / (New!CD97*1000*New!$LQ$3*(1-J97-1+New!DW97)*New!J97^(2/3)))</f>
        <v>6.8470421867926554E-2</v>
      </c>
      <c r="T97" s="245">
        <f>(New!FH97*Sheet3!DF97+New!HU97*1000*K97*(New!DO97-B97)+'Cooling water'!CO97*'Cooling water'!B97) / (New!FH97+'Cooling water'!CO97)</f>
        <v>25.123308465174972</v>
      </c>
      <c r="U97" s="4">
        <f>(New!FI97*Sheet3!BZ97+New!HV97*1000*L97*(New!DP97-C97)+Sheet3!CI97*'Cooling water'!CP97) / (New!FI97+'Cooling water'!CP97)</f>
        <v>32.104991652447723</v>
      </c>
      <c r="V97" s="4">
        <f>(New!FJ97*Sheet3!CA97+New!HW97*1000*M97*(New!DQ97-D97)+Sheet3!CJ97*'Cooling water'!CQ97) / (New!FJ97+'Cooling water'!CQ97)</f>
        <v>30.564694786666603</v>
      </c>
      <c r="W97" s="4">
        <f>(New!FK97*Sheet3!CB97+New!HX97*1000*N97*(New!DR97-E97)+Sheet3!CK97*'Cooling water'!CR97) / (New!FK97+'Cooling water'!CR97)</f>
        <v>29.297659075075931</v>
      </c>
      <c r="X97" s="4">
        <f>(New!FL97*Sheet3!CC97+New!HY97*1000*O97*(New!DS97-F97)+Sheet3!CL97*'Cooling water'!CS97) / (New!FL97+'Cooling water'!CS97)</f>
        <v>27.891308511931964</v>
      </c>
      <c r="Y97" s="4">
        <f>(New!FM97*Sheet3!CD97+New!HZ97*1000*P97*(New!DT97-G97)+Sheet3!CM97*'Cooling water'!CT97) / (New!FM97+'Cooling water'!CT97)</f>
        <v>26.782615799804443</v>
      </c>
      <c r="Z97" s="4">
        <f>(New!FN97*Sheet3!CE97+New!IA97*1000*Q97*(New!DU97-H97)+Sheet3!CN97*'Cooling water'!CU97) / (New!FN97+'Cooling water'!CU97)</f>
        <v>25.629734821056434</v>
      </c>
      <c r="AA97" s="4">
        <f>(New!FO97*Sheet3!CF97+New!IB97*1000*R97*(New!DV97-I97)+Sheet3!CO97*'Cooling water'!CV97) / (New!FO97+'Cooling water'!CV97)</f>
        <v>24.566181428366828</v>
      </c>
      <c r="AB97" s="4">
        <f>(New!FP97*Sheet3!CG97+New!IC97*1000*S97*(New!DW97-J97)+Sheet3!CP97*'Cooling water'!CW97) / (New!FP97+'Cooling water'!CW97)</f>
        <v>23.380988726757256</v>
      </c>
      <c r="AC97" s="245">
        <f t="shared" si="4"/>
        <v>27.470685875000001</v>
      </c>
      <c r="AD97" s="311">
        <v>32.383077999999998</v>
      </c>
      <c r="AE97" s="311">
        <v>30.861969999999999</v>
      </c>
      <c r="AF97" s="311">
        <v>29.391062999999999</v>
      </c>
      <c r="AG97" s="311">
        <v>27.991999</v>
      </c>
      <c r="AH97" s="311">
        <v>26.730184000000001</v>
      </c>
      <c r="AI97" s="311">
        <v>25.452459999999999</v>
      </c>
      <c r="AJ97" s="311">
        <v>24.149325000000001</v>
      </c>
      <c r="AK97" s="311">
        <v>22.805408</v>
      </c>
      <c r="AL97" s="243">
        <f>AVERAGE(Sheet3!BR97:BY97)</f>
        <v>23.434620670513066</v>
      </c>
      <c r="AM97" s="183" cm="1">
        <f t="array" ref="AM97:AT97">TRANSPOSE('[104]Keithley Matavimai'!$W$6:$W$13)</f>
        <v>31.192112785667053</v>
      </c>
      <c r="AN97" s="183">
        <v>25.696570914872026</v>
      </c>
      <c r="AO97" s="183">
        <v>26.292692430199764</v>
      </c>
      <c r="AP97" s="183">
        <v>22.318179659342423</v>
      </c>
      <c r="AQ97" s="183">
        <v>22.918531623993331</v>
      </c>
      <c r="AR97" s="183">
        <v>22.880482027605535</v>
      </c>
      <c r="AS97" s="183">
        <v>21.183559847058209</v>
      </c>
      <c r="AT97" s="183">
        <v>14.994836075366205</v>
      </c>
      <c r="AU97" s="183">
        <f t="shared" ref="AU97:AU102" si="5">AC97-AL97</f>
        <v>4.0360652044869347</v>
      </c>
      <c r="AX97" s="281"/>
      <c r="AY97" s="281"/>
      <c r="AZ97" s="281"/>
      <c r="BA97" s="281"/>
    </row>
    <row r="98" spans="1:53" ht="16.8" x14ac:dyDescent="0.3">
      <c r="A98" s="282" t="str">
        <f>Sheet3!A98</f>
        <v>2023.02.28-1</v>
      </c>
      <c r="B98" s="248">
        <f>EXP(New!$LP$6-((New!$LQ$6)/(AC98+New!$LP$8)))/New!$LS$2</f>
        <v>2.8877661774546513E-2</v>
      </c>
      <c r="C98" s="312">
        <f>EXP(New!$LP$6-((New!$LQ$6)/(AD98+New!$LP$8)))/New!$LS$2</f>
        <v>3.5829374253995121E-2</v>
      </c>
      <c r="D98" s="312">
        <f>EXP(New!$LP$6-((New!$LQ$6)/(AE98+New!$LP$8)))/New!$LS$2</f>
        <v>3.3569382625361688E-2</v>
      </c>
      <c r="E98" s="312">
        <f>EXP(New!$LP$6-((New!$LQ$6)/(AF98+New!$LP$8)))/New!$LS$2</f>
        <v>3.153530509207933E-2</v>
      </c>
      <c r="F98" s="312">
        <f>EXP(New!$LP$6-((New!$LQ$6)/(AG98+New!$LP$8)))/New!$LS$2</f>
        <v>2.9676994321517939E-2</v>
      </c>
      <c r="G98" s="312">
        <f>EXP(New!$LP$6-((New!$LQ$6)/(AH98+New!$LP$8)))/New!$LS$2</f>
        <v>2.7975526672549187E-2</v>
      </c>
      <c r="H98" s="312">
        <f>EXP(New!$LP$6-((New!$LQ$6)/(AI98+New!$LP$8)))/New!$LS$2</f>
        <v>2.6344486223391046E-2</v>
      </c>
      <c r="I98" s="312">
        <f>EXP(New!$LP$6-((New!$LQ$6)/(AJ98+New!$LP$8)))/New!$LS$2</f>
        <v>2.4787323973428397E-2</v>
      </c>
      <c r="J98" s="312">
        <f>EXP(New!$LP$6-((New!$LQ$6)/(AK98+New!$LP$8)))/New!$LS$2</f>
        <v>2.3276138753494515E-2</v>
      </c>
      <c r="K98" s="245">
        <f>((New!FH98*New!$LP$3*LN((1-B98)/(1-New!DO98))) / (New!BV98*1000*New!$LQ$3*(1-B98-1+New!DO98)*New!B98^(2/3)))</f>
        <v>5.9818883471992303E-2</v>
      </c>
      <c r="L98" s="4">
        <f>((New!FI98*New!$LP$3*LN((1-C98)/(1-New!DP98))) / (New!BW98*1000*New!$LQ$3*(1-C98-1+New!DP98)*New!C98^(2/3)))</f>
        <v>6.0034553941982011E-2</v>
      </c>
      <c r="M98" s="4">
        <f>((New!FJ98*New!$LP$3*LN((1-D98)/(1-New!DQ98))) / (New!BX98*1000*New!$LQ$3*(1-D98-1+New!DQ98)*New!D98^(2/3)))</f>
        <v>5.9950960634701449E-2</v>
      </c>
      <c r="N98" s="4">
        <f>((New!FK98*New!$LP$3*LN((1-E98)/(1-New!DR98))) / (New!BY98*1000*New!$LQ$3*(1-E98-1+New!DR98)*New!E98^(2/3)))</f>
        <v>5.9907082127131958E-2</v>
      </c>
      <c r="O98" s="4">
        <f>((New!FL98*New!$LP$3*LN((1-F98)/(1-New!DS98))) / (New!BZ98*1000*New!$LQ$3*(1-F98-1+New!DS98)*New!F98^(2/3)))</f>
        <v>5.9836728403472247E-2</v>
      </c>
      <c r="P98" s="4">
        <f>((New!FM98*New!$LP$3*LN((1-G98)/(1-New!DT98))) / (New!CA98*1000*New!$LQ$3*(1-G98-1+New!DT98)*New!G98^(2/3)))</f>
        <v>5.9798098480213752E-2</v>
      </c>
      <c r="Q98" s="4">
        <f>((New!FN98*New!$LP$3*LN((1-H98)/(1-New!DU98))) / (New!CB98*1000*New!$LQ$3*(1-H98-1+New!DU98)*New!H98^(2/3)))</f>
        <v>5.9729229778796938E-2</v>
      </c>
      <c r="R98" s="4">
        <f>((New!FO98*New!$LP$3*LN((1-I98)/(1-New!DV98))) / (New!CC98*1000*New!$LQ$3*(1-I98-1+New!DV98)*New!I98^(2/3)))</f>
        <v>5.9704022591619707E-2</v>
      </c>
      <c r="S98" s="4">
        <f>((New!FP98*New!$LP$3*LN((1-J98)/(1-New!DW98))) / (New!CD98*1000*New!$LQ$3*(1-J98-1+New!DW98)*New!J98^(2/3)))</f>
        <v>5.9637053669760909E-2</v>
      </c>
      <c r="T98" s="245">
        <f>(New!FH98*Sheet3!DF98+New!HU98*1000*K98*(New!DO98-B98)+'Cooling water'!CO98*'Cooling water'!B98) / (New!FH98+'Cooling water'!CO98)</f>
        <v>21.156542633185584</v>
      </c>
      <c r="U98" s="4">
        <f>(New!FI98*Sheet3!BZ98+New!HV98*1000*L98*(New!DP98-C98)+Sheet3!CI98*'Cooling water'!CP98) / (New!FI98+'Cooling water'!CP98)</f>
        <v>26.783420147564666</v>
      </c>
      <c r="V98" s="4">
        <f>(New!FJ98*Sheet3!CA98+New!HW98*1000*M98*(New!DQ98-D98)+Sheet3!CJ98*'Cooling water'!CQ98) / (New!FJ98+'Cooling water'!CQ98)</f>
        <v>25.796486400595466</v>
      </c>
      <c r="W98" s="4">
        <f>(New!FK98*Sheet3!CB98+New!HX98*1000*N98*(New!DR98-E98)+Sheet3!CK98*'Cooling water'!CR98) / (New!FK98+'Cooling water'!CR98)</f>
        <v>24.959052067634804</v>
      </c>
      <c r="X98" s="4">
        <f>(New!FL98*Sheet3!CC98+New!HY98*1000*O98*(New!DS98-F98)+Sheet3!CL98*'Cooling water'!CS98) / (New!FL98+'Cooling water'!CS98)</f>
        <v>24.089446977606229</v>
      </c>
      <c r="Y98" s="4">
        <f>(New!FM98*Sheet3!CD98+New!HZ98*1000*P98*(New!DT98-G98)+Sheet3!CM98*'Cooling water'!CT98) / (New!FM98+'Cooling water'!CT98)</f>
        <v>23.393092192414741</v>
      </c>
      <c r="Z98" s="4">
        <f>(New!FN98*Sheet3!CE98+New!IA98*1000*Q98*(New!DU98-H98)+Sheet3!CN98*'Cooling water'!CU98) / (New!FN98+'Cooling water'!CU98)</f>
        <v>22.615847606732483</v>
      </c>
      <c r="AA98" s="4">
        <f>(New!FO98*Sheet3!CF98+New!IB98*1000*R98*(New!DV98-I98)+Sheet3!CO98*'Cooling water'!CV98) / (New!FO98+'Cooling water'!CV98)</f>
        <v>21.918052574424333</v>
      </c>
      <c r="AB98" s="4">
        <f>(New!FP98*Sheet3!CG98+New!IC98*1000*S98*(New!DW98-J98)+Sheet3!CP98*'Cooling water'!CW98) / (New!FP98+'Cooling water'!CW98)</f>
        <v>21.153956512642086</v>
      </c>
      <c r="AC98" s="245">
        <f t="shared" si="4"/>
        <v>23.834454499999996</v>
      </c>
      <c r="AD98" s="311">
        <v>27.438673000000001</v>
      </c>
      <c r="AE98" s="311">
        <v>26.339093999999999</v>
      </c>
      <c r="AF98" s="311">
        <v>25.293105000000001</v>
      </c>
      <c r="AG98" s="311">
        <v>24.285015999999999</v>
      </c>
      <c r="AH98" s="311">
        <v>23.312747999999999</v>
      </c>
      <c r="AI98" s="311">
        <v>22.331246</v>
      </c>
      <c r="AJ98" s="311">
        <v>21.343616999999998</v>
      </c>
      <c r="AK98" s="311">
        <v>20.332136999999999</v>
      </c>
      <c r="AL98" s="243">
        <f>AVERAGE(Sheet3!BR98:BY98)</f>
        <v>19.286750981006705</v>
      </c>
      <c r="AM98" s="183" cm="1">
        <f t="array" ref="AM98:AT98">TRANSPOSE('[105]Keithley Matavimai'!$W$6:$W$13)</f>
        <v>25.152056508806073</v>
      </c>
      <c r="AN98" s="183">
        <v>22.137672432893037</v>
      </c>
      <c r="AO98" s="183">
        <v>21.644744027624228</v>
      </c>
      <c r="AP98" s="183">
        <v>18.432534094548405</v>
      </c>
      <c r="AQ98" s="183">
        <v>18.548111565500179</v>
      </c>
      <c r="AR98" s="183">
        <v>18.570406349960386</v>
      </c>
      <c r="AS98" s="183">
        <v>16.737853220697563</v>
      </c>
      <c r="AT98" s="183">
        <v>13.070629648023772</v>
      </c>
      <c r="AU98" s="183">
        <f t="shared" si="5"/>
        <v>4.5477035189932913</v>
      </c>
      <c r="AX98" s="281"/>
      <c r="AY98" s="281"/>
      <c r="AZ98" s="281"/>
      <c r="BA98" s="281"/>
    </row>
    <row r="99" spans="1:53" ht="16.8" x14ac:dyDescent="0.3">
      <c r="A99" s="282" t="str">
        <f>Sheet3!A99</f>
        <v>2023.02.28-2</v>
      </c>
      <c r="B99" s="248">
        <f>EXP(New!$LP$6-((New!$LQ$6)/(AC99+New!$LP$8)))/New!$LS$2</f>
        <v>3.1146303995878075E-2</v>
      </c>
      <c r="C99" s="312">
        <f>EXP(New!$LP$6-((New!$LQ$6)/(AD99+New!$LP$8)))/New!$LS$2</f>
        <v>3.9711531059083136E-2</v>
      </c>
      <c r="D99" s="312">
        <f>EXP(New!$LP$6-((New!$LQ$6)/(AE99+New!$LP$8)))/New!$LS$2</f>
        <v>3.6880159886898758E-2</v>
      </c>
      <c r="E99" s="312">
        <f>EXP(New!$LP$6-((New!$LQ$6)/(AF99+New!$LP$8)))/New!$LS$2</f>
        <v>3.4278842367768736E-2</v>
      </c>
      <c r="F99" s="312">
        <f>EXP(New!$LP$6-((New!$LQ$6)/(AG99+New!$LP$8)))/New!$LS$2</f>
        <v>3.2018118038211987E-2</v>
      </c>
      <c r="G99" s="312">
        <f>EXP(New!$LP$6-((New!$LQ$6)/(AH99+New!$LP$8)))/New!$LS$2</f>
        <v>3.0004658607978758E-2</v>
      </c>
      <c r="H99" s="312">
        <f>EXP(New!$LP$6-((New!$LQ$6)/(AI99+New!$LP$8)))/New!$LS$2</f>
        <v>2.8093600121077967E-2</v>
      </c>
      <c r="I99" s="312">
        <f>EXP(New!$LP$6-((New!$LQ$6)/(AJ99+New!$LP$8)))/New!$LS$2</f>
        <v>2.6324108396704099E-2</v>
      </c>
      <c r="J99" s="312">
        <f>EXP(New!$LP$6-((New!$LQ$6)/(AK99+New!$LP$8)))/New!$LS$2</f>
        <v>2.4510842254907614E-2</v>
      </c>
      <c r="K99" s="245">
        <f>((New!FH99*New!$LP$3*LN((1-B99)/(1-New!DO99))) / (New!BV99*1000*New!$LQ$3*(1-B99-1+New!DO99)*New!B99^(2/3)))</f>
        <v>6.5690747534901492E-2</v>
      </c>
      <c r="L99" s="4">
        <f>((New!FI99*New!$LP$3*LN((1-C99)/(1-New!DP99))) / (New!BW99*1000*New!$LQ$3*(1-C99-1+New!DP99)*New!C99^(2/3)))</f>
        <v>6.5982713897305298E-2</v>
      </c>
      <c r="M99" s="4">
        <f>((New!FJ99*New!$LP$3*LN((1-D99)/(1-New!DQ99))) / (New!BX99*1000*New!$LQ$3*(1-D99-1+New!DQ99)*New!D99^(2/3)))</f>
        <v>6.5845156554186518E-2</v>
      </c>
      <c r="N99" s="4">
        <f>((New!FK99*New!$LP$3*LN((1-E99)/(1-New!DR99))) / (New!BY99*1000*New!$LQ$3*(1-E99-1+New!DR99)*New!E99^(2/3)))</f>
        <v>6.5748261087544752E-2</v>
      </c>
      <c r="O99" s="4">
        <f>((New!FL99*New!$LP$3*LN((1-F99)/(1-New!DS99))) / (New!BZ99*1000*New!$LQ$3*(1-F99-1+New!DS99)*New!F99^(2/3)))</f>
        <v>6.5628639594408719E-2</v>
      </c>
      <c r="P99" s="4">
        <f>((New!FM99*New!$LP$3*LN((1-G99)/(1-New!DT99))) / (New!CA99*1000*New!$LQ$3*(1-G99-1+New!DT99)*New!G99^(2/3)))</f>
        <v>6.5561756105882649E-2</v>
      </c>
      <c r="Q99" s="4">
        <f>((New!FN99*New!$LP$3*LN((1-H99)/(1-New!DU99))) / (New!CB99*1000*New!$LQ$3*(1-H99-1+New!DU99)*New!H99^(2/3)))</f>
        <v>6.5465767670311106E-2</v>
      </c>
      <c r="R99" s="4">
        <f>((New!FO99*New!$LP$3*LN((1-I99)/(1-New!DV99))) / (New!CC99*1000*New!$LQ$3*(1-I99-1+New!DV99)*New!I99^(2/3)))</f>
        <v>6.5414133524452814E-2</v>
      </c>
      <c r="S99" s="4">
        <f>((New!FP99*New!$LP$3*LN((1-J99)/(1-New!DW99))) / (New!CD99*1000*New!$LQ$3*(1-J99-1+New!DW99)*New!J99^(2/3)))</f>
        <v>6.5326408575644548E-2</v>
      </c>
      <c r="T99" s="245">
        <f>(New!FH99*Sheet3!DF99+New!HU99*1000*K99*(New!DO99-B99)+'Cooling water'!CO99*'Cooling water'!B99) / (New!FH99+'Cooling water'!CO99)</f>
        <v>22.665792848473071</v>
      </c>
      <c r="U99" s="4">
        <f>(New!FI99*Sheet3!BZ99+New!HV99*1000*L99*(New!DP99-C99)+Sheet3!CI99*'Cooling water'!CP99) / (New!FI99+'Cooling water'!CP99)</f>
        <v>28.730573786783971</v>
      </c>
      <c r="V99" s="4">
        <f>(New!FJ99*Sheet3!CA99+New!HW99*1000*M99*(New!DQ99-D99)+Sheet3!CJ99*'Cooling water'!CQ99) / (New!FJ99+'Cooling water'!CQ99)</f>
        <v>27.519062105075236</v>
      </c>
      <c r="W99" s="4">
        <f>(New!FK99*Sheet3!CB99+New!HX99*1000*N99*(New!DR99-E99)+Sheet3!CK99*'Cooling water'!CR99) / (New!FK99+'Cooling water'!CR99)</f>
        <v>26.462070155879132</v>
      </c>
      <c r="X99" s="4">
        <f>(New!FL99*Sheet3!CC99+New!HY99*1000*O99*(New!DS99-F99)+Sheet3!CL99*'Cooling water'!CS99) / (New!FL99+'Cooling water'!CS99)</f>
        <v>25.358434852912929</v>
      </c>
      <c r="Y99" s="4">
        <f>(New!FM99*Sheet3!CD99+New!HZ99*1000*P99*(New!DT99-G99)+Sheet3!CM99*'Cooling water'!CT99) / (New!FM99+'Cooling water'!CT99)</f>
        <v>24.521176874382153</v>
      </c>
      <c r="Z99" s="4">
        <f>(New!FN99*Sheet3!CE99+New!IA99*1000*Q99*(New!DU99-H99)+Sheet3!CN99*'Cooling water'!CU99) / (New!FN99+'Cooling water'!CU99)</f>
        <v>23.574139976524208</v>
      </c>
      <c r="AA99" s="4">
        <f>(New!FO99*Sheet3!CF99+New!IB99*1000*R99*(New!DV99-I99)+Sheet3!CO99*'Cooling water'!CV99) / (New!FO99+'Cooling water'!CV99)</f>
        <v>22.744122833554474</v>
      </c>
      <c r="AB99" s="4">
        <f>(New!FP99*Sheet3!CG99+New!IC99*1000*S99*(New!DW99-J99)+Sheet3!CP99*'Cooling water'!CW99) / (New!FP99+'Cooling water'!CW99)</f>
        <v>21.812388946600898</v>
      </c>
      <c r="AC99" s="245">
        <f t="shared" si="4"/>
        <v>25.086429750000001</v>
      </c>
      <c r="AD99" s="311">
        <v>29.194458000000001</v>
      </c>
      <c r="AE99" s="311">
        <v>27.929576000000001</v>
      </c>
      <c r="AF99" s="311">
        <v>26.691012000000001</v>
      </c>
      <c r="AG99" s="311">
        <v>25.546568000000001</v>
      </c>
      <c r="AH99" s="311">
        <v>24.466671999999999</v>
      </c>
      <c r="AI99" s="311">
        <v>23.381854000000001</v>
      </c>
      <c r="AJ99" s="311">
        <v>22.318653000000001</v>
      </c>
      <c r="AK99" s="311">
        <v>21.162645000000001</v>
      </c>
      <c r="AL99" s="243">
        <f>AVERAGE(Sheet3!BR99:BY99)</f>
        <v>20.433589584522149</v>
      </c>
      <c r="AM99" s="183" cm="1">
        <f t="array" ref="AM99:AT99">TRANSPOSE('[106]Keithley Matavimai'!$W$6:$W$13)</f>
        <v>27.173845115887655</v>
      </c>
      <c r="AN99" s="183">
        <v>22.830299463603748</v>
      </c>
      <c r="AO99" s="183">
        <v>23.03990703170366</v>
      </c>
      <c r="AP99" s="183">
        <v>19.585983563157875</v>
      </c>
      <c r="AQ99" s="183">
        <v>19.891961539463203</v>
      </c>
      <c r="AR99" s="183">
        <v>19.944053740880332</v>
      </c>
      <c r="AS99" s="183">
        <v>18.680536799910698</v>
      </c>
      <c r="AT99" s="183">
        <v>12.322129421570033</v>
      </c>
      <c r="AU99" s="183">
        <f t="shared" si="5"/>
        <v>4.6528401654778513</v>
      </c>
      <c r="AX99" s="281"/>
      <c r="AY99" s="281"/>
      <c r="AZ99" s="281"/>
      <c r="BA99" s="281"/>
    </row>
    <row r="100" spans="1:53" ht="16.8" x14ac:dyDescent="0.3">
      <c r="A100" s="282" t="str">
        <f>Sheet3!A100</f>
        <v>2023.03.01</v>
      </c>
      <c r="B100" s="248">
        <f>EXP(New!$LP$6-((New!$LQ$6)/(AC100+New!$LP$8)))/New!$LS$2</f>
        <v>2.3194270526487221E-2</v>
      </c>
      <c r="C100" s="312">
        <f>EXP(New!$LP$6-((New!$LQ$6)/(AD100+New!$LP$8)))/New!$LS$2</f>
        <v>2.7345906565734473E-2</v>
      </c>
      <c r="D100" s="312">
        <f>EXP(New!$LP$6-((New!$LQ$6)/(AE100+New!$LP$8)))/New!$LS$2</f>
        <v>2.6035424449512051E-2</v>
      </c>
      <c r="E100" s="312">
        <f>EXP(New!$LP$6-((New!$LQ$6)/(AF100+New!$LP$8)))/New!$LS$2</f>
        <v>2.4852730243316697E-2</v>
      </c>
      <c r="F100" s="312">
        <f>EXP(New!$LP$6-((New!$LQ$6)/(AG100+New!$LP$8)))/New!$LS$2</f>
        <v>2.3740316208759604E-2</v>
      </c>
      <c r="G100" s="312">
        <f>EXP(New!$LP$6-((New!$LQ$6)/(AH100+New!$LP$8)))/New!$LS$2</f>
        <v>2.2699461397347083E-2</v>
      </c>
      <c r="H100" s="312">
        <f>EXP(New!$LP$6-((New!$LQ$6)/(AI100+New!$LP$8)))/New!$LS$2</f>
        <v>2.1658647240552921E-2</v>
      </c>
      <c r="I100" s="312">
        <f>EXP(New!$LP$6-((New!$LQ$6)/(AJ100+New!$LP$8)))/New!$LS$2</f>
        <v>2.061557832991185E-2</v>
      </c>
      <c r="J100" s="312">
        <f>EXP(New!$LP$6-((New!$LQ$6)/(AK100+New!$LP$8)))/New!$LS$2</f>
        <v>1.9554100536861168E-2</v>
      </c>
      <c r="K100" s="245">
        <f>((New!FH100*New!$LP$3*LN((1-B100)/(1-New!DO100))) / (New!BV100*1000*New!$LQ$3*(1-B100-1+New!DO100)*New!B100^(2/3)))</f>
        <v>9.1726330806753714E-2</v>
      </c>
      <c r="L100" s="4">
        <f>((New!FI100*New!$LP$3*LN((1-C100)/(1-New!DP100))) / (New!BW100*1000*New!$LQ$3*(1-C100-1+New!DP100)*New!C100^(2/3)))</f>
        <v>9.1927721839837523E-2</v>
      </c>
      <c r="M100" s="4">
        <f>((New!FJ100*New!$LP$3*LN((1-D100)/(1-New!DQ100))) / (New!BX100*1000*New!$LQ$3*(1-D100-1+New!DQ100)*New!D100^(2/3)))</f>
        <v>9.187132369980093E-2</v>
      </c>
      <c r="N100" s="4">
        <f>((New!FK100*New!$LP$3*LN((1-E100)/(1-New!DR100))) / (New!BY100*1000*New!$LQ$3*(1-E100-1+New!DR100)*New!E100^(2/3)))</f>
        <v>9.1839346294131791E-2</v>
      </c>
      <c r="O100" s="4">
        <f>((New!FL100*New!$LP$3*LN((1-F100)/(1-New!DS100))) / (New!BZ100*1000*New!$LQ$3*(1-F100-1+New!DS100)*New!F100^(2/3)))</f>
        <v>9.1787244728839978E-2</v>
      </c>
      <c r="P100" s="4">
        <f>((New!FM100*New!$LP$3*LN((1-G100)/(1-New!DT100))) / (New!CA100*1000*New!$LQ$3*(1-G100-1+New!DT100)*New!G100^(2/3)))</f>
        <v>9.1762541278831197E-2</v>
      </c>
      <c r="Q100" s="4">
        <f>((New!FN100*New!$LP$3*LN((1-H100)/(1-New!DU100))) / (New!CB100*1000*New!$LQ$3*(1-H100-1+New!DU100)*New!H100^(2/3)))</f>
        <v>9.1698139744961368E-2</v>
      </c>
      <c r="R100" s="4">
        <f>((New!FO100*New!$LP$3*LN((1-I100)/(1-New!DV100))) / (New!CC100*1000*New!$LQ$3*(1-I100-1+New!DV100)*New!I100^(2/3)))</f>
        <v>9.1684912475692604E-2</v>
      </c>
      <c r="S100" s="4">
        <f>((New!FP100*New!$LP$3*LN((1-J100)/(1-New!DW100))) / (New!CD100*1000*New!$LQ$3*(1-J100-1+New!DW100)*New!J100^(2/3)))</f>
        <v>9.1611350566136757E-2</v>
      </c>
      <c r="T100" s="245">
        <f>(New!FH100*Sheet3!DF100+New!HU100*1000*K100*(New!DO100-B100)+'Cooling water'!CO100*'Cooling water'!B100) / (New!FH100+'Cooling water'!CO100)</f>
        <v>17.800322501438391</v>
      </c>
      <c r="U100" s="4">
        <f>(New!FI100*Sheet3!BZ100+New!HV100*1000*L100*(New!DP100-C100)+Sheet3!CI100*'Cooling water'!CP100) / (New!FI100+'Cooling water'!CP100)</f>
        <v>22.288943053489145</v>
      </c>
      <c r="V100" s="4">
        <f>(New!FJ100*Sheet3!CA100+New!HW100*1000*M100*(New!DQ100-D100)+Sheet3!CJ100*'Cooling water'!CQ100) / (New!FJ100+'Cooling water'!CQ100)</f>
        <v>21.587344657238464</v>
      </c>
      <c r="W100" s="4">
        <f>(New!FK100*Sheet3!CB100+New!HX100*1000*N100*(New!DR100-E100)+Sheet3!CK100*'Cooling water'!CR100) / (New!FK100+'Cooling water'!CR100)</f>
        <v>20.983272068048578</v>
      </c>
      <c r="X100" s="4">
        <f>(New!FL100*Sheet3!CC100+New!HY100*1000*O100*(New!DS100-F100)+Sheet3!CL100*'Cooling water'!CS100) / (New!FL100+'Cooling water'!CS100)</f>
        <v>20.369096958365624</v>
      </c>
      <c r="Y100" s="4">
        <f>(New!FM100*Sheet3!CD100+New!HZ100*1000*P100*(New!DT100-G100)+Sheet3!CM100*'Cooling water'!CT100) / (New!FM100+'Cooling water'!CT100)</f>
        <v>19.828605707324694</v>
      </c>
      <c r="Z100" s="4">
        <f>(New!FN100*Sheet3!CE100+New!IA100*1000*Q100*(New!DU100-H100)+Sheet3!CN100*'Cooling water'!CU100) / (New!FN100+'Cooling water'!CU100)</f>
        <v>19.259171784097688</v>
      </c>
      <c r="AA100" s="4">
        <f>(New!FO100*Sheet3!CF100+New!IB100*1000*R100*(New!DV100-I100)+Sheet3!CO100*'Cooling water'!CV100) / (New!FO100+'Cooling water'!CV100)</f>
        <v>18.666810293757752</v>
      </c>
      <c r="AB100" s="4">
        <f>(New!FP100*Sheet3!CG100+New!IC100*1000*S100*(New!DW100-J100)+Sheet3!CP100*'Cooling water'!CW100) / (New!FP100+'Cooling water'!CW100)</f>
        <v>18.036350694110247</v>
      </c>
      <c r="AC100" s="245">
        <f t="shared" si="4"/>
        <v>20.275724624999999</v>
      </c>
      <c r="AD100" s="311">
        <v>22.939909</v>
      </c>
      <c r="AE100" s="311">
        <v>22.139337000000001</v>
      </c>
      <c r="AF100" s="311">
        <v>21.386171999999998</v>
      </c>
      <c r="AG100" s="311">
        <v>20.648758000000001</v>
      </c>
      <c r="AH100" s="311">
        <v>19.931034</v>
      </c>
      <c r="AI100" s="311">
        <v>19.184100999999998</v>
      </c>
      <c r="AJ100" s="311">
        <v>18.403507000000001</v>
      </c>
      <c r="AK100" s="311">
        <v>17.572979</v>
      </c>
      <c r="AL100" s="243">
        <f>AVERAGE(Sheet3!BR100:BY100)</f>
        <v>15.269628846693976</v>
      </c>
      <c r="AM100" s="183" cm="1">
        <f t="array" ref="AM100:AT100">TRANSPOSE('[107]Keithley Matavimai'!$W$6:$W$13)</f>
        <v>19.178097813118921</v>
      </c>
      <c r="AN100" s="183">
        <v>16.139782378493166</v>
      </c>
      <c r="AO100" s="183">
        <v>17.216672232225076</v>
      </c>
      <c r="AP100" s="183">
        <v>14.533448815766471</v>
      </c>
      <c r="AQ100" s="183">
        <v>15.016914411797012</v>
      </c>
      <c r="AR100" s="183">
        <v>14.84427452699064</v>
      </c>
      <c r="AS100" s="183">
        <v>13.928049113030761</v>
      </c>
      <c r="AT100" s="183">
        <v>11.299791482129734</v>
      </c>
      <c r="AU100" s="183">
        <f t="shared" si="5"/>
        <v>5.0060957783060225</v>
      </c>
      <c r="AX100" s="281"/>
      <c r="AY100" s="281"/>
      <c r="AZ100" s="281"/>
      <c r="BA100" s="281"/>
    </row>
    <row r="101" spans="1:53" ht="16.8" x14ac:dyDescent="0.3">
      <c r="A101" s="282" t="str">
        <f>Sheet3!A101</f>
        <v>2023.03.02-1</v>
      </c>
      <c r="B101" s="248">
        <f>EXP(New!$LP$6-((New!$LQ$6)/(AC101+New!$LP$8)))/New!$LS$2</f>
        <v>2.5154307704548472E-2</v>
      </c>
      <c r="C101" s="312">
        <f>EXP(New!$LP$6-((New!$LQ$6)/(AD101+New!$LP$8)))/New!$LS$2</f>
        <v>3.0553128351479896E-2</v>
      </c>
      <c r="D101" s="312">
        <f>EXP(New!$LP$6-((New!$LQ$6)/(AE101+New!$LP$8)))/New!$LS$2</f>
        <v>2.8815997691116226E-2</v>
      </c>
      <c r="E101" s="312">
        <f>EXP(New!$LP$6-((New!$LQ$6)/(AF101+New!$LP$8)))/New!$LS$2</f>
        <v>2.7237346282244973E-2</v>
      </c>
      <c r="F101" s="312">
        <f>EXP(New!$LP$6-((New!$LQ$6)/(AG101+New!$LP$8)))/New!$LS$2</f>
        <v>2.5804702152623565E-2</v>
      </c>
      <c r="G101" s="312">
        <f>EXP(New!$LP$6-((New!$LQ$6)/(AH101+New!$LP$8)))/New!$LS$2</f>
        <v>2.4493424793677606E-2</v>
      </c>
      <c r="H101" s="312">
        <f>EXP(New!$LP$6-((New!$LQ$6)/(AI101+New!$LP$8)))/New!$LS$2</f>
        <v>2.3208971103805182E-2</v>
      </c>
      <c r="I101" s="312">
        <f>EXP(New!$LP$6-((New!$LQ$6)/(AJ101+New!$LP$8)))/New!$LS$2</f>
        <v>2.192397093709815E-2</v>
      </c>
      <c r="J101" s="312">
        <f>EXP(New!$LP$6-((New!$LQ$6)/(AK101+New!$LP$8)))/New!$LS$2</f>
        <v>2.0609398938468543E-2</v>
      </c>
      <c r="K101" s="245">
        <f>((New!FH101*New!$LP$3*LN((1-B101)/(1-New!DO101))) / (New!BV101*1000*New!$LQ$3*(1-B101-1+New!DO101)*New!B101^(2/3)))</f>
        <v>0.10014037518849178</v>
      </c>
      <c r="L101" s="4">
        <f>((New!FI101*New!$LP$3*LN((1-C101)/(1-New!DP101))) / (New!BW101*1000*New!$LQ$3*(1-C101-1+New!DP101)*New!C101^(2/3)))</f>
        <v>0.10041534225768349</v>
      </c>
      <c r="M101" s="4">
        <f>((New!FJ101*New!$LP$3*LN((1-D101)/(1-New!DQ101))) / (New!BX101*1000*New!$LQ$3*(1-D101-1+New!DQ101)*New!D101^(2/3)))</f>
        <v>0.10028023676294806</v>
      </c>
      <c r="N101" s="4">
        <f>((New!FK101*New!$LP$3*LN((1-E101)/(1-New!DR101))) / (New!BY101*1000*New!$LQ$3*(1-E101-1+New!DR101)*New!E101^(2/3)))</f>
        <v>0.10018821739361952</v>
      </c>
      <c r="O101" s="4">
        <f>((New!FL101*New!$LP$3*LN((1-F101)/(1-New!DS101))) / (New!BZ101*1000*New!$LQ$3*(1-F101-1+New!DS101)*New!F101^(2/3)))</f>
        <v>0.10006808715916125</v>
      </c>
      <c r="P101" s="4">
        <f>((New!FM101*New!$LP$3*LN((1-G101)/(1-New!DT101))) / (New!CA101*1000*New!$LQ$3*(1-G101-1+New!DT101)*New!G101^(2/3)))</f>
        <v>0.10000015446112687</v>
      </c>
      <c r="Q101" s="4">
        <f>((New!FN101*New!$LP$3*LN((1-H101)/(1-New!DU101))) / (New!CB101*1000*New!$LQ$3*(1-H101-1+New!DU101)*New!H101^(2/3)))</f>
        <v>9.9899920289013136E-2</v>
      </c>
      <c r="R101" s="4">
        <f>((New!FO101*New!$LP$3*LN((1-I101)/(1-New!DV101))) / (New!CC101*1000*New!$LQ$3*(1-I101-1+New!DV101)*New!I101^(2/3)))</f>
        <v>9.9840439956502061E-2</v>
      </c>
      <c r="S101" s="4">
        <f>((New!FP101*New!$LP$3*LN((1-J101)/(1-New!DW101))) / (New!CD101*1000*New!$LQ$3*(1-J101-1+New!DW101)*New!J101^(2/3)))</f>
        <v>9.9739211663301644E-2</v>
      </c>
      <c r="T101" s="245">
        <f>(New!FH101*Sheet3!DF101+New!HU101*1000*K101*(New!DO101-B101)+'Cooling water'!CO101*'Cooling water'!B101) / (New!FH101+'Cooling water'!CO101)</f>
        <v>18.986907753495462</v>
      </c>
      <c r="U101" s="4">
        <f>(New!FI101*Sheet3!BZ101+New!HV101*1000*L101*(New!DP101-C101)+Sheet3!CI101*'Cooling water'!CP101) / (New!FI101+'Cooling water'!CP101)</f>
        <v>24.269517559231172</v>
      </c>
      <c r="V101" s="4">
        <f>(New!FJ101*Sheet3!CA101+New!HW101*1000*M101*(New!DQ101-D101)+Sheet3!CJ101*'Cooling water'!CQ101) / (New!FJ101+'Cooling water'!CQ101)</f>
        <v>23.348567173654054</v>
      </c>
      <c r="W101" s="4">
        <f>(New!FK101*Sheet3!CB101+New!HX101*1000*N101*(New!DR101-E101)+Sheet3!CK101*'Cooling water'!CR101) / (New!FK101+'Cooling water'!CR101)</f>
        <v>22.546063845870901</v>
      </c>
      <c r="X101" s="4">
        <f>(New!FL101*Sheet3!CC101+New!HY101*1000*O101*(New!DS101-F101)+Sheet3!CL101*'Cooling water'!CS101) / (New!FL101+'Cooling water'!CS101)</f>
        <v>21.726311663137185</v>
      </c>
      <c r="Y101" s="4">
        <f>(New!FM101*Sheet3!CD101+New!HZ101*1000*P101*(New!DT101-G101)+Sheet3!CM101*'Cooling water'!CT101) / (New!FM101+'Cooling water'!CT101)</f>
        <v>21.041904283556843</v>
      </c>
      <c r="Z101" s="4">
        <f>(New!FN101*Sheet3!CE101+New!IA101*1000*Q101*(New!DU101-H101)+Sheet3!CN101*'Cooling water'!CU101) / (New!FN101+'Cooling water'!CU101)</f>
        <v>20.301819245057569</v>
      </c>
      <c r="AA101" s="4">
        <f>(New!FO101*Sheet3!CF101+New!IB101*1000*R101*(New!DV101-I101)+Sheet3!CO101*'Cooling water'!CV101) / (New!FO101+'Cooling water'!CV101)</f>
        <v>19.578761953825371</v>
      </c>
      <c r="AB101" s="4">
        <f>(New!FP101*Sheet3!CG101+New!IC101*1000*S101*(New!DW101-J101)+Sheet3!CP101*'Cooling water'!CW101) / (New!FP101+'Cooling water'!CW101)</f>
        <v>18.75948080933</v>
      </c>
      <c r="AC101" s="245">
        <f t="shared" si="4"/>
        <v>21.581135125000003</v>
      </c>
      <c r="AD101" s="311">
        <v>24.766923999999999</v>
      </c>
      <c r="AE101" s="311">
        <v>23.799247999999999</v>
      </c>
      <c r="AF101" s="311">
        <v>22.874870999999999</v>
      </c>
      <c r="AG101" s="311">
        <v>21.994776999999999</v>
      </c>
      <c r="AH101" s="311">
        <v>21.151185000000002</v>
      </c>
      <c r="AI101" s="311">
        <v>20.285867</v>
      </c>
      <c r="AJ101" s="311">
        <v>19.377427999999998</v>
      </c>
      <c r="AK101" s="311">
        <v>18.398781</v>
      </c>
      <c r="AL101" s="243">
        <f>AVERAGE(Sheet3!BR101:BY101)</f>
        <v>16.948852875133511</v>
      </c>
      <c r="AM101" s="183" cm="1">
        <f t="array" ref="AM101:AT101">TRANSPOSE('[108]Keithley Matavimai'!$W$6:$W$13)</f>
        <v>22.096094849028773</v>
      </c>
      <c r="AN101" s="183">
        <v>18.172583029150569</v>
      </c>
      <c r="AO101" s="183">
        <v>19.338503469015105</v>
      </c>
      <c r="AP101" s="183">
        <v>16.392643661021292</v>
      </c>
      <c r="AQ101" s="183">
        <v>16.651022266079615</v>
      </c>
      <c r="AR101" s="183">
        <v>16.410223371628572</v>
      </c>
      <c r="AS101" s="183">
        <v>15.44860912977933</v>
      </c>
      <c r="AT101" s="183">
        <v>11.081143225364826</v>
      </c>
      <c r="AU101" s="183">
        <f t="shared" si="5"/>
        <v>4.632282249866492</v>
      </c>
      <c r="AX101" s="281"/>
      <c r="AY101" s="281"/>
      <c r="AZ101" s="281"/>
      <c r="BA101" s="281"/>
    </row>
    <row r="102" spans="1:53" ht="17.399999999999999" thickBot="1" x14ac:dyDescent="0.35">
      <c r="A102" s="282" t="str">
        <f>Sheet3!A102</f>
        <v>2023.03.02-2</v>
      </c>
      <c r="B102" s="249">
        <f>EXP(New!$LP$6-((New!$LQ$6)/(AC102+New!$LP$8)))/New!$LS$2</f>
        <v>2.885117058899812E-2</v>
      </c>
      <c r="C102" s="312">
        <f>EXP(New!$LP$6-((New!$LQ$6)/(AD102+New!$LP$8)))/New!$LS$2</f>
        <v>3.6060974979745135E-2</v>
      </c>
      <c r="D102" s="312">
        <f>EXP(New!$LP$6-((New!$LQ$6)/(AE102+New!$LP$8)))/New!$LS$2</f>
        <v>3.3721962987906626E-2</v>
      </c>
      <c r="E102" s="312">
        <f>EXP(New!$LP$6-((New!$LQ$6)/(AF102+New!$LP$8)))/New!$LS$2</f>
        <v>3.1595605097455792E-2</v>
      </c>
      <c r="F102" s="312">
        <f>EXP(New!$LP$6-((New!$LQ$6)/(AG102+New!$LP$8)))/New!$LS$2</f>
        <v>2.968827707963223E-2</v>
      </c>
      <c r="G102" s="312">
        <f>EXP(New!$LP$6-((New!$LQ$6)/(AH102+New!$LP$8)))/New!$LS$2</f>
        <v>2.794084775196596E-2</v>
      </c>
      <c r="H102" s="312">
        <f>EXP(New!$LP$6-((New!$LQ$6)/(AI102+New!$LP$8)))/New!$LS$2</f>
        <v>2.6294607264671851E-2</v>
      </c>
      <c r="I102" s="312">
        <f>EXP(New!$LP$6-((New!$LQ$6)/(AJ102+New!$LP$8)))/New!$LS$2</f>
        <v>2.4677612312817617E-2</v>
      </c>
      <c r="J102" s="312">
        <f>EXP(New!$LP$6-((New!$LQ$6)/(AK102+New!$LP$8)))/New!$LS$2</f>
        <v>2.2955753741879505E-2</v>
      </c>
      <c r="K102" s="245">
        <f>((New!FH102*New!$LP$3*LN((1-B102)/(1-New!DO102))) / (New!BV102*1000*New!$LQ$3*(1-B102-1+New!DO102)*New!B102^(2/3)))</f>
        <v>0.10707439258327141</v>
      </c>
      <c r="L102" s="4">
        <f>((New!FI102*New!$LP$3*LN((1-C102)/(1-New!DP102))) / (New!BW102*1000*New!$LQ$3*(1-C102-1+New!DP102)*New!C102^(2/3)))</f>
        <v>0.10747917699620826</v>
      </c>
      <c r="M102" s="4">
        <f>((New!FJ102*New!$LP$3*LN((1-D102)/(1-New!DQ102))) / (New!BX102*1000*New!$LQ$3*(1-D102-1+New!DQ102)*New!D102^(2/3)))</f>
        <v>0.10722486746210627</v>
      </c>
      <c r="N102" s="4">
        <f>((New!FK102*New!$LP$3*LN((1-E102)/(1-New!DR102))) / (New!BY102*1000*New!$LQ$3*(1-E102-1+New!DR102)*New!E102^(2/3)))</f>
        <v>0.10702877553508368</v>
      </c>
      <c r="O102" s="4">
        <f>((New!FL102*New!$LP$3*LN((1-F102)/(1-New!DS102))) / (New!BZ102*1000*New!$LQ$3*(1-F102-1+New!DS102)*New!F102^(2/3)))</f>
        <v>0.1068023709750934</v>
      </c>
      <c r="P102" s="4">
        <f>((New!FM102*New!$LP$3*LN((1-G102)/(1-New!DT102))) / (New!CA102*1000*New!$LQ$3*(1-G102-1+New!DT102)*New!G102^(2/3)))</f>
        <v>0.1066577664305943</v>
      </c>
      <c r="Q102" s="4">
        <f>((New!FN102*New!$LP$3*LN((1-H102)/(1-New!DU102))) / (New!CB102*1000*New!$LQ$3*(1-H102-1+New!DU102)*New!H102^(2/3)))</f>
        <v>0.10647943496383515</v>
      </c>
      <c r="R102" s="4">
        <f>((New!FO102*New!$LP$3*LN((1-I102)/(1-New!DV102))) / (New!CC102*1000*New!$LQ$3*(1-I102-1+New!DV102)*New!I102^(2/3)))</f>
        <v>0.10636097420288444</v>
      </c>
      <c r="S102" s="4">
        <f>((New!FP102*New!$LP$3*LN((1-J102)/(1-New!DW102))) / (New!CD102*1000*New!$LQ$3*(1-J102-1+New!DW102)*New!J102^(2/3)))</f>
        <v>0.10618832511306095</v>
      </c>
      <c r="T102" s="245">
        <f>(New!FH102*Sheet3!DF102+New!HU102*1000*K102*(New!DO102-B102)+'Cooling water'!CO102*'Cooling water'!B102) / (New!FH102+'Cooling water'!CO102)</f>
        <v>21.12765015413131</v>
      </c>
      <c r="U102" s="4">
        <f>(New!FI102*Sheet3!BZ102+New!HV102*1000*L102*(New!DP102-C102)+Sheet3!CI102*'Cooling water'!CP102) / (New!FI102+'Cooling water'!CP102)</f>
        <v>27.110532238065918</v>
      </c>
      <c r="V102" s="4">
        <f>(New!FJ102*Sheet3!CA102+New!HW102*1000*M102*(New!DQ102-D102)+Sheet3!CJ102*'Cooling water'!CQ102) / (New!FJ102+'Cooling water'!CQ102)</f>
        <v>26.002951711203451</v>
      </c>
      <c r="W102" s="4">
        <f>(New!FK102*Sheet3!CB102+New!HX102*1000*N102*(New!DR102-E102)+Sheet3!CK102*'Cooling water'!CR102) / (New!FK102+'Cooling water'!CR102)</f>
        <v>25.032027668344828</v>
      </c>
      <c r="X102" s="4">
        <f>(New!FL102*Sheet3!CC102+New!HY102*1000*O102*(New!DS102-F102)+Sheet3!CL102*'Cooling water'!CS102) / (New!FL102+'Cooling water'!CS102)</f>
        <v>24.029508332650437</v>
      </c>
      <c r="Y102" s="4">
        <f>(New!FM102*Sheet3!CD102+New!HZ102*1000*P102*(New!DT102-G102)+Sheet3!CM102*'Cooling water'!CT102) / (New!FM102+'Cooling water'!CT102)</f>
        <v>23.202338047514633</v>
      </c>
      <c r="Z102" s="4">
        <f>(New!FN102*Sheet3!CE102+New!IA102*1000*Q102*(New!DU102-H102)+Sheet3!CN102*'Cooling water'!CU102) / (New!FN102+'Cooling water'!CU102)</f>
        <v>22.275361569436193</v>
      </c>
      <c r="AA102" s="4">
        <f>(New!FO102*Sheet3!CF102+New!IB102*1000*R102*(New!DV102-I102)+Sheet3!CO102*'Cooling water'!CV102) / (New!FO102+'Cooling water'!CV102)</f>
        <v>21.441357911683848</v>
      </c>
      <c r="AB102" s="4">
        <f>(New!FP102*Sheet3!CG102+New!IC102*1000*S102*(New!DW102-J102)+Sheet3!CP102*'Cooling water'!CW102) / (New!FP102+'Cooling water'!CW102)</f>
        <v>20.443957660093748</v>
      </c>
      <c r="AC102" s="245">
        <f t="shared" si="4"/>
        <v>23.819337625000003</v>
      </c>
      <c r="AD102" s="311">
        <v>27.547933</v>
      </c>
      <c r="AE102" s="311">
        <v>26.415320000000001</v>
      </c>
      <c r="AF102" s="311">
        <v>25.324943999999999</v>
      </c>
      <c r="AG102" s="311">
        <v>24.2913</v>
      </c>
      <c r="AH102" s="311">
        <v>23.292403</v>
      </c>
      <c r="AI102" s="311">
        <v>22.300407</v>
      </c>
      <c r="AJ102" s="311">
        <v>21.272016000000001</v>
      </c>
      <c r="AK102" s="311">
        <v>20.110378000000001</v>
      </c>
      <c r="AL102" s="243">
        <f>AVERAGE(Sheet3!BR102:BY102)</f>
        <v>19.38009430709538</v>
      </c>
      <c r="AM102" s="183" cm="1">
        <f t="array" ref="AM102:AT102">TRANSPOSE('[109]Keithley Matavimai'!$W$6:$W$13)</f>
        <v>25.049384145436591</v>
      </c>
      <c r="AN102" s="183">
        <v>20.724382276318718</v>
      </c>
      <c r="AO102" s="183">
        <v>22.137375572390464</v>
      </c>
      <c r="AP102" s="183">
        <v>18.790435793461658</v>
      </c>
      <c r="AQ102" s="183">
        <v>18.819214117288144</v>
      </c>
      <c r="AR102" s="183">
        <v>18.507355448211953</v>
      </c>
      <c r="AS102" s="183">
        <v>17.769342506075034</v>
      </c>
      <c r="AT102" s="183">
        <v>13.243264597580476</v>
      </c>
      <c r="AU102" s="183">
        <f t="shared" si="5"/>
        <v>4.4392433179046229</v>
      </c>
      <c r="AX102" s="281"/>
      <c r="AY102" s="281"/>
      <c r="AZ102" s="281"/>
      <c r="BA102" s="281"/>
    </row>
  </sheetData>
  <phoneticPr fontId="15" type="noConversion"/>
  <conditionalFormatting sqref="T2:T102">
    <cfRule type="expression" dxfId="7" priority="9" stopIfTrue="1">
      <formula>ABS(AC2-T2)&lt;0.3</formula>
    </cfRule>
  </conditionalFormatting>
  <conditionalFormatting sqref="AC2:AC102">
    <cfRule type="expression" dxfId="6" priority="10" stopIfTrue="1">
      <formula>ABS(T2-AC2)&lt;0.3</formula>
    </cfRule>
  </conditionalFormatting>
  <conditionalFormatting sqref="AD2:AD102 AF2:AF102 AH2:AK102">
    <cfRule type="expression" dxfId="5" priority="8">
      <formula>AM2&gt;AD2</formula>
    </cfRule>
  </conditionalFormatting>
  <conditionalFormatting sqref="AE2:AE102 AG2:AG102">
    <cfRule type="expression" dxfId="4" priority="7">
      <formula>AO2&gt;AF2</formula>
    </cfRule>
  </conditionalFormatting>
  <conditionalFormatting sqref="AL2">
    <cfRule type="expression" dxfId="3" priority="37" stopIfTrue="1">
      <formula>T2:T102&lt;AL2:AL102</formula>
    </cfRule>
    <cfRule type="expression" dxfId="2" priority="38" stopIfTrue="1">
      <formula>$T2:T102&gt;$AL2:$AL102</formula>
    </cfRule>
  </conditionalFormatting>
  <conditionalFormatting sqref="AL3:AL102">
    <cfRule type="expression" dxfId="1" priority="17" stopIfTrue="1">
      <formula>T3:T104&lt;AL3:AL104</formula>
    </cfRule>
    <cfRule type="expression" dxfId="0" priority="19" stopIfTrue="1">
      <formula>$T3:T104&gt;$AL3:$AL104</formula>
    </cfRule>
  </conditionalFormatting>
  <conditionalFormatting sqref="AU2:AU102">
    <cfRule type="dataBar" priority="4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{204FA7AA-C11F-41EC-8D5D-F1BD9D3D0A5A}</x14:id>
        </ext>
      </extLst>
    </cfRule>
  </conditionalFormatting>
  <conditionalFormatting sqref="AV2">
    <cfRule type="expression" priority="21">
      <formula>"c2:c103 &gt; m2:m103"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4FA7AA-C11F-41EC-8D5D-F1BD9D3D0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AU2:AU102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S38"/>
  <sheetViews>
    <sheetView zoomScale="85" zoomScaleNormal="85" workbookViewId="0">
      <pane xSplit="15" ySplit="13" topLeftCell="P17" activePane="bottomRight" state="frozen"/>
      <selection pane="topRight" activeCell="J1" sqref="J1"/>
      <selection pane="bottomLeft" activeCell="A16" sqref="A16"/>
      <selection pane="bottomRight" activeCell="A3" sqref="A3:S7"/>
    </sheetView>
  </sheetViews>
  <sheetFormatPr defaultRowHeight="14.4" x14ac:dyDescent="0.3"/>
  <cols>
    <col min="2" max="3" width="15.33203125" customWidth="1"/>
    <col min="4" max="5" width="14.109375" customWidth="1"/>
    <col min="9" max="11" width="12.88671875" customWidth="1"/>
    <col min="12" max="15" width="19.5546875" customWidth="1"/>
    <col min="16" max="18" width="21.109375" customWidth="1"/>
    <col min="19" max="19" width="52.5546875" customWidth="1"/>
  </cols>
  <sheetData>
    <row r="1" spans="1:19" x14ac:dyDescent="0.3">
      <c r="B1" s="3" t="s">
        <v>8</v>
      </c>
      <c r="C1" s="3"/>
    </row>
    <row r="2" spans="1:19" ht="15" thickBot="1" x14ac:dyDescent="0.35">
      <c r="B2" s="3" t="s">
        <v>9</v>
      </c>
      <c r="C2" s="3"/>
    </row>
    <row r="3" spans="1:19" ht="32.4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3" t="s">
        <v>38</v>
      </c>
      <c r="I3" s="23" t="s">
        <v>39</v>
      </c>
      <c r="J3" s="23" t="s">
        <v>41</v>
      </c>
      <c r="K3" s="23" t="s">
        <v>42</v>
      </c>
      <c r="L3" s="2" t="s">
        <v>18</v>
      </c>
      <c r="M3" s="2" t="s">
        <v>37</v>
      </c>
      <c r="N3" s="2" t="s">
        <v>17</v>
      </c>
      <c r="O3" s="2" t="s">
        <v>15</v>
      </c>
      <c r="P3" s="2" t="s">
        <v>1</v>
      </c>
      <c r="Q3" s="2" t="s">
        <v>16</v>
      </c>
      <c r="R3" s="2" t="s">
        <v>11</v>
      </c>
      <c r="S3" s="2" t="s">
        <v>2</v>
      </c>
    </row>
    <row r="4" spans="1:19" x14ac:dyDescent="0.3">
      <c r="A4" s="12">
        <v>1</v>
      </c>
      <c r="B4" s="8">
        <v>43927</v>
      </c>
      <c r="C4" s="9">
        <v>20</v>
      </c>
      <c r="D4" s="9">
        <v>350</v>
      </c>
      <c r="E4" s="9">
        <v>350</v>
      </c>
      <c r="F4" s="9">
        <v>141</v>
      </c>
      <c r="G4" s="9">
        <v>5.8</v>
      </c>
      <c r="H4" s="24"/>
      <c r="I4" s="24">
        <v>13</v>
      </c>
      <c r="J4" s="24"/>
      <c r="K4" s="24"/>
      <c r="L4" s="9">
        <v>2.06</v>
      </c>
      <c r="M4" s="9">
        <v>2</v>
      </c>
      <c r="N4" s="9">
        <v>1169</v>
      </c>
      <c r="O4" s="9">
        <v>24.9</v>
      </c>
      <c r="P4" s="9" t="s">
        <v>3</v>
      </c>
      <c r="Q4" s="9">
        <v>0</v>
      </c>
      <c r="R4" s="9" t="s">
        <v>3</v>
      </c>
      <c r="S4" s="9" t="s">
        <v>4</v>
      </c>
    </row>
    <row r="5" spans="1:19" x14ac:dyDescent="0.3">
      <c r="A5" s="12">
        <v>2</v>
      </c>
      <c r="B5" s="6">
        <v>43930</v>
      </c>
      <c r="C5" s="4">
        <v>29</v>
      </c>
      <c r="D5" s="4">
        <v>495</v>
      </c>
      <c r="E5" s="4">
        <v>500</v>
      </c>
      <c r="F5" s="4">
        <v>145</v>
      </c>
      <c r="G5" s="4">
        <v>5.6</v>
      </c>
      <c r="H5" s="25"/>
      <c r="I5" s="25"/>
      <c r="J5" s="25"/>
      <c r="K5" s="25"/>
      <c r="L5" s="4">
        <v>1.83</v>
      </c>
      <c r="M5" s="4">
        <v>2</v>
      </c>
      <c r="N5" s="4">
        <v>1070</v>
      </c>
      <c r="O5" s="4">
        <v>26</v>
      </c>
      <c r="P5" s="4" t="s">
        <v>3</v>
      </c>
      <c r="Q5" s="4">
        <v>0</v>
      </c>
      <c r="R5" s="4" t="s">
        <v>3</v>
      </c>
      <c r="S5" s="4" t="s">
        <v>4</v>
      </c>
    </row>
    <row r="6" spans="1:19" x14ac:dyDescent="0.3">
      <c r="A6" s="12">
        <v>3</v>
      </c>
      <c r="B6" s="6">
        <v>43936</v>
      </c>
      <c r="C6" s="4">
        <v>41</v>
      </c>
      <c r="D6" s="4">
        <v>710</v>
      </c>
      <c r="E6" s="4">
        <v>700</v>
      </c>
      <c r="F6" s="4">
        <v>147</v>
      </c>
      <c r="G6" s="4">
        <v>5.5</v>
      </c>
      <c r="H6" s="25"/>
      <c r="I6" s="25"/>
      <c r="J6" s="25"/>
      <c r="K6" s="25"/>
      <c r="L6" s="4">
        <v>2.04</v>
      </c>
      <c r="M6" s="4">
        <v>2</v>
      </c>
      <c r="N6" s="4">
        <v>1167</v>
      </c>
      <c r="O6" s="4">
        <v>25</v>
      </c>
      <c r="P6" s="4" t="s">
        <v>3</v>
      </c>
      <c r="Q6" s="4">
        <v>0</v>
      </c>
      <c r="R6" s="4" t="s">
        <v>3</v>
      </c>
      <c r="S6" s="4" t="s">
        <v>4</v>
      </c>
    </row>
    <row r="7" spans="1:19" x14ac:dyDescent="0.3">
      <c r="A7" s="12">
        <v>4</v>
      </c>
      <c r="B7" s="6">
        <v>43941</v>
      </c>
      <c r="C7" s="4">
        <v>57</v>
      </c>
      <c r="D7" s="4">
        <v>980</v>
      </c>
      <c r="E7" s="4">
        <v>1000</v>
      </c>
      <c r="F7" s="4">
        <v>151</v>
      </c>
      <c r="G7" s="4">
        <v>5.5</v>
      </c>
      <c r="H7" s="25"/>
      <c r="I7" s="25"/>
      <c r="J7" s="25"/>
      <c r="K7" s="25"/>
      <c r="L7" s="4">
        <v>1.97</v>
      </c>
      <c r="M7" s="4">
        <v>2</v>
      </c>
      <c r="N7" s="4">
        <v>1121</v>
      </c>
      <c r="O7" s="4">
        <v>26</v>
      </c>
      <c r="P7" s="4" t="s">
        <v>3</v>
      </c>
      <c r="Q7" s="4">
        <v>0</v>
      </c>
      <c r="R7" s="4" t="s">
        <v>3</v>
      </c>
      <c r="S7" s="4" t="s">
        <v>4</v>
      </c>
    </row>
    <row r="8" spans="1:19" ht="28.8" x14ac:dyDescent="0.3">
      <c r="A8" s="10">
        <v>5</v>
      </c>
      <c r="B8" s="6">
        <v>44014</v>
      </c>
      <c r="C8" s="4">
        <v>58</v>
      </c>
      <c r="D8" s="4">
        <v>990</v>
      </c>
      <c r="E8" s="4">
        <v>990</v>
      </c>
      <c r="F8" s="4">
        <v>150</v>
      </c>
      <c r="G8" s="4">
        <v>6.2</v>
      </c>
      <c r="H8" s="25"/>
      <c r="I8" s="25"/>
      <c r="J8" s="25"/>
      <c r="K8" s="25"/>
      <c r="L8" s="4">
        <v>2.14</v>
      </c>
      <c r="M8" s="4">
        <v>2</v>
      </c>
      <c r="N8" s="4">
        <v>1442</v>
      </c>
      <c r="O8" s="4">
        <v>35</v>
      </c>
      <c r="P8" s="4" t="s">
        <v>3</v>
      </c>
      <c r="Q8" s="4">
        <v>0</v>
      </c>
      <c r="R8" s="4" t="s">
        <v>3</v>
      </c>
      <c r="S8" s="5" t="s">
        <v>10</v>
      </c>
    </row>
    <row r="9" spans="1:19" ht="30" customHeight="1" x14ac:dyDescent="0.3">
      <c r="A9" s="19">
        <v>6</v>
      </c>
      <c r="B9" s="6">
        <v>44015</v>
      </c>
      <c r="C9" s="4">
        <v>54</v>
      </c>
      <c r="D9" s="4">
        <v>915</v>
      </c>
      <c r="E9" s="4">
        <v>900</v>
      </c>
      <c r="F9" s="4">
        <v>123</v>
      </c>
      <c r="G9" s="4">
        <v>7.2</v>
      </c>
      <c r="H9" s="25"/>
      <c r="I9" s="25">
        <v>9</v>
      </c>
      <c r="J9" s="25"/>
      <c r="K9" s="25"/>
      <c r="L9" s="4">
        <v>2.1800000000000002</v>
      </c>
      <c r="M9" s="4">
        <v>2</v>
      </c>
      <c r="N9" s="4">
        <v>1520</v>
      </c>
      <c r="O9" s="4">
        <v>34</v>
      </c>
      <c r="P9" s="4" t="s">
        <v>3</v>
      </c>
      <c r="Q9" s="4">
        <v>0</v>
      </c>
      <c r="R9" s="4" t="s">
        <v>7</v>
      </c>
      <c r="S9" s="18"/>
    </row>
    <row r="10" spans="1:19" s="69" customFormat="1" x14ac:dyDescent="0.3">
      <c r="A10" s="65">
        <v>7</v>
      </c>
      <c r="B10" s="66">
        <v>44021</v>
      </c>
      <c r="C10" s="67">
        <v>56</v>
      </c>
      <c r="D10" s="67">
        <v>960</v>
      </c>
      <c r="E10" s="67">
        <v>960</v>
      </c>
      <c r="F10" s="67">
        <v>151</v>
      </c>
      <c r="G10" s="67">
        <v>5.0999999999999996</v>
      </c>
      <c r="H10" s="67"/>
      <c r="I10" s="67"/>
      <c r="J10" s="67"/>
      <c r="K10" s="67"/>
      <c r="L10" s="67">
        <v>1.94</v>
      </c>
      <c r="M10" s="67">
        <v>2</v>
      </c>
      <c r="N10" s="67">
        <v>1284</v>
      </c>
      <c r="O10" s="67">
        <v>32</v>
      </c>
      <c r="P10" s="67" t="s">
        <v>3</v>
      </c>
      <c r="Q10" s="67">
        <v>0</v>
      </c>
      <c r="R10" s="67" t="s">
        <v>3</v>
      </c>
      <c r="S10" s="68" t="s">
        <v>5</v>
      </c>
    </row>
    <row r="11" spans="1:19" s="62" customFormat="1" ht="14.25" customHeight="1" x14ac:dyDescent="0.3">
      <c r="A11" s="58">
        <v>8</v>
      </c>
      <c r="B11" s="59">
        <v>44022</v>
      </c>
      <c r="C11" s="60">
        <v>54</v>
      </c>
      <c r="D11" s="60">
        <v>930</v>
      </c>
      <c r="E11" s="60">
        <v>930</v>
      </c>
      <c r="F11" s="60">
        <v>124</v>
      </c>
      <c r="G11" s="60">
        <v>7.2</v>
      </c>
      <c r="H11" s="60"/>
      <c r="I11" s="60"/>
      <c r="J11" s="60"/>
      <c r="K11" s="60"/>
      <c r="L11" s="60">
        <v>1.98</v>
      </c>
      <c r="M11" s="60">
        <v>2</v>
      </c>
      <c r="N11" s="60">
        <v>1320</v>
      </c>
      <c r="O11" s="60">
        <v>32</v>
      </c>
      <c r="P11" s="60" t="s">
        <v>3</v>
      </c>
      <c r="Q11" s="60">
        <v>0</v>
      </c>
      <c r="R11" s="60" t="s">
        <v>7</v>
      </c>
      <c r="S11" s="61" t="s">
        <v>6</v>
      </c>
    </row>
    <row r="12" spans="1:19" ht="30" customHeight="1" x14ac:dyDescent="0.3">
      <c r="A12" s="19">
        <v>9</v>
      </c>
      <c r="B12" s="6">
        <v>44026</v>
      </c>
      <c r="C12" s="4">
        <v>54</v>
      </c>
      <c r="D12" s="4">
        <v>937</v>
      </c>
      <c r="E12" s="4">
        <v>930</v>
      </c>
      <c r="F12" s="4">
        <v>114</v>
      </c>
      <c r="G12" s="4">
        <v>11.2</v>
      </c>
      <c r="H12" s="25"/>
      <c r="I12" s="25"/>
      <c r="J12" s="25"/>
      <c r="K12" s="25"/>
      <c r="L12" s="4">
        <v>1.96</v>
      </c>
      <c r="M12" s="4">
        <v>2</v>
      </c>
      <c r="N12" s="4">
        <v>1293</v>
      </c>
      <c r="O12" s="4">
        <v>32</v>
      </c>
      <c r="P12" s="4" t="s">
        <v>7</v>
      </c>
      <c r="Q12" s="4">
        <v>5</v>
      </c>
      <c r="R12" s="4" t="s">
        <v>7</v>
      </c>
      <c r="S12" s="18"/>
    </row>
    <row r="13" spans="1:19" ht="30" customHeight="1" x14ac:dyDescent="0.3">
      <c r="A13" s="19">
        <v>10</v>
      </c>
      <c r="B13" s="6">
        <v>44026</v>
      </c>
      <c r="C13" s="4">
        <v>55</v>
      </c>
      <c r="D13" s="4">
        <v>938</v>
      </c>
      <c r="E13" s="4">
        <v>930</v>
      </c>
      <c r="F13" s="4">
        <v>114</v>
      </c>
      <c r="G13" s="4">
        <v>11.9</v>
      </c>
      <c r="H13" s="25"/>
      <c r="I13" s="25"/>
      <c r="J13" s="25"/>
      <c r="K13" s="25"/>
      <c r="L13" s="4">
        <v>3</v>
      </c>
      <c r="M13" s="4">
        <v>3</v>
      </c>
      <c r="N13" s="4">
        <v>2023</v>
      </c>
      <c r="O13" s="4">
        <v>32</v>
      </c>
      <c r="P13" s="4" t="s">
        <v>7</v>
      </c>
      <c r="Q13" s="4">
        <v>5</v>
      </c>
      <c r="R13" s="4" t="s">
        <v>7</v>
      </c>
      <c r="S13" s="18"/>
    </row>
    <row r="14" spans="1:19" x14ac:dyDescent="0.3">
      <c r="A14" s="10">
        <v>11</v>
      </c>
      <c r="B14" s="7">
        <v>44028</v>
      </c>
      <c r="C14" s="10">
        <v>55</v>
      </c>
      <c r="D14" s="10">
        <v>938</v>
      </c>
      <c r="E14" s="10">
        <v>930</v>
      </c>
      <c r="F14" s="10">
        <v>112.2</v>
      </c>
      <c r="G14" s="10">
        <v>13</v>
      </c>
      <c r="H14" s="26"/>
      <c r="I14" s="26"/>
      <c r="J14" s="26"/>
      <c r="K14" s="26"/>
      <c r="L14" s="10">
        <v>2.5299999999999998</v>
      </c>
      <c r="M14" s="10">
        <v>2.5</v>
      </c>
      <c r="N14" s="11">
        <v>1772</v>
      </c>
      <c r="O14" s="10">
        <v>35</v>
      </c>
      <c r="P14" s="10" t="s">
        <v>7</v>
      </c>
      <c r="Q14" s="10">
        <v>5</v>
      </c>
      <c r="R14" s="10" t="s">
        <v>7</v>
      </c>
      <c r="S14" s="5" t="s">
        <v>20</v>
      </c>
    </row>
    <row r="15" spans="1:19" s="62" customFormat="1" x14ac:dyDescent="0.3">
      <c r="A15" s="58">
        <v>12</v>
      </c>
      <c r="B15" s="63">
        <v>44029</v>
      </c>
      <c r="C15" s="58">
        <v>18.600000000000001</v>
      </c>
      <c r="D15" s="58">
        <v>316</v>
      </c>
      <c r="E15" s="58">
        <v>300</v>
      </c>
      <c r="F15" s="58">
        <v>116.8</v>
      </c>
      <c r="G15" s="58">
        <v>7.8</v>
      </c>
      <c r="H15" s="58"/>
      <c r="I15" s="58"/>
      <c r="J15" s="58"/>
      <c r="K15" s="58"/>
      <c r="L15" s="58">
        <v>1.91</v>
      </c>
      <c r="M15" s="58">
        <v>2</v>
      </c>
      <c r="N15" s="64">
        <v>1361</v>
      </c>
      <c r="O15" s="58">
        <v>35.6</v>
      </c>
      <c r="P15" s="58" t="s">
        <v>3</v>
      </c>
      <c r="Q15" s="58">
        <v>0</v>
      </c>
      <c r="R15" s="58" t="s">
        <v>7</v>
      </c>
      <c r="S15" s="61"/>
    </row>
    <row r="16" spans="1:19" s="62" customFormat="1" x14ac:dyDescent="0.3">
      <c r="A16" s="58">
        <v>13</v>
      </c>
      <c r="B16" s="63">
        <v>44032</v>
      </c>
      <c r="C16" s="58">
        <v>53.4</v>
      </c>
      <c r="D16" s="58">
        <v>909</v>
      </c>
      <c r="E16" s="58">
        <v>900</v>
      </c>
      <c r="F16" s="58">
        <v>108.9</v>
      </c>
      <c r="G16" s="58">
        <v>16.899999999999999</v>
      </c>
      <c r="H16" s="58"/>
      <c r="I16" s="58"/>
      <c r="J16" s="58"/>
      <c r="K16" s="58"/>
      <c r="L16" s="58">
        <v>2.0299999999999998</v>
      </c>
      <c r="M16" s="58">
        <v>2</v>
      </c>
      <c r="N16" s="64">
        <v>1435</v>
      </c>
      <c r="O16" s="58">
        <v>35.1</v>
      </c>
      <c r="P16" s="58" t="s">
        <v>7</v>
      </c>
      <c r="Q16" s="58">
        <v>8</v>
      </c>
      <c r="R16" s="58" t="s">
        <v>7</v>
      </c>
      <c r="S16" s="61"/>
    </row>
    <row r="17" spans="1:19" s="62" customFormat="1" x14ac:dyDescent="0.3">
      <c r="A17" s="58">
        <v>14</v>
      </c>
      <c r="B17" s="63">
        <v>44033</v>
      </c>
      <c r="C17" s="58">
        <v>18.399999999999999</v>
      </c>
      <c r="D17" s="58">
        <v>314</v>
      </c>
      <c r="E17" s="58">
        <v>300</v>
      </c>
      <c r="F17" s="58">
        <v>102.6</v>
      </c>
      <c r="G17" s="58">
        <v>16.5</v>
      </c>
      <c r="H17" s="58"/>
      <c r="I17" s="58"/>
      <c r="J17" s="58"/>
      <c r="K17" s="58"/>
      <c r="L17" s="58">
        <v>2.02</v>
      </c>
      <c r="M17" s="58">
        <v>2</v>
      </c>
      <c r="N17" s="64">
        <v>1387.2</v>
      </c>
      <c r="O17" s="58">
        <v>33.799999999999997</v>
      </c>
      <c r="P17" s="58" t="s">
        <v>7</v>
      </c>
      <c r="Q17" s="58">
        <v>5</v>
      </c>
      <c r="R17" s="58" t="s">
        <v>7</v>
      </c>
      <c r="S17" s="61"/>
    </row>
    <row r="18" spans="1:19" x14ac:dyDescent="0.3">
      <c r="A18" s="10">
        <v>15</v>
      </c>
      <c r="B18" s="7">
        <v>44035</v>
      </c>
      <c r="C18" s="10">
        <v>55.3</v>
      </c>
      <c r="D18" s="10">
        <v>942</v>
      </c>
      <c r="E18" s="10">
        <v>900</v>
      </c>
      <c r="F18" s="10">
        <v>107.8</v>
      </c>
      <c r="G18" s="10">
        <v>19.100000000000001</v>
      </c>
      <c r="H18" s="26"/>
      <c r="I18" s="26"/>
      <c r="J18" s="26"/>
      <c r="K18" s="26"/>
      <c r="L18" s="10">
        <v>2</v>
      </c>
      <c r="M18" s="10">
        <v>2</v>
      </c>
      <c r="N18" s="11">
        <v>1337</v>
      </c>
      <c r="O18" s="10">
        <v>32.4</v>
      </c>
      <c r="P18" s="10" t="s">
        <v>7</v>
      </c>
      <c r="Q18" s="10" t="s">
        <v>21</v>
      </c>
      <c r="R18" s="10" t="s">
        <v>7</v>
      </c>
      <c r="S18" s="5"/>
    </row>
    <row r="19" spans="1:19" x14ac:dyDescent="0.3">
      <c r="A19" s="10">
        <v>16</v>
      </c>
      <c r="B19" s="7">
        <v>44039</v>
      </c>
      <c r="C19" s="10">
        <v>18.7</v>
      </c>
      <c r="D19" s="10">
        <v>319</v>
      </c>
      <c r="E19" s="10">
        <v>300</v>
      </c>
      <c r="F19" s="10">
        <v>114.5</v>
      </c>
      <c r="G19" s="10">
        <v>8.1999999999999993</v>
      </c>
      <c r="H19" s="26"/>
      <c r="I19" s="26">
        <v>9.1</v>
      </c>
      <c r="J19" s="26"/>
      <c r="K19" s="26"/>
      <c r="L19" s="10">
        <v>1.06</v>
      </c>
      <c r="M19" s="10">
        <v>1</v>
      </c>
      <c r="N19" s="11">
        <v>746</v>
      </c>
      <c r="O19" s="10">
        <v>34.979999999999997</v>
      </c>
      <c r="P19" s="10" t="s">
        <v>3</v>
      </c>
      <c r="Q19" s="10">
        <v>0</v>
      </c>
      <c r="R19" s="10" t="s">
        <v>7</v>
      </c>
      <c r="S19" s="5"/>
    </row>
    <row r="20" spans="1:19" x14ac:dyDescent="0.3">
      <c r="A20" s="10">
        <v>17</v>
      </c>
      <c r="B20" s="7">
        <v>44040</v>
      </c>
      <c r="C20" s="10">
        <v>18.5</v>
      </c>
      <c r="D20" s="10">
        <v>314</v>
      </c>
      <c r="E20" s="10">
        <v>300</v>
      </c>
      <c r="F20" s="10">
        <v>104.5</v>
      </c>
      <c r="G20" s="10">
        <v>16.399999999999999</v>
      </c>
      <c r="H20" s="26"/>
      <c r="I20" s="26"/>
      <c r="J20" s="26"/>
      <c r="K20" s="26"/>
      <c r="L20" s="10">
        <v>1.99</v>
      </c>
      <c r="M20" s="10">
        <v>2</v>
      </c>
      <c r="N20" s="11">
        <v>1375</v>
      </c>
      <c r="O20" s="10">
        <v>34.1</v>
      </c>
      <c r="P20" s="10" t="s">
        <v>7</v>
      </c>
      <c r="Q20" s="10">
        <v>8</v>
      </c>
      <c r="R20" s="10" t="s">
        <v>7</v>
      </c>
      <c r="S20" s="5"/>
    </row>
    <row r="21" spans="1:19" x14ac:dyDescent="0.3">
      <c r="A21" s="10">
        <v>18</v>
      </c>
      <c r="B21" s="7">
        <v>44042</v>
      </c>
      <c r="C21" s="10">
        <v>18.8</v>
      </c>
      <c r="D21" s="10">
        <v>320</v>
      </c>
      <c r="E21" s="10">
        <v>300</v>
      </c>
      <c r="F21" s="10">
        <v>104.8</v>
      </c>
      <c r="G21" s="10">
        <v>16.399999999999999</v>
      </c>
      <c r="H21" s="26"/>
      <c r="I21" s="26"/>
      <c r="J21" s="26"/>
      <c r="K21" s="26"/>
      <c r="L21" s="10">
        <v>3</v>
      </c>
      <c r="M21" s="10">
        <v>3</v>
      </c>
      <c r="N21" s="11">
        <v>1993</v>
      </c>
      <c r="O21" s="10">
        <v>32.1</v>
      </c>
      <c r="P21" s="10" t="s">
        <v>7</v>
      </c>
      <c r="Q21" s="10">
        <v>8</v>
      </c>
      <c r="R21" s="10" t="s">
        <v>7</v>
      </c>
      <c r="S21" s="5"/>
    </row>
    <row r="22" spans="1:19" x14ac:dyDescent="0.3">
      <c r="A22" s="10">
        <v>19</v>
      </c>
      <c r="B22" s="7">
        <v>44043</v>
      </c>
      <c r="C22" s="10">
        <v>18.43</v>
      </c>
      <c r="D22" s="10">
        <v>314</v>
      </c>
      <c r="E22" s="10">
        <v>300</v>
      </c>
      <c r="F22" s="10">
        <v>118.8</v>
      </c>
      <c r="G22" s="10">
        <v>7.6</v>
      </c>
      <c r="H22" s="26"/>
      <c r="I22" s="26">
        <v>9</v>
      </c>
      <c r="J22" s="26"/>
      <c r="K22" s="26"/>
      <c r="L22" s="10">
        <v>3.04</v>
      </c>
      <c r="M22" s="10">
        <v>3</v>
      </c>
      <c r="N22" s="11">
        <v>2081</v>
      </c>
      <c r="O22" s="10">
        <v>33.6</v>
      </c>
      <c r="P22" s="10" t="s">
        <v>3</v>
      </c>
      <c r="Q22" s="10">
        <v>0</v>
      </c>
      <c r="R22" s="10" t="s">
        <v>7</v>
      </c>
      <c r="S22" s="5"/>
    </row>
    <row r="23" spans="1:19" x14ac:dyDescent="0.3">
      <c r="A23" s="10">
        <v>20</v>
      </c>
      <c r="B23" s="7">
        <v>44046</v>
      </c>
      <c r="C23" s="10">
        <v>54.23</v>
      </c>
      <c r="D23" s="10">
        <v>924</v>
      </c>
      <c r="E23" s="10">
        <v>900</v>
      </c>
      <c r="F23" s="10">
        <v>124.6</v>
      </c>
      <c r="G23" s="10">
        <v>7.8</v>
      </c>
      <c r="H23" s="26"/>
      <c r="I23" s="26"/>
      <c r="J23" s="26"/>
      <c r="K23" s="26"/>
      <c r="L23" s="10">
        <v>0.95</v>
      </c>
      <c r="M23" s="10">
        <v>1</v>
      </c>
      <c r="N23" s="11">
        <v>688</v>
      </c>
      <c r="O23" s="10">
        <v>36.5</v>
      </c>
      <c r="P23" s="10" t="s">
        <v>3</v>
      </c>
      <c r="Q23" s="10">
        <v>0</v>
      </c>
      <c r="R23" s="10" t="s">
        <v>7</v>
      </c>
      <c r="S23" s="13"/>
    </row>
    <row r="24" spans="1:19" x14ac:dyDescent="0.3">
      <c r="A24" s="10">
        <v>21</v>
      </c>
      <c r="B24" s="7">
        <v>44047</v>
      </c>
      <c r="C24" s="10">
        <v>18.22</v>
      </c>
      <c r="D24" s="10">
        <v>310</v>
      </c>
      <c r="E24" s="10">
        <v>300</v>
      </c>
      <c r="F24" s="10">
        <v>109.8</v>
      </c>
      <c r="G24" s="10">
        <v>13.1</v>
      </c>
      <c r="H24" s="26"/>
      <c r="I24" s="26"/>
      <c r="J24" s="26"/>
      <c r="K24" s="26"/>
      <c r="L24" s="10">
        <v>2.83</v>
      </c>
      <c r="M24" s="10">
        <v>3</v>
      </c>
      <c r="N24" s="11">
        <v>1990</v>
      </c>
      <c r="O24" s="10">
        <v>34.96</v>
      </c>
      <c r="P24" s="10" t="s">
        <v>7</v>
      </c>
      <c r="Q24" s="10">
        <v>5</v>
      </c>
      <c r="R24" s="10" t="s">
        <v>22</v>
      </c>
      <c r="S24" s="5"/>
    </row>
    <row r="25" spans="1:19" x14ac:dyDescent="0.3">
      <c r="A25" s="10">
        <v>22</v>
      </c>
      <c r="B25" s="7">
        <v>44049</v>
      </c>
      <c r="C25" s="10">
        <v>53.78</v>
      </c>
      <c r="D25" s="10">
        <v>916</v>
      </c>
      <c r="E25" s="10">
        <v>900</v>
      </c>
      <c r="F25" s="10">
        <v>118.1</v>
      </c>
      <c r="G25" s="10">
        <v>11.1</v>
      </c>
      <c r="H25" s="26"/>
      <c r="I25" s="26"/>
      <c r="J25" s="26"/>
      <c r="K25" s="26"/>
      <c r="L25" s="10">
        <v>2.97</v>
      </c>
      <c r="M25" s="10">
        <v>3</v>
      </c>
      <c r="N25" s="11">
        <v>2111</v>
      </c>
      <c r="O25" s="10">
        <v>35.5</v>
      </c>
      <c r="P25" s="10" t="s">
        <v>7</v>
      </c>
      <c r="Q25" s="10">
        <v>5</v>
      </c>
      <c r="R25" s="10" t="s">
        <v>22</v>
      </c>
      <c r="S25" s="5"/>
    </row>
    <row r="26" spans="1:19" x14ac:dyDescent="0.3">
      <c r="A26" s="10">
        <v>23</v>
      </c>
      <c r="B26" s="7">
        <v>44061</v>
      </c>
      <c r="C26" s="14">
        <v>54.9</v>
      </c>
      <c r="D26" s="10">
        <v>936</v>
      </c>
      <c r="E26" s="10">
        <v>900</v>
      </c>
      <c r="F26" s="10">
        <v>125</v>
      </c>
      <c r="G26" s="10">
        <v>7.8</v>
      </c>
      <c r="H26" s="26"/>
      <c r="I26" s="26"/>
      <c r="J26" s="26"/>
      <c r="K26" s="26"/>
      <c r="L26" s="10">
        <v>2.94</v>
      </c>
      <c r="M26" s="10">
        <v>3</v>
      </c>
      <c r="N26" s="10">
        <v>2143</v>
      </c>
      <c r="O26" s="10">
        <v>36.799999999999997</v>
      </c>
      <c r="P26" s="10" t="s">
        <v>3</v>
      </c>
      <c r="Q26" s="10">
        <v>0</v>
      </c>
      <c r="R26" s="10" t="s">
        <v>7</v>
      </c>
      <c r="S26" s="10"/>
    </row>
    <row r="27" spans="1:19" ht="14.25" customHeight="1" x14ac:dyDescent="0.3">
      <c r="A27" s="12" t="s">
        <v>24</v>
      </c>
      <c r="B27" s="15">
        <v>44063</v>
      </c>
      <c r="C27" s="12">
        <v>54.4</v>
      </c>
      <c r="D27" s="12">
        <v>930</v>
      </c>
      <c r="E27" s="12">
        <v>900</v>
      </c>
      <c r="F27" s="12">
        <v>112.5</v>
      </c>
      <c r="G27" s="12">
        <v>16.7</v>
      </c>
      <c r="H27" s="27"/>
      <c r="I27" s="27"/>
      <c r="J27" s="27"/>
      <c r="K27" s="27"/>
      <c r="L27" s="12">
        <v>2.94</v>
      </c>
      <c r="M27" s="12">
        <v>3</v>
      </c>
      <c r="N27" s="12">
        <v>2138</v>
      </c>
      <c r="O27" s="12">
        <v>35.1</v>
      </c>
      <c r="P27" s="10" t="s">
        <v>7</v>
      </c>
      <c r="Q27" s="12">
        <v>8</v>
      </c>
      <c r="R27" s="10" t="s">
        <v>7</v>
      </c>
      <c r="S27" s="12"/>
    </row>
    <row r="28" spans="1:19" ht="18.75" customHeight="1" x14ac:dyDescent="0.3">
      <c r="A28" s="17" t="s">
        <v>26</v>
      </c>
      <c r="B28" s="56">
        <v>44067</v>
      </c>
      <c r="C28" s="17">
        <v>52.5</v>
      </c>
      <c r="D28" s="17">
        <v>900</v>
      </c>
      <c r="E28" s="17">
        <v>900</v>
      </c>
      <c r="F28" s="57">
        <v>123</v>
      </c>
      <c r="G28" s="17">
        <v>8</v>
      </c>
      <c r="H28" s="26">
        <v>8</v>
      </c>
      <c r="I28" s="26">
        <v>11</v>
      </c>
      <c r="J28" s="26">
        <v>18.8</v>
      </c>
      <c r="K28" s="26">
        <v>1.5800000000000002E-2</v>
      </c>
      <c r="L28" s="17">
        <v>2.1</v>
      </c>
      <c r="M28" s="17">
        <v>2</v>
      </c>
      <c r="N28" s="17">
        <v>1085</v>
      </c>
      <c r="O28" s="17">
        <v>21</v>
      </c>
      <c r="P28" s="17" t="s">
        <v>3</v>
      </c>
      <c r="Q28" s="17">
        <v>0</v>
      </c>
      <c r="R28" s="17" t="s">
        <v>7</v>
      </c>
      <c r="S28" s="20" t="s">
        <v>25</v>
      </c>
    </row>
    <row r="29" spans="1:19" ht="18.75" customHeight="1" x14ac:dyDescent="0.3">
      <c r="A29" s="17" t="s">
        <v>27</v>
      </c>
      <c r="B29" s="56">
        <v>44068</v>
      </c>
      <c r="C29" s="17">
        <v>19</v>
      </c>
      <c r="D29" s="17">
        <v>324</v>
      </c>
      <c r="E29" s="17">
        <v>300</v>
      </c>
      <c r="F29" s="57">
        <v>117</v>
      </c>
      <c r="G29" s="17">
        <v>8.4</v>
      </c>
      <c r="H29" s="26">
        <v>8</v>
      </c>
      <c r="I29" s="26">
        <v>9.4</v>
      </c>
      <c r="J29" s="26">
        <v>36.6</v>
      </c>
      <c r="K29" s="26">
        <v>9.5999999999999992E-3</v>
      </c>
      <c r="L29" s="17">
        <v>1.87</v>
      </c>
      <c r="M29" s="17">
        <v>2</v>
      </c>
      <c r="N29" s="17">
        <v>988</v>
      </c>
      <c r="O29" s="17">
        <v>21</v>
      </c>
      <c r="P29" s="17" t="s">
        <v>3</v>
      </c>
      <c r="Q29" s="17">
        <v>0</v>
      </c>
      <c r="R29" s="17" t="s">
        <v>7</v>
      </c>
      <c r="S29" s="20" t="s">
        <v>25</v>
      </c>
    </row>
    <row r="30" spans="1:19" ht="18.75" customHeight="1" x14ac:dyDescent="0.3">
      <c r="A30" s="17" t="s">
        <v>28</v>
      </c>
      <c r="B30" s="56">
        <v>44070</v>
      </c>
      <c r="C30" s="17">
        <v>54.6</v>
      </c>
      <c r="D30" s="17">
        <v>930</v>
      </c>
      <c r="E30" s="17">
        <v>900</v>
      </c>
      <c r="F30" s="57">
        <v>111.8</v>
      </c>
      <c r="G30" s="17">
        <v>14.2</v>
      </c>
      <c r="H30" s="26">
        <v>14</v>
      </c>
      <c r="I30" s="26">
        <v>14.1</v>
      </c>
      <c r="J30" s="26">
        <v>34.869999999999997</v>
      </c>
      <c r="K30" s="26">
        <v>3.8600000000000002E-2</v>
      </c>
      <c r="L30" s="17">
        <v>1.9</v>
      </c>
      <c r="M30" s="17">
        <v>2</v>
      </c>
      <c r="N30" s="17">
        <v>960</v>
      </c>
      <c r="O30" s="17">
        <v>20</v>
      </c>
      <c r="P30" s="17" t="s">
        <v>7</v>
      </c>
      <c r="Q30" s="17">
        <v>5</v>
      </c>
      <c r="R30" s="17" t="s">
        <v>22</v>
      </c>
      <c r="S30" s="20" t="s">
        <v>25</v>
      </c>
    </row>
    <row r="31" spans="1:19" ht="18.75" customHeight="1" x14ac:dyDescent="0.3">
      <c r="A31" s="17" t="s">
        <v>29</v>
      </c>
      <c r="B31" s="56">
        <v>44071</v>
      </c>
      <c r="C31" s="17">
        <v>19.23</v>
      </c>
      <c r="D31" s="17">
        <v>330</v>
      </c>
      <c r="E31" s="17">
        <v>300</v>
      </c>
      <c r="F31" s="57">
        <v>106.1</v>
      </c>
      <c r="G31" s="17">
        <v>14.7</v>
      </c>
      <c r="H31" s="26">
        <v>14</v>
      </c>
      <c r="I31" s="26">
        <v>12</v>
      </c>
      <c r="J31" s="26">
        <v>57</v>
      </c>
      <c r="K31" s="26">
        <v>1.9E-2</v>
      </c>
      <c r="L31" s="17">
        <v>1.9</v>
      </c>
      <c r="M31" s="17">
        <v>2</v>
      </c>
      <c r="N31" s="17">
        <v>965</v>
      </c>
      <c r="O31" s="17">
        <v>20</v>
      </c>
      <c r="P31" s="17" t="s">
        <v>7</v>
      </c>
      <c r="Q31" s="17">
        <v>5</v>
      </c>
      <c r="R31" s="17" t="s">
        <v>22</v>
      </c>
      <c r="S31" s="20" t="s">
        <v>25</v>
      </c>
    </row>
    <row r="32" spans="1:19" ht="18.75" customHeight="1" x14ac:dyDescent="0.3">
      <c r="A32" s="17" t="s">
        <v>30</v>
      </c>
      <c r="B32" s="16">
        <v>44074</v>
      </c>
      <c r="C32" s="17">
        <v>54.6</v>
      </c>
      <c r="D32" s="17">
        <v>929</v>
      </c>
      <c r="E32" s="17">
        <v>900</v>
      </c>
      <c r="F32" s="17">
        <v>126</v>
      </c>
      <c r="G32" s="17">
        <v>7.6</v>
      </c>
      <c r="H32" s="26">
        <v>8</v>
      </c>
      <c r="I32" s="26">
        <v>11.7</v>
      </c>
      <c r="J32" s="26">
        <v>15.3</v>
      </c>
      <c r="K32" s="26">
        <v>1.38E-2</v>
      </c>
      <c r="L32" s="17">
        <v>3</v>
      </c>
      <c r="M32" s="17">
        <v>3</v>
      </c>
      <c r="N32" s="17">
        <v>1471</v>
      </c>
      <c r="O32" s="17">
        <v>20</v>
      </c>
      <c r="P32" s="17" t="s">
        <v>3</v>
      </c>
      <c r="Q32" s="17">
        <v>0</v>
      </c>
      <c r="R32" s="17" t="s">
        <v>7</v>
      </c>
      <c r="S32" s="20" t="s">
        <v>25</v>
      </c>
    </row>
    <row r="33" spans="1:19" ht="18.75" customHeight="1" x14ac:dyDescent="0.3">
      <c r="A33" s="17" t="s">
        <v>31</v>
      </c>
      <c r="B33" s="16">
        <v>44077</v>
      </c>
      <c r="C33" s="17">
        <v>18.899999999999999</v>
      </c>
      <c r="D33" s="17">
        <v>322</v>
      </c>
      <c r="E33" s="17">
        <v>300</v>
      </c>
      <c r="F33" s="17">
        <v>113.6</v>
      </c>
      <c r="G33" s="17">
        <v>8.6</v>
      </c>
      <c r="H33" s="26">
        <v>9</v>
      </c>
      <c r="I33" s="26">
        <v>8.6</v>
      </c>
      <c r="J33" s="26">
        <v>32</v>
      </c>
      <c r="K33" s="26">
        <v>7.7999999999999996E-3</v>
      </c>
      <c r="L33" s="17">
        <v>2.8</v>
      </c>
      <c r="M33" s="17">
        <v>3</v>
      </c>
      <c r="N33" s="17">
        <v>1402</v>
      </c>
      <c r="O33" s="17">
        <v>20</v>
      </c>
      <c r="P33" s="17" t="s">
        <v>3</v>
      </c>
      <c r="Q33" s="17">
        <v>0</v>
      </c>
      <c r="R33" s="17" t="s">
        <v>7</v>
      </c>
      <c r="S33" s="20" t="s">
        <v>25</v>
      </c>
    </row>
    <row r="34" spans="1:19" ht="18.75" customHeight="1" x14ac:dyDescent="0.3">
      <c r="A34" s="17" t="s">
        <v>32</v>
      </c>
      <c r="B34" s="16">
        <v>44078</v>
      </c>
      <c r="C34" s="17">
        <v>19.100000000000001</v>
      </c>
      <c r="D34" s="17">
        <v>326</v>
      </c>
      <c r="E34" s="17">
        <v>300</v>
      </c>
      <c r="F34" s="17">
        <v>104</v>
      </c>
      <c r="G34" s="17">
        <v>15.7</v>
      </c>
      <c r="H34" s="26">
        <v>16</v>
      </c>
      <c r="I34" s="26">
        <v>11.6</v>
      </c>
      <c r="J34" s="26">
        <v>59.7</v>
      </c>
      <c r="K34" s="26">
        <v>0.02</v>
      </c>
      <c r="L34" s="17">
        <v>2.9</v>
      </c>
      <c r="M34" s="17">
        <v>3</v>
      </c>
      <c r="N34" s="17">
        <v>1436</v>
      </c>
      <c r="O34" s="17">
        <v>19</v>
      </c>
      <c r="P34" s="17" t="s">
        <v>7</v>
      </c>
      <c r="Q34" s="17">
        <v>5</v>
      </c>
      <c r="R34" s="17" t="s">
        <v>7</v>
      </c>
      <c r="S34" s="20" t="s">
        <v>25</v>
      </c>
    </row>
    <row r="35" spans="1:19" x14ac:dyDescent="0.3">
      <c r="A35" s="21" t="s">
        <v>34</v>
      </c>
      <c r="B35" s="22">
        <v>44081</v>
      </c>
      <c r="C35" s="21">
        <v>53.7</v>
      </c>
      <c r="D35" s="21">
        <v>915</v>
      </c>
      <c r="E35" s="21">
        <v>900</v>
      </c>
      <c r="F35" s="21">
        <v>123</v>
      </c>
      <c r="G35" s="21">
        <v>7.4</v>
      </c>
      <c r="H35" s="27">
        <v>7</v>
      </c>
      <c r="I35" s="27">
        <v>10</v>
      </c>
      <c r="J35" s="27">
        <v>11.8</v>
      </c>
      <c r="K35" s="27">
        <v>9.2999999999999992E-3</v>
      </c>
      <c r="L35" s="21">
        <v>0.97</v>
      </c>
      <c r="M35" s="21">
        <v>1</v>
      </c>
      <c r="N35" s="21">
        <v>502</v>
      </c>
      <c r="O35" s="17">
        <v>21</v>
      </c>
      <c r="P35" s="17" t="s">
        <v>33</v>
      </c>
      <c r="Q35" s="17">
        <v>0</v>
      </c>
      <c r="R35" s="17" t="s">
        <v>7</v>
      </c>
      <c r="S35" s="20" t="s">
        <v>25</v>
      </c>
    </row>
    <row r="36" spans="1:19" ht="43.2" x14ac:dyDescent="0.3">
      <c r="A36" s="17" t="s">
        <v>35</v>
      </c>
      <c r="B36" s="16">
        <v>44082</v>
      </c>
      <c r="C36" s="17">
        <v>19.3</v>
      </c>
      <c r="D36" s="17">
        <v>334</v>
      </c>
      <c r="E36" s="17">
        <v>300</v>
      </c>
      <c r="F36" s="17">
        <v>103.3</v>
      </c>
      <c r="G36" s="17">
        <v>18.3</v>
      </c>
      <c r="H36" s="26">
        <v>18</v>
      </c>
      <c r="I36" s="26">
        <v>13.6</v>
      </c>
      <c r="J36" s="26">
        <v>62</v>
      </c>
      <c r="K36" s="26">
        <v>2.4E-2</v>
      </c>
      <c r="L36" s="17">
        <v>2.2000000000000002</v>
      </c>
      <c r="M36" s="17">
        <v>2</v>
      </c>
      <c r="N36" s="17">
        <v>1066</v>
      </c>
      <c r="O36" s="17">
        <v>19</v>
      </c>
      <c r="P36" s="17" t="s">
        <v>7</v>
      </c>
      <c r="Q36" s="17">
        <v>8</v>
      </c>
      <c r="R36" s="17" t="s">
        <v>7</v>
      </c>
      <c r="S36" s="28" t="s">
        <v>36</v>
      </c>
    </row>
    <row r="37" spans="1:19" x14ac:dyDescent="0.3">
      <c r="A37" s="21" t="s">
        <v>43</v>
      </c>
      <c r="B37" s="22">
        <v>44089</v>
      </c>
      <c r="C37" s="21">
        <v>53.8</v>
      </c>
      <c r="D37" s="21">
        <v>920</v>
      </c>
      <c r="E37" s="17">
        <v>900</v>
      </c>
      <c r="F37" s="21">
        <v>110</v>
      </c>
      <c r="G37" s="21">
        <v>15.5</v>
      </c>
      <c r="H37" s="21">
        <v>16</v>
      </c>
      <c r="I37" s="21">
        <v>14.2</v>
      </c>
      <c r="J37" s="21">
        <v>39</v>
      </c>
      <c r="K37" s="21">
        <v>4.2999999999999997E-2</v>
      </c>
      <c r="L37" s="21">
        <v>1.88</v>
      </c>
      <c r="M37" s="17">
        <v>2</v>
      </c>
      <c r="N37" s="21">
        <v>953</v>
      </c>
      <c r="O37" s="21">
        <v>20</v>
      </c>
      <c r="P37" s="21" t="s">
        <v>7</v>
      </c>
      <c r="Q37" s="17">
        <v>8</v>
      </c>
      <c r="R37" s="17" t="s">
        <v>7</v>
      </c>
      <c r="S37" s="28" t="s">
        <v>25</v>
      </c>
    </row>
    <row r="38" spans="1:19" x14ac:dyDescent="0.3">
      <c r="A38" s="21" t="s">
        <v>44</v>
      </c>
      <c r="B38" s="22">
        <v>44091</v>
      </c>
      <c r="C38" s="21">
        <v>19.7</v>
      </c>
      <c r="D38" s="21">
        <v>336</v>
      </c>
      <c r="E38" s="17">
        <v>300</v>
      </c>
      <c r="F38" s="21">
        <v>117.7</v>
      </c>
      <c r="G38" s="21">
        <v>8</v>
      </c>
      <c r="H38" s="21">
        <v>8</v>
      </c>
      <c r="I38" s="21">
        <v>9.1999999999999993</v>
      </c>
      <c r="J38" s="21">
        <v>27</v>
      </c>
      <c r="K38" s="21">
        <v>7.0000000000000001E-3</v>
      </c>
      <c r="L38" s="21">
        <v>0.95</v>
      </c>
      <c r="M38" s="17">
        <v>1</v>
      </c>
      <c r="N38" s="21">
        <v>514</v>
      </c>
      <c r="O38" s="21">
        <v>22</v>
      </c>
      <c r="P38" s="17" t="s">
        <v>33</v>
      </c>
      <c r="Q38" s="17">
        <v>0</v>
      </c>
      <c r="R38" s="17" t="s">
        <v>7</v>
      </c>
      <c r="S38" s="28" t="s">
        <v>25</v>
      </c>
    </row>
  </sheetData>
  <autoFilter ref="B4:S38" xr:uid="{00000000-0009-0000-0000-00000100000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V28"/>
  <sheetViews>
    <sheetView zoomScale="85" zoomScaleNormal="85" workbookViewId="0">
      <pane xSplit="18" ySplit="3" topLeftCell="S4" activePane="bottomRight" state="frozen"/>
      <selection activeCell="C35" sqref="C35"/>
      <selection pane="topRight" activeCell="C35" sqref="C35"/>
      <selection pane="bottomLeft" activeCell="C35" sqref="C35"/>
      <selection pane="bottomRight" activeCell="O21" sqref="O21"/>
    </sheetView>
  </sheetViews>
  <sheetFormatPr defaultRowHeight="14.4" x14ac:dyDescent="0.3"/>
  <cols>
    <col min="2" max="3" width="15.33203125" customWidth="1"/>
    <col min="4" max="5" width="14.109375" customWidth="1"/>
    <col min="15" max="16" width="12.88671875" customWidth="1"/>
    <col min="17" max="18" width="19.5546875" customWidth="1"/>
    <col min="19" max="21" width="21.109375" customWidth="1"/>
    <col min="22" max="22" width="52.55468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" t="s">
        <v>127</v>
      </c>
      <c r="I3" s="36" t="s">
        <v>92</v>
      </c>
      <c r="J3" s="36" t="s">
        <v>93</v>
      </c>
      <c r="K3" s="36" t="s">
        <v>94</v>
      </c>
      <c r="L3" s="36" t="s">
        <v>95</v>
      </c>
      <c r="M3" s="36" t="s">
        <v>96</v>
      </c>
      <c r="N3" s="23" t="s">
        <v>38</v>
      </c>
      <c r="O3" s="23" t="s">
        <v>90</v>
      </c>
      <c r="P3" s="23" t="s">
        <v>47</v>
      </c>
      <c r="Q3" s="2" t="s">
        <v>18</v>
      </c>
      <c r="R3" s="2" t="s">
        <v>15</v>
      </c>
      <c r="S3" s="2" t="s">
        <v>1</v>
      </c>
      <c r="T3" s="2" t="s">
        <v>16</v>
      </c>
      <c r="U3" s="2" t="s">
        <v>11</v>
      </c>
      <c r="V3" s="2" t="s">
        <v>2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51" t="s">
        <v>3</v>
      </c>
      <c r="I4" s="37">
        <v>42</v>
      </c>
      <c r="J4" s="37">
        <v>22</v>
      </c>
      <c r="K4" s="37">
        <v>9</v>
      </c>
      <c r="L4" s="37">
        <v>21</v>
      </c>
      <c r="M4" s="37">
        <v>77</v>
      </c>
      <c r="N4" s="30">
        <f>G4</f>
        <v>25.8</v>
      </c>
      <c r="O4" s="21">
        <v>16.239999999999998</v>
      </c>
      <c r="P4" s="21" t="s">
        <v>48</v>
      </c>
      <c r="Q4" s="21">
        <v>1</v>
      </c>
      <c r="R4" s="21">
        <v>9.1999999999999993</v>
      </c>
      <c r="S4" s="17" t="s">
        <v>7</v>
      </c>
      <c r="T4" s="17">
        <v>8</v>
      </c>
      <c r="U4" s="17" t="s">
        <v>7</v>
      </c>
      <c r="V4" s="28" t="s">
        <v>25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53" t="s">
        <v>7</v>
      </c>
      <c r="I5" s="37">
        <v>56</v>
      </c>
      <c r="J5" s="37">
        <v>35</v>
      </c>
      <c r="K5" s="37">
        <v>9</v>
      </c>
      <c r="L5" s="37">
        <v>28</v>
      </c>
      <c r="M5" s="37">
        <v>102</v>
      </c>
      <c r="N5" s="30">
        <v>19</v>
      </c>
      <c r="O5" s="21">
        <v>16.5</v>
      </c>
      <c r="P5" s="21">
        <v>63</v>
      </c>
      <c r="Q5" s="21">
        <v>1</v>
      </c>
      <c r="R5" s="21">
        <v>9</v>
      </c>
      <c r="S5" s="17" t="s">
        <v>7</v>
      </c>
      <c r="T5" s="17">
        <v>8</v>
      </c>
      <c r="U5" s="17" t="s">
        <v>7</v>
      </c>
      <c r="V5" s="28" t="s">
        <v>25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51" t="s">
        <v>3</v>
      </c>
      <c r="I6" s="37">
        <v>48</v>
      </c>
      <c r="J6" s="37">
        <v>27</v>
      </c>
      <c r="K6" s="37">
        <v>9</v>
      </c>
      <c r="L6" s="37">
        <v>15</v>
      </c>
      <c r="M6" s="37">
        <v>77</v>
      </c>
      <c r="N6" s="30">
        <v>19</v>
      </c>
      <c r="O6" s="21">
        <v>17</v>
      </c>
      <c r="P6" s="21">
        <v>68</v>
      </c>
      <c r="Q6" s="21">
        <v>2</v>
      </c>
      <c r="R6" s="21">
        <v>9</v>
      </c>
      <c r="S6" s="17" t="s">
        <v>7</v>
      </c>
      <c r="T6" s="17">
        <v>8</v>
      </c>
      <c r="U6" s="17" t="s">
        <v>7</v>
      </c>
      <c r="V6" s="28" t="s">
        <v>25</v>
      </c>
    </row>
    <row r="7" spans="1:22" ht="14.25" customHeight="1" x14ac:dyDescent="0.3">
      <c r="A7" s="21">
        <v>4</v>
      </c>
      <c r="B7" s="70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52" t="s">
        <v>128</v>
      </c>
      <c r="I7" s="37">
        <v>35</v>
      </c>
      <c r="J7" s="37">
        <v>15</v>
      </c>
      <c r="K7" s="51">
        <v>8</v>
      </c>
      <c r="L7" s="51">
        <v>10</v>
      </c>
      <c r="M7" s="37">
        <v>37</v>
      </c>
      <c r="N7" s="21">
        <v>24</v>
      </c>
      <c r="O7" s="21">
        <v>17.399999999999999</v>
      </c>
      <c r="P7" s="21">
        <v>76.7</v>
      </c>
      <c r="Q7" s="21">
        <v>2</v>
      </c>
      <c r="R7" s="21">
        <v>8</v>
      </c>
      <c r="S7" s="17" t="s">
        <v>7</v>
      </c>
      <c r="T7" s="17">
        <v>8</v>
      </c>
      <c r="U7" s="17" t="s">
        <v>7</v>
      </c>
      <c r="V7" s="28" t="s">
        <v>25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</v>
      </c>
      <c r="H8" s="51" t="s">
        <v>3</v>
      </c>
      <c r="I8" s="37">
        <v>63</v>
      </c>
      <c r="J8" s="37">
        <v>33</v>
      </c>
      <c r="K8" s="37">
        <v>9</v>
      </c>
      <c r="L8" s="37">
        <v>25</v>
      </c>
      <c r="M8" s="37">
        <v>83</v>
      </c>
      <c r="N8" s="21">
        <v>8</v>
      </c>
      <c r="O8" s="21">
        <v>28</v>
      </c>
      <c r="P8" s="21">
        <v>40.299999999999997</v>
      </c>
      <c r="Q8" s="21">
        <v>1</v>
      </c>
      <c r="R8" s="21">
        <v>9</v>
      </c>
      <c r="S8" s="17" t="s">
        <v>7</v>
      </c>
      <c r="T8" s="21">
        <v>8</v>
      </c>
      <c r="U8" s="17" t="s">
        <v>3</v>
      </c>
      <c r="V8" s="28" t="s">
        <v>25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52" t="s">
        <v>128</v>
      </c>
      <c r="I9" s="37">
        <v>40</v>
      </c>
      <c r="J9" s="37">
        <v>20</v>
      </c>
      <c r="K9" s="38">
        <v>9</v>
      </c>
      <c r="L9" s="37">
        <v>16</v>
      </c>
      <c r="M9" s="37">
        <v>56</v>
      </c>
      <c r="N9" s="21">
        <v>9</v>
      </c>
      <c r="O9" s="21">
        <v>26</v>
      </c>
      <c r="P9" s="21">
        <v>54</v>
      </c>
      <c r="Q9" s="21">
        <v>1</v>
      </c>
      <c r="R9" s="17">
        <v>9</v>
      </c>
      <c r="S9" s="17" t="s">
        <v>7</v>
      </c>
      <c r="T9" s="21">
        <v>8</v>
      </c>
      <c r="U9" s="17" t="s">
        <v>3</v>
      </c>
      <c r="V9" s="20" t="s">
        <v>25</v>
      </c>
    </row>
    <row r="10" spans="1:22" ht="21.75" customHeight="1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52" t="s">
        <v>128</v>
      </c>
      <c r="I10" s="38">
        <v>36</v>
      </c>
      <c r="J10" s="38">
        <v>16</v>
      </c>
      <c r="K10" s="54">
        <v>8</v>
      </c>
      <c r="L10" s="54">
        <v>11</v>
      </c>
      <c r="M10" s="38">
        <v>55</v>
      </c>
      <c r="N10" s="17">
        <v>9</v>
      </c>
      <c r="O10" s="17">
        <v>28</v>
      </c>
      <c r="P10" s="17">
        <v>51</v>
      </c>
      <c r="Q10" s="31">
        <v>2</v>
      </c>
      <c r="R10" s="17">
        <v>8</v>
      </c>
      <c r="S10" s="17" t="s">
        <v>7</v>
      </c>
      <c r="T10" s="17">
        <v>8</v>
      </c>
      <c r="U10" s="31" t="s">
        <v>3</v>
      </c>
      <c r="V10" s="20" t="s">
        <v>25</v>
      </c>
    </row>
    <row r="11" spans="1:22" x14ac:dyDescent="0.3">
      <c r="A11" s="21">
        <v>8</v>
      </c>
      <c r="B11" s="70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51" t="s">
        <v>3</v>
      </c>
      <c r="I11" s="37">
        <v>58</v>
      </c>
      <c r="J11" s="37">
        <v>27</v>
      </c>
      <c r="K11" s="37">
        <v>8</v>
      </c>
      <c r="L11" s="37">
        <v>16</v>
      </c>
      <c r="M11" s="37">
        <v>53</v>
      </c>
      <c r="N11" s="21">
        <v>8</v>
      </c>
      <c r="O11" s="21">
        <v>30</v>
      </c>
      <c r="P11" s="21">
        <v>39.700000000000003</v>
      </c>
      <c r="Q11" s="21">
        <v>2</v>
      </c>
      <c r="R11" s="21">
        <v>8</v>
      </c>
      <c r="S11" s="21" t="s">
        <v>7</v>
      </c>
      <c r="T11" s="21">
        <v>8</v>
      </c>
      <c r="U11" s="17" t="s">
        <v>3</v>
      </c>
      <c r="V11" s="20" t="s">
        <v>25</v>
      </c>
    </row>
    <row r="12" spans="1:22" x14ac:dyDescent="0.3">
      <c r="A12" s="21">
        <v>9</v>
      </c>
      <c r="B12" s="32">
        <v>44657</v>
      </c>
      <c r="C12" s="21">
        <v>21.7</v>
      </c>
      <c r="D12" s="21">
        <v>370</v>
      </c>
      <c r="E12" s="21">
        <v>370</v>
      </c>
      <c r="F12" s="21">
        <v>160</v>
      </c>
      <c r="G12" s="21">
        <v>5.8</v>
      </c>
      <c r="H12" s="51" t="s">
        <v>3</v>
      </c>
      <c r="I12" s="37">
        <v>36</v>
      </c>
      <c r="J12" s="37">
        <v>16</v>
      </c>
      <c r="K12" s="51">
        <v>11</v>
      </c>
      <c r="L12" s="51">
        <v>14</v>
      </c>
      <c r="M12" s="37">
        <v>43</v>
      </c>
      <c r="N12" s="21">
        <v>6</v>
      </c>
      <c r="O12" s="21">
        <v>24</v>
      </c>
      <c r="P12" s="21">
        <v>18.600000000000001</v>
      </c>
      <c r="Q12" s="21">
        <v>1</v>
      </c>
      <c r="R12" s="21">
        <v>11</v>
      </c>
      <c r="S12" s="21" t="s">
        <v>33</v>
      </c>
      <c r="T12" s="21" t="s">
        <v>4</v>
      </c>
      <c r="U12" s="17" t="s">
        <v>3</v>
      </c>
      <c r="V12" s="20" t="s">
        <v>25</v>
      </c>
    </row>
    <row r="13" spans="1:22" x14ac:dyDescent="0.3">
      <c r="A13" s="21">
        <v>10</v>
      </c>
      <c r="B13" s="22">
        <v>44656</v>
      </c>
      <c r="C13" s="21">
        <v>47</v>
      </c>
      <c r="D13" s="21">
        <v>800</v>
      </c>
      <c r="E13" s="21">
        <v>800</v>
      </c>
      <c r="F13" s="21">
        <v>173</v>
      </c>
      <c r="G13" s="21">
        <v>5.9</v>
      </c>
      <c r="H13" s="51" t="s">
        <v>129</v>
      </c>
      <c r="I13" s="37">
        <v>58</v>
      </c>
      <c r="J13" s="37">
        <v>26</v>
      </c>
      <c r="K13" s="37">
        <v>11</v>
      </c>
      <c r="L13" s="37">
        <v>18</v>
      </c>
      <c r="M13" s="37">
        <v>50</v>
      </c>
      <c r="N13" s="21">
        <v>6</v>
      </c>
      <c r="O13" s="21">
        <v>35</v>
      </c>
      <c r="P13" s="21">
        <v>10</v>
      </c>
      <c r="Q13" s="21">
        <v>1</v>
      </c>
      <c r="R13" s="21">
        <v>11</v>
      </c>
      <c r="S13" s="21" t="s">
        <v>33</v>
      </c>
      <c r="T13" s="21" t="s">
        <v>4</v>
      </c>
      <c r="U13" s="17" t="s">
        <v>3</v>
      </c>
      <c r="V13" s="20" t="s">
        <v>25</v>
      </c>
    </row>
    <row r="14" spans="1:22" x14ac:dyDescent="0.3">
      <c r="A14" s="21">
        <v>11</v>
      </c>
      <c r="B14" s="22">
        <v>44651</v>
      </c>
      <c r="C14" s="21">
        <v>19.7</v>
      </c>
      <c r="D14" s="21">
        <v>340</v>
      </c>
      <c r="E14" s="21">
        <v>350</v>
      </c>
      <c r="F14" s="21">
        <v>127</v>
      </c>
      <c r="G14" s="21">
        <v>6.6</v>
      </c>
      <c r="H14" s="52" t="s">
        <v>128</v>
      </c>
      <c r="I14" s="37">
        <v>31</v>
      </c>
      <c r="J14" s="37">
        <v>15</v>
      </c>
      <c r="K14" s="37">
        <v>11</v>
      </c>
      <c r="L14" s="37">
        <v>13</v>
      </c>
      <c r="M14" s="37">
        <v>41</v>
      </c>
      <c r="N14" s="21">
        <v>7</v>
      </c>
      <c r="O14" s="21">
        <v>9.6999999999999993</v>
      </c>
      <c r="P14" s="21">
        <v>41</v>
      </c>
      <c r="Q14" s="21">
        <v>1</v>
      </c>
      <c r="R14" s="21">
        <v>11</v>
      </c>
      <c r="S14" s="21" t="s">
        <v>33</v>
      </c>
      <c r="T14" s="21" t="s">
        <v>4</v>
      </c>
      <c r="U14" s="17" t="s">
        <v>7</v>
      </c>
      <c r="V14" s="20" t="s">
        <v>25</v>
      </c>
    </row>
    <row r="15" spans="1:22" x14ac:dyDescent="0.3">
      <c r="A15" s="21">
        <v>12</v>
      </c>
      <c r="B15" s="22">
        <v>44655</v>
      </c>
      <c r="C15" s="21">
        <v>43.8</v>
      </c>
      <c r="D15" s="21">
        <v>747</v>
      </c>
      <c r="E15" s="21">
        <v>750</v>
      </c>
      <c r="F15" s="21">
        <v>141</v>
      </c>
      <c r="G15" s="21">
        <v>6.2</v>
      </c>
      <c r="H15" s="51" t="s">
        <v>3</v>
      </c>
      <c r="I15" s="37">
        <v>51</v>
      </c>
      <c r="J15" s="37">
        <v>25</v>
      </c>
      <c r="K15" s="37">
        <v>11</v>
      </c>
      <c r="L15" s="37">
        <v>18</v>
      </c>
      <c r="M15" s="37">
        <v>54</v>
      </c>
      <c r="N15" s="21">
        <v>6</v>
      </c>
      <c r="O15" s="21">
        <v>15</v>
      </c>
      <c r="P15" s="21">
        <v>21.8</v>
      </c>
      <c r="Q15" s="21">
        <v>1</v>
      </c>
      <c r="R15" s="21">
        <v>11</v>
      </c>
      <c r="S15" s="21" t="s">
        <v>33</v>
      </c>
      <c r="T15" s="21" t="s">
        <v>4</v>
      </c>
      <c r="U15" s="17" t="s">
        <v>7</v>
      </c>
      <c r="V15" s="20" t="s">
        <v>25</v>
      </c>
    </row>
    <row r="16" spans="1:22" x14ac:dyDescent="0.3">
      <c r="A16" s="21">
        <v>13</v>
      </c>
      <c r="B16" s="22">
        <v>44658</v>
      </c>
      <c r="C16" s="21">
        <v>21.7</v>
      </c>
      <c r="D16" s="21">
        <v>371</v>
      </c>
      <c r="E16" s="21">
        <v>370</v>
      </c>
      <c r="F16" s="21">
        <v>160</v>
      </c>
      <c r="G16" s="21">
        <v>5.7</v>
      </c>
      <c r="H16" s="51" t="s">
        <v>3</v>
      </c>
      <c r="I16" s="37">
        <v>32</v>
      </c>
      <c r="J16" s="37">
        <v>14</v>
      </c>
      <c r="K16" s="51">
        <v>10</v>
      </c>
      <c r="L16" s="51">
        <v>11</v>
      </c>
      <c r="M16" s="37">
        <v>35</v>
      </c>
      <c r="N16" s="21">
        <v>6</v>
      </c>
      <c r="O16" s="21">
        <v>24</v>
      </c>
      <c r="P16" s="21">
        <v>19.5</v>
      </c>
      <c r="Q16" s="21">
        <v>2</v>
      </c>
      <c r="R16" s="21">
        <v>10</v>
      </c>
      <c r="S16" s="21" t="s">
        <v>33</v>
      </c>
      <c r="T16" s="21" t="s">
        <v>4</v>
      </c>
      <c r="U16" s="17" t="s">
        <v>3</v>
      </c>
      <c r="V16" s="20" t="s">
        <v>25</v>
      </c>
    </row>
    <row r="17" spans="1:22" x14ac:dyDescent="0.3">
      <c r="A17" s="21">
        <v>14</v>
      </c>
      <c r="B17" s="16">
        <v>44662</v>
      </c>
      <c r="C17" s="17">
        <v>46.5</v>
      </c>
      <c r="D17" s="17">
        <v>790</v>
      </c>
      <c r="E17" s="17">
        <v>790</v>
      </c>
      <c r="F17" s="17">
        <v>167</v>
      </c>
      <c r="G17" s="17">
        <v>5.6</v>
      </c>
      <c r="H17" s="51" t="s">
        <v>3</v>
      </c>
      <c r="I17" s="38">
        <v>52</v>
      </c>
      <c r="J17" s="38">
        <v>22</v>
      </c>
      <c r="K17" s="38">
        <v>9</v>
      </c>
      <c r="L17" s="38">
        <v>13</v>
      </c>
      <c r="M17" s="38">
        <v>43</v>
      </c>
      <c r="N17" s="17">
        <v>6</v>
      </c>
      <c r="O17" s="17">
        <v>26</v>
      </c>
      <c r="P17" s="17">
        <v>15.9</v>
      </c>
      <c r="Q17" s="21">
        <v>2</v>
      </c>
      <c r="R17" s="17">
        <v>9</v>
      </c>
      <c r="S17" s="21" t="s">
        <v>33</v>
      </c>
      <c r="T17" s="21" t="s">
        <v>4</v>
      </c>
      <c r="U17" s="17" t="s">
        <v>3</v>
      </c>
      <c r="V17" s="20" t="s">
        <v>25</v>
      </c>
    </row>
    <row r="18" spans="1:22" x14ac:dyDescent="0.3">
      <c r="A18" s="21">
        <v>15</v>
      </c>
      <c r="B18" s="71">
        <v>44663</v>
      </c>
      <c r="C18" s="17">
        <v>43.6</v>
      </c>
      <c r="D18" s="17">
        <v>745</v>
      </c>
      <c r="E18" s="17">
        <v>750</v>
      </c>
      <c r="F18" s="17">
        <v>142</v>
      </c>
      <c r="G18" s="17">
        <v>6</v>
      </c>
      <c r="H18" s="52" t="s">
        <v>128</v>
      </c>
      <c r="I18" s="38">
        <v>47</v>
      </c>
      <c r="J18" s="38">
        <v>21</v>
      </c>
      <c r="K18" s="39">
        <v>9.5</v>
      </c>
      <c r="L18" s="38">
        <v>13</v>
      </c>
      <c r="M18" s="38">
        <v>31</v>
      </c>
      <c r="N18" s="17">
        <v>6</v>
      </c>
      <c r="O18" s="17">
        <v>16</v>
      </c>
      <c r="P18" s="17">
        <v>23</v>
      </c>
      <c r="Q18" s="34">
        <v>2</v>
      </c>
      <c r="R18" s="34">
        <v>9.5</v>
      </c>
      <c r="S18" s="31" t="s">
        <v>33</v>
      </c>
      <c r="T18" s="34" t="s">
        <v>4</v>
      </c>
      <c r="U18" s="31" t="s">
        <v>7</v>
      </c>
      <c r="V18" s="20" t="s">
        <v>25</v>
      </c>
    </row>
    <row r="19" spans="1:22" ht="31.5" customHeight="1" x14ac:dyDescent="0.3">
      <c r="A19" s="21">
        <v>16</v>
      </c>
      <c r="B19" s="70">
        <v>44664</v>
      </c>
      <c r="C19" s="21">
        <v>19.8</v>
      </c>
      <c r="D19" s="21">
        <v>340</v>
      </c>
      <c r="E19" s="21">
        <v>340</v>
      </c>
      <c r="F19" s="21">
        <v>127</v>
      </c>
      <c r="G19" s="21">
        <v>7</v>
      </c>
      <c r="H19" s="53" t="s">
        <v>7</v>
      </c>
      <c r="I19" s="37">
        <v>29</v>
      </c>
      <c r="J19" s="37">
        <v>14</v>
      </c>
      <c r="K19" s="51">
        <v>9.5</v>
      </c>
      <c r="L19" s="51">
        <v>11</v>
      </c>
      <c r="M19" s="37">
        <v>27</v>
      </c>
      <c r="N19" s="21">
        <v>7</v>
      </c>
      <c r="O19" s="21">
        <v>11</v>
      </c>
      <c r="P19" s="21">
        <v>41.6</v>
      </c>
      <c r="Q19" s="21">
        <v>2</v>
      </c>
      <c r="R19" s="21">
        <v>9.5</v>
      </c>
      <c r="S19" s="31" t="s">
        <v>33</v>
      </c>
      <c r="T19" s="21" t="s">
        <v>4</v>
      </c>
      <c r="U19" s="17" t="s">
        <v>7</v>
      </c>
      <c r="V19" s="20" t="s">
        <v>25</v>
      </c>
    </row>
    <row r="20" spans="1:22" ht="43.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52" t="s">
        <v>128</v>
      </c>
      <c r="I20" s="38">
        <v>38</v>
      </c>
      <c r="J20" s="38">
        <v>18</v>
      </c>
      <c r="K20" s="38">
        <v>10</v>
      </c>
      <c r="L20" s="38">
        <v>15</v>
      </c>
      <c r="M20" s="38">
        <v>58</v>
      </c>
      <c r="N20" s="17">
        <v>21</v>
      </c>
      <c r="O20" s="17">
        <v>16.7</v>
      </c>
      <c r="P20" s="17">
        <v>73.2</v>
      </c>
      <c r="Q20" s="17">
        <v>1</v>
      </c>
      <c r="R20" s="17">
        <v>10</v>
      </c>
      <c r="S20" s="17" t="s">
        <v>7</v>
      </c>
      <c r="T20" s="17">
        <v>8</v>
      </c>
      <c r="U20" s="17" t="s">
        <v>7</v>
      </c>
      <c r="V20" s="20" t="s">
        <v>107</v>
      </c>
    </row>
    <row r="21" spans="1:22" ht="28.8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51" t="s">
        <v>3</v>
      </c>
      <c r="I21" s="38">
        <v>52</v>
      </c>
      <c r="J21" s="38">
        <v>32</v>
      </c>
      <c r="K21" s="38">
        <v>10</v>
      </c>
      <c r="L21" s="38">
        <v>25</v>
      </c>
      <c r="M21" s="38">
        <v>101</v>
      </c>
      <c r="N21" s="17">
        <v>16</v>
      </c>
      <c r="O21" s="17">
        <v>17</v>
      </c>
      <c r="P21" s="17">
        <v>62.3</v>
      </c>
      <c r="Q21" s="17">
        <v>1</v>
      </c>
      <c r="R21" s="17">
        <v>10</v>
      </c>
      <c r="S21" s="17" t="s">
        <v>7</v>
      </c>
      <c r="T21" s="17">
        <v>8</v>
      </c>
      <c r="U21" s="17" t="s">
        <v>7</v>
      </c>
      <c r="V21" s="20" t="s">
        <v>89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51" t="s">
        <v>3</v>
      </c>
      <c r="I22" s="38">
        <v>43</v>
      </c>
      <c r="J22" s="38">
        <v>25</v>
      </c>
      <c r="K22" s="38">
        <v>10</v>
      </c>
      <c r="L22" s="38">
        <v>19</v>
      </c>
      <c r="M22" s="38">
        <v>63</v>
      </c>
      <c r="N22" s="17">
        <v>17</v>
      </c>
      <c r="O22" s="17">
        <v>16</v>
      </c>
      <c r="P22" s="17">
        <v>69.900000000000006</v>
      </c>
      <c r="Q22" s="17">
        <v>1</v>
      </c>
      <c r="R22" s="17">
        <v>10</v>
      </c>
      <c r="S22" s="17" t="s">
        <v>7</v>
      </c>
      <c r="T22" s="17">
        <v>8</v>
      </c>
      <c r="U22" s="17" t="s">
        <v>7</v>
      </c>
      <c r="V22" s="20" t="s">
        <v>25</v>
      </c>
    </row>
    <row r="23" spans="1:22" ht="28.8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52" t="s">
        <v>128</v>
      </c>
      <c r="I23" s="38">
        <v>41</v>
      </c>
      <c r="J23" s="38">
        <v>22</v>
      </c>
      <c r="K23" s="38">
        <v>9</v>
      </c>
      <c r="L23" s="38">
        <v>13</v>
      </c>
      <c r="M23" s="38">
        <v>58</v>
      </c>
      <c r="N23" s="17">
        <v>11</v>
      </c>
      <c r="O23" s="17">
        <v>19</v>
      </c>
      <c r="P23" s="17">
        <v>62</v>
      </c>
      <c r="Q23" s="17">
        <v>2</v>
      </c>
      <c r="R23" s="17">
        <v>9</v>
      </c>
      <c r="S23" s="17" t="s">
        <v>7</v>
      </c>
      <c r="T23" s="17">
        <v>8</v>
      </c>
      <c r="U23" s="17" t="s">
        <v>7</v>
      </c>
      <c r="V23" s="20" t="s">
        <v>91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53" t="s">
        <v>7</v>
      </c>
      <c r="I24" s="38">
        <v>45</v>
      </c>
      <c r="J24" s="38">
        <v>22</v>
      </c>
      <c r="K24" s="38">
        <v>9</v>
      </c>
      <c r="L24" s="38">
        <v>13</v>
      </c>
      <c r="M24" s="38">
        <v>8.1999999999999993</v>
      </c>
      <c r="N24" s="17">
        <v>8</v>
      </c>
      <c r="O24" s="17">
        <v>26</v>
      </c>
      <c r="P24" s="17">
        <v>47.7</v>
      </c>
      <c r="Q24" s="17">
        <v>2</v>
      </c>
      <c r="R24" s="17">
        <v>9</v>
      </c>
      <c r="S24" s="17" t="s">
        <v>7</v>
      </c>
      <c r="T24" s="17">
        <v>8</v>
      </c>
      <c r="U24" s="17" t="s">
        <v>98</v>
      </c>
      <c r="V24" s="20" t="s">
        <v>97</v>
      </c>
    </row>
    <row r="25" spans="1:22" x14ac:dyDescent="0.3">
      <c r="A25" s="21">
        <v>22</v>
      </c>
      <c r="B25" s="22">
        <v>44693</v>
      </c>
      <c r="C25" s="21">
        <v>19.899999999999999</v>
      </c>
      <c r="D25" s="21">
        <v>340</v>
      </c>
      <c r="E25" s="17">
        <v>340</v>
      </c>
      <c r="F25" s="21">
        <v>110</v>
      </c>
      <c r="G25" s="21">
        <v>17</v>
      </c>
      <c r="H25" s="12" t="s">
        <v>4</v>
      </c>
      <c r="I25" s="37" t="s">
        <v>4</v>
      </c>
      <c r="J25" s="37" t="s">
        <v>4</v>
      </c>
      <c r="K25" s="37" t="s">
        <v>4</v>
      </c>
      <c r="L25" s="37" t="s">
        <v>4</v>
      </c>
      <c r="M25" s="37" t="s">
        <v>4</v>
      </c>
      <c r="N25" s="30">
        <v>17</v>
      </c>
      <c r="O25" s="21">
        <v>15</v>
      </c>
      <c r="P25" s="21" t="s">
        <v>4</v>
      </c>
      <c r="Q25" s="21">
        <v>0</v>
      </c>
      <c r="R25" s="21">
        <v>0</v>
      </c>
      <c r="S25" s="17" t="s">
        <v>7</v>
      </c>
      <c r="T25" s="17">
        <v>8</v>
      </c>
      <c r="U25" s="17" t="s">
        <v>7</v>
      </c>
      <c r="V25" s="28" t="s">
        <v>130</v>
      </c>
    </row>
    <row r="26" spans="1:22" x14ac:dyDescent="0.3">
      <c r="A26" s="17">
        <v>23</v>
      </c>
      <c r="B26" s="16">
        <v>44697</v>
      </c>
      <c r="C26" s="21">
        <v>19.899999999999999</v>
      </c>
      <c r="D26" s="17">
        <v>330</v>
      </c>
      <c r="E26" s="17">
        <v>330</v>
      </c>
      <c r="F26" s="17">
        <v>111</v>
      </c>
      <c r="G26" s="17">
        <v>17</v>
      </c>
      <c r="H26" s="10" t="s">
        <v>4</v>
      </c>
      <c r="I26" s="38" t="s">
        <v>4</v>
      </c>
      <c r="J26" s="38" t="s">
        <v>4</v>
      </c>
      <c r="K26" s="38" t="s">
        <v>4</v>
      </c>
      <c r="L26" s="38" t="s">
        <v>4</v>
      </c>
      <c r="M26" s="38" t="s">
        <v>4</v>
      </c>
      <c r="N26" s="55">
        <v>15</v>
      </c>
      <c r="O26" s="17">
        <v>15</v>
      </c>
      <c r="P26" s="17" t="s">
        <v>4</v>
      </c>
      <c r="Q26" s="17">
        <v>1.05</v>
      </c>
      <c r="R26" s="17">
        <v>11</v>
      </c>
      <c r="S26" s="17" t="s">
        <v>7</v>
      </c>
      <c r="T26" s="17">
        <v>8</v>
      </c>
      <c r="U26" s="17" t="s">
        <v>7</v>
      </c>
      <c r="V26" s="28" t="s">
        <v>131</v>
      </c>
    </row>
    <row r="27" spans="1:22" ht="43.2" x14ac:dyDescent="0.3">
      <c r="A27" s="17">
        <v>24</v>
      </c>
      <c r="B27" s="16">
        <v>44704</v>
      </c>
      <c r="C27" s="17">
        <v>46.5</v>
      </c>
      <c r="D27" s="17">
        <v>792</v>
      </c>
      <c r="E27" s="17">
        <v>760</v>
      </c>
      <c r="F27" s="17">
        <v>160</v>
      </c>
      <c r="G27" s="17">
        <v>7.2</v>
      </c>
      <c r="H27" s="53"/>
      <c r="I27" s="38"/>
      <c r="J27" s="38"/>
      <c r="K27" s="38"/>
      <c r="L27" s="38"/>
      <c r="M27" s="38"/>
      <c r="N27" s="17">
        <v>7</v>
      </c>
      <c r="O27" s="17">
        <v>32</v>
      </c>
      <c r="P27" s="17" t="s">
        <v>133</v>
      </c>
      <c r="Q27" s="17">
        <v>1</v>
      </c>
      <c r="R27" s="17">
        <v>12</v>
      </c>
      <c r="S27" s="17" t="s">
        <v>7</v>
      </c>
      <c r="T27" s="17">
        <v>8</v>
      </c>
      <c r="U27" s="17" t="s">
        <v>98</v>
      </c>
      <c r="V27" s="20" t="s">
        <v>132</v>
      </c>
    </row>
    <row r="28" spans="1:22" ht="28.8" x14ac:dyDescent="0.3">
      <c r="A28" s="17">
        <v>24</v>
      </c>
      <c r="B28" s="16">
        <v>44706</v>
      </c>
      <c r="C28" s="17">
        <v>45.9</v>
      </c>
      <c r="D28" s="17">
        <v>780</v>
      </c>
      <c r="E28" s="17">
        <v>780</v>
      </c>
      <c r="F28" s="17">
        <v>163</v>
      </c>
      <c r="G28" s="17">
        <v>7.2</v>
      </c>
      <c r="H28" s="52" t="s">
        <v>135</v>
      </c>
      <c r="I28" s="38">
        <v>56</v>
      </c>
      <c r="J28" s="38">
        <v>27</v>
      </c>
      <c r="K28" s="38">
        <v>12</v>
      </c>
      <c r="L28" s="38">
        <v>18</v>
      </c>
      <c r="M28" s="38" t="s">
        <v>4</v>
      </c>
      <c r="N28" s="17">
        <v>7</v>
      </c>
      <c r="O28" s="17">
        <v>32</v>
      </c>
      <c r="P28" s="17" t="s">
        <v>133</v>
      </c>
      <c r="Q28" s="17">
        <v>2</v>
      </c>
      <c r="R28" s="17">
        <v>12</v>
      </c>
      <c r="S28" s="17" t="s">
        <v>7</v>
      </c>
      <c r="T28" s="17">
        <v>8</v>
      </c>
      <c r="U28" s="17" t="s">
        <v>98</v>
      </c>
      <c r="V28" s="28" t="s">
        <v>134</v>
      </c>
    </row>
  </sheetData>
  <autoFilter ref="A4:V28" xr:uid="{00000000-0009-0000-0000-000002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V74"/>
  <sheetViews>
    <sheetView topLeftCell="G25" zoomScale="85" zoomScaleNormal="85" workbookViewId="0">
      <selection activeCell="N63" sqref="N63"/>
    </sheetView>
  </sheetViews>
  <sheetFormatPr defaultRowHeight="14.4" x14ac:dyDescent="0.3"/>
  <cols>
    <col min="2" max="3" width="15.33203125" customWidth="1"/>
    <col min="4" max="5" width="14.109375" customWidth="1"/>
    <col min="8" max="8" width="9.5546875" bestFit="1" customWidth="1"/>
    <col min="10" max="11" width="9.5546875" bestFit="1" customWidth="1"/>
    <col min="12" max="12" width="11.5546875" bestFit="1" customWidth="1"/>
    <col min="13" max="15" width="9.5546875" bestFit="1" customWidth="1"/>
    <col min="16" max="17" width="12.88671875" customWidth="1"/>
    <col min="18" max="19" width="19.5546875" customWidth="1"/>
    <col min="20" max="22" width="21.1093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36" t="s">
        <v>101</v>
      </c>
      <c r="I3" s="36" t="s">
        <v>102</v>
      </c>
      <c r="J3" s="40" t="s">
        <v>99</v>
      </c>
      <c r="K3" s="40" t="s">
        <v>100</v>
      </c>
      <c r="L3" s="40" t="s">
        <v>103</v>
      </c>
      <c r="M3" s="40" t="s">
        <v>104</v>
      </c>
      <c r="N3" s="36" t="s">
        <v>105</v>
      </c>
      <c r="O3" s="36" t="s">
        <v>106</v>
      </c>
      <c r="P3" s="23" t="s">
        <v>90</v>
      </c>
      <c r="Q3" s="23" t="s">
        <v>47</v>
      </c>
      <c r="R3" s="2" t="s">
        <v>18</v>
      </c>
      <c r="S3" s="2" t="s">
        <v>15</v>
      </c>
      <c r="T3" s="2" t="s">
        <v>1</v>
      </c>
      <c r="U3" s="2" t="s">
        <v>16</v>
      </c>
      <c r="V3" s="2" t="s">
        <v>11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37">
        <v>1840</v>
      </c>
      <c r="I4" s="37">
        <v>727</v>
      </c>
      <c r="J4" s="37">
        <v>42.7</v>
      </c>
      <c r="K4" s="37">
        <v>19.7</v>
      </c>
      <c r="L4" s="37">
        <v>89.2</v>
      </c>
      <c r="M4" s="37">
        <v>78.900000000000006</v>
      </c>
      <c r="N4" s="37">
        <v>60.3</v>
      </c>
      <c r="O4" s="37">
        <v>56.9</v>
      </c>
      <c r="P4" s="21">
        <v>16.600000000000001</v>
      </c>
      <c r="Q4" s="21">
        <v>79</v>
      </c>
      <c r="R4" s="21">
        <v>1</v>
      </c>
      <c r="S4" s="21">
        <v>9.1999999999999993</v>
      </c>
      <c r="T4" s="17" t="s">
        <v>7</v>
      </c>
      <c r="U4" s="17">
        <v>8</v>
      </c>
      <c r="V4" s="17" t="s">
        <v>7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37">
        <v>2292</v>
      </c>
      <c r="I5" s="37">
        <v>1300</v>
      </c>
      <c r="J5" s="37">
        <v>53.6</v>
      </c>
      <c r="K5" s="37">
        <v>26.9</v>
      </c>
      <c r="L5" s="37">
        <v>88.5</v>
      </c>
      <c r="M5" s="37">
        <v>100</v>
      </c>
      <c r="N5" s="37">
        <v>57.8</v>
      </c>
      <c r="O5" s="37">
        <v>70.5</v>
      </c>
      <c r="P5" s="21">
        <v>16.5</v>
      </c>
      <c r="Q5" s="21">
        <v>63</v>
      </c>
      <c r="R5" s="21">
        <v>1</v>
      </c>
      <c r="S5" s="21">
        <v>9</v>
      </c>
      <c r="T5" s="17" t="s">
        <v>7</v>
      </c>
      <c r="U5" s="17">
        <v>8</v>
      </c>
      <c r="V5" s="17" t="s">
        <v>7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37">
        <v>2694</v>
      </c>
      <c r="I6" s="37">
        <v>1031</v>
      </c>
      <c r="J6" s="37">
        <v>56.9</v>
      </c>
      <c r="K6" s="37">
        <v>26.2</v>
      </c>
      <c r="L6" s="37">
        <v>91.9</v>
      </c>
      <c r="M6" s="37">
        <v>81.599999999999994</v>
      </c>
      <c r="N6" s="37">
        <v>64.599999999999994</v>
      </c>
      <c r="O6" s="37">
        <v>58.7</v>
      </c>
      <c r="P6" s="21">
        <v>17</v>
      </c>
      <c r="Q6" s="21">
        <v>68</v>
      </c>
      <c r="R6" s="21">
        <v>2</v>
      </c>
      <c r="S6" s="21">
        <v>9</v>
      </c>
      <c r="T6" s="17" t="s">
        <v>7</v>
      </c>
      <c r="U6" s="17">
        <v>8</v>
      </c>
      <c r="V6" s="17" t="s">
        <v>7</v>
      </c>
    </row>
    <row r="7" spans="1:22" x14ac:dyDescent="0.3">
      <c r="A7" s="21">
        <v>4</v>
      </c>
      <c r="B7" s="22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37">
        <v>1849</v>
      </c>
      <c r="I7" s="37">
        <v>379</v>
      </c>
      <c r="J7" s="37">
        <v>44.9</v>
      </c>
      <c r="K7" s="37">
        <v>15.5</v>
      </c>
      <c r="L7" s="37">
        <v>85.2</v>
      </c>
      <c r="M7" s="37">
        <v>50.7</v>
      </c>
      <c r="N7" s="37">
        <v>58.5</v>
      </c>
      <c r="O7" s="37">
        <v>37.5</v>
      </c>
      <c r="P7" s="21">
        <v>17.399999999999999</v>
      </c>
      <c r="Q7" s="21">
        <v>76.7</v>
      </c>
      <c r="R7" s="21">
        <v>2</v>
      </c>
      <c r="S7" s="21">
        <v>8</v>
      </c>
      <c r="T7" s="17" t="s">
        <v>7</v>
      </c>
      <c r="U7" s="17">
        <v>8</v>
      </c>
      <c r="V7" s="17" t="s">
        <v>7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8.6999999999999993</v>
      </c>
      <c r="H8" s="37">
        <v>2397</v>
      </c>
      <c r="I8" s="37">
        <v>1165</v>
      </c>
      <c r="J8" s="37">
        <v>74</v>
      </c>
      <c r="K8" s="37">
        <v>30.5</v>
      </c>
      <c r="L8" s="37">
        <v>67</v>
      </c>
      <c r="M8" s="37">
        <v>79.2</v>
      </c>
      <c r="N8" s="37">
        <v>41.9</v>
      </c>
      <c r="O8" s="37">
        <v>59.2</v>
      </c>
      <c r="P8" s="21">
        <v>28</v>
      </c>
      <c r="Q8" s="21">
        <v>40.299999999999997</v>
      </c>
      <c r="R8" s="21">
        <v>1</v>
      </c>
      <c r="S8" s="21">
        <v>9</v>
      </c>
      <c r="T8" s="17" t="s">
        <v>7</v>
      </c>
      <c r="U8" s="21">
        <v>8</v>
      </c>
      <c r="V8" s="17" t="s">
        <v>3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37">
        <v>1456</v>
      </c>
      <c r="I9" s="37">
        <v>425</v>
      </c>
      <c r="J9" s="37">
        <v>53.3</v>
      </c>
      <c r="K9" s="37">
        <v>17.100000000000001</v>
      </c>
      <c r="L9" s="37">
        <v>56.5</v>
      </c>
      <c r="M9" s="37">
        <v>51.4</v>
      </c>
      <c r="N9" s="37">
        <v>37.799999999999997</v>
      </c>
      <c r="O9" s="37">
        <v>38</v>
      </c>
      <c r="P9" s="21">
        <v>26</v>
      </c>
      <c r="Q9" s="21">
        <v>54</v>
      </c>
      <c r="R9" s="21">
        <v>1</v>
      </c>
      <c r="S9" s="17">
        <v>9</v>
      </c>
      <c r="T9" s="17" t="s">
        <v>7</v>
      </c>
      <c r="U9" s="21">
        <v>8</v>
      </c>
      <c r="V9" s="17" t="s">
        <v>3</v>
      </c>
    </row>
    <row r="10" spans="1:22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37">
        <v>1768</v>
      </c>
      <c r="I10" s="37">
        <v>389</v>
      </c>
      <c r="J10" s="37">
        <v>55.5</v>
      </c>
      <c r="K10" s="37">
        <v>15.8</v>
      </c>
      <c r="L10" s="37">
        <v>66</v>
      </c>
      <c r="M10" s="37">
        <v>51</v>
      </c>
      <c r="N10" s="37">
        <v>44.5</v>
      </c>
      <c r="O10" s="37">
        <v>37.9</v>
      </c>
      <c r="P10" s="17">
        <v>28</v>
      </c>
      <c r="Q10" s="17">
        <v>51</v>
      </c>
      <c r="R10" s="31">
        <v>2</v>
      </c>
      <c r="S10" s="17">
        <v>8</v>
      </c>
      <c r="T10" s="17" t="s">
        <v>7</v>
      </c>
      <c r="U10" s="17">
        <v>8</v>
      </c>
      <c r="V10" s="31" t="s">
        <v>3</v>
      </c>
    </row>
    <row r="11" spans="1:22" x14ac:dyDescent="0.3">
      <c r="A11" s="21">
        <v>8</v>
      </c>
      <c r="B11" s="22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37">
        <v>3286</v>
      </c>
      <c r="I11" s="37">
        <v>1022</v>
      </c>
      <c r="J11" s="37">
        <v>76.3</v>
      </c>
      <c r="K11" s="37">
        <v>28.8</v>
      </c>
      <c r="L11" s="37">
        <v>89.2</v>
      </c>
      <c r="M11" s="37">
        <v>73.400000000000006</v>
      </c>
      <c r="N11" s="37">
        <v>56.6</v>
      </c>
      <c r="O11" s="37">
        <v>53.6</v>
      </c>
      <c r="P11" s="21">
        <v>30</v>
      </c>
      <c r="Q11" s="21">
        <v>39.700000000000003</v>
      </c>
      <c r="R11" s="21">
        <v>2</v>
      </c>
      <c r="S11" s="21">
        <v>8</v>
      </c>
      <c r="T11" s="21" t="s">
        <v>7</v>
      </c>
      <c r="U11" s="21">
        <v>8</v>
      </c>
      <c r="V11" s="17" t="s">
        <v>3</v>
      </c>
    </row>
    <row r="12" spans="1:22" ht="14.25" customHeight="1" x14ac:dyDescent="0.3">
      <c r="A12" s="42">
        <v>9</v>
      </c>
      <c r="B12" s="43">
        <v>44657</v>
      </c>
      <c r="C12" s="42">
        <v>21.7</v>
      </c>
      <c r="D12" s="42">
        <v>370</v>
      </c>
      <c r="E12" s="42">
        <v>370</v>
      </c>
      <c r="F12" s="42">
        <v>160</v>
      </c>
      <c r="G12" s="42">
        <v>5.8</v>
      </c>
      <c r="H12" s="37">
        <v>906</v>
      </c>
      <c r="I12" s="37">
        <v>206</v>
      </c>
      <c r="J12" s="37">
        <v>54</v>
      </c>
      <c r="K12" s="37">
        <v>12</v>
      </c>
      <c r="L12" s="37">
        <v>34.700000000000003</v>
      </c>
      <c r="M12" s="37">
        <v>35.6</v>
      </c>
      <c r="N12" s="37">
        <v>22.9</v>
      </c>
      <c r="O12" s="37">
        <v>26.4</v>
      </c>
      <c r="P12" s="42">
        <v>24</v>
      </c>
      <c r="Q12" s="42">
        <v>18.600000000000001</v>
      </c>
      <c r="R12" s="42">
        <v>1</v>
      </c>
      <c r="S12" s="42">
        <v>11</v>
      </c>
      <c r="T12" s="42" t="s">
        <v>33</v>
      </c>
      <c r="U12" s="21" t="s">
        <v>4</v>
      </c>
      <c r="V12" s="17" t="s">
        <v>3</v>
      </c>
    </row>
    <row r="13" spans="1:22" x14ac:dyDescent="0.3">
      <c r="A13" s="42">
        <v>10</v>
      </c>
      <c r="B13" s="44">
        <v>44656</v>
      </c>
      <c r="C13" s="42">
        <v>47</v>
      </c>
      <c r="D13" s="42">
        <v>800</v>
      </c>
      <c r="E13" s="42">
        <v>800</v>
      </c>
      <c r="F13" s="42">
        <v>173</v>
      </c>
      <c r="G13" s="42">
        <v>5.9</v>
      </c>
      <c r="H13" s="37">
        <v>1542</v>
      </c>
      <c r="I13" s="37">
        <v>575</v>
      </c>
      <c r="J13" s="37">
        <v>78.599999999999994</v>
      </c>
      <c r="K13" s="37">
        <v>26.3</v>
      </c>
      <c r="L13" s="37">
        <v>40.6</v>
      </c>
      <c r="M13" s="37">
        <v>45</v>
      </c>
      <c r="N13" s="37">
        <v>25.3</v>
      </c>
      <c r="O13" s="37">
        <v>32.5</v>
      </c>
      <c r="P13" s="42">
        <v>35</v>
      </c>
      <c r="Q13" s="42">
        <v>10</v>
      </c>
      <c r="R13" s="42">
        <v>1</v>
      </c>
      <c r="S13" s="42">
        <v>11</v>
      </c>
      <c r="T13" s="42" t="s">
        <v>33</v>
      </c>
      <c r="U13" s="21" t="s">
        <v>4</v>
      </c>
      <c r="V13" s="17" t="s">
        <v>3</v>
      </c>
    </row>
    <row r="14" spans="1:22" x14ac:dyDescent="0.3">
      <c r="A14" s="42">
        <v>11</v>
      </c>
      <c r="B14" s="44">
        <v>44651</v>
      </c>
      <c r="C14" s="42">
        <v>19.7</v>
      </c>
      <c r="D14" s="42">
        <v>340</v>
      </c>
      <c r="E14" s="42">
        <v>350</v>
      </c>
      <c r="F14" s="42">
        <v>127</v>
      </c>
      <c r="G14" s="42">
        <v>6.6</v>
      </c>
      <c r="H14" s="37">
        <v>728</v>
      </c>
      <c r="I14" s="37">
        <v>169</v>
      </c>
      <c r="J14" s="37">
        <v>43.3</v>
      </c>
      <c r="K14" s="37">
        <v>10</v>
      </c>
      <c r="L14" s="37">
        <v>34.799999999999997</v>
      </c>
      <c r="M14" s="37">
        <v>34.6</v>
      </c>
      <c r="N14" s="37">
        <v>23.1</v>
      </c>
      <c r="O14" s="37">
        <v>25.7</v>
      </c>
      <c r="P14" s="42">
        <v>9.6999999999999993</v>
      </c>
      <c r="Q14" s="42">
        <v>41</v>
      </c>
      <c r="R14" s="42">
        <v>1</v>
      </c>
      <c r="S14" s="42">
        <v>11</v>
      </c>
      <c r="T14" s="42" t="s">
        <v>33</v>
      </c>
      <c r="U14" s="21" t="s">
        <v>4</v>
      </c>
      <c r="V14" s="17" t="s">
        <v>7</v>
      </c>
    </row>
    <row r="15" spans="1:22" x14ac:dyDescent="0.3">
      <c r="A15" s="42">
        <v>12</v>
      </c>
      <c r="B15" s="44">
        <v>44655</v>
      </c>
      <c r="C15" s="42">
        <v>43.8</v>
      </c>
      <c r="D15" s="42">
        <v>747</v>
      </c>
      <c r="E15" s="42">
        <v>750</v>
      </c>
      <c r="F15" s="42">
        <v>141</v>
      </c>
      <c r="G15" s="42">
        <v>6.2</v>
      </c>
      <c r="H15" s="37">
        <v>1271</v>
      </c>
      <c r="I15" s="37">
        <v>526</v>
      </c>
      <c r="J15" s="37">
        <v>64.2</v>
      </c>
      <c r="K15" s="37">
        <v>22.3</v>
      </c>
      <c r="L15" s="37">
        <v>41</v>
      </c>
      <c r="M15" s="37">
        <v>48.9</v>
      </c>
      <c r="N15" s="37">
        <v>26</v>
      </c>
      <c r="O15" s="37">
        <v>35</v>
      </c>
      <c r="P15" s="42">
        <v>15</v>
      </c>
      <c r="Q15" s="42">
        <v>21.8</v>
      </c>
      <c r="R15" s="42">
        <v>1</v>
      </c>
      <c r="S15" s="42">
        <v>11</v>
      </c>
      <c r="T15" s="42" t="s">
        <v>33</v>
      </c>
      <c r="U15" s="21" t="s">
        <v>4</v>
      </c>
      <c r="V15" s="17" t="s">
        <v>7</v>
      </c>
    </row>
    <row r="16" spans="1:22" x14ac:dyDescent="0.3">
      <c r="A16" s="42">
        <v>13</v>
      </c>
      <c r="B16" s="44">
        <v>44658</v>
      </c>
      <c r="C16" s="42">
        <v>21.7</v>
      </c>
      <c r="D16" s="42">
        <v>371</v>
      </c>
      <c r="E16" s="42">
        <v>370</v>
      </c>
      <c r="F16" s="42">
        <v>160</v>
      </c>
      <c r="G16" s="42">
        <v>5.7</v>
      </c>
      <c r="H16" s="37">
        <v>904</v>
      </c>
      <c r="I16" s="37">
        <v>174</v>
      </c>
      <c r="J16" s="37">
        <v>54</v>
      </c>
      <c r="K16" s="37">
        <v>11.2</v>
      </c>
      <c r="L16" s="37">
        <v>34.6</v>
      </c>
      <c r="M16" s="37">
        <v>32.299999999999997</v>
      </c>
      <c r="N16" s="37">
        <v>23</v>
      </c>
      <c r="O16" s="37">
        <v>24.3</v>
      </c>
      <c r="P16" s="42">
        <v>24</v>
      </c>
      <c r="Q16" s="42">
        <v>19.5</v>
      </c>
      <c r="R16" s="42">
        <v>2</v>
      </c>
      <c r="S16" s="42">
        <v>10</v>
      </c>
      <c r="T16" s="42" t="s">
        <v>33</v>
      </c>
      <c r="U16" s="21" t="s">
        <v>4</v>
      </c>
      <c r="V16" s="17" t="s">
        <v>3</v>
      </c>
    </row>
    <row r="17" spans="1:22" x14ac:dyDescent="0.3">
      <c r="A17" s="42">
        <v>14</v>
      </c>
      <c r="B17" s="45">
        <v>44662</v>
      </c>
      <c r="C17" s="46">
        <v>46.5</v>
      </c>
      <c r="D17" s="46">
        <v>790</v>
      </c>
      <c r="E17" s="46">
        <v>790</v>
      </c>
      <c r="F17" s="46">
        <v>167</v>
      </c>
      <c r="G17" s="46">
        <v>5.6</v>
      </c>
      <c r="H17" s="37">
        <v>1564</v>
      </c>
      <c r="I17" s="37">
        <v>487</v>
      </c>
      <c r="J17" s="37">
        <v>77.900000000000006</v>
      </c>
      <c r="K17" s="37">
        <v>24.7</v>
      </c>
      <c r="L17" s="37">
        <v>41.6</v>
      </c>
      <c r="M17" s="37">
        <v>40.9</v>
      </c>
      <c r="N17" s="37">
        <v>26</v>
      </c>
      <c r="O17" s="37">
        <v>29.5</v>
      </c>
      <c r="P17" s="46">
        <v>26</v>
      </c>
      <c r="Q17" s="46">
        <v>15.9</v>
      </c>
      <c r="R17" s="42">
        <v>2</v>
      </c>
      <c r="S17" s="46">
        <v>9</v>
      </c>
      <c r="T17" s="42" t="s">
        <v>33</v>
      </c>
      <c r="U17" s="21" t="s">
        <v>4</v>
      </c>
      <c r="V17" s="17" t="s">
        <v>3</v>
      </c>
    </row>
    <row r="18" spans="1:22" x14ac:dyDescent="0.3">
      <c r="A18" s="42">
        <v>15</v>
      </c>
      <c r="B18" s="47">
        <v>44663</v>
      </c>
      <c r="C18" s="46">
        <v>43.6</v>
      </c>
      <c r="D18" s="46">
        <v>745</v>
      </c>
      <c r="E18" s="46">
        <v>750</v>
      </c>
      <c r="F18" s="46">
        <v>142</v>
      </c>
      <c r="G18" s="46">
        <v>6</v>
      </c>
      <c r="H18" s="37">
        <v>1474</v>
      </c>
      <c r="I18" s="37">
        <v>455</v>
      </c>
      <c r="J18" s="37">
        <v>66.900000000000006</v>
      </c>
      <c r="K18" s="37">
        <v>21.8</v>
      </c>
      <c r="L18" s="37">
        <v>45.6</v>
      </c>
      <c r="M18" s="37">
        <v>43.3</v>
      </c>
      <c r="N18" s="37">
        <v>29</v>
      </c>
      <c r="O18" s="37">
        <v>31.2</v>
      </c>
      <c r="P18" s="46">
        <v>16</v>
      </c>
      <c r="Q18" s="46">
        <v>23</v>
      </c>
      <c r="R18" s="48">
        <v>2</v>
      </c>
      <c r="S18" s="48">
        <v>9.5</v>
      </c>
      <c r="T18" s="49" t="s">
        <v>33</v>
      </c>
      <c r="U18" s="34" t="s">
        <v>4</v>
      </c>
      <c r="V18" s="31" t="s">
        <v>7</v>
      </c>
    </row>
    <row r="19" spans="1:22" x14ac:dyDescent="0.3">
      <c r="A19" s="42">
        <v>16</v>
      </c>
      <c r="B19" s="44">
        <v>44664</v>
      </c>
      <c r="C19" s="42">
        <v>19.8</v>
      </c>
      <c r="D19" s="42">
        <v>340</v>
      </c>
      <c r="E19" s="42">
        <v>340</v>
      </c>
      <c r="F19" s="42">
        <v>127</v>
      </c>
      <c r="G19" s="42">
        <v>7</v>
      </c>
      <c r="H19" s="37">
        <v>848</v>
      </c>
      <c r="I19" s="37">
        <v>173</v>
      </c>
      <c r="J19" s="37">
        <v>44.4</v>
      </c>
      <c r="K19" s="37">
        <v>9.8000000000000007</v>
      </c>
      <c r="L19" s="37">
        <v>39.5</v>
      </c>
      <c r="M19" s="37">
        <v>36.6</v>
      </c>
      <c r="N19" s="37">
        <v>26.4</v>
      </c>
      <c r="O19" s="37">
        <v>27.4</v>
      </c>
      <c r="P19" s="42">
        <v>11</v>
      </c>
      <c r="Q19" s="42">
        <v>41.6</v>
      </c>
      <c r="R19" s="42">
        <v>2</v>
      </c>
      <c r="S19" s="42">
        <v>9.5</v>
      </c>
      <c r="T19" s="49" t="s">
        <v>33</v>
      </c>
      <c r="U19" s="21" t="s">
        <v>4</v>
      </c>
      <c r="V19" s="17" t="s">
        <v>7</v>
      </c>
    </row>
    <row r="20" spans="1:2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41">
        <v>1503</v>
      </c>
      <c r="I20" s="41">
        <v>379</v>
      </c>
      <c r="J20" s="41">
        <v>41.3</v>
      </c>
      <c r="K20" s="41">
        <v>14.5</v>
      </c>
      <c r="L20" s="41">
        <v>75.3</v>
      </c>
      <c r="M20" s="41">
        <v>54.1</v>
      </c>
      <c r="N20" s="41">
        <v>51.4</v>
      </c>
      <c r="O20" s="41">
        <v>40.1</v>
      </c>
      <c r="P20" s="17">
        <v>16.7</v>
      </c>
      <c r="Q20" s="17">
        <v>73.2</v>
      </c>
      <c r="R20" s="17">
        <v>1</v>
      </c>
      <c r="S20" s="17">
        <v>10</v>
      </c>
      <c r="T20" s="17" t="s">
        <v>7</v>
      </c>
      <c r="U20" s="17">
        <v>8</v>
      </c>
      <c r="V20" s="17" t="s">
        <v>7</v>
      </c>
    </row>
    <row r="21" spans="1:22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38">
        <v>2291</v>
      </c>
      <c r="I21" s="38">
        <v>1081</v>
      </c>
      <c r="J21" s="38">
        <v>51.4</v>
      </c>
      <c r="K21" s="38">
        <v>23.3</v>
      </c>
      <c r="L21" s="38">
        <v>92.2</v>
      </c>
      <c r="M21" s="38">
        <v>96.2</v>
      </c>
      <c r="N21" s="38">
        <v>60.5</v>
      </c>
      <c r="O21" s="38">
        <v>68.900000000000006</v>
      </c>
      <c r="P21" s="17">
        <v>17</v>
      </c>
      <c r="Q21" s="17">
        <v>62.3</v>
      </c>
      <c r="R21" s="17">
        <v>1</v>
      </c>
      <c r="S21" s="17">
        <v>10</v>
      </c>
      <c r="T21" s="17" t="s">
        <v>7</v>
      </c>
      <c r="U21" s="17">
        <v>8</v>
      </c>
      <c r="V21" s="17" t="s">
        <v>7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38">
        <v>1745</v>
      </c>
      <c r="I22" s="38">
        <v>602</v>
      </c>
      <c r="J22" s="38">
        <v>46.5</v>
      </c>
      <c r="K22" s="38">
        <v>19.7</v>
      </c>
      <c r="L22" s="38">
        <v>77.7</v>
      </c>
      <c r="M22" s="38">
        <v>63.3</v>
      </c>
      <c r="N22" s="38">
        <v>51.9</v>
      </c>
      <c r="O22" s="38">
        <v>45.7</v>
      </c>
      <c r="P22" s="17">
        <v>16</v>
      </c>
      <c r="Q22" s="17">
        <v>69.900000000000006</v>
      </c>
      <c r="R22" s="17">
        <v>1</v>
      </c>
      <c r="S22" s="17">
        <v>10</v>
      </c>
      <c r="T22" s="17" t="s">
        <v>7</v>
      </c>
      <c r="U22" s="17">
        <v>8</v>
      </c>
      <c r="V22" s="17" t="s">
        <v>7</v>
      </c>
    </row>
    <row r="23" spans="1:22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38">
        <v>2042</v>
      </c>
      <c r="I23" s="38">
        <v>561</v>
      </c>
      <c r="J23" s="38">
        <v>55.6</v>
      </c>
      <c r="K23" s="38">
        <v>19.600000000000001</v>
      </c>
      <c r="L23" s="38">
        <v>76</v>
      </c>
      <c r="M23" s="38">
        <v>59.2</v>
      </c>
      <c r="N23" s="38">
        <v>50.2</v>
      </c>
      <c r="O23" s="38">
        <v>43.7</v>
      </c>
      <c r="P23" s="17">
        <v>19</v>
      </c>
      <c r="Q23" s="17">
        <v>62</v>
      </c>
      <c r="R23" s="17">
        <v>2</v>
      </c>
      <c r="S23" s="17">
        <v>9</v>
      </c>
      <c r="T23" s="17" t="s">
        <v>7</v>
      </c>
      <c r="U23" s="17">
        <v>8</v>
      </c>
      <c r="V23" s="17" t="s">
        <v>7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38">
        <v>2211</v>
      </c>
      <c r="I24" s="38">
        <v>503</v>
      </c>
      <c r="J24" s="38">
        <v>64.599999999999994</v>
      </c>
      <c r="K24" s="38">
        <v>20</v>
      </c>
      <c r="L24" s="38">
        <v>70.900000000000006</v>
      </c>
      <c r="M24" s="38">
        <v>52</v>
      </c>
      <c r="N24" s="38">
        <v>46</v>
      </c>
      <c r="O24" s="38">
        <v>38.4</v>
      </c>
      <c r="P24" s="17">
        <v>26</v>
      </c>
      <c r="Q24" s="17">
        <v>47.7</v>
      </c>
      <c r="R24" s="17">
        <v>2</v>
      </c>
      <c r="S24" s="17">
        <v>9</v>
      </c>
      <c r="T24" s="17" t="s">
        <v>7</v>
      </c>
      <c r="U24" s="17">
        <v>8</v>
      </c>
      <c r="V24" s="17" t="s">
        <v>98</v>
      </c>
    </row>
    <row r="32" spans="1:22" x14ac:dyDescent="0.3">
      <c r="H32" s="50" t="s">
        <v>119</v>
      </c>
      <c r="I32" s="50"/>
      <c r="J32" s="50"/>
      <c r="K32" s="50"/>
      <c r="L32" s="50"/>
      <c r="M32" s="50" t="s">
        <v>120</v>
      </c>
      <c r="N32" s="50"/>
      <c r="O32" s="50"/>
    </row>
    <row r="33" spans="8:15" x14ac:dyDescent="0.3">
      <c r="H33" s="50" t="s">
        <v>117</v>
      </c>
      <c r="I33" s="50"/>
      <c r="J33" s="50"/>
      <c r="K33" s="50"/>
      <c r="L33" s="50"/>
      <c r="M33" s="50" t="s">
        <v>117</v>
      </c>
      <c r="N33" s="50"/>
      <c r="O33" s="50"/>
    </row>
    <row r="34" spans="8:15" x14ac:dyDescent="0.3">
      <c r="H34" s="50" t="s">
        <v>113</v>
      </c>
      <c r="I34" s="50" t="s">
        <v>114</v>
      </c>
      <c r="J34" s="50"/>
      <c r="K34" s="50"/>
      <c r="L34" s="50"/>
      <c r="M34" s="50" t="s">
        <v>113</v>
      </c>
      <c r="N34" s="50" t="s">
        <v>114</v>
      </c>
      <c r="O34" s="50"/>
    </row>
    <row r="35" spans="8:15" x14ac:dyDescent="0.3">
      <c r="H35" s="50" t="s">
        <v>112</v>
      </c>
      <c r="I35" s="50" t="s">
        <v>108</v>
      </c>
      <c r="J35" s="50" t="s">
        <v>109</v>
      </c>
      <c r="K35" s="50"/>
      <c r="L35" s="50"/>
      <c r="M35" s="50" t="s">
        <v>112</v>
      </c>
      <c r="N35" s="50" t="s">
        <v>108</v>
      </c>
      <c r="O35" s="50" t="s">
        <v>109</v>
      </c>
    </row>
    <row r="36" spans="8:15" x14ac:dyDescent="0.3">
      <c r="H36" s="50">
        <v>1</v>
      </c>
      <c r="I36" s="50">
        <f>N4</f>
        <v>60.3</v>
      </c>
      <c r="J36" s="50">
        <f>N7</f>
        <v>58.5</v>
      </c>
      <c r="K36" s="50"/>
      <c r="L36" s="50"/>
      <c r="M36" s="50">
        <v>1</v>
      </c>
      <c r="N36" s="50">
        <f>N9</f>
        <v>37.799999999999997</v>
      </c>
      <c r="O36" s="50">
        <f>N10</f>
        <v>44.5</v>
      </c>
    </row>
    <row r="37" spans="8:15" x14ac:dyDescent="0.3">
      <c r="H37" s="50">
        <v>2</v>
      </c>
      <c r="I37" s="50">
        <f>O4</f>
        <v>56.9</v>
      </c>
      <c r="J37" s="50">
        <f>O7</f>
        <v>37.5</v>
      </c>
      <c r="K37" s="50"/>
      <c r="L37" s="50"/>
      <c r="M37" s="50">
        <v>2</v>
      </c>
      <c r="N37" s="50">
        <f>O9</f>
        <v>38</v>
      </c>
      <c r="O37" s="50">
        <f>O10</f>
        <v>37.9</v>
      </c>
    </row>
    <row r="38" spans="8:15" x14ac:dyDescent="0.3">
      <c r="H38" s="50" t="s">
        <v>115</v>
      </c>
      <c r="I38" s="50" t="s">
        <v>116</v>
      </c>
      <c r="J38" s="50"/>
      <c r="K38" s="50"/>
      <c r="L38" s="50"/>
      <c r="M38" s="50" t="s">
        <v>115</v>
      </c>
      <c r="N38" s="50" t="s">
        <v>116</v>
      </c>
      <c r="O38" s="50"/>
    </row>
    <row r="39" spans="8:15" x14ac:dyDescent="0.3">
      <c r="H39" s="50" t="s">
        <v>112</v>
      </c>
      <c r="I39" s="50" t="s">
        <v>110</v>
      </c>
      <c r="J39" s="50" t="s">
        <v>111</v>
      </c>
      <c r="K39" s="50"/>
      <c r="L39" s="50"/>
      <c r="M39" s="50" t="s">
        <v>112</v>
      </c>
      <c r="N39" s="50" t="s">
        <v>110</v>
      </c>
      <c r="O39" s="50" t="s">
        <v>111</v>
      </c>
    </row>
    <row r="40" spans="8:15" x14ac:dyDescent="0.3">
      <c r="H40" s="50">
        <v>1</v>
      </c>
      <c r="I40" s="50">
        <f>N14</f>
        <v>23.1</v>
      </c>
      <c r="J40" s="50">
        <f>N19</f>
        <v>26.4</v>
      </c>
      <c r="K40" s="50"/>
      <c r="L40" s="50"/>
      <c r="M40" s="50">
        <v>1</v>
      </c>
      <c r="N40" s="50">
        <f>N12</f>
        <v>22.9</v>
      </c>
      <c r="O40" s="50">
        <f>N16</f>
        <v>23</v>
      </c>
    </row>
    <row r="41" spans="8:15" x14ac:dyDescent="0.3">
      <c r="H41" s="50">
        <v>2</v>
      </c>
      <c r="I41" s="50">
        <f>O14</f>
        <v>25.7</v>
      </c>
      <c r="J41" s="50">
        <f>O19</f>
        <v>27.4</v>
      </c>
      <c r="K41" s="50"/>
      <c r="L41" s="50"/>
      <c r="M41" s="50">
        <v>2</v>
      </c>
      <c r="N41" s="50">
        <f>O12</f>
        <v>26.4</v>
      </c>
      <c r="O41" s="50">
        <f>O16</f>
        <v>24.3</v>
      </c>
    </row>
    <row r="42" spans="8:15" x14ac:dyDescent="0.3">
      <c r="H42" s="50"/>
      <c r="I42" s="50"/>
      <c r="J42" s="50"/>
      <c r="K42" s="50"/>
      <c r="L42" s="50"/>
      <c r="M42" s="50"/>
      <c r="N42" s="50"/>
      <c r="O42" s="50"/>
    </row>
    <row r="43" spans="8:15" x14ac:dyDescent="0.3">
      <c r="H43" s="50"/>
      <c r="I43" s="50"/>
      <c r="J43" s="50"/>
      <c r="K43" s="50"/>
      <c r="L43" s="50"/>
      <c r="M43" s="50"/>
      <c r="N43" s="50"/>
      <c r="O43" s="50"/>
    </row>
    <row r="44" spans="8:15" x14ac:dyDescent="0.3">
      <c r="H44" s="50" t="s">
        <v>118</v>
      </c>
      <c r="I44" s="50"/>
      <c r="J44" s="50"/>
      <c r="K44" s="50"/>
      <c r="L44" s="50"/>
      <c r="M44" s="50" t="s">
        <v>118</v>
      </c>
      <c r="N44" s="50"/>
      <c r="O44" s="50"/>
    </row>
    <row r="45" spans="8:15" x14ac:dyDescent="0.3">
      <c r="H45" s="50" t="s">
        <v>113</v>
      </c>
      <c r="I45" s="50" t="s">
        <v>114</v>
      </c>
      <c r="J45" s="50"/>
      <c r="K45" s="50"/>
      <c r="L45" s="50"/>
      <c r="M45" s="50" t="s">
        <v>113</v>
      </c>
      <c r="N45" s="50" t="s">
        <v>114</v>
      </c>
      <c r="O45" s="50"/>
    </row>
    <row r="46" spans="8:15" x14ac:dyDescent="0.3">
      <c r="H46" s="50" t="s">
        <v>112</v>
      </c>
      <c r="I46" s="50" t="s">
        <v>108</v>
      </c>
      <c r="J46" s="50" t="s">
        <v>109</v>
      </c>
      <c r="K46" s="50"/>
      <c r="L46" s="50"/>
      <c r="M46" s="50" t="s">
        <v>112</v>
      </c>
      <c r="N46" s="50" t="s">
        <v>108</v>
      </c>
      <c r="O46" s="50" t="s">
        <v>109</v>
      </c>
    </row>
    <row r="47" spans="8:15" x14ac:dyDescent="0.3">
      <c r="H47" s="50">
        <v>1</v>
      </c>
      <c r="I47" s="50">
        <f>N5</f>
        <v>57.8</v>
      </c>
      <c r="J47" s="50">
        <f>N6</f>
        <v>64.599999999999994</v>
      </c>
      <c r="K47" s="50"/>
      <c r="L47" s="50"/>
      <c r="M47" s="50">
        <v>1</v>
      </c>
      <c r="N47" s="50">
        <f>N8</f>
        <v>41.9</v>
      </c>
      <c r="O47" s="50">
        <f>N11</f>
        <v>56.6</v>
      </c>
    </row>
    <row r="48" spans="8:15" x14ac:dyDescent="0.3">
      <c r="H48" s="50">
        <v>2</v>
      </c>
      <c r="I48" s="50">
        <f>O5</f>
        <v>70.5</v>
      </c>
      <c r="J48" s="50">
        <f>O6</f>
        <v>58.7</v>
      </c>
      <c r="K48" s="50"/>
      <c r="L48" s="50"/>
      <c r="M48" s="50">
        <v>2</v>
      </c>
      <c r="N48" s="50">
        <f>O8</f>
        <v>59.2</v>
      </c>
      <c r="O48" s="50">
        <f>O11</f>
        <v>53.6</v>
      </c>
    </row>
    <row r="49" spans="8:15" x14ac:dyDescent="0.3">
      <c r="H49" s="50" t="s">
        <v>115</v>
      </c>
      <c r="I49" s="50" t="s">
        <v>116</v>
      </c>
      <c r="J49" s="50"/>
      <c r="K49" s="50"/>
      <c r="L49" s="50"/>
      <c r="M49" s="50" t="s">
        <v>115</v>
      </c>
      <c r="N49" s="50" t="s">
        <v>116</v>
      </c>
      <c r="O49" s="50"/>
    </row>
    <row r="50" spans="8:15" x14ac:dyDescent="0.3">
      <c r="H50" s="50" t="s">
        <v>112</v>
      </c>
      <c r="I50" s="50" t="s">
        <v>110</v>
      </c>
      <c r="J50" s="50" t="s">
        <v>111</v>
      </c>
      <c r="K50" s="50"/>
      <c r="L50" s="50"/>
      <c r="M50" s="50" t="s">
        <v>112</v>
      </c>
      <c r="N50" s="50" t="s">
        <v>110</v>
      </c>
      <c r="O50" s="50" t="s">
        <v>111</v>
      </c>
    </row>
    <row r="51" spans="8:15" x14ac:dyDescent="0.3">
      <c r="H51" s="50">
        <v>1</v>
      </c>
      <c r="I51" s="50">
        <f>N15</f>
        <v>26</v>
      </c>
      <c r="J51" s="50">
        <f>N18</f>
        <v>29</v>
      </c>
      <c r="K51" s="50"/>
      <c r="L51" s="50"/>
      <c r="M51" s="50">
        <v>1</v>
      </c>
      <c r="N51" s="50">
        <f>N13</f>
        <v>25.3</v>
      </c>
      <c r="O51" s="50">
        <f>N17</f>
        <v>26</v>
      </c>
    </row>
    <row r="52" spans="8:15" x14ac:dyDescent="0.3">
      <c r="H52" s="50">
        <v>2</v>
      </c>
      <c r="I52" s="50">
        <f>O15</f>
        <v>35</v>
      </c>
      <c r="J52" s="50">
        <f>O18</f>
        <v>31.2</v>
      </c>
      <c r="K52" s="50"/>
      <c r="L52" s="50"/>
      <c r="M52" s="50">
        <v>2</v>
      </c>
      <c r="N52" s="50">
        <f>O13</f>
        <v>32.5</v>
      </c>
      <c r="O52" s="50">
        <f>O17</f>
        <v>29.5</v>
      </c>
    </row>
    <row r="56" spans="8:15" x14ac:dyDescent="0.3">
      <c r="I56" t="s">
        <v>125</v>
      </c>
      <c r="N56" t="s">
        <v>126</v>
      </c>
    </row>
    <row r="57" spans="8:15" x14ac:dyDescent="0.3">
      <c r="H57" t="s">
        <v>117</v>
      </c>
      <c r="M57" t="s">
        <v>117</v>
      </c>
    </row>
    <row r="58" spans="8:15" x14ac:dyDescent="0.3">
      <c r="H58" t="s">
        <v>112</v>
      </c>
      <c r="I58" t="s">
        <v>121</v>
      </c>
      <c r="J58" t="s">
        <v>122</v>
      </c>
      <c r="M58" t="s">
        <v>112</v>
      </c>
      <c r="N58" t="s">
        <v>121</v>
      </c>
      <c r="O58" t="s">
        <v>122</v>
      </c>
    </row>
    <row r="59" spans="8:15" x14ac:dyDescent="0.3">
      <c r="H59">
        <v>1</v>
      </c>
      <c r="I59">
        <f>I40</f>
        <v>23.1</v>
      </c>
      <c r="J59">
        <f>N40</f>
        <v>22.9</v>
      </c>
      <c r="M59">
        <v>1</v>
      </c>
      <c r="N59">
        <f>J40</f>
        <v>26.4</v>
      </c>
      <c r="O59">
        <f>O40</f>
        <v>23</v>
      </c>
    </row>
    <row r="60" spans="8:15" x14ac:dyDescent="0.3">
      <c r="H60">
        <v>2</v>
      </c>
      <c r="I60">
        <f>I41</f>
        <v>25.7</v>
      </c>
      <c r="J60">
        <f>N41</f>
        <v>26.4</v>
      </c>
      <c r="M60">
        <v>2</v>
      </c>
      <c r="N60">
        <f>J41</f>
        <v>27.4</v>
      </c>
      <c r="O60">
        <f>O41</f>
        <v>24.3</v>
      </c>
    </row>
    <row r="61" spans="8:15" x14ac:dyDescent="0.3">
      <c r="H61" t="s">
        <v>117</v>
      </c>
      <c r="M61" t="s">
        <v>117</v>
      </c>
    </row>
    <row r="62" spans="8:15" x14ac:dyDescent="0.3">
      <c r="H62" t="s">
        <v>112</v>
      </c>
      <c r="I62" t="s">
        <v>123</v>
      </c>
      <c r="J62" t="s">
        <v>124</v>
      </c>
      <c r="M62" t="s">
        <v>112</v>
      </c>
      <c r="N62" t="s">
        <v>123</v>
      </c>
      <c r="O62" t="s">
        <v>124</v>
      </c>
    </row>
    <row r="63" spans="8:15" x14ac:dyDescent="0.3">
      <c r="H63">
        <v>1</v>
      </c>
      <c r="I63">
        <f>I36</f>
        <v>60.3</v>
      </c>
      <c r="J63">
        <f>N36</f>
        <v>37.799999999999997</v>
      </c>
      <c r="M63">
        <v>1</v>
      </c>
      <c r="N63">
        <f>J36</f>
        <v>58.5</v>
      </c>
      <c r="O63">
        <f>O36</f>
        <v>44.5</v>
      </c>
    </row>
    <row r="64" spans="8:15" x14ac:dyDescent="0.3">
      <c r="H64">
        <v>2</v>
      </c>
      <c r="I64">
        <f>I37</f>
        <v>56.9</v>
      </c>
      <c r="J64">
        <f>N37</f>
        <v>38</v>
      </c>
      <c r="M64">
        <v>2</v>
      </c>
      <c r="N64">
        <f>J37</f>
        <v>37.5</v>
      </c>
      <c r="O64">
        <f>O37</f>
        <v>37.9</v>
      </c>
    </row>
    <row r="67" spans="8:15" x14ac:dyDescent="0.3">
      <c r="H67" t="s">
        <v>118</v>
      </c>
      <c r="M67" t="s">
        <v>118</v>
      </c>
    </row>
    <row r="68" spans="8:15" x14ac:dyDescent="0.3">
      <c r="H68" t="s">
        <v>112</v>
      </c>
      <c r="I68" t="s">
        <v>121</v>
      </c>
      <c r="J68" t="s">
        <v>122</v>
      </c>
      <c r="M68" t="s">
        <v>112</v>
      </c>
      <c r="N68" t="s">
        <v>121</v>
      </c>
      <c r="O68" t="s">
        <v>122</v>
      </c>
    </row>
    <row r="69" spans="8:15" x14ac:dyDescent="0.3">
      <c r="H69">
        <v>1</v>
      </c>
      <c r="I69">
        <f>I51</f>
        <v>26</v>
      </c>
      <c r="J69">
        <f>N51</f>
        <v>25.3</v>
      </c>
      <c r="M69">
        <v>1</v>
      </c>
      <c r="N69">
        <f>J51</f>
        <v>29</v>
      </c>
      <c r="O69">
        <f>O51</f>
        <v>26</v>
      </c>
    </row>
    <row r="70" spans="8:15" x14ac:dyDescent="0.3">
      <c r="H70">
        <v>2</v>
      </c>
      <c r="I70">
        <f>I52</f>
        <v>35</v>
      </c>
      <c r="J70">
        <f>N52</f>
        <v>32.5</v>
      </c>
      <c r="M70">
        <v>2</v>
      </c>
      <c r="N70">
        <f>J52</f>
        <v>31.2</v>
      </c>
      <c r="O70">
        <f>O52</f>
        <v>29.5</v>
      </c>
    </row>
    <row r="71" spans="8:15" x14ac:dyDescent="0.3">
      <c r="H71" t="s">
        <v>118</v>
      </c>
      <c r="M71" t="s">
        <v>118</v>
      </c>
    </row>
    <row r="72" spans="8:15" x14ac:dyDescent="0.3">
      <c r="H72" t="s">
        <v>112</v>
      </c>
      <c r="I72" t="s">
        <v>123</v>
      </c>
      <c r="J72" t="s">
        <v>124</v>
      </c>
      <c r="M72" t="s">
        <v>112</v>
      </c>
      <c r="N72" t="s">
        <v>123</v>
      </c>
      <c r="O72" t="s">
        <v>124</v>
      </c>
    </row>
    <row r="73" spans="8:15" x14ac:dyDescent="0.3">
      <c r="H73">
        <v>1</v>
      </c>
      <c r="I73">
        <f>I47</f>
        <v>57.8</v>
      </c>
      <c r="J73">
        <f>N47</f>
        <v>41.9</v>
      </c>
      <c r="M73">
        <v>1</v>
      </c>
      <c r="N73">
        <f>J47</f>
        <v>64.599999999999994</v>
      </c>
      <c r="O73">
        <f>O47</f>
        <v>56.6</v>
      </c>
    </row>
    <row r="74" spans="8:15" x14ac:dyDescent="0.3">
      <c r="H74">
        <v>2</v>
      </c>
      <c r="I74">
        <f>I48</f>
        <v>70.5</v>
      </c>
      <c r="J74">
        <f>N48</f>
        <v>59.2</v>
      </c>
      <c r="M74">
        <v>2</v>
      </c>
      <c r="N74">
        <f>J48</f>
        <v>58.7</v>
      </c>
      <c r="O74">
        <f>O48</f>
        <v>53.6</v>
      </c>
    </row>
  </sheetData>
  <autoFilter ref="A4:V24" xr:uid="{00000000-0009-0000-0000-000003000000}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B1:G65"/>
  <sheetViews>
    <sheetView zoomScaleNormal="100" workbookViewId="0">
      <selection activeCell="I18" sqref="I17:I18"/>
    </sheetView>
  </sheetViews>
  <sheetFormatPr defaultRowHeight="14.4" x14ac:dyDescent="0.3"/>
  <sheetData>
    <row r="1" spans="2:7" x14ac:dyDescent="0.3">
      <c r="B1" t="s">
        <v>67</v>
      </c>
    </row>
    <row r="2" spans="2:7" x14ac:dyDescent="0.3">
      <c r="C2" t="s">
        <v>49</v>
      </c>
      <c r="D2" t="s">
        <v>53</v>
      </c>
      <c r="E2" t="s">
        <v>64</v>
      </c>
      <c r="F2" t="s">
        <v>66</v>
      </c>
      <c r="G2" t="s">
        <v>85</v>
      </c>
    </row>
    <row r="3" spans="2:7" x14ac:dyDescent="0.3">
      <c r="B3" t="s">
        <v>54</v>
      </c>
      <c r="C3" t="s">
        <v>50</v>
      </c>
      <c r="D3" t="s">
        <v>52</v>
      </c>
      <c r="E3" t="s">
        <v>62</v>
      </c>
      <c r="F3" t="s">
        <v>65</v>
      </c>
      <c r="G3" t="s">
        <v>86</v>
      </c>
    </row>
    <row r="4" spans="2:7" x14ac:dyDescent="0.3">
      <c r="C4" t="s">
        <v>51</v>
      </c>
      <c r="D4" t="s">
        <v>60</v>
      </c>
      <c r="E4">
        <v>146</v>
      </c>
      <c r="F4">
        <v>150</v>
      </c>
      <c r="G4" s="35">
        <v>103</v>
      </c>
    </row>
    <row r="5" spans="2:7" x14ac:dyDescent="0.3">
      <c r="B5" s="26">
        <v>2</v>
      </c>
      <c r="C5">
        <v>41.985101991667683</v>
      </c>
      <c r="D5">
        <v>22.024874175846552</v>
      </c>
      <c r="E5">
        <v>20.707500152419239</v>
      </c>
      <c r="F5">
        <v>10.913316318355035</v>
      </c>
      <c r="G5">
        <v>19.009780541994434</v>
      </c>
    </row>
    <row r="6" spans="2:7" x14ac:dyDescent="0.3">
      <c r="B6" s="26">
        <v>3</v>
      </c>
      <c r="C6">
        <v>49.282258578055746</v>
      </c>
      <c r="D6">
        <v>31.584524259657137</v>
      </c>
      <c r="E6">
        <v>33.647594328842345</v>
      </c>
      <c r="F6">
        <v>24.699344808552063</v>
      </c>
      <c r="G6">
        <v>33.199651598495713</v>
      </c>
    </row>
    <row r="7" spans="2:7" x14ac:dyDescent="0.3">
      <c r="B7" s="26">
        <v>4</v>
      </c>
      <c r="C7">
        <v>56.112060945716529</v>
      </c>
      <c r="D7">
        <v>39.977921758776091</v>
      </c>
      <c r="E7">
        <v>44.287285805038358</v>
      </c>
      <c r="F7">
        <v>37.132849805841396</v>
      </c>
      <c r="G7">
        <v>45.597050010439666</v>
      </c>
    </row>
    <row r="8" spans="2:7" x14ac:dyDescent="0.3">
      <c r="B8" s="26">
        <v>5</v>
      </c>
      <c r="C8">
        <v>62.126298536609447</v>
      </c>
      <c r="D8">
        <v>46.930083603549249</v>
      </c>
      <c r="E8">
        <v>52.483483751548199</v>
      </c>
      <c r="F8">
        <v>48.536798383258734</v>
      </c>
      <c r="G8">
        <v>55.547303924020291</v>
      </c>
    </row>
    <row r="9" spans="2:7" x14ac:dyDescent="0.3">
      <c r="B9" s="26">
        <v>6</v>
      </c>
      <c r="C9">
        <v>68.449426057386432</v>
      </c>
      <c r="D9">
        <v>52.285902466709906</v>
      </c>
      <c r="E9">
        <v>57.983271386731566</v>
      </c>
      <c r="F9">
        <v>58.55921354554269</v>
      </c>
      <c r="G9">
        <v>62.066643532956313</v>
      </c>
    </row>
    <row r="10" spans="2:7" x14ac:dyDescent="0.3">
      <c r="B10" s="26">
        <v>7</v>
      </c>
      <c r="C10">
        <v>75.849160056081871</v>
      </c>
      <c r="D10">
        <v>54.399187975487308</v>
      </c>
      <c r="E10">
        <v>60.050730345213175</v>
      </c>
      <c r="F10">
        <v>64.588208834264151</v>
      </c>
      <c r="G10">
        <v>63.597579580591642</v>
      </c>
    </row>
    <row r="11" spans="2:7" x14ac:dyDescent="0.3">
      <c r="B11" s="26">
        <v>8</v>
      </c>
      <c r="C11">
        <v>84.584352049683062</v>
      </c>
      <c r="D11">
        <v>51.074394883886306</v>
      </c>
      <c r="E11">
        <v>56.804087822024577</v>
      </c>
      <c r="F11">
        <v>63.409111539046883</v>
      </c>
      <c r="G11">
        <v>58.444844630519718</v>
      </c>
    </row>
    <row r="12" spans="2:7" x14ac:dyDescent="0.3">
      <c r="B12" s="26">
        <v>9</v>
      </c>
      <c r="C12">
        <v>97.249747038981255</v>
      </c>
      <c r="D12">
        <v>41.529378758478579</v>
      </c>
      <c r="E12">
        <v>47.591982197079531</v>
      </c>
      <c r="F12">
        <v>53.724749183277915</v>
      </c>
      <c r="G12">
        <v>44.588051513600092</v>
      </c>
    </row>
    <row r="20" spans="2:7" x14ac:dyDescent="0.3">
      <c r="B20" t="s">
        <v>67</v>
      </c>
    </row>
    <row r="21" spans="2:7" x14ac:dyDescent="0.3">
      <c r="C21" t="s">
        <v>56</v>
      </c>
      <c r="D21" t="s">
        <v>58</v>
      </c>
      <c r="E21" t="s">
        <v>63</v>
      </c>
      <c r="F21" t="s">
        <v>73</v>
      </c>
      <c r="G21" s="33" t="s">
        <v>87</v>
      </c>
    </row>
    <row r="22" spans="2:7" x14ac:dyDescent="0.3">
      <c r="B22" t="s">
        <v>55</v>
      </c>
      <c r="C22" t="s">
        <v>50</v>
      </c>
      <c r="D22" t="s">
        <v>52</v>
      </c>
      <c r="E22" t="s">
        <v>62</v>
      </c>
      <c r="F22" t="s">
        <v>65</v>
      </c>
      <c r="G22" t="s">
        <v>88</v>
      </c>
    </row>
    <row r="23" spans="2:7" x14ac:dyDescent="0.3">
      <c r="C23" t="s">
        <v>57</v>
      </c>
      <c r="D23" t="s">
        <v>59</v>
      </c>
      <c r="E23" t="s">
        <v>61</v>
      </c>
      <c r="F23" t="s">
        <v>72</v>
      </c>
      <c r="G23" s="33">
        <v>113</v>
      </c>
    </row>
    <row r="24" spans="2:7" x14ac:dyDescent="0.3">
      <c r="B24" s="26">
        <v>2</v>
      </c>
      <c r="C24">
        <v>106.34172574293588</v>
      </c>
      <c r="D24">
        <v>48.737866390965372</v>
      </c>
      <c r="E24">
        <v>59.023997356036695</v>
      </c>
      <c r="F24">
        <v>32.513483163440867</v>
      </c>
      <c r="G24" s="33">
        <v>49.681861640066721</v>
      </c>
    </row>
    <row r="25" spans="2:7" x14ac:dyDescent="0.3">
      <c r="B25" s="26">
        <v>3</v>
      </c>
      <c r="C25">
        <v>83.671935779220291</v>
      </c>
      <c r="D25">
        <v>45.268908286921722</v>
      </c>
      <c r="E25">
        <v>53.784096966661586</v>
      </c>
      <c r="F25">
        <v>34.560189595439375</v>
      </c>
      <c r="G25" s="33">
        <v>59.327509535026202</v>
      </c>
    </row>
    <row r="26" spans="2:7" x14ac:dyDescent="0.3">
      <c r="B26" s="26">
        <v>4</v>
      </c>
      <c r="C26">
        <v>68.905599121991045</v>
      </c>
      <c r="D26">
        <v>45.386677583210826</v>
      </c>
      <c r="E26">
        <v>50.8026344740287</v>
      </c>
      <c r="F26">
        <v>40.379987874589681</v>
      </c>
      <c r="G26" s="33">
        <v>71.987212831319525</v>
      </c>
    </row>
    <row r="27" spans="2:7" x14ac:dyDescent="0.3">
      <c r="B27" s="26">
        <v>5</v>
      </c>
      <c r="C27">
        <v>61.149096768051443</v>
      </c>
      <c r="D27">
        <v>49.956504386318194</v>
      </c>
      <c r="E27">
        <v>52.886557025522166</v>
      </c>
      <c r="F27">
        <v>48.713075620426373</v>
      </c>
      <c r="G27" s="33">
        <v>81.676532791937689</v>
      </c>
    </row>
    <row r="28" spans="2:7" x14ac:dyDescent="0.3">
      <c r="B28" s="26">
        <v>6</v>
      </c>
      <c r="C28">
        <v>67.191787492884416</v>
      </c>
      <c r="D28">
        <v>59.256931622789452</v>
      </c>
      <c r="E28">
        <v>62.102159890608796</v>
      </c>
      <c r="F28">
        <v>61.059909283788357</v>
      </c>
      <c r="G28" s="33">
        <v>89.561475041445476</v>
      </c>
    </row>
    <row r="29" spans="2:7" x14ac:dyDescent="0.3">
      <c r="B29" s="26">
        <v>7</v>
      </c>
      <c r="C29">
        <v>84.042382410705144</v>
      </c>
      <c r="D29">
        <v>74.925592054529545</v>
      </c>
      <c r="E29">
        <v>78.437819139753543</v>
      </c>
      <c r="F29">
        <v>78.206583768120311</v>
      </c>
      <c r="G29" s="33">
        <v>99.643223606208352</v>
      </c>
    </row>
    <row r="30" spans="2:7" x14ac:dyDescent="0.3">
      <c r="B30" s="26">
        <v>8</v>
      </c>
      <c r="C30">
        <v>113.43681092980887</v>
      </c>
      <c r="D30">
        <v>97.643957097093889</v>
      </c>
      <c r="E30">
        <v>103.06724515222547</v>
      </c>
      <c r="F30">
        <v>102.89844147221589</v>
      </c>
      <c r="G30" s="33">
        <v>113.05997719961599</v>
      </c>
    </row>
    <row r="31" spans="2:7" x14ac:dyDescent="0.3">
      <c r="B31" s="26">
        <v>9</v>
      </c>
      <c r="C31">
        <v>161.23640954039141</v>
      </c>
      <c r="D31">
        <v>129.98102419843897</v>
      </c>
      <c r="E31">
        <v>141.2771076215304</v>
      </c>
      <c r="F31">
        <v>138.15783459848433</v>
      </c>
      <c r="G31" s="33">
        <v>133.10385106576129</v>
      </c>
    </row>
    <row r="38" spans="2:6" x14ac:dyDescent="0.3">
      <c r="B38" t="s">
        <v>68</v>
      </c>
    </row>
    <row r="39" spans="2:6" x14ac:dyDescent="0.3">
      <c r="C39" t="s">
        <v>70</v>
      </c>
      <c r="D39" t="s">
        <v>78</v>
      </c>
      <c r="E39" s="33">
        <v>4.07</v>
      </c>
      <c r="F39" t="s">
        <v>84</v>
      </c>
    </row>
    <row r="40" spans="2:6" x14ac:dyDescent="0.3">
      <c r="B40" t="s">
        <v>54</v>
      </c>
      <c r="C40" t="s">
        <v>71</v>
      </c>
      <c r="D40" t="s">
        <v>77</v>
      </c>
      <c r="E40" s="33" t="s">
        <v>81</v>
      </c>
      <c r="F40" t="s">
        <v>83</v>
      </c>
    </row>
    <row r="41" spans="2:6" x14ac:dyDescent="0.3">
      <c r="C41" t="s">
        <v>69</v>
      </c>
      <c r="D41">
        <v>160</v>
      </c>
      <c r="E41" s="33">
        <v>160</v>
      </c>
      <c r="F41">
        <v>127</v>
      </c>
    </row>
    <row r="42" spans="2:6" x14ac:dyDescent="0.3">
      <c r="B42" s="26">
        <v>2</v>
      </c>
      <c r="C42">
        <v>9.0762929191626576</v>
      </c>
      <c r="D42">
        <v>8.3641762715067109</v>
      </c>
      <c r="E42" s="33">
        <v>20.884449931006078</v>
      </c>
      <c r="F42">
        <v>20.114764206195609</v>
      </c>
    </row>
    <row r="43" spans="2:6" x14ac:dyDescent="0.3">
      <c r="B43" s="26">
        <v>3</v>
      </c>
      <c r="C43">
        <v>20.25162420505864</v>
      </c>
      <c r="D43">
        <v>19.197021097115371</v>
      </c>
      <c r="E43" s="33">
        <v>21.099168083223073</v>
      </c>
      <c r="F43">
        <v>24.203835579921048</v>
      </c>
    </row>
    <row r="44" spans="2:6" x14ac:dyDescent="0.3">
      <c r="B44" s="26">
        <v>4</v>
      </c>
      <c r="C44">
        <v>31.038664299026262</v>
      </c>
      <c r="D44">
        <v>30.249587333799582</v>
      </c>
      <c r="E44" s="33">
        <v>21.429191262340211</v>
      </c>
      <c r="F44">
        <v>27.963773682096033</v>
      </c>
    </row>
    <row r="45" spans="2:6" x14ac:dyDescent="0.3">
      <c r="B45" s="26">
        <v>5</v>
      </c>
      <c r="C45">
        <v>40.40261733394717</v>
      </c>
      <c r="D45">
        <v>40.694475476941349</v>
      </c>
      <c r="E45" s="33">
        <v>23.171610799663686</v>
      </c>
      <c r="F45">
        <v>32.161449938700407</v>
      </c>
    </row>
    <row r="46" spans="2:6" x14ac:dyDescent="0.3">
      <c r="B46" s="26">
        <v>6</v>
      </c>
      <c r="C46">
        <v>47.720594740671672</v>
      </c>
      <c r="D46">
        <v>48.749610877536171</v>
      </c>
      <c r="E46" s="33">
        <v>27.63475335953094</v>
      </c>
      <c r="F46">
        <v>36.66294371434762</v>
      </c>
    </row>
    <row r="47" spans="2:6" x14ac:dyDescent="0.3">
      <c r="B47" s="26">
        <v>7</v>
      </c>
      <c r="C47">
        <v>50.592013090357639</v>
      </c>
      <c r="D47">
        <v>51.870243419183069</v>
      </c>
      <c r="E47" s="33">
        <v>35.702483169269058</v>
      </c>
      <c r="F47">
        <v>39.89688892530036</v>
      </c>
    </row>
    <row r="48" spans="2:6" x14ac:dyDescent="0.3">
      <c r="B48" s="26">
        <v>8</v>
      </c>
      <c r="C48">
        <v>45.347951127188132</v>
      </c>
      <c r="D48">
        <v>47.336333198410458</v>
      </c>
      <c r="E48" s="33">
        <v>47.709019700904953</v>
      </c>
      <c r="F48">
        <v>41.922290921700544</v>
      </c>
    </row>
    <row r="49" spans="2:6" x14ac:dyDescent="0.3">
      <c r="B49" s="26">
        <v>9</v>
      </c>
      <c r="C49">
        <v>27.886859084876434</v>
      </c>
      <c r="D49">
        <v>31.200175517703808</v>
      </c>
      <c r="E49" s="33">
        <v>64.139764183958576</v>
      </c>
      <c r="F49">
        <v>41.462303433123672</v>
      </c>
    </row>
    <row r="54" spans="2:6" x14ac:dyDescent="0.3">
      <c r="B54" t="s">
        <v>68</v>
      </c>
    </row>
    <row r="55" spans="2:6" x14ac:dyDescent="0.3">
      <c r="C55" t="s">
        <v>74</v>
      </c>
      <c r="D55" t="s">
        <v>76</v>
      </c>
      <c r="E55" t="s">
        <v>80</v>
      </c>
      <c r="F55" t="s">
        <v>82</v>
      </c>
    </row>
    <row r="56" spans="2:6" x14ac:dyDescent="0.3">
      <c r="B56" t="s">
        <v>55</v>
      </c>
      <c r="C56" t="s">
        <v>71</v>
      </c>
      <c r="D56" t="s">
        <v>77</v>
      </c>
      <c r="E56" t="s">
        <v>79</v>
      </c>
      <c r="F56" t="s">
        <v>83</v>
      </c>
    </row>
    <row r="57" spans="2:6" x14ac:dyDescent="0.3">
      <c r="C57" t="s">
        <v>75</v>
      </c>
      <c r="D57">
        <v>174</v>
      </c>
      <c r="E57">
        <v>167</v>
      </c>
      <c r="F57">
        <v>144</v>
      </c>
    </row>
    <row r="58" spans="2:6" x14ac:dyDescent="0.3">
      <c r="B58" s="26">
        <v>2</v>
      </c>
      <c r="C58">
        <v>15.29276972508818</v>
      </c>
      <c r="D58">
        <v>13.911176458406626</v>
      </c>
      <c r="E58">
        <v>17.19301678612015</v>
      </c>
      <c r="F58">
        <v>30.783229278233875</v>
      </c>
    </row>
    <row r="59" spans="2:6" x14ac:dyDescent="0.3">
      <c r="B59" s="26">
        <v>3</v>
      </c>
      <c r="C59">
        <v>23.969693078602567</v>
      </c>
      <c r="D59">
        <v>20.931350356799214</v>
      </c>
      <c r="E59">
        <v>18.498166374402604</v>
      </c>
      <c r="F59">
        <v>28.179686119546325</v>
      </c>
    </row>
    <row r="60" spans="2:6" x14ac:dyDescent="0.3">
      <c r="B60" s="26">
        <v>4</v>
      </c>
      <c r="C60">
        <v>33.303353752982311</v>
      </c>
      <c r="D60">
        <v>28.894878165163369</v>
      </c>
      <c r="E60">
        <v>20.593452103186557</v>
      </c>
      <c r="F60">
        <v>25.904978951131802</v>
      </c>
    </row>
    <row r="61" spans="2:6" x14ac:dyDescent="0.3">
      <c r="B61" s="26">
        <v>5</v>
      </c>
      <c r="C61">
        <v>42.556084619172836</v>
      </c>
      <c r="D61">
        <v>37.190437728827739</v>
      </c>
      <c r="E61">
        <v>24.444111491416411</v>
      </c>
      <c r="F61">
        <v>25.146079179828966</v>
      </c>
    </row>
    <row r="62" spans="2:6" x14ac:dyDescent="0.3">
      <c r="B62" s="26">
        <v>6</v>
      </c>
      <c r="C62">
        <v>51.088188746809145</v>
      </c>
      <c r="D62">
        <v>45.884911441504116</v>
      </c>
      <c r="E62">
        <v>30.435868544225613</v>
      </c>
      <c r="F62">
        <v>27.327609426313483</v>
      </c>
    </row>
    <row r="63" spans="2:6" x14ac:dyDescent="0.3">
      <c r="B63" s="26">
        <v>7</v>
      </c>
      <c r="C63">
        <v>60.673623025383968</v>
      </c>
      <c r="D63">
        <v>56.42229186717416</v>
      </c>
      <c r="E63">
        <v>41.83365508831757</v>
      </c>
      <c r="F63">
        <v>34.745080221575108</v>
      </c>
    </row>
    <row r="64" spans="2:6" x14ac:dyDescent="0.3">
      <c r="B64" s="26">
        <v>8</v>
      </c>
      <c r="C64">
        <v>69.348604651846344</v>
      </c>
      <c r="D64">
        <v>67.084400155938241</v>
      </c>
      <c r="E64">
        <v>56.143118755618353</v>
      </c>
      <c r="F64">
        <v>47.8177268636951</v>
      </c>
    </row>
    <row r="65" spans="2:6" x14ac:dyDescent="0.3">
      <c r="B65" s="26">
        <v>9</v>
      </c>
      <c r="C65">
        <v>76.679718726057146</v>
      </c>
      <c r="D65">
        <v>77.753696473132464</v>
      </c>
      <c r="E65">
        <v>70.043894586068745</v>
      </c>
      <c r="F65">
        <v>67.276705081719555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C1:BB102"/>
  <sheetViews>
    <sheetView topLeftCell="AG78" zoomScale="90" zoomScaleNormal="90" workbookViewId="0">
      <selection activeCell="AU2" sqref="AU2:BB102"/>
    </sheetView>
  </sheetViews>
  <sheetFormatPr defaultRowHeight="14.4" x14ac:dyDescent="0.3"/>
  <cols>
    <col min="2" max="2" width="30" customWidth="1"/>
    <col min="3" max="3" width="24.6640625" bestFit="1" customWidth="1"/>
    <col min="4" max="4" width="12.109375" customWidth="1"/>
    <col min="33" max="33" width="12.5546875" bestFit="1" customWidth="1"/>
    <col min="34" max="34" width="11.44140625" customWidth="1"/>
  </cols>
  <sheetData>
    <row r="1" spans="3:54" ht="43.8" thickBot="1" x14ac:dyDescent="0.35">
      <c r="AA1" s="196" t="s">
        <v>533</v>
      </c>
      <c r="AB1" s="321" t="s">
        <v>650</v>
      </c>
      <c r="AC1" s="322"/>
      <c r="AD1" s="323"/>
      <c r="AG1" s="172" t="s">
        <v>762</v>
      </c>
      <c r="AH1" s="172" t="s">
        <v>763</v>
      </c>
      <c r="AU1" s="310" t="s">
        <v>691</v>
      </c>
      <c r="AV1" s="310" t="s">
        <v>692</v>
      </c>
      <c r="AW1" s="310" t="s">
        <v>693</v>
      </c>
      <c r="AX1" s="310" t="s">
        <v>694</v>
      </c>
      <c r="AY1" s="310" t="s">
        <v>695</v>
      </c>
      <c r="AZ1" s="310" t="s">
        <v>696</v>
      </c>
      <c r="BA1" s="310" t="s">
        <v>697</v>
      </c>
      <c r="BB1" s="310" t="s">
        <v>698</v>
      </c>
    </row>
    <row r="2" spans="3:54" ht="24.6" thickBot="1" x14ac:dyDescent="0.35">
      <c r="O2">
        <f>((208.17)-((2139.8126*1000*(11/900)))/(0.0206*((143+135)/2-50)))</f>
        <v>-14056.728609747528</v>
      </c>
      <c r="AA2" s="284" t="s">
        <v>553</v>
      </c>
      <c r="AB2" s="231" t="s">
        <v>651</v>
      </c>
      <c r="AC2" s="231" t="s">
        <v>652</v>
      </c>
      <c r="AD2" s="234" t="s">
        <v>653</v>
      </c>
      <c r="AG2" s="285">
        <v>0.01</v>
      </c>
      <c r="AH2" s="286">
        <v>1.7100000000000001E-2</v>
      </c>
      <c r="AJ2">
        <v>17.510000000000002</v>
      </c>
      <c r="AK2">
        <v>1.0000000000000001E-5</v>
      </c>
      <c r="AT2" s="310"/>
      <c r="AU2" s="311">
        <v>64.071298999999996</v>
      </c>
      <c r="AV2" s="311">
        <v>63.191581999999997</v>
      </c>
      <c r="AW2" s="311">
        <v>65.072293000000002</v>
      </c>
      <c r="AX2" s="311">
        <v>63.603147</v>
      </c>
      <c r="AY2" s="311">
        <v>61.902112000000002</v>
      </c>
      <c r="AZ2" s="311">
        <v>59.947107000000003</v>
      </c>
      <c r="BA2" s="311">
        <v>57.841977999999997</v>
      </c>
      <c r="BB2" s="311">
        <v>55.638610999999997</v>
      </c>
    </row>
    <row r="3" spans="3:54" ht="17.399999999999999" thickBot="1" x14ac:dyDescent="0.35">
      <c r="AA3" s="197">
        <v>-190</v>
      </c>
      <c r="AB3" s="194">
        <v>7.82</v>
      </c>
      <c r="AC3" s="194">
        <v>6.7200000000000003E-3</v>
      </c>
      <c r="AD3" s="198">
        <v>4.5199999999999997E-3</v>
      </c>
      <c r="AG3" s="285">
        <v>5</v>
      </c>
      <c r="AH3" s="286">
        <v>1.7299999999999999E-2</v>
      </c>
      <c r="AJ3">
        <v>24.1</v>
      </c>
      <c r="AK3">
        <v>1.0000000000000001E-5</v>
      </c>
      <c r="AT3" s="310"/>
      <c r="AU3" s="311">
        <v>50.644052000000002</v>
      </c>
      <c r="AV3" s="311">
        <v>49.601967000000002</v>
      </c>
      <c r="AW3" s="311">
        <v>48.530515999999999</v>
      </c>
      <c r="AX3" s="311">
        <v>47.458325000000002</v>
      </c>
      <c r="AY3" s="311">
        <v>46.394267999999997</v>
      </c>
      <c r="AZ3" s="311">
        <v>45.384731000000002</v>
      </c>
      <c r="BA3" s="311">
        <v>48.651938999999999</v>
      </c>
      <c r="BB3" s="311">
        <v>46.911582000000003</v>
      </c>
    </row>
    <row r="4" spans="3:54" ht="17.399999999999999" thickBot="1" x14ac:dyDescent="0.35">
      <c r="AA4" s="197">
        <v>-150</v>
      </c>
      <c r="AB4" s="194">
        <v>11.69</v>
      </c>
      <c r="AC4" s="194">
        <v>1.005E-2</v>
      </c>
      <c r="AD4" s="198">
        <v>6.7499999999999999E-3</v>
      </c>
      <c r="AG4" s="287">
        <v>10</v>
      </c>
      <c r="AH4" s="287">
        <v>1.7600000000000001E-2</v>
      </c>
      <c r="AJ4">
        <v>28.98</v>
      </c>
      <c r="AK4">
        <v>1.0000000000000001E-5</v>
      </c>
      <c r="AT4" s="310"/>
      <c r="AU4" s="311">
        <v>51.063628999999999</v>
      </c>
      <c r="AV4" s="311">
        <v>49.990420999999998</v>
      </c>
      <c r="AW4" s="311">
        <v>48.863253999999998</v>
      </c>
      <c r="AX4" s="311">
        <v>47.754989999999999</v>
      </c>
      <c r="AY4" s="311">
        <v>46.710745000000003</v>
      </c>
      <c r="AZ4" s="311">
        <v>45.667256000000002</v>
      </c>
      <c r="BA4" s="311">
        <v>48.965001000000001</v>
      </c>
      <c r="BB4" s="311">
        <v>47.180750000000003</v>
      </c>
    </row>
    <row r="5" spans="3:54" ht="17.399999999999999" thickBot="1" x14ac:dyDescent="0.35">
      <c r="L5">
        <f>3.14159265359*0.018^2</f>
        <v>1.0178760197631599E-3</v>
      </c>
      <c r="AA5" s="197">
        <v>-100</v>
      </c>
      <c r="AB5" s="194">
        <v>16.2</v>
      </c>
      <c r="AC5" s="194">
        <v>1.393E-2</v>
      </c>
      <c r="AD5" s="198">
        <v>9.3600000000000003E-3</v>
      </c>
      <c r="AG5" s="287">
        <v>15</v>
      </c>
      <c r="AH5" s="287">
        <v>1.7899999999999999E-2</v>
      </c>
      <c r="AJ5">
        <v>32.9</v>
      </c>
      <c r="AK5">
        <v>1.0000000000000001E-5</v>
      </c>
      <c r="AT5" s="310"/>
      <c r="AU5" s="311">
        <v>51.620002999999997</v>
      </c>
      <c r="AV5" s="311">
        <v>50.379812000000001</v>
      </c>
      <c r="AW5" s="311">
        <v>49.141359000000001</v>
      </c>
      <c r="AX5" s="311">
        <v>47.962477999999997</v>
      </c>
      <c r="AY5" s="311">
        <v>46.855583000000003</v>
      </c>
      <c r="AZ5" s="311">
        <v>45.885469000000001</v>
      </c>
      <c r="BA5" s="311">
        <v>44.990645000000001</v>
      </c>
      <c r="BB5" s="311">
        <v>47.623396</v>
      </c>
    </row>
    <row r="6" spans="3:54" ht="17.399999999999999" thickBot="1" x14ac:dyDescent="0.35">
      <c r="AA6" s="197">
        <v>-75</v>
      </c>
      <c r="AB6" s="194">
        <v>18.34</v>
      </c>
      <c r="AC6" s="194">
        <v>1.5769999999999999E-2</v>
      </c>
      <c r="AD6" s="198">
        <v>1.06E-2</v>
      </c>
      <c r="AG6" s="285">
        <v>20</v>
      </c>
      <c r="AH6" s="287">
        <v>1.8200000000000001E-2</v>
      </c>
      <c r="AJ6">
        <v>36.18</v>
      </c>
      <c r="AK6">
        <v>1.0000000000000001E-5</v>
      </c>
      <c r="AT6" s="310"/>
      <c r="AU6" s="311">
        <v>51.462189000000002</v>
      </c>
      <c r="AV6" s="311">
        <v>50.578462999999999</v>
      </c>
      <c r="AW6" s="311">
        <v>49.518563</v>
      </c>
      <c r="AX6" s="311">
        <v>48.377257</v>
      </c>
      <c r="AY6" s="311">
        <v>47.21734</v>
      </c>
      <c r="AZ6" s="311">
        <v>46.096268000000002</v>
      </c>
      <c r="BA6" s="311">
        <v>49.260316000000003</v>
      </c>
      <c r="BB6" s="311">
        <v>47.263959999999997</v>
      </c>
    </row>
    <row r="7" spans="3:54" ht="17.399999999999999" thickBot="1" x14ac:dyDescent="0.35">
      <c r="AA7" s="197">
        <v>-50</v>
      </c>
      <c r="AB7" s="194">
        <v>20.41</v>
      </c>
      <c r="AC7" s="194">
        <v>1.755E-2</v>
      </c>
      <c r="AD7" s="198">
        <v>1.179E-2</v>
      </c>
      <c r="AG7" s="287">
        <v>25</v>
      </c>
      <c r="AH7" s="287">
        <v>1.8599999999999998E-2</v>
      </c>
      <c r="AJ7">
        <v>39.020000000000003</v>
      </c>
      <c r="AK7">
        <v>1.0000000000000001E-5</v>
      </c>
      <c r="AT7" s="310"/>
      <c r="AU7" s="311">
        <v>51.571835999999998</v>
      </c>
      <c r="AV7" s="311">
        <v>50.603969999999997</v>
      </c>
      <c r="AW7" s="311">
        <v>49.505842000000001</v>
      </c>
      <c r="AX7" s="311">
        <v>48.363188999999998</v>
      </c>
      <c r="AY7" s="311">
        <v>47.229599999999998</v>
      </c>
      <c r="AZ7" s="311">
        <v>46.120199</v>
      </c>
      <c r="BA7" s="311">
        <v>49.360908000000002</v>
      </c>
      <c r="BB7" s="311">
        <v>47.246712000000002</v>
      </c>
    </row>
    <row r="8" spans="3:54" ht="17.399999999999999" thickBot="1" x14ac:dyDescent="0.35">
      <c r="AA8" s="197">
        <v>-25</v>
      </c>
      <c r="AB8" s="194">
        <v>22.41</v>
      </c>
      <c r="AC8" s="194">
        <v>1.9269999999999999E-2</v>
      </c>
      <c r="AD8" s="198">
        <v>1.295E-2</v>
      </c>
      <c r="AG8" s="287">
        <v>30</v>
      </c>
      <c r="AH8" s="287">
        <v>1.89E-2</v>
      </c>
      <c r="AJ8">
        <v>41.53</v>
      </c>
      <c r="AK8">
        <v>1.0000000000000001E-5</v>
      </c>
      <c r="AT8" s="310"/>
      <c r="AU8" s="311">
        <v>53.327804</v>
      </c>
      <c r="AV8" s="311">
        <v>51.969256000000001</v>
      </c>
      <c r="AW8" s="311">
        <v>50.671717999999998</v>
      </c>
      <c r="AX8" s="311">
        <v>49.485660000000003</v>
      </c>
      <c r="AY8" s="311">
        <v>48.455669999999998</v>
      </c>
      <c r="AZ8" s="311">
        <v>47.487614000000001</v>
      </c>
      <c r="BA8" s="311">
        <v>46.676003000000001</v>
      </c>
      <c r="BB8" s="311">
        <v>49.356659000000001</v>
      </c>
    </row>
    <row r="9" spans="3:54" ht="17.399999999999999" thickBot="1" x14ac:dyDescent="0.35">
      <c r="AA9" s="197">
        <v>-15</v>
      </c>
      <c r="AB9" s="194">
        <v>23.2</v>
      </c>
      <c r="AC9" s="194">
        <v>1.9949999999999999E-2</v>
      </c>
      <c r="AD9" s="198">
        <v>1.34E-2</v>
      </c>
      <c r="AG9" s="285">
        <v>35</v>
      </c>
      <c r="AH9" s="287">
        <v>1.9199999999999998E-2</v>
      </c>
      <c r="AJ9">
        <v>43.79</v>
      </c>
      <c r="AK9">
        <v>1.0000000000000001E-5</v>
      </c>
      <c r="AT9" s="310"/>
      <c r="AU9" s="311">
        <v>53.561711000000003</v>
      </c>
      <c r="AV9" s="311">
        <v>52.226632000000002</v>
      </c>
      <c r="AW9" s="311">
        <v>50.891292</v>
      </c>
      <c r="AX9" s="311">
        <v>49.690548999999997</v>
      </c>
      <c r="AY9" s="311">
        <v>48.622056999999998</v>
      </c>
      <c r="AZ9" s="311">
        <v>47.731704000000001</v>
      </c>
      <c r="BA9" s="311">
        <v>46.912934</v>
      </c>
      <c r="BB9" s="311">
        <v>49.657752000000002</v>
      </c>
    </row>
    <row r="10" spans="3:54" ht="17.399999999999999" thickBot="1" x14ac:dyDescent="0.35">
      <c r="C10" s="29" t="s">
        <v>45</v>
      </c>
      <c r="D10" s="29">
        <f>0.0185*3</f>
        <v>5.5499999999999994E-2</v>
      </c>
      <c r="E10" s="29">
        <f t="shared" ref="E10:J10" si="0">0.02*3</f>
        <v>0.06</v>
      </c>
      <c r="F10" s="29">
        <f t="shared" si="0"/>
        <v>0.06</v>
      </c>
      <c r="G10" s="29">
        <f t="shared" si="0"/>
        <v>0.06</v>
      </c>
      <c r="H10" s="29">
        <f t="shared" si="0"/>
        <v>0.06</v>
      </c>
      <c r="I10" s="29">
        <f t="shared" si="0"/>
        <v>0.06</v>
      </c>
      <c r="J10" s="29">
        <f t="shared" si="0"/>
        <v>0.06</v>
      </c>
      <c r="K10" s="29">
        <f>0.0185*3</f>
        <v>5.5499999999999994E-2</v>
      </c>
      <c r="N10" s="216" t="s">
        <v>573</v>
      </c>
      <c r="AA10" s="197">
        <v>-10</v>
      </c>
      <c r="AB10" s="194">
        <v>23.59</v>
      </c>
      <c r="AC10" s="194">
        <v>2.0279999999999999E-2</v>
      </c>
      <c r="AD10" s="198">
        <v>1.363E-2</v>
      </c>
      <c r="AG10" s="287">
        <v>40</v>
      </c>
      <c r="AH10" s="287">
        <v>1.9599999999999999E-2</v>
      </c>
      <c r="AJ10">
        <v>45.83</v>
      </c>
      <c r="AK10">
        <v>1.0000000000000001E-5</v>
      </c>
      <c r="AT10" s="310"/>
      <c r="AU10" s="311">
        <v>53.753197</v>
      </c>
      <c r="AV10" s="311">
        <v>52.381366</v>
      </c>
      <c r="AW10" s="311">
        <v>50.982264000000001</v>
      </c>
      <c r="AX10" s="311">
        <v>49.597332999999999</v>
      </c>
      <c r="AY10" s="311">
        <v>48.289118000000002</v>
      </c>
      <c r="AZ10" s="311">
        <v>47.059486999999997</v>
      </c>
      <c r="BA10" s="311">
        <v>46.068249999999999</v>
      </c>
      <c r="BB10" s="311">
        <v>48.868971000000002</v>
      </c>
    </row>
    <row r="11" spans="3:54" ht="18.600000000000001" thickBot="1" x14ac:dyDescent="0.4">
      <c r="D11" s="209" t="s">
        <v>572</v>
      </c>
      <c r="L11" s="210" t="s">
        <v>575</v>
      </c>
      <c r="M11" s="337" t="s">
        <v>577</v>
      </c>
      <c r="N11" s="337" t="s">
        <v>578</v>
      </c>
      <c r="O11" s="337" t="s">
        <v>579</v>
      </c>
      <c r="P11" s="337" t="s">
        <v>580</v>
      </c>
      <c r="Q11" s="337"/>
      <c r="R11" s="337" t="s">
        <v>582</v>
      </c>
      <c r="S11" s="337"/>
      <c r="T11" s="337" t="s">
        <v>584</v>
      </c>
      <c r="U11" s="337"/>
      <c r="V11" s="337" t="s">
        <v>585</v>
      </c>
      <c r="W11" s="337" t="s">
        <v>586</v>
      </c>
      <c r="AA11" s="197">
        <v>-5</v>
      </c>
      <c r="AB11" s="194">
        <v>23.97</v>
      </c>
      <c r="AC11" s="194">
        <v>2.061E-2</v>
      </c>
      <c r="AD11" s="198">
        <v>1.3849999999999999E-2</v>
      </c>
      <c r="AG11" s="287">
        <v>45</v>
      </c>
      <c r="AH11" s="287">
        <v>0.02</v>
      </c>
      <c r="AJ11">
        <v>60.09</v>
      </c>
      <c r="AK11">
        <v>1.1E-5</v>
      </c>
      <c r="AT11" s="310"/>
      <c r="AU11" s="311">
        <v>53.578265999999999</v>
      </c>
      <c r="AV11" s="311">
        <v>52.173175000000001</v>
      </c>
      <c r="AW11" s="311">
        <v>50.733302999999999</v>
      </c>
      <c r="AX11" s="311">
        <v>49.294803999999999</v>
      </c>
      <c r="AY11" s="311">
        <v>47.920119</v>
      </c>
      <c r="AZ11" s="311">
        <v>46.615600000000001</v>
      </c>
      <c r="BA11" s="311">
        <v>45.541488000000001</v>
      </c>
      <c r="BB11" s="311">
        <v>44.65</v>
      </c>
    </row>
    <row r="12" spans="3:54" ht="20.399999999999999" customHeight="1" thickBot="1" x14ac:dyDescent="0.35">
      <c r="C12" s="196" t="s">
        <v>533</v>
      </c>
      <c r="D12" s="321" t="s">
        <v>551</v>
      </c>
      <c r="E12" s="322"/>
      <c r="F12" s="322"/>
      <c r="G12" s="326"/>
      <c r="H12" s="321" t="s">
        <v>552</v>
      </c>
      <c r="I12" s="323"/>
      <c r="L12" s="210" t="s">
        <v>576</v>
      </c>
      <c r="M12" s="337"/>
      <c r="N12" s="337"/>
      <c r="O12" s="337"/>
      <c r="P12" s="337" t="s">
        <v>581</v>
      </c>
      <c r="Q12" s="337"/>
      <c r="R12" s="337" t="s">
        <v>583</v>
      </c>
      <c r="S12" s="337"/>
      <c r="T12" s="337"/>
      <c r="U12" s="337"/>
      <c r="V12" s="337"/>
      <c r="W12" s="337"/>
      <c r="AA12" s="197">
        <v>0</v>
      </c>
      <c r="AB12" s="194">
        <v>24.36</v>
      </c>
      <c r="AC12" s="194">
        <v>2.094E-2</v>
      </c>
      <c r="AD12" s="198">
        <v>1.4069999999999999E-2</v>
      </c>
      <c r="AG12" s="285">
        <v>50</v>
      </c>
      <c r="AH12" s="287">
        <v>2.0400000000000001E-2</v>
      </c>
      <c r="AJ12">
        <v>69.13</v>
      </c>
      <c r="AK12">
        <v>1.1E-5</v>
      </c>
      <c r="AT12" s="310"/>
      <c r="AU12" s="311">
        <v>52.898952999999999</v>
      </c>
      <c r="AV12" s="311">
        <v>51.414696999999997</v>
      </c>
      <c r="AW12" s="311">
        <v>49.912308000000003</v>
      </c>
      <c r="AX12" s="311">
        <v>48.499558999999998</v>
      </c>
      <c r="AY12" s="311">
        <v>47.17953</v>
      </c>
      <c r="AZ12" s="311">
        <v>45.918725000000002</v>
      </c>
      <c r="BA12" s="311">
        <v>44.768357000000002</v>
      </c>
      <c r="BB12" s="311">
        <v>43.862236000000003</v>
      </c>
    </row>
    <row r="13" spans="3:54" ht="17.399999999999999" thickBot="1" x14ac:dyDescent="0.35">
      <c r="C13" s="331" t="s">
        <v>553</v>
      </c>
      <c r="D13" s="192" t="s">
        <v>554</v>
      </c>
      <c r="E13" s="192" t="s">
        <v>556</v>
      </c>
      <c r="F13" s="333" t="s">
        <v>558</v>
      </c>
      <c r="G13" s="333" t="s">
        <v>559</v>
      </c>
      <c r="H13" s="192" t="s">
        <v>560</v>
      </c>
      <c r="I13" s="335" t="s">
        <v>562</v>
      </c>
      <c r="L13" s="211" t="s">
        <v>587</v>
      </c>
      <c r="M13" s="210" t="s">
        <v>588</v>
      </c>
      <c r="N13" s="210" t="s">
        <v>589</v>
      </c>
      <c r="O13" s="210" t="s">
        <v>590</v>
      </c>
      <c r="P13" s="210" t="s">
        <v>591</v>
      </c>
      <c r="Q13" s="210" t="s">
        <v>592</v>
      </c>
      <c r="R13" s="210" t="s">
        <v>591</v>
      </c>
      <c r="S13" s="210" t="s">
        <v>592</v>
      </c>
      <c r="T13" s="210" t="s">
        <v>591</v>
      </c>
      <c r="U13" s="210" t="s">
        <v>592</v>
      </c>
      <c r="V13" s="210" t="s">
        <v>593</v>
      </c>
      <c r="W13" s="210" t="s">
        <v>594</v>
      </c>
      <c r="AA13" s="197">
        <v>5</v>
      </c>
      <c r="AB13" s="194">
        <v>24.74</v>
      </c>
      <c r="AC13" s="194">
        <v>2.1270000000000001E-2</v>
      </c>
      <c r="AD13" s="198">
        <v>1.4290000000000001E-2</v>
      </c>
      <c r="AG13" s="287">
        <v>55</v>
      </c>
      <c r="AH13" s="287">
        <v>2.0799999999999999E-2</v>
      </c>
      <c r="AJ13">
        <v>75.89</v>
      </c>
      <c r="AK13">
        <v>1.1E-5</v>
      </c>
      <c r="AT13" s="310"/>
      <c r="AU13" s="311">
        <v>52.443702000000002</v>
      </c>
      <c r="AV13" s="311">
        <v>50.950457</v>
      </c>
      <c r="AW13" s="311">
        <v>49.382187000000002</v>
      </c>
      <c r="AX13" s="311">
        <v>47.875224000000003</v>
      </c>
      <c r="AY13" s="311">
        <v>46.475816999999999</v>
      </c>
      <c r="AZ13" s="311">
        <v>45.209504000000003</v>
      </c>
      <c r="BA13" s="311">
        <v>44.006053999999999</v>
      </c>
      <c r="BB13" s="311">
        <v>42.975307999999998</v>
      </c>
    </row>
    <row r="14" spans="3:54" ht="28.2" thickBot="1" x14ac:dyDescent="0.35">
      <c r="C14" s="332"/>
      <c r="D14" s="193" t="s">
        <v>555</v>
      </c>
      <c r="E14" s="193" t="s">
        <v>557</v>
      </c>
      <c r="F14" s="334"/>
      <c r="G14" s="334"/>
      <c r="H14" s="193" t="s">
        <v>561</v>
      </c>
      <c r="I14" s="336"/>
      <c r="L14" s="212">
        <v>0.02</v>
      </c>
      <c r="M14" s="213">
        <v>17.510000000000002</v>
      </c>
      <c r="N14" s="213">
        <v>67.006</v>
      </c>
      <c r="O14" s="213">
        <v>1.4999999999999999E-2</v>
      </c>
      <c r="P14" s="213">
        <v>73.45</v>
      </c>
      <c r="Q14" s="214">
        <v>17.54</v>
      </c>
      <c r="R14" s="213">
        <v>2533.64</v>
      </c>
      <c r="S14" s="215">
        <v>605.15</v>
      </c>
      <c r="T14" s="213">
        <v>2460.19</v>
      </c>
      <c r="U14" s="214">
        <v>587.61</v>
      </c>
      <c r="V14" s="213">
        <v>1.8644000000000001</v>
      </c>
      <c r="W14" s="213">
        <v>1.0000000000000001E-5</v>
      </c>
      <c r="AA14" s="197">
        <v>10</v>
      </c>
      <c r="AB14" s="194">
        <v>25.12</v>
      </c>
      <c r="AC14" s="194">
        <v>2.1600000000000001E-2</v>
      </c>
      <c r="AD14" s="198">
        <v>1.451E-2</v>
      </c>
      <c r="AG14" s="287">
        <v>60</v>
      </c>
      <c r="AH14" s="287">
        <v>2.12E-2</v>
      </c>
      <c r="AJ14">
        <v>81.349999999999994</v>
      </c>
      <c r="AK14">
        <v>1.2E-5</v>
      </c>
      <c r="AT14" s="310"/>
      <c r="AU14" s="311">
        <v>53.019396999999998</v>
      </c>
      <c r="AV14" s="311">
        <v>51.379232999999999</v>
      </c>
      <c r="AW14" s="311">
        <v>49.820568000000002</v>
      </c>
      <c r="AX14" s="311">
        <v>48.272469999999998</v>
      </c>
      <c r="AY14" s="311">
        <v>46.844371000000002</v>
      </c>
      <c r="AZ14" s="311">
        <v>45.523463999999997</v>
      </c>
      <c r="BA14" s="311">
        <v>44.323967000000003</v>
      </c>
      <c r="BB14" s="311">
        <v>43.282530999999999</v>
      </c>
    </row>
    <row r="15" spans="3:54" ht="17.399999999999999" thickBot="1" x14ac:dyDescent="0.35">
      <c r="C15" s="197">
        <v>-75</v>
      </c>
      <c r="D15" s="194">
        <v>13.18</v>
      </c>
      <c r="E15" s="194">
        <v>1.3180000000000001E-2</v>
      </c>
      <c r="F15" s="194">
        <v>0.27529999999999999</v>
      </c>
      <c r="G15" s="194">
        <v>3.1879999999999999E-2</v>
      </c>
      <c r="H15" s="194">
        <v>7.4</v>
      </c>
      <c r="I15" s="198">
        <v>0.79600000000000004</v>
      </c>
      <c r="L15" s="212">
        <v>0.03</v>
      </c>
      <c r="M15" s="213">
        <v>24.1</v>
      </c>
      <c r="N15" s="213">
        <v>45.667000000000002</v>
      </c>
      <c r="O15" s="213">
        <v>2.1999999999999999E-2</v>
      </c>
      <c r="P15" s="213">
        <v>101</v>
      </c>
      <c r="Q15" s="214">
        <v>24.12</v>
      </c>
      <c r="R15" s="213">
        <v>2545.64</v>
      </c>
      <c r="S15" s="215">
        <v>608.02</v>
      </c>
      <c r="T15" s="213">
        <v>2444.65</v>
      </c>
      <c r="U15" s="214">
        <v>583.89</v>
      </c>
      <c r="V15" s="213">
        <v>1.8694</v>
      </c>
      <c r="W15" s="213">
        <v>1.0000000000000001E-5</v>
      </c>
      <c r="AA15" s="197">
        <v>15</v>
      </c>
      <c r="AB15" s="194">
        <v>25.5</v>
      </c>
      <c r="AC15" s="194">
        <v>2.1919999999999999E-2</v>
      </c>
      <c r="AD15" s="198">
        <v>1.473E-2</v>
      </c>
      <c r="AG15" s="285">
        <v>65</v>
      </c>
      <c r="AH15" s="287">
        <v>2.1600000000000001E-2</v>
      </c>
      <c r="AJ15">
        <v>85.95</v>
      </c>
      <c r="AK15">
        <v>1.2E-5</v>
      </c>
      <c r="AT15" s="310"/>
      <c r="AU15" s="311">
        <v>48.972188000000003</v>
      </c>
      <c r="AV15" s="311">
        <v>47.862591000000002</v>
      </c>
      <c r="AW15" s="311">
        <v>46.792842999999998</v>
      </c>
      <c r="AX15" s="311">
        <v>45.760393000000001</v>
      </c>
      <c r="AY15" s="311">
        <v>44.770468000000001</v>
      </c>
      <c r="AZ15" s="311">
        <v>43.864198000000002</v>
      </c>
      <c r="BA15" s="311">
        <v>46.418359000000002</v>
      </c>
      <c r="BB15" s="311">
        <v>44.809372000000003</v>
      </c>
    </row>
    <row r="16" spans="3:54" ht="17.399999999999999" thickBot="1" x14ac:dyDescent="0.35">
      <c r="C16" s="197">
        <v>-50</v>
      </c>
      <c r="D16" s="194">
        <v>14.56</v>
      </c>
      <c r="E16" s="194">
        <v>1.456E-2</v>
      </c>
      <c r="F16" s="194">
        <v>0.30409999999999998</v>
      </c>
      <c r="G16" s="194">
        <v>3.5229999999999997E-2</v>
      </c>
      <c r="H16" s="194">
        <v>9.2200000000000006</v>
      </c>
      <c r="I16" s="198">
        <v>0.99199999999999999</v>
      </c>
      <c r="L16" s="212">
        <v>0.04</v>
      </c>
      <c r="M16" s="213">
        <v>28.98</v>
      </c>
      <c r="N16" s="213">
        <v>34.802</v>
      </c>
      <c r="O16" s="213">
        <v>2.9000000000000001E-2</v>
      </c>
      <c r="P16" s="213">
        <v>121.41</v>
      </c>
      <c r="Q16" s="214">
        <v>29</v>
      </c>
      <c r="R16" s="213">
        <v>2554.5100000000002</v>
      </c>
      <c r="S16" s="215">
        <v>610.13</v>
      </c>
      <c r="T16" s="213">
        <v>2433.1</v>
      </c>
      <c r="U16" s="214">
        <v>581.14</v>
      </c>
      <c r="V16" s="213">
        <v>1.8735999999999999</v>
      </c>
      <c r="W16" s="213">
        <v>1.0000000000000001E-5</v>
      </c>
      <c r="AA16" s="197">
        <v>20</v>
      </c>
      <c r="AB16" s="194">
        <v>25.87</v>
      </c>
      <c r="AC16" s="194">
        <v>2.2249999999999999E-2</v>
      </c>
      <c r="AD16" s="198">
        <v>1.495E-2</v>
      </c>
      <c r="AG16" s="287">
        <v>70</v>
      </c>
      <c r="AH16" s="287">
        <v>2.2100000000000002E-2</v>
      </c>
      <c r="AJ16">
        <v>89.96</v>
      </c>
      <c r="AK16">
        <v>1.2E-5</v>
      </c>
      <c r="AT16" s="310"/>
      <c r="AU16" s="311">
        <v>48.936514000000003</v>
      </c>
      <c r="AV16" s="311">
        <v>47.767543000000003</v>
      </c>
      <c r="AW16" s="311">
        <v>46.630583999999999</v>
      </c>
      <c r="AX16" s="311">
        <v>45.549044000000002</v>
      </c>
      <c r="AY16" s="311">
        <v>44.563237000000001</v>
      </c>
      <c r="AZ16" s="311">
        <v>43.693334</v>
      </c>
      <c r="BA16" s="311">
        <v>46.485982999999997</v>
      </c>
      <c r="BB16" s="311">
        <v>44.908833000000001</v>
      </c>
    </row>
    <row r="17" spans="3:54" ht="17.399999999999999" thickBot="1" x14ac:dyDescent="0.35">
      <c r="C17" s="197">
        <v>-25</v>
      </c>
      <c r="D17" s="194">
        <v>15.88</v>
      </c>
      <c r="E17" s="194">
        <v>1.5879999999999998E-2</v>
      </c>
      <c r="F17" s="194">
        <v>0.33169999999999999</v>
      </c>
      <c r="G17" s="194">
        <v>3.8420000000000003E-2</v>
      </c>
      <c r="H17" s="194">
        <v>11.18</v>
      </c>
      <c r="I17" s="198">
        <v>1.2030000000000001</v>
      </c>
      <c r="L17" s="212">
        <v>0.05</v>
      </c>
      <c r="M17" s="213">
        <v>32.9</v>
      </c>
      <c r="N17" s="213">
        <v>28.193999999999999</v>
      </c>
      <c r="O17" s="213">
        <v>3.5000000000000003E-2</v>
      </c>
      <c r="P17" s="213">
        <v>137.77000000000001</v>
      </c>
      <c r="Q17" s="214">
        <v>32.909999999999997</v>
      </c>
      <c r="R17" s="213">
        <v>2561.59</v>
      </c>
      <c r="S17" s="215">
        <v>611.83000000000004</v>
      </c>
      <c r="T17" s="213">
        <v>2423.8200000000002</v>
      </c>
      <c r="U17" s="214">
        <v>578.91999999999996</v>
      </c>
      <c r="V17" s="213">
        <v>1.8774</v>
      </c>
      <c r="W17" s="213">
        <v>1.0000000000000001E-5</v>
      </c>
      <c r="AA17" s="197">
        <v>25</v>
      </c>
      <c r="AB17" s="194">
        <v>26.24</v>
      </c>
      <c r="AC17" s="194">
        <v>2.257E-2</v>
      </c>
      <c r="AD17" s="198">
        <v>1.516E-2</v>
      </c>
      <c r="AG17" s="287">
        <v>75</v>
      </c>
      <c r="AH17" s="287">
        <v>2.2499999999999999E-2</v>
      </c>
      <c r="AJ17">
        <v>93.51</v>
      </c>
      <c r="AK17">
        <v>1.2E-5</v>
      </c>
      <c r="AT17" s="310"/>
      <c r="AU17" s="311">
        <v>48.205269999999999</v>
      </c>
      <c r="AV17" s="311">
        <v>47.059739</v>
      </c>
      <c r="AW17" s="311">
        <v>45.910795999999998</v>
      </c>
      <c r="AX17" s="311">
        <v>44.795892000000002</v>
      </c>
      <c r="AY17" s="311">
        <v>43.771025999999999</v>
      </c>
      <c r="AZ17" s="311">
        <v>42.820580999999997</v>
      </c>
      <c r="BA17" s="311">
        <v>41.967773000000001</v>
      </c>
      <c r="BB17" s="311">
        <v>45.013722999999999</v>
      </c>
    </row>
    <row r="18" spans="3:54" ht="17.399999999999999" thickBot="1" x14ac:dyDescent="0.35">
      <c r="C18" s="199">
        <v>-15</v>
      </c>
      <c r="D18" s="195">
        <v>16.399999999999999</v>
      </c>
      <c r="E18" s="195">
        <v>1.6400000000000001E-2</v>
      </c>
      <c r="F18" s="195">
        <v>0.34250000000000003</v>
      </c>
      <c r="G18" s="195">
        <v>3.9660000000000001E-2</v>
      </c>
      <c r="H18" s="195">
        <v>12.01</v>
      </c>
      <c r="I18" s="200">
        <v>1.292</v>
      </c>
      <c r="L18" s="212">
        <v>0.06</v>
      </c>
      <c r="M18" s="213">
        <v>36.18</v>
      </c>
      <c r="N18" s="213">
        <v>23.741</v>
      </c>
      <c r="O18" s="213">
        <v>4.2000000000000003E-2</v>
      </c>
      <c r="P18" s="213">
        <v>151.5</v>
      </c>
      <c r="Q18" s="214">
        <v>36.19</v>
      </c>
      <c r="R18" s="213">
        <v>2567.5100000000002</v>
      </c>
      <c r="S18" s="215">
        <v>613.24</v>
      </c>
      <c r="T18" s="213">
        <v>2416.0100000000002</v>
      </c>
      <c r="U18" s="214">
        <v>577.04999999999995</v>
      </c>
      <c r="V18" s="213">
        <v>1.8808</v>
      </c>
      <c r="W18" s="213">
        <v>1.0000000000000001E-5</v>
      </c>
      <c r="AA18" s="197">
        <v>30</v>
      </c>
      <c r="AB18" s="194">
        <v>26.62</v>
      </c>
      <c r="AC18" s="194">
        <v>2.2890000000000001E-2</v>
      </c>
      <c r="AD18" s="198">
        <v>1.538E-2</v>
      </c>
      <c r="AG18" s="285">
        <v>80</v>
      </c>
      <c r="AH18" s="287">
        <v>2.3E-2</v>
      </c>
      <c r="AJ18">
        <v>96.71</v>
      </c>
      <c r="AK18">
        <v>1.2E-5</v>
      </c>
      <c r="AT18" s="310"/>
      <c r="AU18" s="311">
        <v>48.731920000000002</v>
      </c>
      <c r="AV18" s="311">
        <v>47.547989999999999</v>
      </c>
      <c r="AW18" s="311">
        <v>46.416226999999999</v>
      </c>
      <c r="AX18" s="311">
        <v>45.307867000000002</v>
      </c>
      <c r="AY18" s="311">
        <v>44.266004000000002</v>
      </c>
      <c r="AZ18" s="311">
        <v>43.284669999999998</v>
      </c>
      <c r="BA18" s="311">
        <v>42.396979000000002</v>
      </c>
      <c r="BB18" s="311">
        <v>45.773246999999998</v>
      </c>
    </row>
    <row r="19" spans="3:54" ht="17.399999999999999" thickBot="1" x14ac:dyDescent="0.35">
      <c r="C19" s="197">
        <v>-10</v>
      </c>
      <c r="D19" s="194">
        <v>16.649999999999999</v>
      </c>
      <c r="E19" s="194">
        <v>1.6650000000000002E-2</v>
      </c>
      <c r="F19" s="194">
        <v>0.34770000000000001</v>
      </c>
      <c r="G19" s="194">
        <v>4.0280000000000003E-2</v>
      </c>
      <c r="H19" s="194">
        <v>12.43</v>
      </c>
      <c r="I19" s="198">
        <v>1.3380000000000001</v>
      </c>
      <c r="L19" s="212">
        <v>7.0000000000000007E-2</v>
      </c>
      <c r="M19" s="213">
        <v>39.020000000000003</v>
      </c>
      <c r="N19" s="213">
        <v>20.530999999999999</v>
      </c>
      <c r="O19" s="213">
        <v>4.9000000000000002E-2</v>
      </c>
      <c r="P19" s="213">
        <v>163.38</v>
      </c>
      <c r="Q19" s="214">
        <v>39.020000000000003</v>
      </c>
      <c r="R19" s="213">
        <v>2572.62</v>
      </c>
      <c r="S19" s="215">
        <v>614.46</v>
      </c>
      <c r="T19" s="213">
        <v>2409.2399999999998</v>
      </c>
      <c r="U19" s="214">
        <v>575.44000000000005</v>
      </c>
      <c r="V19" s="213">
        <v>1.8839999999999999</v>
      </c>
      <c r="W19" s="213">
        <v>1.0000000000000001E-5</v>
      </c>
      <c r="AA19" s="197">
        <v>40</v>
      </c>
      <c r="AB19" s="194">
        <v>27.35</v>
      </c>
      <c r="AC19" s="194">
        <v>2.3519999999999999E-2</v>
      </c>
      <c r="AD19" s="198">
        <v>1.5800000000000002E-2</v>
      </c>
      <c r="AG19" s="287">
        <v>85</v>
      </c>
      <c r="AH19" s="287">
        <v>2.35E-2</v>
      </c>
      <c r="AJ19">
        <v>99.63</v>
      </c>
      <c r="AK19">
        <v>1.2E-5</v>
      </c>
      <c r="AT19" s="310"/>
      <c r="AU19" s="311">
        <v>43.723272999999999</v>
      </c>
      <c r="AV19" s="311">
        <v>42.554816000000002</v>
      </c>
      <c r="AW19" s="311">
        <v>41.402334000000003</v>
      </c>
      <c r="AX19" s="311">
        <v>40.261167</v>
      </c>
      <c r="AY19" s="311">
        <v>39.131504999999997</v>
      </c>
      <c r="AZ19" s="311">
        <v>37.893219999999999</v>
      </c>
      <c r="BA19" s="311">
        <v>36.782896000000001</v>
      </c>
      <c r="BB19" s="311">
        <v>35.817101999999998</v>
      </c>
    </row>
    <row r="20" spans="3:54" ht="17.399999999999999" thickBot="1" x14ac:dyDescent="0.35">
      <c r="C20" s="197">
        <v>-5</v>
      </c>
      <c r="D20" s="194">
        <v>16.899999999999999</v>
      </c>
      <c r="E20" s="194">
        <v>1.6899999999999998E-2</v>
      </c>
      <c r="F20" s="194">
        <v>0.35299999999999998</v>
      </c>
      <c r="G20" s="194">
        <v>4.0890000000000003E-2</v>
      </c>
      <c r="H20" s="194">
        <v>12.85</v>
      </c>
      <c r="I20" s="198">
        <v>1.383</v>
      </c>
      <c r="L20" s="212">
        <v>0.08</v>
      </c>
      <c r="M20" s="213">
        <v>41.53</v>
      </c>
      <c r="N20" s="213">
        <v>18.105</v>
      </c>
      <c r="O20" s="213">
        <v>5.5E-2</v>
      </c>
      <c r="P20" s="213">
        <v>173.87</v>
      </c>
      <c r="Q20" s="214">
        <v>41.53</v>
      </c>
      <c r="R20" s="213">
        <v>2577.11</v>
      </c>
      <c r="S20" s="215">
        <v>615.53</v>
      </c>
      <c r="T20" s="213">
        <v>2403.25</v>
      </c>
      <c r="U20" s="214">
        <v>574.01</v>
      </c>
      <c r="V20" s="213">
        <v>1.8871</v>
      </c>
      <c r="W20" s="213">
        <v>1.0000000000000001E-5</v>
      </c>
      <c r="AA20" s="197">
        <v>50</v>
      </c>
      <c r="AB20" s="194">
        <v>28.08</v>
      </c>
      <c r="AC20" s="194">
        <v>2.4150000000000001E-2</v>
      </c>
      <c r="AD20" s="198">
        <v>1.6230000000000001E-2</v>
      </c>
      <c r="AG20" s="285">
        <v>90</v>
      </c>
      <c r="AH20" s="287">
        <v>2.4E-2</v>
      </c>
      <c r="AJ20">
        <v>102.32</v>
      </c>
      <c r="AK20">
        <v>1.2E-5</v>
      </c>
      <c r="AT20" s="310"/>
      <c r="AU20" s="311">
        <v>44.442480000000003</v>
      </c>
      <c r="AV20" s="311">
        <v>43.218071999999999</v>
      </c>
      <c r="AW20" s="311">
        <v>42.000794999999997</v>
      </c>
      <c r="AX20" s="311">
        <v>40.779909000000004</v>
      </c>
      <c r="AY20" s="311">
        <v>39.538313000000002</v>
      </c>
      <c r="AZ20" s="311">
        <v>38.308951999999998</v>
      </c>
      <c r="BA20" s="311">
        <v>37.117803000000002</v>
      </c>
      <c r="BB20" s="311">
        <v>35.958587000000001</v>
      </c>
    </row>
    <row r="21" spans="3:54" ht="17.399999999999999" thickBot="1" x14ac:dyDescent="0.35">
      <c r="C21" s="205">
        <v>0</v>
      </c>
      <c r="D21" s="206">
        <v>17.149999999999999</v>
      </c>
      <c r="E21" s="206">
        <v>1.7149999999999999E-2</v>
      </c>
      <c r="F21" s="194">
        <v>0.35820000000000002</v>
      </c>
      <c r="G21" s="194">
        <v>4.1489999999999999E-2</v>
      </c>
      <c r="H21" s="194">
        <v>13.28</v>
      </c>
      <c r="I21" s="198">
        <v>1.43</v>
      </c>
      <c r="L21" s="212">
        <v>0.09</v>
      </c>
      <c r="M21" s="213">
        <v>43.79</v>
      </c>
      <c r="N21" s="213">
        <v>16.204000000000001</v>
      </c>
      <c r="O21" s="213">
        <v>6.2E-2</v>
      </c>
      <c r="P21" s="213">
        <v>183.28</v>
      </c>
      <c r="Q21" s="214">
        <v>43.78</v>
      </c>
      <c r="R21" s="213">
        <v>2581.14</v>
      </c>
      <c r="S21" s="215">
        <v>616.49</v>
      </c>
      <c r="T21" s="213">
        <v>2397.85</v>
      </c>
      <c r="U21" s="214">
        <v>572.72</v>
      </c>
      <c r="V21" s="213">
        <v>1.8898999999999999</v>
      </c>
      <c r="W21" s="213">
        <v>1.0000000000000001E-5</v>
      </c>
      <c r="AA21" s="197">
        <v>60</v>
      </c>
      <c r="AB21" s="194">
        <v>28.8</v>
      </c>
      <c r="AC21" s="194">
        <v>2.477E-2</v>
      </c>
      <c r="AD21" s="198">
        <v>1.6639999999999999E-2</v>
      </c>
      <c r="AG21" s="287">
        <v>95</v>
      </c>
      <c r="AH21" s="287">
        <v>2.46E-2</v>
      </c>
      <c r="AJ21">
        <v>104.81</v>
      </c>
      <c r="AK21">
        <v>1.2E-5</v>
      </c>
      <c r="AT21" s="310"/>
      <c r="AU21" s="311">
        <v>44.892786999999998</v>
      </c>
      <c r="AV21" s="311">
        <v>43.640132999999999</v>
      </c>
      <c r="AW21" s="311">
        <v>42.364638999999997</v>
      </c>
      <c r="AX21" s="311">
        <v>41.041970999999997</v>
      </c>
      <c r="AY21" s="311">
        <v>39.726118999999997</v>
      </c>
      <c r="AZ21" s="311">
        <v>38.438805000000002</v>
      </c>
      <c r="BA21" s="311">
        <v>37.210087000000001</v>
      </c>
      <c r="BB21" s="311">
        <v>36.006647999999998</v>
      </c>
    </row>
    <row r="22" spans="3:54" ht="17.399999999999999" thickBot="1" x14ac:dyDescent="0.35">
      <c r="C22" s="205">
        <v>5</v>
      </c>
      <c r="D22" s="206">
        <v>17.399999999999999</v>
      </c>
      <c r="E22" s="206">
        <v>1.7399999999999999E-2</v>
      </c>
      <c r="F22" s="194">
        <v>0.36330000000000001</v>
      </c>
      <c r="G22" s="194">
        <v>4.2090000000000002E-2</v>
      </c>
      <c r="H22" s="194">
        <v>13.72</v>
      </c>
      <c r="I22" s="198">
        <v>1.4770000000000001</v>
      </c>
      <c r="L22" s="212">
        <v>0.1</v>
      </c>
      <c r="M22" s="213">
        <v>45.83</v>
      </c>
      <c r="N22" s="213">
        <v>14.675000000000001</v>
      </c>
      <c r="O22" s="213">
        <v>6.8000000000000005E-2</v>
      </c>
      <c r="P22" s="213">
        <v>191.84</v>
      </c>
      <c r="Q22" s="214">
        <v>45.82</v>
      </c>
      <c r="R22" s="213">
        <v>2584.7800000000002</v>
      </c>
      <c r="S22" s="215">
        <v>617.36</v>
      </c>
      <c r="T22" s="213">
        <v>2392.94</v>
      </c>
      <c r="U22" s="214">
        <v>571.54</v>
      </c>
      <c r="V22" s="213">
        <v>1.8927</v>
      </c>
      <c r="W22" s="213">
        <v>1.0000000000000001E-5</v>
      </c>
      <c r="AA22" s="197">
        <v>80</v>
      </c>
      <c r="AB22" s="194">
        <v>30.23</v>
      </c>
      <c r="AC22" s="194">
        <v>2.5989999999999999E-2</v>
      </c>
      <c r="AD22" s="198">
        <v>1.746E-2</v>
      </c>
      <c r="AG22" s="287">
        <v>100</v>
      </c>
      <c r="AH22" s="287">
        <v>2.5100000000000001E-2</v>
      </c>
      <c r="AJ22">
        <v>107.13</v>
      </c>
      <c r="AK22">
        <v>1.2999999999999999E-5</v>
      </c>
      <c r="AT22" s="310"/>
      <c r="AU22" s="311">
        <v>45.587763000000002</v>
      </c>
      <c r="AV22" s="311">
        <v>44.241180999999997</v>
      </c>
      <c r="AW22" s="311">
        <v>42.901158000000002</v>
      </c>
      <c r="AX22" s="311">
        <v>41.515158</v>
      </c>
      <c r="AY22" s="311">
        <v>40.150913000000003</v>
      </c>
      <c r="AZ22" s="311">
        <v>38.797437000000002</v>
      </c>
      <c r="BA22" s="311">
        <v>37.504235999999999</v>
      </c>
      <c r="BB22" s="311">
        <v>36.255375999999998</v>
      </c>
    </row>
    <row r="23" spans="3:54" ht="17.399999999999999" thickBot="1" x14ac:dyDescent="0.35">
      <c r="C23" s="205">
        <v>10</v>
      </c>
      <c r="D23" s="206">
        <v>17.64</v>
      </c>
      <c r="E23" s="206">
        <v>1.7639999999999999E-2</v>
      </c>
      <c r="F23" s="194">
        <v>0.36849999999999999</v>
      </c>
      <c r="G23" s="194">
        <v>4.2680000000000003E-2</v>
      </c>
      <c r="H23" s="194">
        <v>14.16</v>
      </c>
      <c r="I23" s="198">
        <v>1.524</v>
      </c>
      <c r="L23" s="212">
        <v>0.2</v>
      </c>
      <c r="M23" s="213">
        <v>60.09</v>
      </c>
      <c r="N23" s="213">
        <v>7.65</v>
      </c>
      <c r="O23" s="213">
        <v>0.13100000000000001</v>
      </c>
      <c r="P23" s="213">
        <v>251.46</v>
      </c>
      <c r="Q23" s="214">
        <v>60.06</v>
      </c>
      <c r="R23" s="213">
        <v>2609.86</v>
      </c>
      <c r="S23" s="215">
        <v>623.35</v>
      </c>
      <c r="T23" s="213">
        <v>2358.4</v>
      </c>
      <c r="U23" s="214">
        <v>563.29999999999995</v>
      </c>
      <c r="V23" s="213">
        <v>1.9156</v>
      </c>
      <c r="W23" s="213">
        <v>1.1E-5</v>
      </c>
      <c r="AA23" s="197">
        <v>100</v>
      </c>
      <c r="AB23" s="194">
        <v>31.62</v>
      </c>
      <c r="AC23" s="194">
        <v>2.7189999999999999E-2</v>
      </c>
      <c r="AD23" s="198">
        <v>1.8270000000000002E-2</v>
      </c>
      <c r="AG23" s="287">
        <v>110</v>
      </c>
      <c r="AH23" s="287">
        <v>2.6200000000000001E-2</v>
      </c>
      <c r="AJ23">
        <v>109.32</v>
      </c>
      <c r="AK23">
        <v>1.2999999999999999E-5</v>
      </c>
      <c r="AT23" s="310"/>
      <c r="AU23" s="311">
        <v>47.792709000000002</v>
      </c>
      <c r="AV23" s="311">
        <v>46.357657000000003</v>
      </c>
      <c r="AW23" s="311">
        <v>44.909996999999997</v>
      </c>
      <c r="AX23" s="311">
        <v>43.377222000000003</v>
      </c>
      <c r="AY23" s="311">
        <v>41.945774</v>
      </c>
      <c r="AZ23" s="311">
        <v>40.575139999999998</v>
      </c>
      <c r="BA23" s="311">
        <v>39.258161999999999</v>
      </c>
      <c r="BB23" s="311">
        <v>37.912253999999997</v>
      </c>
    </row>
    <row r="24" spans="3:54" ht="17.399999999999999" thickBot="1" x14ac:dyDescent="0.35">
      <c r="C24" s="205">
        <v>15</v>
      </c>
      <c r="D24" s="206">
        <v>17.89</v>
      </c>
      <c r="E24" s="206">
        <v>1.789E-2</v>
      </c>
      <c r="F24" s="194">
        <v>0.3735</v>
      </c>
      <c r="G24" s="194">
        <v>4.3270000000000003E-2</v>
      </c>
      <c r="H24" s="194">
        <v>14.61</v>
      </c>
      <c r="I24" s="198">
        <v>1.573</v>
      </c>
      <c r="L24" s="212">
        <v>0.3</v>
      </c>
      <c r="M24" s="213">
        <v>69.13</v>
      </c>
      <c r="N24" s="213">
        <v>5.2290000000000001</v>
      </c>
      <c r="O24" s="213">
        <v>0.191</v>
      </c>
      <c r="P24" s="213">
        <v>289.31</v>
      </c>
      <c r="Q24" s="214">
        <v>69.099999999999994</v>
      </c>
      <c r="R24" s="213">
        <v>2625.43</v>
      </c>
      <c r="S24" s="215">
        <v>627.07000000000005</v>
      </c>
      <c r="T24" s="213">
        <v>2336.13</v>
      </c>
      <c r="U24" s="214">
        <v>557.97</v>
      </c>
      <c r="V24" s="213">
        <v>1.9342999999999999</v>
      </c>
      <c r="W24" s="213">
        <v>1.1E-5</v>
      </c>
      <c r="AA24" s="197">
        <v>125</v>
      </c>
      <c r="AB24" s="194">
        <v>33.33</v>
      </c>
      <c r="AC24" s="194">
        <v>2.8660000000000001E-2</v>
      </c>
      <c r="AD24" s="198">
        <v>1.9259999999999999E-2</v>
      </c>
      <c r="AG24" s="287">
        <v>120</v>
      </c>
      <c r="AH24" s="287">
        <v>2.75E-2</v>
      </c>
      <c r="AJ24">
        <v>111.37</v>
      </c>
      <c r="AK24">
        <v>1.2999999999999999E-5</v>
      </c>
      <c r="AT24" s="310"/>
      <c r="AU24" s="311">
        <v>55.945531000000003</v>
      </c>
      <c r="AV24" s="311">
        <v>54.324919999999999</v>
      </c>
      <c r="AW24" s="311">
        <v>52.650840000000002</v>
      </c>
      <c r="AX24" s="311">
        <v>50.860104999999997</v>
      </c>
      <c r="AY24" s="311">
        <v>48.961829999999999</v>
      </c>
      <c r="AZ24" s="311">
        <v>46.937058999999998</v>
      </c>
      <c r="BA24" s="311">
        <v>44.758468999999998</v>
      </c>
      <c r="BB24" s="311">
        <v>42.396420999999997</v>
      </c>
    </row>
    <row r="25" spans="3:54" ht="17.399999999999999" thickBot="1" x14ac:dyDescent="0.35">
      <c r="C25" s="205">
        <v>20</v>
      </c>
      <c r="D25" s="206">
        <v>18.13</v>
      </c>
      <c r="E25" s="206">
        <v>1.813E-2</v>
      </c>
      <c r="F25" s="194">
        <v>0.37859999999999999</v>
      </c>
      <c r="G25" s="194">
        <v>4.385E-2</v>
      </c>
      <c r="H25" s="194">
        <v>15.06</v>
      </c>
      <c r="I25" s="198">
        <v>1.621</v>
      </c>
      <c r="L25" s="212">
        <v>0.4</v>
      </c>
      <c r="M25" s="213">
        <v>75.89</v>
      </c>
      <c r="N25" s="213">
        <v>3.9929999999999999</v>
      </c>
      <c r="O25" s="213">
        <v>0.25</v>
      </c>
      <c r="P25" s="213">
        <v>317.64999999999998</v>
      </c>
      <c r="Q25" s="214">
        <v>75.87</v>
      </c>
      <c r="R25" s="213">
        <v>2636.88</v>
      </c>
      <c r="S25" s="215">
        <v>629.80999999999995</v>
      </c>
      <c r="T25" s="213">
        <v>2319.23</v>
      </c>
      <c r="U25" s="214">
        <v>553.94000000000005</v>
      </c>
      <c r="V25" s="213">
        <v>1.9505999999999999</v>
      </c>
      <c r="W25" s="213">
        <v>1.1E-5</v>
      </c>
      <c r="AA25" s="197">
        <v>150</v>
      </c>
      <c r="AB25" s="194">
        <v>35</v>
      </c>
      <c r="AC25" s="194">
        <v>3.0099999999999998E-2</v>
      </c>
      <c r="AD25" s="198">
        <v>2.0219999999999998E-2</v>
      </c>
      <c r="AG25" s="287">
        <v>130</v>
      </c>
      <c r="AH25" s="287">
        <v>2.8799999999999999E-2</v>
      </c>
      <c r="AJ25">
        <v>111.37</v>
      </c>
      <c r="AK25">
        <v>1.2999999999999999E-5</v>
      </c>
      <c r="AT25" s="310"/>
      <c r="AU25" s="311">
        <v>54.995213</v>
      </c>
      <c r="AV25" s="311">
        <v>56.054592999999997</v>
      </c>
      <c r="AW25" s="311">
        <v>54.304639000000002</v>
      </c>
      <c r="AX25" s="311">
        <v>52.415038000000003</v>
      </c>
      <c r="AY25" s="311">
        <v>50.399588000000001</v>
      </c>
      <c r="AZ25" s="311">
        <v>48.185744999999997</v>
      </c>
      <c r="BA25" s="311">
        <v>45.847906000000002</v>
      </c>
      <c r="BB25" s="311">
        <v>43.440351</v>
      </c>
    </row>
    <row r="26" spans="3:54" ht="17.399999999999999" thickBot="1" x14ac:dyDescent="0.35">
      <c r="C26" s="205">
        <v>25</v>
      </c>
      <c r="D26" s="206">
        <v>18.37</v>
      </c>
      <c r="E26" s="206">
        <v>1.8370000000000001E-2</v>
      </c>
      <c r="F26" s="194">
        <v>0.3836</v>
      </c>
      <c r="G26" s="194">
        <v>4.4429999999999997E-2</v>
      </c>
      <c r="H26" s="194">
        <v>15.52</v>
      </c>
      <c r="I26" s="198">
        <v>1.671</v>
      </c>
      <c r="L26" s="212">
        <v>0.5</v>
      </c>
      <c r="M26" s="213">
        <v>81.349999999999994</v>
      </c>
      <c r="N26" s="213">
        <v>3.24</v>
      </c>
      <c r="O26" s="213">
        <v>0.309</v>
      </c>
      <c r="P26" s="213">
        <v>340.57</v>
      </c>
      <c r="Q26" s="214">
        <v>81.34</v>
      </c>
      <c r="R26" s="213">
        <v>2645.99</v>
      </c>
      <c r="S26" s="215">
        <v>631.98</v>
      </c>
      <c r="T26" s="213">
        <v>2305.42</v>
      </c>
      <c r="U26" s="214">
        <v>550.64</v>
      </c>
      <c r="V26" s="213">
        <v>1.9654</v>
      </c>
      <c r="W26" s="213">
        <v>1.2E-5</v>
      </c>
      <c r="AA26" s="197">
        <v>175</v>
      </c>
      <c r="AB26" s="194">
        <v>36.64</v>
      </c>
      <c r="AC26" s="194">
        <v>3.1510000000000003E-2</v>
      </c>
      <c r="AD26" s="198">
        <v>2.1170000000000001E-2</v>
      </c>
      <c r="AG26" s="287">
        <v>140</v>
      </c>
      <c r="AH26" s="287">
        <v>3.0099999999999998E-2</v>
      </c>
      <c r="AJ26">
        <v>113.32</v>
      </c>
      <c r="AK26">
        <v>1.2999999999999999E-5</v>
      </c>
      <c r="AT26" s="310"/>
      <c r="AU26" s="311">
        <v>55.923898999999999</v>
      </c>
      <c r="AV26" s="311">
        <v>54.547516999999999</v>
      </c>
      <c r="AW26" s="311">
        <v>55.668844</v>
      </c>
      <c r="AX26" s="311">
        <v>53.747287999999998</v>
      </c>
      <c r="AY26" s="311">
        <v>51.703631000000001</v>
      </c>
      <c r="AZ26" s="311">
        <v>49.504396</v>
      </c>
      <c r="BA26" s="311">
        <v>47.289009</v>
      </c>
      <c r="BB26" s="311">
        <v>44.839556000000002</v>
      </c>
    </row>
    <row r="27" spans="3:54" ht="17.399999999999999" thickBot="1" x14ac:dyDescent="0.35">
      <c r="C27" s="205">
        <v>30</v>
      </c>
      <c r="D27" s="206">
        <v>18.600000000000001</v>
      </c>
      <c r="E27" s="206">
        <v>1.8599999999999998E-2</v>
      </c>
      <c r="F27" s="194">
        <v>0.38850000000000001</v>
      </c>
      <c r="G27" s="194">
        <v>4.4999999999999998E-2</v>
      </c>
      <c r="H27" s="194">
        <v>15.98</v>
      </c>
      <c r="I27" s="198">
        <v>1.72</v>
      </c>
      <c r="L27" s="212">
        <v>0.6</v>
      </c>
      <c r="M27" s="213">
        <v>85.95</v>
      </c>
      <c r="N27" s="213">
        <v>2.7320000000000002</v>
      </c>
      <c r="O27" s="213">
        <v>0.36599999999999999</v>
      </c>
      <c r="P27" s="213">
        <v>359.93</v>
      </c>
      <c r="Q27" s="214">
        <v>85.97</v>
      </c>
      <c r="R27" s="213">
        <v>2653.57</v>
      </c>
      <c r="S27" s="215">
        <v>633.79</v>
      </c>
      <c r="T27" s="213">
        <v>2293.64</v>
      </c>
      <c r="U27" s="214">
        <v>547.83000000000004</v>
      </c>
      <c r="V27" s="213">
        <v>1.9790000000000001</v>
      </c>
      <c r="W27" s="213">
        <v>1.2E-5</v>
      </c>
      <c r="AA27" s="197">
        <v>200</v>
      </c>
      <c r="AB27" s="194">
        <v>38.25</v>
      </c>
      <c r="AC27" s="194">
        <v>3.2890000000000003E-2</v>
      </c>
      <c r="AD27" s="198">
        <v>2.2100000000000002E-2</v>
      </c>
      <c r="AG27" s="287">
        <v>150</v>
      </c>
      <c r="AH27" s="287">
        <v>3.1600000000000003E-2</v>
      </c>
      <c r="AJ27">
        <v>115.17</v>
      </c>
      <c r="AK27">
        <v>1.2999999999999999E-5</v>
      </c>
      <c r="AT27" s="310"/>
      <c r="AU27" s="311">
        <v>57.158940000000001</v>
      </c>
      <c r="AV27" s="311">
        <v>55.672162</v>
      </c>
      <c r="AW27" s="311">
        <v>57.186191000000001</v>
      </c>
      <c r="AX27" s="311">
        <v>55.209862999999999</v>
      </c>
      <c r="AY27" s="311">
        <v>53.145296999999999</v>
      </c>
      <c r="AZ27" s="311">
        <v>50.899120000000003</v>
      </c>
      <c r="BA27" s="311">
        <v>48.492128000000001</v>
      </c>
      <c r="BB27" s="311">
        <v>45.931454000000002</v>
      </c>
    </row>
    <row r="28" spans="3:54" ht="17.399999999999999" thickBot="1" x14ac:dyDescent="0.35">
      <c r="C28" s="205">
        <v>40</v>
      </c>
      <c r="D28" s="206">
        <v>19.07</v>
      </c>
      <c r="E28" s="206">
        <v>1.907E-2</v>
      </c>
      <c r="F28" s="194">
        <v>0.39829999999999999</v>
      </c>
      <c r="G28" s="194">
        <v>4.614E-2</v>
      </c>
      <c r="H28" s="194">
        <v>16.920000000000002</v>
      </c>
      <c r="I28" s="198">
        <v>1.8220000000000001</v>
      </c>
      <c r="L28" s="212">
        <v>0.7</v>
      </c>
      <c r="M28" s="213">
        <v>89.96</v>
      </c>
      <c r="N28" s="213">
        <v>2.3650000000000002</v>
      </c>
      <c r="O28" s="213">
        <v>0.42299999999999999</v>
      </c>
      <c r="P28" s="213">
        <v>376.77</v>
      </c>
      <c r="Q28" s="214">
        <v>89.99</v>
      </c>
      <c r="R28" s="213">
        <v>2660.07</v>
      </c>
      <c r="S28" s="215">
        <v>635.35</v>
      </c>
      <c r="T28" s="213">
        <v>2283.3000000000002</v>
      </c>
      <c r="U28" s="214">
        <v>545.36</v>
      </c>
      <c r="V28" s="213">
        <v>1.9919</v>
      </c>
      <c r="W28" s="213">
        <v>1.2E-5</v>
      </c>
      <c r="AA28" s="197">
        <v>225</v>
      </c>
      <c r="AB28" s="194">
        <v>39.83</v>
      </c>
      <c r="AC28" s="194">
        <v>3.4250000000000003E-2</v>
      </c>
      <c r="AD28" s="198">
        <v>2.3009999999999999E-2</v>
      </c>
      <c r="AG28" s="287">
        <v>160</v>
      </c>
      <c r="AH28" s="287">
        <v>3.3099999999999997E-2</v>
      </c>
      <c r="AJ28">
        <v>116.93</v>
      </c>
      <c r="AK28">
        <v>1.2999999999999999E-5</v>
      </c>
      <c r="AT28" s="310"/>
      <c r="AU28" s="311">
        <v>58.573923000000001</v>
      </c>
      <c r="AV28" s="311">
        <v>56.916319999999999</v>
      </c>
      <c r="AW28" s="311">
        <v>55.284427999999998</v>
      </c>
      <c r="AX28" s="311">
        <v>57.008178000000001</v>
      </c>
      <c r="AY28" s="311">
        <v>54.917830000000002</v>
      </c>
      <c r="AZ28" s="311">
        <v>52.580759999999998</v>
      </c>
      <c r="BA28" s="311">
        <v>50.086066000000002</v>
      </c>
      <c r="BB28" s="311">
        <v>47.494892999999998</v>
      </c>
    </row>
    <row r="29" spans="3:54" ht="17.399999999999999" thickBot="1" x14ac:dyDescent="0.35">
      <c r="C29" s="205">
        <v>50</v>
      </c>
      <c r="D29" s="206">
        <v>19.53</v>
      </c>
      <c r="E29" s="206">
        <v>1.9529999999999999E-2</v>
      </c>
      <c r="F29" s="194">
        <v>0.40799999999999997</v>
      </c>
      <c r="G29" s="194">
        <v>4.725E-2</v>
      </c>
      <c r="H29" s="194">
        <v>17.88</v>
      </c>
      <c r="I29" s="198">
        <v>1.925</v>
      </c>
      <c r="L29" s="212">
        <v>0.8</v>
      </c>
      <c r="M29" s="213">
        <v>93.51</v>
      </c>
      <c r="N29" s="213">
        <v>2.0870000000000002</v>
      </c>
      <c r="O29" s="213">
        <v>0.47899999999999998</v>
      </c>
      <c r="P29" s="213">
        <v>391.73</v>
      </c>
      <c r="Q29" s="214">
        <v>93.56</v>
      </c>
      <c r="R29" s="213">
        <v>2665.77</v>
      </c>
      <c r="S29" s="215">
        <v>636.71</v>
      </c>
      <c r="T29" s="213">
        <v>2274.0500000000002</v>
      </c>
      <c r="U29" s="214">
        <v>543.15</v>
      </c>
      <c r="V29" s="213">
        <v>2.004</v>
      </c>
      <c r="W29" s="213">
        <v>1.2E-5</v>
      </c>
      <c r="AA29" s="197">
        <v>300</v>
      </c>
      <c r="AB29" s="194">
        <v>44.41</v>
      </c>
      <c r="AC29" s="194">
        <v>3.8190000000000002E-2</v>
      </c>
      <c r="AD29" s="198">
        <v>2.5659999999999999E-2</v>
      </c>
      <c r="AG29" s="287">
        <v>170</v>
      </c>
      <c r="AH29" s="287">
        <v>3.4700000000000002E-2</v>
      </c>
      <c r="AJ29">
        <v>118.62</v>
      </c>
      <c r="AK29">
        <v>1.2999999999999999E-5</v>
      </c>
      <c r="AT29" s="310"/>
      <c r="AU29" s="311">
        <v>36.314895</v>
      </c>
      <c r="AV29" s="311">
        <v>35.316454999999998</v>
      </c>
      <c r="AW29" s="311">
        <v>34.314382000000002</v>
      </c>
      <c r="AX29" s="311">
        <v>33.303395999999999</v>
      </c>
      <c r="AY29" s="311">
        <v>35.539912000000001</v>
      </c>
      <c r="AZ29" s="311">
        <v>34.146563</v>
      </c>
      <c r="BA29" s="311">
        <v>32.714872</v>
      </c>
      <c r="BB29" s="311">
        <v>31.249696</v>
      </c>
    </row>
    <row r="30" spans="3:54" ht="17.399999999999999" thickBot="1" x14ac:dyDescent="0.35">
      <c r="C30" s="205">
        <v>60</v>
      </c>
      <c r="D30" s="206">
        <v>19.989999999999998</v>
      </c>
      <c r="E30" s="206">
        <v>1.9990000000000001E-2</v>
      </c>
      <c r="F30" s="194">
        <v>0.41749999999999998</v>
      </c>
      <c r="G30" s="194">
        <v>4.8349999999999997E-2</v>
      </c>
      <c r="H30" s="194">
        <v>18.86</v>
      </c>
      <c r="I30" s="198">
        <v>2.0299999999999998</v>
      </c>
      <c r="L30" s="212">
        <v>0.9</v>
      </c>
      <c r="M30" s="213">
        <v>96.71</v>
      </c>
      <c r="N30" s="213">
        <v>1.869</v>
      </c>
      <c r="O30" s="213">
        <v>0.53500000000000003</v>
      </c>
      <c r="P30" s="213">
        <v>405.21</v>
      </c>
      <c r="Q30" s="214">
        <v>96.78</v>
      </c>
      <c r="R30" s="213">
        <v>2670.85</v>
      </c>
      <c r="S30" s="215">
        <v>637.91999999999996</v>
      </c>
      <c r="T30" s="213">
        <v>2265.65</v>
      </c>
      <c r="U30" s="214">
        <v>541.14</v>
      </c>
      <c r="V30" s="213">
        <v>2.0156000000000001</v>
      </c>
      <c r="W30" s="213">
        <v>1.2E-5</v>
      </c>
      <c r="AA30" s="197">
        <v>412</v>
      </c>
      <c r="AB30" s="194">
        <v>50.92</v>
      </c>
      <c r="AC30" s="194">
        <v>4.3779999999999999E-2</v>
      </c>
      <c r="AD30" s="198">
        <v>2.9420000000000002E-2</v>
      </c>
      <c r="AG30" s="287">
        <v>180</v>
      </c>
      <c r="AH30" s="287">
        <v>3.6400000000000002E-2</v>
      </c>
      <c r="AJ30">
        <v>120.23</v>
      </c>
      <c r="AK30">
        <v>1.2999999999999999E-5</v>
      </c>
      <c r="AT30" s="310"/>
      <c r="AU30" s="311">
        <v>36.939805999999997</v>
      </c>
      <c r="AV30" s="311">
        <v>35.757247999999997</v>
      </c>
      <c r="AW30" s="311">
        <v>34.624439000000002</v>
      </c>
      <c r="AX30" s="311">
        <v>33.532778</v>
      </c>
      <c r="AY30" s="311">
        <v>32.477457000000001</v>
      </c>
      <c r="AZ30" s="311">
        <v>31.406137999999999</v>
      </c>
      <c r="BA30" s="311">
        <v>34.034340999999998</v>
      </c>
      <c r="BB30" s="311">
        <v>32.539890999999997</v>
      </c>
    </row>
    <row r="31" spans="3:54" ht="17.399999999999999" thickBot="1" x14ac:dyDescent="0.35">
      <c r="C31" s="205">
        <v>80</v>
      </c>
      <c r="D31" s="206">
        <v>20.88</v>
      </c>
      <c r="E31" s="206">
        <v>2.0879999999999999E-2</v>
      </c>
      <c r="F31" s="203">
        <v>0.43609999999999999</v>
      </c>
      <c r="G31" s="203">
        <v>5.0509999999999999E-2</v>
      </c>
      <c r="H31" s="203">
        <v>20.88</v>
      </c>
      <c r="I31" s="204">
        <v>2.2480000000000002</v>
      </c>
      <c r="L31" s="212">
        <v>1</v>
      </c>
      <c r="M31" s="213">
        <v>99.63</v>
      </c>
      <c r="N31" s="213">
        <v>1.694</v>
      </c>
      <c r="O31" s="213">
        <v>0.59</v>
      </c>
      <c r="P31" s="213">
        <v>417.51</v>
      </c>
      <c r="Q31" s="214">
        <v>99.72</v>
      </c>
      <c r="R31" s="213">
        <v>2675.43</v>
      </c>
      <c r="S31" s="215">
        <v>639.02</v>
      </c>
      <c r="T31" s="213">
        <v>2257.92</v>
      </c>
      <c r="U31" s="214">
        <v>539.29999999999995</v>
      </c>
      <c r="V31" s="213">
        <v>2.0266999999999999</v>
      </c>
      <c r="W31" s="213">
        <v>1.2E-5</v>
      </c>
      <c r="AA31" s="197">
        <v>500</v>
      </c>
      <c r="AB31" s="194">
        <v>55.79</v>
      </c>
      <c r="AC31" s="194">
        <v>4.7969999999999999E-2</v>
      </c>
      <c r="AD31" s="198">
        <v>3.2239999999999998E-2</v>
      </c>
      <c r="AG31" s="287">
        <v>190</v>
      </c>
      <c r="AH31" s="287">
        <v>3.8199999999999998E-2</v>
      </c>
      <c r="AJ31">
        <v>123.27</v>
      </c>
      <c r="AK31">
        <v>1.2999999999999999E-5</v>
      </c>
      <c r="AT31" s="310"/>
      <c r="AU31" s="311">
        <v>37.873438999999998</v>
      </c>
      <c r="AV31" s="311">
        <v>36.605725</v>
      </c>
      <c r="AW31" s="311">
        <v>35.318145999999999</v>
      </c>
      <c r="AX31" s="311">
        <v>34.063170999999997</v>
      </c>
      <c r="AY31" s="311">
        <v>32.875233000000001</v>
      </c>
      <c r="AZ31" s="311">
        <v>31.688647</v>
      </c>
      <c r="BA31" s="311">
        <v>30.566106999999999</v>
      </c>
      <c r="BB31" s="311">
        <v>33.476885000000003</v>
      </c>
    </row>
    <row r="32" spans="3:54" ht="17.399999999999999" thickBot="1" x14ac:dyDescent="0.35">
      <c r="C32" s="205">
        <v>100</v>
      </c>
      <c r="D32" s="206">
        <v>21.74</v>
      </c>
      <c r="E32" s="206">
        <v>2.1739999999999999E-2</v>
      </c>
      <c r="F32" s="203">
        <v>0.4541</v>
      </c>
      <c r="G32" s="203">
        <v>5.2600000000000001E-2</v>
      </c>
      <c r="H32" s="203">
        <v>22.97</v>
      </c>
      <c r="I32" s="204">
        <v>2.4729999999999999</v>
      </c>
      <c r="L32" s="212">
        <v>1.1000000000000001</v>
      </c>
      <c r="M32" s="213">
        <v>102.32</v>
      </c>
      <c r="N32" s="213">
        <v>1.5489999999999999</v>
      </c>
      <c r="O32" s="213">
        <v>0.64500000000000002</v>
      </c>
      <c r="P32" s="213">
        <v>428.84</v>
      </c>
      <c r="Q32" s="214">
        <v>102.43</v>
      </c>
      <c r="R32" s="213">
        <v>2679.61</v>
      </c>
      <c r="S32" s="215">
        <v>640.01</v>
      </c>
      <c r="T32" s="213">
        <v>2250.7600000000002</v>
      </c>
      <c r="U32" s="214">
        <v>537.59</v>
      </c>
      <c r="V32" s="213">
        <v>2.0373000000000001</v>
      </c>
      <c r="W32" s="213">
        <v>1.2E-5</v>
      </c>
      <c r="AA32" s="197">
        <v>600</v>
      </c>
      <c r="AB32" s="194">
        <v>61.14</v>
      </c>
      <c r="AC32" s="194">
        <v>5.2569999999999999E-2</v>
      </c>
      <c r="AD32" s="198">
        <v>3.533E-2</v>
      </c>
      <c r="AG32" s="287">
        <v>200</v>
      </c>
      <c r="AH32" s="287">
        <v>4.0099999999999997E-2</v>
      </c>
      <c r="AJ32">
        <v>126.09</v>
      </c>
      <c r="AK32">
        <v>1.2999999999999999E-5</v>
      </c>
      <c r="AT32" s="310"/>
      <c r="AU32" s="311">
        <v>39.230536000000001</v>
      </c>
      <c r="AV32" s="311">
        <v>37.917923000000002</v>
      </c>
      <c r="AW32" s="311">
        <v>36.536244000000003</v>
      </c>
      <c r="AX32" s="311">
        <v>35.198158999999997</v>
      </c>
      <c r="AY32" s="311">
        <v>33.928120999999997</v>
      </c>
      <c r="AZ32" s="311">
        <v>32.638784999999999</v>
      </c>
      <c r="BA32" s="311">
        <v>31.351409</v>
      </c>
      <c r="BB32" s="311">
        <v>30.047267000000002</v>
      </c>
    </row>
    <row r="33" spans="3:54" ht="17.399999999999999" thickBot="1" x14ac:dyDescent="0.35">
      <c r="C33" s="205">
        <v>125</v>
      </c>
      <c r="D33" s="206">
        <v>22.79</v>
      </c>
      <c r="E33" s="206">
        <v>2.2790000000000001E-2</v>
      </c>
      <c r="F33" s="194">
        <v>0.47599999999999998</v>
      </c>
      <c r="G33" s="194">
        <v>5.5129999999999998E-2</v>
      </c>
      <c r="H33" s="194">
        <v>25.69</v>
      </c>
      <c r="I33" s="198">
        <v>2.7650000000000001</v>
      </c>
      <c r="L33" s="212">
        <v>1.2</v>
      </c>
      <c r="M33" s="213">
        <v>104.81</v>
      </c>
      <c r="N33" s="213">
        <v>1.4279999999999999</v>
      </c>
      <c r="O33" s="213">
        <v>0.7</v>
      </c>
      <c r="P33" s="213">
        <v>439.36</v>
      </c>
      <c r="Q33" s="214">
        <v>104.94</v>
      </c>
      <c r="R33" s="213">
        <v>2683.44</v>
      </c>
      <c r="S33" s="215">
        <v>640.92999999999995</v>
      </c>
      <c r="T33" s="213">
        <v>2244.08</v>
      </c>
      <c r="U33" s="214">
        <v>535.99</v>
      </c>
      <c r="V33" s="213">
        <v>2.0476000000000001</v>
      </c>
      <c r="W33" s="213">
        <v>1.2E-5</v>
      </c>
      <c r="AA33" s="197">
        <v>700</v>
      </c>
      <c r="AB33" s="194">
        <v>66.319999999999993</v>
      </c>
      <c r="AC33" s="194">
        <v>5.7020000000000001E-2</v>
      </c>
      <c r="AD33" s="198">
        <v>3.832E-2</v>
      </c>
      <c r="AG33" s="287">
        <v>220</v>
      </c>
      <c r="AH33" s="287">
        <v>4.4200000000000003E-2</v>
      </c>
      <c r="AJ33">
        <v>128.72999999999999</v>
      </c>
      <c r="AK33">
        <v>1.2999999999999999E-5</v>
      </c>
      <c r="AT33" s="310"/>
      <c r="AU33" s="311">
        <v>41.601399000000001</v>
      </c>
      <c r="AV33" s="311">
        <v>40.100793000000003</v>
      </c>
      <c r="AW33" s="311">
        <v>38.587763000000002</v>
      </c>
      <c r="AX33" s="311">
        <v>37.153466999999999</v>
      </c>
      <c r="AY33" s="311">
        <v>35.795428000000001</v>
      </c>
      <c r="AZ33" s="311">
        <v>34.456153999999998</v>
      </c>
      <c r="BA33" s="311">
        <v>33.177005999999999</v>
      </c>
      <c r="BB33" s="311">
        <v>31.910647999999998</v>
      </c>
    </row>
    <row r="34" spans="3:54" ht="17.399999999999999" thickBot="1" x14ac:dyDescent="0.35">
      <c r="C34" s="205">
        <v>150</v>
      </c>
      <c r="D34" s="206">
        <v>23.8</v>
      </c>
      <c r="E34" s="206">
        <v>2.3800000000000002E-2</v>
      </c>
      <c r="F34" s="194">
        <v>0.49709999999999999</v>
      </c>
      <c r="G34" s="194">
        <v>5.7579999999999999E-2</v>
      </c>
      <c r="H34" s="194">
        <v>28.51</v>
      </c>
      <c r="I34" s="198">
        <v>3.069</v>
      </c>
      <c r="L34" s="212">
        <v>1.3</v>
      </c>
      <c r="M34" s="213">
        <v>107.13</v>
      </c>
      <c r="N34" s="213">
        <v>1.325</v>
      </c>
      <c r="O34" s="213">
        <v>0.755</v>
      </c>
      <c r="P34" s="213">
        <v>449.19</v>
      </c>
      <c r="Q34" s="214">
        <v>107.29</v>
      </c>
      <c r="R34" s="213">
        <v>2686.98</v>
      </c>
      <c r="S34" s="215">
        <v>641.77</v>
      </c>
      <c r="T34" s="213">
        <v>2237.79</v>
      </c>
      <c r="U34" s="214">
        <v>534.49</v>
      </c>
      <c r="V34" s="213">
        <v>2.0575999999999999</v>
      </c>
      <c r="W34" s="213">
        <v>1.2999999999999999E-5</v>
      </c>
      <c r="AA34" s="197">
        <v>800</v>
      </c>
      <c r="AB34" s="194">
        <v>71.349999999999994</v>
      </c>
      <c r="AC34" s="194">
        <v>6.1350000000000002E-2</v>
      </c>
      <c r="AD34" s="198">
        <v>4.122E-2</v>
      </c>
      <c r="AG34" s="287">
        <v>240</v>
      </c>
      <c r="AH34" s="287">
        <v>4.87E-2</v>
      </c>
      <c r="AJ34">
        <v>131.19999999999999</v>
      </c>
      <c r="AK34">
        <v>1.2999999999999999E-5</v>
      </c>
      <c r="AT34" s="310"/>
      <c r="AU34" s="311">
        <v>46.342263000000003</v>
      </c>
      <c r="AV34" s="311">
        <v>44.894382999999998</v>
      </c>
      <c r="AW34" s="311">
        <v>43.414444000000003</v>
      </c>
      <c r="AX34" s="311">
        <v>41.986769000000002</v>
      </c>
      <c r="AY34" s="311">
        <v>40.612951000000002</v>
      </c>
      <c r="AZ34" s="311">
        <v>39.249239000000003</v>
      </c>
      <c r="BA34" s="311">
        <v>37.975572</v>
      </c>
      <c r="BB34" s="311">
        <v>36.644832000000001</v>
      </c>
    </row>
    <row r="35" spans="3:54" ht="17.399999999999999" thickBot="1" x14ac:dyDescent="0.35">
      <c r="C35" s="205">
        <v>175</v>
      </c>
      <c r="D35" s="206">
        <v>24.78</v>
      </c>
      <c r="E35" s="206">
        <v>2.478E-2</v>
      </c>
      <c r="F35" s="194">
        <v>0.51759999999999995</v>
      </c>
      <c r="G35" s="194">
        <v>5.9950000000000003E-2</v>
      </c>
      <c r="H35" s="194">
        <v>31.44</v>
      </c>
      <c r="I35" s="198">
        <v>3.3839999999999999</v>
      </c>
      <c r="L35" s="212">
        <v>1.4</v>
      </c>
      <c r="M35" s="213">
        <v>109.32</v>
      </c>
      <c r="N35" s="213">
        <v>1.236</v>
      </c>
      <c r="O35" s="213">
        <v>0.80900000000000005</v>
      </c>
      <c r="P35" s="213">
        <v>458.42</v>
      </c>
      <c r="Q35" s="214">
        <v>109.49</v>
      </c>
      <c r="R35" s="213">
        <v>2690.28</v>
      </c>
      <c r="S35" s="215">
        <v>642.55999999999995</v>
      </c>
      <c r="T35" s="213">
        <v>2231.86</v>
      </c>
      <c r="U35" s="214">
        <v>533.07000000000005</v>
      </c>
      <c r="V35" s="213">
        <v>2.0672999999999999</v>
      </c>
      <c r="W35" s="213">
        <v>1.2999999999999999E-5</v>
      </c>
      <c r="AA35" s="197">
        <v>900</v>
      </c>
      <c r="AB35" s="194">
        <v>76.260000000000005</v>
      </c>
      <c r="AC35" s="194">
        <v>6.5570000000000003E-2</v>
      </c>
      <c r="AD35" s="198">
        <v>4.4060000000000002E-2</v>
      </c>
      <c r="AG35" s="287">
        <v>260</v>
      </c>
      <c r="AH35" s="287">
        <v>5.3999999999999999E-2</v>
      </c>
      <c r="AJ35">
        <v>133.54</v>
      </c>
      <c r="AK35">
        <v>1.2999999999999999E-5</v>
      </c>
      <c r="AT35" s="310"/>
      <c r="AU35" s="311">
        <v>29.576459</v>
      </c>
      <c r="AV35" s="311">
        <v>28.717475</v>
      </c>
      <c r="AW35" s="311">
        <v>27.859940000000002</v>
      </c>
      <c r="AX35" s="311">
        <v>27.005030000000001</v>
      </c>
      <c r="AY35" s="311">
        <v>26.155919000000001</v>
      </c>
      <c r="AZ35" s="311">
        <v>25.297647999999999</v>
      </c>
      <c r="BA35" s="311">
        <v>24.437021000000001</v>
      </c>
      <c r="BB35" s="311">
        <v>23.577649000000001</v>
      </c>
    </row>
    <row r="36" spans="3:54" ht="17.399999999999999" thickBot="1" x14ac:dyDescent="0.35">
      <c r="C36" s="205">
        <v>200</v>
      </c>
      <c r="D36" s="206">
        <v>25.73</v>
      </c>
      <c r="E36" s="206">
        <v>2.5729999999999999E-2</v>
      </c>
      <c r="F36" s="194">
        <v>0.53739999999999999</v>
      </c>
      <c r="G36" s="194">
        <v>6.225E-2</v>
      </c>
      <c r="H36" s="194">
        <v>34.47</v>
      </c>
      <c r="I36" s="198">
        <v>3.71</v>
      </c>
      <c r="L36" s="212">
        <v>1.5</v>
      </c>
      <c r="M36" s="213">
        <v>111.37</v>
      </c>
      <c r="N36" s="213">
        <v>1.159</v>
      </c>
      <c r="O36" s="213">
        <v>0.86299999999999999</v>
      </c>
      <c r="P36" s="213">
        <v>467.13</v>
      </c>
      <c r="Q36" s="214">
        <v>111.57</v>
      </c>
      <c r="R36" s="213">
        <v>2693.36</v>
      </c>
      <c r="S36" s="215">
        <v>643.29999999999995</v>
      </c>
      <c r="T36" s="213">
        <v>2226.23</v>
      </c>
      <c r="U36" s="214">
        <v>531.73</v>
      </c>
      <c r="V36" s="213">
        <v>2.0768</v>
      </c>
      <c r="W36" s="213">
        <v>1.2999999999999999E-5</v>
      </c>
      <c r="AA36" s="199">
        <v>1000</v>
      </c>
      <c r="AB36" s="195">
        <v>81.08</v>
      </c>
      <c r="AC36" s="195">
        <v>6.9709999999999994E-2</v>
      </c>
      <c r="AD36" s="200">
        <v>4.6850000000000003E-2</v>
      </c>
      <c r="AG36" s="287">
        <v>280</v>
      </c>
      <c r="AH36" s="287">
        <v>6.0499999999999998E-2</v>
      </c>
      <c r="AJ36">
        <v>138.87</v>
      </c>
      <c r="AK36">
        <v>1.4E-5</v>
      </c>
      <c r="AT36" s="310"/>
      <c r="AU36" s="311">
        <v>30.58212</v>
      </c>
      <c r="AV36" s="311">
        <v>29.554895999999999</v>
      </c>
      <c r="AW36" s="311">
        <v>28.576392999999999</v>
      </c>
      <c r="AX36" s="311">
        <v>27.634664999999998</v>
      </c>
      <c r="AY36" s="311">
        <v>26.699579</v>
      </c>
      <c r="AZ36" s="311">
        <v>25.754864999999999</v>
      </c>
      <c r="BA36" s="311">
        <v>24.817916</v>
      </c>
      <c r="BB36" s="311">
        <v>23.890825</v>
      </c>
    </row>
    <row r="37" spans="3:54" ht="17.399999999999999" thickBot="1" x14ac:dyDescent="0.35">
      <c r="C37" s="205">
        <v>225</v>
      </c>
      <c r="D37" s="206">
        <v>26.66</v>
      </c>
      <c r="E37" s="206">
        <v>2.666E-2</v>
      </c>
      <c r="F37" s="194">
        <v>0.55669999999999997</v>
      </c>
      <c r="G37" s="194">
        <v>6.4479999999999996E-2</v>
      </c>
      <c r="H37" s="194">
        <v>37.6</v>
      </c>
      <c r="I37" s="198">
        <v>4.0469999999999997</v>
      </c>
      <c r="L37" s="212">
        <v>1.5</v>
      </c>
      <c r="M37" s="213">
        <v>111.37</v>
      </c>
      <c r="N37" s="213">
        <v>1.159</v>
      </c>
      <c r="O37" s="213">
        <v>0.86299999999999999</v>
      </c>
      <c r="P37" s="213">
        <v>467.13</v>
      </c>
      <c r="Q37" s="214">
        <v>111.57</v>
      </c>
      <c r="R37" s="213">
        <v>2693.36</v>
      </c>
      <c r="S37" s="215">
        <v>643.29999999999995</v>
      </c>
      <c r="T37" s="213">
        <v>2226.23</v>
      </c>
      <c r="U37" s="214">
        <v>531.73</v>
      </c>
      <c r="V37" s="213">
        <v>2.0768</v>
      </c>
      <c r="W37" s="213">
        <v>1.2999999999999999E-5</v>
      </c>
      <c r="AA37" s="235">
        <v>1100</v>
      </c>
      <c r="AB37" s="201">
        <v>85.83</v>
      </c>
      <c r="AC37" s="201">
        <v>7.3800000000000004E-2</v>
      </c>
      <c r="AD37" s="202">
        <v>4.9590000000000002E-2</v>
      </c>
      <c r="AG37" s="287">
        <v>300</v>
      </c>
      <c r="AH37" s="287">
        <v>6.9500000000000006E-2</v>
      </c>
      <c r="AJ37">
        <v>143.63</v>
      </c>
      <c r="AK37">
        <v>1.4E-5</v>
      </c>
      <c r="AT37" s="310"/>
      <c r="AU37" s="311">
        <v>31.983544999999999</v>
      </c>
      <c r="AV37" s="311">
        <v>30.876676</v>
      </c>
      <c r="AW37" s="311">
        <v>29.765505000000001</v>
      </c>
      <c r="AX37" s="311">
        <v>28.695609000000001</v>
      </c>
      <c r="AY37" s="311">
        <v>27.657530000000001</v>
      </c>
      <c r="AZ37" s="311">
        <v>26.623059000000001</v>
      </c>
      <c r="BA37" s="311">
        <v>25.609161</v>
      </c>
      <c r="BB37" s="311">
        <v>24.572837</v>
      </c>
    </row>
    <row r="38" spans="3:54" ht="17.399999999999999" thickBot="1" x14ac:dyDescent="0.35">
      <c r="C38" s="205">
        <v>300</v>
      </c>
      <c r="D38" s="206">
        <v>29.28</v>
      </c>
      <c r="E38" s="206">
        <v>2.928E-2</v>
      </c>
      <c r="F38" s="194">
        <v>0.61150000000000004</v>
      </c>
      <c r="G38" s="194">
        <v>7.0830000000000004E-2</v>
      </c>
      <c r="H38" s="194">
        <v>47.54</v>
      </c>
      <c r="I38" s="198">
        <v>5.117</v>
      </c>
      <c r="L38" s="212">
        <v>1.6</v>
      </c>
      <c r="M38" s="213">
        <v>113.32</v>
      </c>
      <c r="N38" s="213">
        <v>1.091</v>
      </c>
      <c r="O38" s="213">
        <v>0.91600000000000004</v>
      </c>
      <c r="P38" s="213">
        <v>475.38</v>
      </c>
      <c r="Q38" s="214">
        <v>113.54</v>
      </c>
      <c r="R38" s="213">
        <v>2696.25</v>
      </c>
      <c r="S38" s="215">
        <v>643.99</v>
      </c>
      <c r="T38" s="213">
        <v>2220.87</v>
      </c>
      <c r="U38" s="214">
        <v>530.45000000000005</v>
      </c>
      <c r="V38" s="213">
        <v>2.0859999999999999</v>
      </c>
      <c r="W38" s="213">
        <v>1.2999999999999999E-5</v>
      </c>
      <c r="AG38" s="287">
        <v>320</v>
      </c>
      <c r="AH38" s="287">
        <v>8.3599999999999994E-2</v>
      </c>
      <c r="AJ38">
        <v>147.91999999999999</v>
      </c>
      <c r="AK38">
        <v>1.4E-5</v>
      </c>
      <c r="AT38" s="310"/>
      <c r="AU38" s="311">
        <v>39.127715999999999</v>
      </c>
      <c r="AV38" s="311">
        <v>37.969065999999998</v>
      </c>
      <c r="AW38" s="311">
        <v>36.462741999999999</v>
      </c>
      <c r="AX38" s="311">
        <v>34.691947999999996</v>
      </c>
      <c r="AY38" s="311">
        <v>32.689469000000003</v>
      </c>
      <c r="AZ38" s="311">
        <v>30.480820999999999</v>
      </c>
      <c r="BA38" s="311">
        <v>28.139707000000001</v>
      </c>
      <c r="BB38" s="311">
        <v>25.752922999999999</v>
      </c>
    </row>
    <row r="39" spans="3:54" ht="17.399999999999999" thickBot="1" x14ac:dyDescent="0.35">
      <c r="C39" s="207">
        <v>412</v>
      </c>
      <c r="D39" s="208">
        <v>32.869999999999997</v>
      </c>
      <c r="E39" s="208">
        <v>3.2870000000000003E-2</v>
      </c>
      <c r="F39" s="201">
        <v>0.6865</v>
      </c>
      <c r="G39" s="201">
        <v>7.9519999999999993E-2</v>
      </c>
      <c r="H39" s="201">
        <v>63.82</v>
      </c>
      <c r="I39" s="202">
        <v>6.8689999999999998</v>
      </c>
      <c r="L39" s="212">
        <v>1.7</v>
      </c>
      <c r="M39" s="213">
        <v>115.17</v>
      </c>
      <c r="N39" s="213">
        <v>1.0309999999999999</v>
      </c>
      <c r="O39" s="213">
        <v>0.97</v>
      </c>
      <c r="P39" s="213">
        <v>483.22</v>
      </c>
      <c r="Q39" s="214">
        <v>115.42</v>
      </c>
      <c r="R39" s="213">
        <v>2698.97</v>
      </c>
      <c r="S39" s="215">
        <v>644.64</v>
      </c>
      <c r="T39" s="213">
        <v>2215.75</v>
      </c>
      <c r="U39" s="214">
        <v>529.22</v>
      </c>
      <c r="V39" s="213">
        <v>2.0950000000000002</v>
      </c>
      <c r="W39" s="213">
        <v>1.2999999999999999E-5</v>
      </c>
      <c r="AG39" s="287">
        <v>340</v>
      </c>
      <c r="AH39" s="287">
        <v>0.11</v>
      </c>
      <c r="AJ39">
        <v>151.85</v>
      </c>
      <c r="AK39">
        <v>1.4E-5</v>
      </c>
      <c r="AT39" s="310"/>
      <c r="AU39" s="311">
        <v>34.863948000000001</v>
      </c>
      <c r="AV39" s="311">
        <v>33.575245000000002</v>
      </c>
      <c r="AW39" s="311">
        <v>32.280144</v>
      </c>
      <c r="AX39" s="311">
        <v>31.032833</v>
      </c>
      <c r="AY39" s="311">
        <v>29.808699000000001</v>
      </c>
      <c r="AZ39" s="311">
        <v>28.684104000000001</v>
      </c>
      <c r="BA39" s="311">
        <v>27.536208999999999</v>
      </c>
      <c r="BB39" s="311">
        <v>26.316464</v>
      </c>
    </row>
    <row r="40" spans="3:54" ht="16.8" x14ac:dyDescent="0.3">
      <c r="L40" s="212">
        <v>1.8</v>
      </c>
      <c r="M40" s="213">
        <v>116.93</v>
      </c>
      <c r="N40" s="213">
        <v>0.97699999999999998</v>
      </c>
      <c r="O40" s="213">
        <v>1.0229999999999999</v>
      </c>
      <c r="P40" s="213">
        <v>490.7</v>
      </c>
      <c r="Q40" s="214">
        <v>117.2</v>
      </c>
      <c r="R40" s="213">
        <v>2701.54</v>
      </c>
      <c r="S40" s="215">
        <v>645.25</v>
      </c>
      <c r="T40" s="213">
        <v>2210.84</v>
      </c>
      <c r="U40" s="214">
        <v>528.04999999999995</v>
      </c>
      <c r="V40" s="213">
        <v>2.1036999999999999</v>
      </c>
      <c r="W40" s="213">
        <v>1.2999999999999999E-5</v>
      </c>
      <c r="AG40" s="287">
        <v>360</v>
      </c>
      <c r="AH40" s="287">
        <v>0.17799999999999999</v>
      </c>
      <c r="AJ40">
        <v>155.47</v>
      </c>
      <c r="AK40">
        <v>1.4E-5</v>
      </c>
      <c r="AT40" s="310"/>
      <c r="AU40" s="311">
        <v>40.813217999999999</v>
      </c>
      <c r="AV40" s="311">
        <v>39.268259999999998</v>
      </c>
      <c r="AW40" s="311">
        <v>37.666514999999997</v>
      </c>
      <c r="AX40" s="311">
        <v>36.02196</v>
      </c>
      <c r="AY40" s="311">
        <v>34.349710999999999</v>
      </c>
      <c r="AZ40" s="311">
        <v>32.597518000000001</v>
      </c>
      <c r="BA40" s="311">
        <v>30.788229000000001</v>
      </c>
      <c r="BB40" s="311">
        <v>28.942661999999999</v>
      </c>
    </row>
    <row r="41" spans="3:54" ht="16.8" x14ac:dyDescent="0.3">
      <c r="L41" s="212">
        <v>1.9</v>
      </c>
      <c r="M41" s="213">
        <v>118.62</v>
      </c>
      <c r="N41" s="213">
        <v>0.92900000000000005</v>
      </c>
      <c r="O41" s="213">
        <v>1.0760000000000001</v>
      </c>
      <c r="P41" s="213">
        <v>497.85</v>
      </c>
      <c r="Q41" s="214">
        <v>118.91</v>
      </c>
      <c r="R41" s="213">
        <v>2703.98</v>
      </c>
      <c r="S41" s="215">
        <v>645.83000000000004</v>
      </c>
      <c r="T41" s="213">
        <v>2206.13</v>
      </c>
      <c r="U41" s="214">
        <v>526.91999999999996</v>
      </c>
      <c r="V41" s="213">
        <v>2.1124000000000001</v>
      </c>
      <c r="W41" s="213">
        <v>1.2999999999999999E-5</v>
      </c>
      <c r="AG41" s="287">
        <v>374.14</v>
      </c>
      <c r="AH41" s="286"/>
      <c r="AJ41">
        <v>158.84</v>
      </c>
      <c r="AK41">
        <v>1.4E-5</v>
      </c>
      <c r="AT41" s="310"/>
      <c r="AU41" s="311">
        <v>42.586632000000002</v>
      </c>
      <c r="AV41" s="311">
        <v>40.794794000000003</v>
      </c>
      <c r="AW41" s="311">
        <v>38.991508000000003</v>
      </c>
      <c r="AX41" s="311">
        <v>37.225172999999998</v>
      </c>
      <c r="AY41" s="311">
        <v>35.447274</v>
      </c>
      <c r="AZ41" s="311">
        <v>33.586554999999997</v>
      </c>
      <c r="BA41" s="311">
        <v>31.674443</v>
      </c>
      <c r="BB41" s="311">
        <v>29.712592999999998</v>
      </c>
    </row>
    <row r="42" spans="3:54" ht="16.8" x14ac:dyDescent="0.3">
      <c r="L42" s="212">
        <v>2</v>
      </c>
      <c r="M42" s="213">
        <v>120.23</v>
      </c>
      <c r="N42" s="213">
        <v>0.88500000000000001</v>
      </c>
      <c r="O42" s="213">
        <v>1.129</v>
      </c>
      <c r="P42" s="213">
        <v>504.71</v>
      </c>
      <c r="Q42" s="214">
        <v>120.55</v>
      </c>
      <c r="R42" s="213">
        <v>2706.29</v>
      </c>
      <c r="S42" s="215">
        <v>646.39</v>
      </c>
      <c r="T42" s="213">
        <v>2201.59</v>
      </c>
      <c r="U42" s="214">
        <v>525.84</v>
      </c>
      <c r="V42" s="213">
        <v>2.1208</v>
      </c>
      <c r="W42" s="213">
        <v>1.2999999999999999E-5</v>
      </c>
      <c r="AJ42">
        <v>161.99</v>
      </c>
      <c r="AK42">
        <v>1.4E-5</v>
      </c>
      <c r="AT42" s="310"/>
      <c r="AU42" s="311">
        <v>44.064652000000002</v>
      </c>
      <c r="AV42" s="311">
        <v>42.227566000000003</v>
      </c>
      <c r="AW42" s="311">
        <v>40.359248000000001</v>
      </c>
      <c r="AX42" s="311">
        <v>38.549281999999998</v>
      </c>
      <c r="AY42" s="311">
        <v>36.719011000000002</v>
      </c>
      <c r="AZ42" s="311">
        <v>34.827213</v>
      </c>
      <c r="BA42" s="311">
        <v>32.813875000000003</v>
      </c>
      <c r="BB42" s="311">
        <v>30.668088000000001</v>
      </c>
    </row>
    <row r="43" spans="3:54" ht="16.8" x14ac:dyDescent="0.3">
      <c r="L43" s="212">
        <v>2.2000000000000002</v>
      </c>
      <c r="M43" s="213">
        <v>123.27</v>
      </c>
      <c r="N43" s="213">
        <v>0.81</v>
      </c>
      <c r="O43" s="213">
        <v>1.2350000000000001</v>
      </c>
      <c r="P43" s="213">
        <v>517.63</v>
      </c>
      <c r="Q43" s="214">
        <v>123.63</v>
      </c>
      <c r="R43" s="213">
        <v>2710.6</v>
      </c>
      <c r="S43" s="215">
        <v>647.41999999999996</v>
      </c>
      <c r="T43" s="213">
        <v>2192.98</v>
      </c>
      <c r="U43" s="214">
        <v>523.78</v>
      </c>
      <c r="V43" s="213">
        <v>2.1372</v>
      </c>
      <c r="W43" s="213">
        <v>1.2999999999999999E-5</v>
      </c>
      <c r="AJ43">
        <v>164.96</v>
      </c>
      <c r="AK43">
        <v>1.5E-5</v>
      </c>
      <c r="AT43" s="310"/>
      <c r="AU43" s="311">
        <v>48.863017999999997</v>
      </c>
      <c r="AV43" s="311">
        <v>46.574489</v>
      </c>
      <c r="AW43" s="311">
        <v>44.430567000000003</v>
      </c>
      <c r="AX43" s="311">
        <v>42.495365999999997</v>
      </c>
      <c r="AY43" s="311">
        <v>40.503329999999998</v>
      </c>
      <c r="AZ43" s="311">
        <v>38.438617999999998</v>
      </c>
      <c r="BA43" s="311">
        <v>36.219296</v>
      </c>
      <c r="BB43" s="311">
        <v>33.800718000000003</v>
      </c>
    </row>
    <row r="44" spans="3:54" ht="16.8" x14ac:dyDescent="0.3">
      <c r="L44" s="212">
        <v>2.4</v>
      </c>
      <c r="M44" s="213">
        <v>126.09</v>
      </c>
      <c r="N44" s="213">
        <v>0.746</v>
      </c>
      <c r="O44" s="213">
        <v>1.34</v>
      </c>
      <c r="P44" s="213">
        <v>529.64</v>
      </c>
      <c r="Q44" s="214">
        <v>126.5</v>
      </c>
      <c r="R44" s="213">
        <v>2714.55</v>
      </c>
      <c r="S44" s="215">
        <v>648.36</v>
      </c>
      <c r="T44" s="213">
        <v>2184.91</v>
      </c>
      <c r="U44" s="214">
        <v>521.86</v>
      </c>
      <c r="V44" s="213">
        <v>2.1530999999999998</v>
      </c>
      <c r="W44" s="213">
        <v>1.2999999999999999E-5</v>
      </c>
      <c r="AJ44">
        <v>167.76</v>
      </c>
      <c r="AK44">
        <v>1.5E-5</v>
      </c>
      <c r="AT44" s="310"/>
      <c r="AU44" s="311">
        <v>54.486198000000002</v>
      </c>
      <c r="AV44" s="311">
        <v>52.950021</v>
      </c>
      <c r="AW44" s="311">
        <v>51.431935000000003</v>
      </c>
      <c r="AX44" s="311">
        <v>50.005850000000002</v>
      </c>
      <c r="AY44" s="311">
        <v>48.673025000000003</v>
      </c>
      <c r="AZ44" s="311">
        <v>47.364517999999997</v>
      </c>
      <c r="BA44" s="311">
        <v>46.004961999999999</v>
      </c>
      <c r="BB44" s="311">
        <v>44.665489000000001</v>
      </c>
    </row>
    <row r="45" spans="3:54" ht="16.8" x14ac:dyDescent="0.3">
      <c r="L45" s="212">
        <v>2.6</v>
      </c>
      <c r="M45" s="213">
        <v>128.72999999999999</v>
      </c>
      <c r="N45" s="213">
        <v>0.69299999999999995</v>
      </c>
      <c r="O45" s="213">
        <v>1.444</v>
      </c>
      <c r="P45" s="213">
        <v>540.88</v>
      </c>
      <c r="Q45" s="214">
        <v>129.19</v>
      </c>
      <c r="R45" s="213">
        <v>2718.17</v>
      </c>
      <c r="S45" s="215">
        <v>649.22</v>
      </c>
      <c r="T45" s="213">
        <v>2177.3000000000002</v>
      </c>
      <c r="U45" s="214">
        <v>520.04</v>
      </c>
      <c r="V45" s="213">
        <v>2.1684999999999999</v>
      </c>
      <c r="W45" s="213">
        <v>1.2999999999999999E-5</v>
      </c>
      <c r="AJ45">
        <v>170.42</v>
      </c>
      <c r="AK45">
        <v>1.5E-5</v>
      </c>
      <c r="AT45" s="310"/>
      <c r="AU45" s="311">
        <v>64.145194000000004</v>
      </c>
      <c r="AV45" s="311">
        <v>63.125342000000003</v>
      </c>
      <c r="AW45" s="311">
        <v>62.106442999999999</v>
      </c>
      <c r="AX45" s="311">
        <v>61.147388999999997</v>
      </c>
      <c r="AY45" s="311">
        <v>60.205548</v>
      </c>
      <c r="AZ45" s="311">
        <v>59.243823999999996</v>
      </c>
      <c r="BA45" s="311">
        <v>58.230696999999999</v>
      </c>
      <c r="BB45" s="311">
        <v>57.171840000000003</v>
      </c>
    </row>
    <row r="46" spans="3:54" ht="16.8" x14ac:dyDescent="0.3">
      <c r="L46" s="212">
        <v>2.8</v>
      </c>
      <c r="M46" s="213">
        <v>131.19999999999999</v>
      </c>
      <c r="N46" s="213">
        <v>0.64600000000000002</v>
      </c>
      <c r="O46" s="213">
        <v>1.548</v>
      </c>
      <c r="P46" s="213">
        <v>551.45000000000005</v>
      </c>
      <c r="Q46" s="214">
        <v>131.71</v>
      </c>
      <c r="R46" s="213">
        <v>2721.54</v>
      </c>
      <c r="S46" s="215">
        <v>650.03</v>
      </c>
      <c r="T46" s="213">
        <v>2170.08</v>
      </c>
      <c r="U46" s="214">
        <v>518.32000000000005</v>
      </c>
      <c r="V46" s="213">
        <v>2.1835</v>
      </c>
      <c r="W46" s="213">
        <v>1.2999999999999999E-5</v>
      </c>
      <c r="AJ46">
        <v>172.94</v>
      </c>
      <c r="AK46">
        <v>1.5E-5</v>
      </c>
      <c r="AT46" s="310"/>
      <c r="AU46" s="311">
        <v>49.655875000000002</v>
      </c>
      <c r="AV46" s="311">
        <v>48.481228999999999</v>
      </c>
      <c r="AW46" s="311">
        <v>47.419527000000002</v>
      </c>
      <c r="AX46" s="311">
        <v>46.419449</v>
      </c>
      <c r="AY46" s="311">
        <v>45.444065000000002</v>
      </c>
      <c r="AZ46" s="311">
        <v>44.489398999999999</v>
      </c>
      <c r="BA46" s="311">
        <v>43.585084999999999</v>
      </c>
      <c r="BB46" s="311">
        <v>46.422780000000003</v>
      </c>
    </row>
    <row r="47" spans="3:54" ht="16.8" x14ac:dyDescent="0.3">
      <c r="L47" s="212">
        <v>3</v>
      </c>
      <c r="M47" s="213">
        <v>133.54</v>
      </c>
      <c r="N47" s="213">
        <v>0.60599999999999998</v>
      </c>
      <c r="O47" s="213">
        <v>1.651</v>
      </c>
      <c r="P47" s="213">
        <v>561.44000000000005</v>
      </c>
      <c r="Q47" s="214">
        <v>134.1</v>
      </c>
      <c r="R47" s="213">
        <v>2724.66</v>
      </c>
      <c r="S47" s="215">
        <v>650.77</v>
      </c>
      <c r="T47" s="213">
        <v>2163.2199999999998</v>
      </c>
      <c r="U47" s="214">
        <v>516.67999999999995</v>
      </c>
      <c r="V47" s="213">
        <v>2.1981000000000002</v>
      </c>
      <c r="W47" s="213">
        <v>1.2999999999999999E-5</v>
      </c>
      <c r="AJ47">
        <v>175.36</v>
      </c>
      <c r="AK47">
        <v>1.5E-5</v>
      </c>
      <c r="AT47" s="310"/>
      <c r="AU47" s="311">
        <v>49.928320999999997</v>
      </c>
      <c r="AV47" s="311">
        <v>48.692737000000001</v>
      </c>
      <c r="AW47" s="311">
        <v>47.563428000000002</v>
      </c>
      <c r="AX47" s="311">
        <v>46.422493000000003</v>
      </c>
      <c r="AY47" s="311">
        <v>45.329684</v>
      </c>
      <c r="AZ47" s="311">
        <v>44.075462999999999</v>
      </c>
      <c r="BA47" s="311">
        <v>43.083086999999999</v>
      </c>
      <c r="BB47" s="311">
        <v>42.387746</v>
      </c>
    </row>
    <row r="48" spans="3:54" ht="16.8" x14ac:dyDescent="0.3">
      <c r="L48" s="212">
        <v>3.5</v>
      </c>
      <c r="M48" s="213">
        <v>138.87</v>
      </c>
      <c r="N48" s="213">
        <v>0.52400000000000002</v>
      </c>
      <c r="O48" s="213">
        <v>1.9079999999999999</v>
      </c>
      <c r="P48" s="213">
        <v>584.28</v>
      </c>
      <c r="Q48" s="214">
        <v>139.55000000000001</v>
      </c>
      <c r="R48" s="213">
        <v>2731.63</v>
      </c>
      <c r="S48" s="215">
        <v>652.44000000000005</v>
      </c>
      <c r="T48" s="213">
        <v>2147.35</v>
      </c>
      <c r="U48" s="214">
        <v>512.89</v>
      </c>
      <c r="V48" s="213">
        <v>2.2330999999999999</v>
      </c>
      <c r="W48" s="213">
        <v>1.4E-5</v>
      </c>
      <c r="AJ48">
        <v>177.67</v>
      </c>
      <c r="AK48">
        <v>1.5E-5</v>
      </c>
      <c r="AT48" s="310"/>
      <c r="AU48" s="311">
        <v>58.306556</v>
      </c>
      <c r="AV48" s="311">
        <v>57.379024999999999</v>
      </c>
      <c r="AW48" s="311">
        <v>56.459139</v>
      </c>
      <c r="AX48" s="311">
        <v>55.490321000000002</v>
      </c>
      <c r="AY48" s="311">
        <v>54.502575</v>
      </c>
      <c r="AZ48" s="311">
        <v>53.464545000000001</v>
      </c>
      <c r="BA48" s="311">
        <v>52.395246</v>
      </c>
      <c r="BB48" s="311">
        <v>51.295234999999998</v>
      </c>
    </row>
    <row r="49" spans="12:54" ht="16.8" x14ac:dyDescent="0.3">
      <c r="L49" s="212">
        <v>4</v>
      </c>
      <c r="M49" s="213">
        <v>143.63</v>
      </c>
      <c r="N49" s="213">
        <v>0.46200000000000002</v>
      </c>
      <c r="O49" s="213">
        <v>2.1629999999999998</v>
      </c>
      <c r="P49" s="213">
        <v>604.67999999999995</v>
      </c>
      <c r="Q49" s="214">
        <v>144.43</v>
      </c>
      <c r="R49" s="213">
        <v>2737.63</v>
      </c>
      <c r="S49" s="215">
        <v>653.87</v>
      </c>
      <c r="T49" s="213">
        <v>2132.9499999999998</v>
      </c>
      <c r="U49" s="214">
        <v>509.45</v>
      </c>
      <c r="V49" s="213">
        <v>2.2664</v>
      </c>
      <c r="W49" s="213">
        <v>1.4E-5</v>
      </c>
      <c r="AJ49">
        <v>179.88</v>
      </c>
      <c r="AK49">
        <v>1.5E-5</v>
      </c>
      <c r="AT49" s="310"/>
      <c r="AU49" s="311">
        <v>51.455466000000001</v>
      </c>
      <c r="AV49" s="311">
        <v>50.288369000000003</v>
      </c>
      <c r="AW49" s="311">
        <v>49.065288000000002</v>
      </c>
      <c r="AX49" s="311">
        <v>47.892176999999997</v>
      </c>
      <c r="AY49" s="311">
        <v>46.762172999999997</v>
      </c>
      <c r="AZ49" s="311">
        <v>45.621901000000001</v>
      </c>
      <c r="BA49" s="311">
        <v>44.559617000000003</v>
      </c>
      <c r="BB49" s="311">
        <v>43.593997999999999</v>
      </c>
    </row>
    <row r="50" spans="12:54" ht="16.8" x14ac:dyDescent="0.3">
      <c r="L50" s="212">
        <v>4.5</v>
      </c>
      <c r="M50" s="213">
        <v>147.91999999999999</v>
      </c>
      <c r="N50" s="213">
        <v>0.41399999999999998</v>
      </c>
      <c r="O50" s="213">
        <v>2.4169999999999998</v>
      </c>
      <c r="P50" s="213">
        <v>623.16999999999996</v>
      </c>
      <c r="Q50" s="214">
        <v>148.84</v>
      </c>
      <c r="R50" s="213">
        <v>2742.88</v>
      </c>
      <c r="S50" s="215">
        <v>655.13</v>
      </c>
      <c r="T50" s="213">
        <v>2119.71</v>
      </c>
      <c r="U50" s="214">
        <v>506.29</v>
      </c>
      <c r="V50" s="213">
        <v>2.2982999999999998</v>
      </c>
      <c r="W50" s="213">
        <v>1.4E-5</v>
      </c>
      <c r="AJ50">
        <v>184.06</v>
      </c>
      <c r="AK50">
        <v>1.5E-5</v>
      </c>
      <c r="AT50" s="310"/>
      <c r="AU50" s="311">
        <v>60.770311999999997</v>
      </c>
      <c r="AV50" s="311">
        <v>59.858260000000001</v>
      </c>
      <c r="AW50" s="311">
        <v>58.930352999999997</v>
      </c>
      <c r="AX50" s="311">
        <v>58.013612000000002</v>
      </c>
      <c r="AY50" s="311">
        <v>57.078907000000001</v>
      </c>
      <c r="AZ50" s="311">
        <v>56.092768999999997</v>
      </c>
      <c r="BA50" s="311">
        <v>55.058748999999999</v>
      </c>
      <c r="BB50" s="311">
        <v>53.942577999999997</v>
      </c>
    </row>
    <row r="51" spans="12:54" ht="16.8" x14ac:dyDescent="0.3">
      <c r="L51" s="212">
        <v>5</v>
      </c>
      <c r="M51" s="213">
        <v>151.85</v>
      </c>
      <c r="N51" s="213">
        <v>0.375</v>
      </c>
      <c r="O51" s="213">
        <v>2.669</v>
      </c>
      <c r="P51" s="213">
        <v>640.12</v>
      </c>
      <c r="Q51" s="214">
        <v>152.88999999999999</v>
      </c>
      <c r="R51" s="213">
        <v>2747.54</v>
      </c>
      <c r="S51" s="215">
        <v>656.24</v>
      </c>
      <c r="T51" s="213">
        <v>2107.42</v>
      </c>
      <c r="U51" s="214">
        <v>503.35</v>
      </c>
      <c r="V51" s="213">
        <v>2.3289</v>
      </c>
      <c r="W51" s="213">
        <v>1.4E-5</v>
      </c>
      <c r="AJ51">
        <v>187.96</v>
      </c>
      <c r="AK51">
        <v>1.5E-5</v>
      </c>
      <c r="AT51" s="310"/>
      <c r="AU51" s="311">
        <v>61.267519</v>
      </c>
      <c r="AV51" s="311">
        <v>60.144587000000001</v>
      </c>
      <c r="AW51" s="311">
        <v>59.018526999999999</v>
      </c>
      <c r="AX51" s="311">
        <v>57.814793999999999</v>
      </c>
      <c r="AY51" s="311">
        <v>56.498958000000002</v>
      </c>
      <c r="AZ51" s="311">
        <v>55.002980000000001</v>
      </c>
      <c r="BA51" s="311">
        <v>53.253036000000002</v>
      </c>
      <c r="BB51" s="311">
        <v>51.190344000000003</v>
      </c>
    </row>
    <row r="52" spans="12:54" ht="16.8" x14ac:dyDescent="0.3">
      <c r="L52" s="212">
        <v>5.5</v>
      </c>
      <c r="M52" s="213">
        <v>155.47</v>
      </c>
      <c r="N52" s="213">
        <v>0.34200000000000003</v>
      </c>
      <c r="O52" s="213">
        <v>2.92</v>
      </c>
      <c r="P52" s="213">
        <v>655.81</v>
      </c>
      <c r="Q52" s="214">
        <v>156.63999999999999</v>
      </c>
      <c r="R52" s="213">
        <v>2751.7</v>
      </c>
      <c r="S52" s="215">
        <v>657.23</v>
      </c>
      <c r="T52" s="213">
        <v>2095.9</v>
      </c>
      <c r="U52" s="214">
        <v>500.6</v>
      </c>
      <c r="V52" s="213">
        <v>2.3584999999999998</v>
      </c>
      <c r="W52" s="213">
        <v>1.4E-5</v>
      </c>
      <c r="AJ52">
        <v>191.6</v>
      </c>
      <c r="AK52">
        <v>1.5E-5</v>
      </c>
      <c r="AT52" s="310"/>
      <c r="AU52" s="311">
        <v>63.973528999999999</v>
      </c>
      <c r="AV52" s="311">
        <v>62.808115999999998</v>
      </c>
      <c r="AW52" s="311">
        <v>61.546987999999999</v>
      </c>
      <c r="AX52" s="311">
        <v>60.192712</v>
      </c>
      <c r="AY52" s="311">
        <v>58.703594000000002</v>
      </c>
      <c r="AZ52" s="311">
        <v>57.063249999999996</v>
      </c>
      <c r="BA52" s="311">
        <v>55.186489999999999</v>
      </c>
      <c r="BB52" s="311">
        <v>53.012203999999997</v>
      </c>
    </row>
    <row r="53" spans="12:54" ht="16.8" x14ac:dyDescent="0.3">
      <c r="L53" s="212">
        <v>6</v>
      </c>
      <c r="M53" s="213">
        <v>158.84</v>
      </c>
      <c r="N53" s="213">
        <v>0.315</v>
      </c>
      <c r="O53" s="213">
        <v>3.17</v>
      </c>
      <c r="P53" s="213">
        <v>670.43</v>
      </c>
      <c r="Q53" s="214">
        <v>160.13</v>
      </c>
      <c r="R53" s="213">
        <v>2755.46</v>
      </c>
      <c r="S53" s="215">
        <v>658.13</v>
      </c>
      <c r="T53" s="213">
        <v>2085.0300000000002</v>
      </c>
      <c r="U53" s="214">
        <v>498</v>
      </c>
      <c r="V53" s="213">
        <v>2.3873000000000002</v>
      </c>
      <c r="W53" s="213">
        <v>1.4E-5</v>
      </c>
      <c r="AJ53">
        <v>195.04</v>
      </c>
      <c r="AK53">
        <v>1.5999999999999999E-5</v>
      </c>
      <c r="AT53" s="310"/>
      <c r="AU53" s="311">
        <v>64.415647000000007</v>
      </c>
      <c r="AV53" s="311">
        <v>63.232568999999998</v>
      </c>
      <c r="AW53" s="311">
        <v>64.216752999999997</v>
      </c>
      <c r="AX53" s="311">
        <v>62.782347000000001</v>
      </c>
      <c r="AY53" s="311">
        <v>61.274678999999999</v>
      </c>
      <c r="AZ53" s="311">
        <v>59.586528999999999</v>
      </c>
      <c r="BA53" s="311">
        <v>57.614184999999999</v>
      </c>
      <c r="BB53" s="311">
        <v>55.322837</v>
      </c>
    </row>
    <row r="54" spans="12:54" ht="16.8" x14ac:dyDescent="0.3">
      <c r="L54" s="212">
        <v>6.5</v>
      </c>
      <c r="M54" s="213">
        <v>161.99</v>
      </c>
      <c r="N54" s="213">
        <v>0.29199999999999998</v>
      </c>
      <c r="O54" s="213">
        <v>3.419</v>
      </c>
      <c r="P54" s="213">
        <v>684.14</v>
      </c>
      <c r="Q54" s="214">
        <v>163.4</v>
      </c>
      <c r="R54" s="213">
        <v>2758.87</v>
      </c>
      <c r="S54" s="215">
        <v>658.94</v>
      </c>
      <c r="T54" s="213">
        <v>2074.73</v>
      </c>
      <c r="U54" s="214">
        <v>495.54</v>
      </c>
      <c r="V54" s="213">
        <v>2.4152</v>
      </c>
      <c r="W54" s="213">
        <v>1.4E-5</v>
      </c>
      <c r="AJ54">
        <v>198.28</v>
      </c>
      <c r="AK54">
        <v>1.5999999999999999E-5</v>
      </c>
      <c r="AT54" s="310"/>
      <c r="AU54" s="311">
        <v>61.981763999999998</v>
      </c>
      <c r="AV54" s="311">
        <v>60.796024000000003</v>
      </c>
      <c r="AW54" s="311">
        <v>59.291890000000002</v>
      </c>
      <c r="AX54" s="311">
        <v>57.491602999999998</v>
      </c>
      <c r="AY54" s="311">
        <v>55.432755</v>
      </c>
      <c r="AZ54" s="311">
        <v>53.144894000000001</v>
      </c>
      <c r="BA54" s="311">
        <v>50.653033999999998</v>
      </c>
      <c r="BB54" s="311">
        <v>48.023010999999997</v>
      </c>
    </row>
    <row r="55" spans="12:54" ht="16.8" x14ac:dyDescent="0.3">
      <c r="L55" s="212">
        <v>7</v>
      </c>
      <c r="M55" s="213">
        <v>164.96</v>
      </c>
      <c r="N55" s="213">
        <v>0.27300000000000002</v>
      </c>
      <c r="O55" s="213">
        <v>3.6669999999999998</v>
      </c>
      <c r="P55" s="213">
        <v>697.07</v>
      </c>
      <c r="Q55" s="214">
        <v>166.49</v>
      </c>
      <c r="R55" s="213">
        <v>2761.98</v>
      </c>
      <c r="S55" s="215">
        <v>659.69</v>
      </c>
      <c r="T55" s="213">
        <v>2064.92</v>
      </c>
      <c r="U55" s="214">
        <v>493.2</v>
      </c>
      <c r="V55" s="213">
        <v>2.4424000000000001</v>
      </c>
      <c r="W55" s="213">
        <v>1.5E-5</v>
      </c>
      <c r="AJ55">
        <v>201.37</v>
      </c>
      <c r="AK55">
        <v>1.5999999999999999E-5</v>
      </c>
      <c r="AT55" s="310"/>
      <c r="AU55" s="311">
        <v>66.785781999999998</v>
      </c>
      <c r="AV55" s="311">
        <v>65.348628000000005</v>
      </c>
      <c r="AW55" s="311">
        <v>63.738050000000001</v>
      </c>
      <c r="AX55" s="311">
        <v>61.994284999999998</v>
      </c>
      <c r="AY55" s="311">
        <v>60.061084000000001</v>
      </c>
      <c r="AZ55" s="311">
        <v>57.889406000000001</v>
      </c>
      <c r="BA55" s="311">
        <v>55.512287999999998</v>
      </c>
      <c r="BB55" s="311">
        <v>52.778323999999998</v>
      </c>
    </row>
    <row r="56" spans="12:54" ht="16.8" x14ac:dyDescent="0.3">
      <c r="L56" s="212">
        <v>7.5</v>
      </c>
      <c r="M56" s="213">
        <v>167.76</v>
      </c>
      <c r="N56" s="213">
        <v>0.255</v>
      </c>
      <c r="O56" s="213">
        <v>3.915</v>
      </c>
      <c r="P56" s="213">
        <v>709.3</v>
      </c>
      <c r="Q56" s="214">
        <v>169.41</v>
      </c>
      <c r="R56" s="213">
        <v>2764.84</v>
      </c>
      <c r="S56" s="215">
        <v>660.37</v>
      </c>
      <c r="T56" s="213">
        <v>2055.5300000000002</v>
      </c>
      <c r="U56" s="214">
        <v>490.96</v>
      </c>
      <c r="V56" s="213">
        <v>2.4689999999999999</v>
      </c>
      <c r="W56" s="213">
        <v>1.5E-5</v>
      </c>
      <c r="AJ56">
        <v>204.3</v>
      </c>
      <c r="AK56">
        <v>1.5999999999999999E-5</v>
      </c>
      <c r="AT56" s="310"/>
      <c r="AU56" s="311">
        <v>68.701950999999994</v>
      </c>
      <c r="AV56" s="311">
        <v>67.059042000000005</v>
      </c>
      <c r="AW56" s="311">
        <v>65.320991000000006</v>
      </c>
      <c r="AX56" s="311">
        <v>63.546045999999997</v>
      </c>
      <c r="AY56" s="311">
        <v>61.689374999999998</v>
      </c>
      <c r="AZ56" s="311">
        <v>59.543018000000004</v>
      </c>
      <c r="BA56" s="311">
        <v>57.119134000000003</v>
      </c>
      <c r="BB56" s="311">
        <v>54.462004</v>
      </c>
    </row>
    <row r="57" spans="12:54" ht="16.8" x14ac:dyDescent="0.3">
      <c r="L57" s="212">
        <v>8</v>
      </c>
      <c r="M57" s="213">
        <v>170.42</v>
      </c>
      <c r="N57" s="213">
        <v>0.24</v>
      </c>
      <c r="O57" s="213">
        <v>4.1619999999999999</v>
      </c>
      <c r="P57" s="213">
        <v>720.94</v>
      </c>
      <c r="Q57" s="214">
        <v>172.19</v>
      </c>
      <c r="R57" s="213">
        <v>2767.46</v>
      </c>
      <c r="S57" s="215">
        <v>661</v>
      </c>
      <c r="T57" s="213">
        <v>2046.53</v>
      </c>
      <c r="U57" s="214">
        <v>488.8</v>
      </c>
      <c r="V57" s="213">
        <v>2.4950999999999999</v>
      </c>
      <c r="W57" s="213">
        <v>1.5E-5</v>
      </c>
      <c r="AJ57">
        <v>207.11</v>
      </c>
      <c r="AK57">
        <v>1.5999999999999999E-5</v>
      </c>
      <c r="AT57" s="310"/>
      <c r="AU57" s="311">
        <v>55.807603999999998</v>
      </c>
      <c r="AV57" s="311">
        <v>54.877102000000001</v>
      </c>
      <c r="AW57" s="311">
        <v>54.037143999999998</v>
      </c>
      <c r="AX57" s="311">
        <v>53.254486</v>
      </c>
      <c r="AY57" s="311">
        <v>52.571784000000001</v>
      </c>
      <c r="AZ57" s="311">
        <v>52.020988000000003</v>
      </c>
      <c r="BA57" s="311">
        <v>54.766243000000003</v>
      </c>
      <c r="BB57" s="311">
        <v>53.332971000000001</v>
      </c>
    </row>
    <row r="58" spans="12:54" ht="16.8" x14ac:dyDescent="0.3">
      <c r="L58" s="212">
        <v>8.5</v>
      </c>
      <c r="M58" s="213">
        <v>172.94</v>
      </c>
      <c r="N58" s="213">
        <v>0.22700000000000001</v>
      </c>
      <c r="O58" s="213">
        <v>4.4089999999999998</v>
      </c>
      <c r="P58" s="213">
        <v>732.03</v>
      </c>
      <c r="Q58" s="214">
        <v>174.84</v>
      </c>
      <c r="R58" s="213">
        <v>2769.89</v>
      </c>
      <c r="S58" s="215">
        <v>661.58</v>
      </c>
      <c r="T58" s="213">
        <v>2037.86</v>
      </c>
      <c r="U58" s="214">
        <v>486.73</v>
      </c>
      <c r="V58" s="213">
        <v>2.5206</v>
      </c>
      <c r="W58" s="213">
        <v>1.5E-5</v>
      </c>
      <c r="AJ58">
        <v>209.79</v>
      </c>
      <c r="AK58">
        <v>1.5999999999999999E-5</v>
      </c>
      <c r="AT58" s="310"/>
      <c r="AU58" s="311">
        <v>57.452826999999999</v>
      </c>
      <c r="AV58" s="311">
        <v>56.404100999999997</v>
      </c>
      <c r="AW58" s="311">
        <v>55.435811000000001</v>
      </c>
      <c r="AX58" s="311">
        <v>54.509937000000001</v>
      </c>
      <c r="AY58" s="311">
        <v>53.686093</v>
      </c>
      <c r="AZ58" s="311">
        <v>52.979536000000003</v>
      </c>
      <c r="BA58" s="311">
        <v>52.485928000000001</v>
      </c>
      <c r="BB58" s="311">
        <v>55.790990000000001</v>
      </c>
    </row>
    <row r="59" spans="12:54" ht="16.8" x14ac:dyDescent="0.3">
      <c r="L59" s="212">
        <v>9</v>
      </c>
      <c r="M59" s="213">
        <v>175.36</v>
      </c>
      <c r="N59" s="213">
        <v>0.215</v>
      </c>
      <c r="O59" s="213">
        <v>4.6550000000000002</v>
      </c>
      <c r="P59" s="213">
        <v>742.64</v>
      </c>
      <c r="Q59" s="214">
        <v>177.38</v>
      </c>
      <c r="R59" s="213">
        <v>2772.13</v>
      </c>
      <c r="S59" s="215">
        <v>662.11</v>
      </c>
      <c r="T59" s="213">
        <v>2029.49</v>
      </c>
      <c r="U59" s="214">
        <v>484.74</v>
      </c>
      <c r="V59" s="213">
        <v>2.5455999999999999</v>
      </c>
      <c r="W59" s="213">
        <v>1.5E-5</v>
      </c>
      <c r="AJ59">
        <v>212.37</v>
      </c>
      <c r="AK59">
        <v>1.5999999999999999E-5</v>
      </c>
      <c r="AT59" s="310"/>
      <c r="AU59" s="311">
        <v>59.930374999999998</v>
      </c>
      <c r="AV59" s="311">
        <v>58.639603000000001</v>
      </c>
      <c r="AW59" s="311">
        <v>57.429135000000002</v>
      </c>
      <c r="AX59" s="311">
        <v>56.282423000000001</v>
      </c>
      <c r="AY59" s="311">
        <v>55.256805999999997</v>
      </c>
      <c r="AZ59" s="311">
        <v>54.345412000000003</v>
      </c>
      <c r="BA59" s="311">
        <v>53.664259999999999</v>
      </c>
      <c r="BB59" s="311">
        <v>53.293275999999999</v>
      </c>
    </row>
    <row r="60" spans="12:54" ht="16.8" x14ac:dyDescent="0.3">
      <c r="L60" s="212">
        <v>9.5</v>
      </c>
      <c r="M60" s="213">
        <v>177.67</v>
      </c>
      <c r="N60" s="213">
        <v>0.20399999999999999</v>
      </c>
      <c r="O60" s="213">
        <v>4.9009999999999998</v>
      </c>
      <c r="P60" s="213">
        <v>752.82</v>
      </c>
      <c r="Q60" s="214">
        <v>179.81</v>
      </c>
      <c r="R60" s="213">
        <v>2774.22</v>
      </c>
      <c r="S60" s="215">
        <v>662.61</v>
      </c>
      <c r="T60" s="213">
        <v>2021.4</v>
      </c>
      <c r="U60" s="214">
        <v>482.8</v>
      </c>
      <c r="V60" s="213">
        <v>2.5701999999999998</v>
      </c>
      <c r="W60" s="213">
        <v>1.5E-5</v>
      </c>
      <c r="AJ60">
        <v>214.85</v>
      </c>
      <c r="AK60">
        <v>1.5999999999999999E-5</v>
      </c>
      <c r="AT60" s="310"/>
      <c r="AU60" s="311">
        <v>33.909227000000001</v>
      </c>
      <c r="AV60" s="311">
        <v>32.773470000000003</v>
      </c>
      <c r="AW60" s="311">
        <v>31.649751999999999</v>
      </c>
      <c r="AX60" s="311">
        <v>30.558724999999999</v>
      </c>
      <c r="AY60" s="311">
        <v>29.457826000000001</v>
      </c>
      <c r="AZ60" s="311">
        <v>28.342210999999999</v>
      </c>
      <c r="BA60" s="311">
        <v>27.233059999999998</v>
      </c>
      <c r="BB60" s="311">
        <v>26.119299999999999</v>
      </c>
    </row>
    <row r="61" spans="12:54" ht="16.8" x14ac:dyDescent="0.3">
      <c r="L61" s="212">
        <v>10</v>
      </c>
      <c r="M61" s="213">
        <v>179.88</v>
      </c>
      <c r="N61" s="213">
        <v>0.19400000000000001</v>
      </c>
      <c r="O61" s="213">
        <v>5.1470000000000002</v>
      </c>
      <c r="P61" s="213">
        <v>762.6</v>
      </c>
      <c r="Q61" s="214">
        <v>182.14</v>
      </c>
      <c r="R61" s="213">
        <v>2776.16</v>
      </c>
      <c r="S61" s="215">
        <v>663.07</v>
      </c>
      <c r="T61" s="213">
        <v>2013.56</v>
      </c>
      <c r="U61" s="214">
        <v>480.93</v>
      </c>
      <c r="V61" s="213">
        <v>2.5943999999999998</v>
      </c>
      <c r="W61" s="213">
        <v>1.5E-5</v>
      </c>
      <c r="AJ61">
        <v>217.24</v>
      </c>
      <c r="AK61">
        <v>1.5999999999999999E-5</v>
      </c>
      <c r="AT61" s="310"/>
      <c r="AU61" s="311">
        <v>34.834148999999996</v>
      </c>
      <c r="AV61" s="311">
        <v>33.568759</v>
      </c>
      <c r="AW61" s="311">
        <v>32.293622999999997</v>
      </c>
      <c r="AX61" s="311">
        <v>31.077124999999999</v>
      </c>
      <c r="AY61" s="311">
        <v>29.872838000000002</v>
      </c>
      <c r="AZ61" s="311">
        <v>28.631768999999998</v>
      </c>
      <c r="BA61" s="311">
        <v>27.411211999999999</v>
      </c>
      <c r="BB61" s="311">
        <v>26.052212999999998</v>
      </c>
    </row>
    <row r="62" spans="12:54" ht="16.8" x14ac:dyDescent="0.3">
      <c r="L62" s="212">
        <v>11</v>
      </c>
      <c r="M62" s="213">
        <v>184.06</v>
      </c>
      <c r="N62" s="213">
        <v>0.17699999999999999</v>
      </c>
      <c r="O62" s="213">
        <v>5.6379999999999999</v>
      </c>
      <c r="P62" s="213">
        <v>781.11</v>
      </c>
      <c r="Q62" s="214">
        <v>186.57</v>
      </c>
      <c r="R62" s="213">
        <v>2779.66</v>
      </c>
      <c r="S62" s="215">
        <v>663.91</v>
      </c>
      <c r="T62" s="213">
        <v>1998.55</v>
      </c>
      <c r="U62" s="214">
        <v>477.35</v>
      </c>
      <c r="V62" s="213">
        <v>2.6417999999999999</v>
      </c>
      <c r="W62" s="213">
        <v>1.5E-5</v>
      </c>
      <c r="AJ62">
        <v>219.55</v>
      </c>
      <c r="AK62">
        <v>1.5999999999999999E-5</v>
      </c>
      <c r="AT62" s="310"/>
      <c r="AU62" s="311">
        <v>36.667746999999999</v>
      </c>
      <c r="AV62" s="311">
        <v>35.164679999999997</v>
      </c>
      <c r="AW62" s="311">
        <v>33.676124999999999</v>
      </c>
      <c r="AX62" s="311">
        <v>32.273862000000001</v>
      </c>
      <c r="AY62" s="311">
        <v>30.983011000000001</v>
      </c>
      <c r="AZ62" s="311">
        <v>29.630026999999998</v>
      </c>
      <c r="BA62" s="311">
        <v>28.241385000000001</v>
      </c>
      <c r="BB62" s="311">
        <v>26.802240000000001</v>
      </c>
    </row>
    <row r="63" spans="12:54" ht="16.8" x14ac:dyDescent="0.3">
      <c r="L63" s="212">
        <v>12</v>
      </c>
      <c r="M63" s="213">
        <v>187.96</v>
      </c>
      <c r="N63" s="213">
        <v>0.16300000000000001</v>
      </c>
      <c r="O63" s="213">
        <v>6.1269999999999998</v>
      </c>
      <c r="P63" s="213">
        <v>798.42</v>
      </c>
      <c r="Q63" s="214">
        <v>190.7</v>
      </c>
      <c r="R63" s="213">
        <v>2782.73</v>
      </c>
      <c r="S63" s="215">
        <v>664.64</v>
      </c>
      <c r="T63" s="213">
        <v>1984.31</v>
      </c>
      <c r="U63" s="214">
        <v>473.94</v>
      </c>
      <c r="V63" s="213">
        <v>2.6878000000000002</v>
      </c>
      <c r="W63" s="213">
        <v>1.5E-5</v>
      </c>
      <c r="AJ63">
        <v>221.78</v>
      </c>
      <c r="AK63">
        <v>1.7E-5</v>
      </c>
      <c r="AT63" s="310"/>
      <c r="AU63" s="311">
        <v>38.469971999999999</v>
      </c>
      <c r="AV63" s="311">
        <v>37.136049</v>
      </c>
      <c r="AW63" s="311">
        <v>35.860069000000003</v>
      </c>
      <c r="AX63" s="311">
        <v>34.612200000000001</v>
      </c>
      <c r="AY63" s="311">
        <v>33.410029999999999</v>
      </c>
      <c r="AZ63" s="311">
        <v>32.199514999999998</v>
      </c>
      <c r="BA63" s="311">
        <v>31.045134000000001</v>
      </c>
      <c r="BB63" s="311">
        <v>34.478828999999998</v>
      </c>
    </row>
    <row r="64" spans="12:54" ht="16.8" x14ac:dyDescent="0.3">
      <c r="L64" s="212">
        <v>13</v>
      </c>
      <c r="M64" s="213">
        <v>191.6</v>
      </c>
      <c r="N64" s="213">
        <v>0.151</v>
      </c>
      <c r="O64" s="213">
        <v>6.617</v>
      </c>
      <c r="P64" s="213">
        <v>814.68</v>
      </c>
      <c r="Q64" s="214">
        <v>194.58</v>
      </c>
      <c r="R64" s="213">
        <v>2785.42</v>
      </c>
      <c r="S64" s="215">
        <v>665.29</v>
      </c>
      <c r="T64" s="213">
        <v>1970.73</v>
      </c>
      <c r="U64" s="214">
        <v>470.7</v>
      </c>
      <c r="V64" s="213">
        <v>2.7326999999999999</v>
      </c>
      <c r="W64" s="213">
        <v>1.5E-5</v>
      </c>
      <c r="AJ64">
        <v>223.94</v>
      </c>
      <c r="AK64">
        <v>1.7E-5</v>
      </c>
      <c r="AT64" s="310"/>
      <c r="AU64" s="311">
        <v>40.410449</v>
      </c>
      <c r="AV64" s="311">
        <v>38.852353000000001</v>
      </c>
      <c r="AW64" s="311">
        <v>37.305995000000003</v>
      </c>
      <c r="AX64" s="311">
        <v>35.847442999999998</v>
      </c>
      <c r="AY64" s="311">
        <v>34.451397</v>
      </c>
      <c r="AZ64" s="311">
        <v>33.164257999999997</v>
      </c>
      <c r="BA64" s="311">
        <v>31.828994000000002</v>
      </c>
      <c r="BB64" s="311">
        <v>30.520726</v>
      </c>
    </row>
    <row r="65" spans="12:54" ht="16.8" x14ac:dyDescent="0.3">
      <c r="L65" s="212">
        <v>14</v>
      </c>
      <c r="M65" s="213">
        <v>195.04</v>
      </c>
      <c r="N65" s="213">
        <v>0.14099999999999999</v>
      </c>
      <c r="O65" s="213">
        <v>7.1059999999999999</v>
      </c>
      <c r="P65" s="213">
        <v>830.05</v>
      </c>
      <c r="Q65" s="214">
        <v>198.26</v>
      </c>
      <c r="R65" s="213">
        <v>2787.79</v>
      </c>
      <c r="S65" s="215">
        <v>665.85</v>
      </c>
      <c r="T65" s="213">
        <v>1957.73</v>
      </c>
      <c r="U65" s="214">
        <v>467.6</v>
      </c>
      <c r="V65" s="213">
        <v>2.7766999999999999</v>
      </c>
      <c r="W65" s="213">
        <v>1.5999999999999999E-5</v>
      </c>
      <c r="AJ65">
        <v>226.03</v>
      </c>
      <c r="AK65">
        <v>1.7E-5</v>
      </c>
      <c r="AT65" s="310"/>
      <c r="AU65" s="311">
        <v>41.331902999999997</v>
      </c>
      <c r="AV65" s="311">
        <v>39.579034</v>
      </c>
      <c r="AW65" s="311">
        <v>37.860686999999999</v>
      </c>
      <c r="AX65" s="311">
        <v>36.306663999999998</v>
      </c>
      <c r="AY65" s="311">
        <v>34.810149000000003</v>
      </c>
      <c r="AZ65" s="311">
        <v>33.305812000000003</v>
      </c>
      <c r="BA65" s="311">
        <v>31.842303000000001</v>
      </c>
      <c r="BB65" s="311">
        <v>30.416865999999999</v>
      </c>
    </row>
    <row r="66" spans="12:54" ht="16.8" x14ac:dyDescent="0.3">
      <c r="L66" s="212">
        <v>15</v>
      </c>
      <c r="M66" s="213">
        <v>198.28</v>
      </c>
      <c r="N66" s="213">
        <v>0.13200000000000001</v>
      </c>
      <c r="O66" s="213">
        <v>7.5960000000000001</v>
      </c>
      <c r="P66" s="213">
        <v>844.64</v>
      </c>
      <c r="Q66" s="214">
        <v>201.74</v>
      </c>
      <c r="R66" s="213">
        <v>2789.88</v>
      </c>
      <c r="S66" s="215">
        <v>666.35</v>
      </c>
      <c r="T66" s="213">
        <v>1945.24</v>
      </c>
      <c r="U66" s="214">
        <v>464.61</v>
      </c>
      <c r="V66" s="213">
        <v>2.8197000000000001</v>
      </c>
      <c r="W66" s="213">
        <v>1.5999999999999999E-5</v>
      </c>
      <c r="AJ66">
        <v>228.06</v>
      </c>
      <c r="AK66">
        <v>1.7E-5</v>
      </c>
      <c r="AT66" s="310"/>
      <c r="AU66" s="311">
        <v>30.338436999999999</v>
      </c>
      <c r="AV66" s="311">
        <v>29.331565000000001</v>
      </c>
      <c r="AW66" s="311">
        <v>28.334755000000001</v>
      </c>
      <c r="AX66" s="311">
        <v>27.333210999999999</v>
      </c>
      <c r="AY66" s="311">
        <v>26.308121</v>
      </c>
      <c r="AZ66" s="311">
        <v>25.269635999999998</v>
      </c>
      <c r="BA66" s="311">
        <v>24.257445000000001</v>
      </c>
      <c r="BB66" s="311">
        <v>23.274571999999999</v>
      </c>
    </row>
    <row r="67" spans="12:54" ht="16.8" x14ac:dyDescent="0.3">
      <c r="L67" s="212">
        <v>16</v>
      </c>
      <c r="M67" s="213">
        <v>201.37</v>
      </c>
      <c r="N67" s="213">
        <v>0.124</v>
      </c>
      <c r="O67" s="213">
        <v>8.0850000000000009</v>
      </c>
      <c r="P67" s="213">
        <v>858.54</v>
      </c>
      <c r="Q67" s="214">
        <v>205.06</v>
      </c>
      <c r="R67" s="213">
        <v>2791.73</v>
      </c>
      <c r="S67" s="215">
        <v>666.79</v>
      </c>
      <c r="T67" s="213">
        <v>1933.19</v>
      </c>
      <c r="U67" s="214">
        <v>461.74</v>
      </c>
      <c r="V67" s="213">
        <v>2.8620000000000001</v>
      </c>
      <c r="W67" s="213">
        <v>1.5999999999999999E-5</v>
      </c>
      <c r="AJ67">
        <v>230.04</v>
      </c>
      <c r="AK67">
        <v>1.7E-5</v>
      </c>
      <c r="AT67" s="310"/>
      <c r="AU67" s="311">
        <v>33.233578000000001</v>
      </c>
      <c r="AV67" s="311">
        <v>31.982443</v>
      </c>
      <c r="AW67" s="311">
        <v>30.789971999999999</v>
      </c>
      <c r="AX67" s="311">
        <v>29.612434</v>
      </c>
      <c r="AY67" s="311">
        <v>28.482927</v>
      </c>
      <c r="AZ67" s="311">
        <v>27.358875000000001</v>
      </c>
      <c r="BA67" s="311">
        <v>26.219497</v>
      </c>
      <c r="BB67" s="311">
        <v>25.045707</v>
      </c>
    </row>
    <row r="68" spans="12:54" ht="16.8" x14ac:dyDescent="0.3">
      <c r="L68" s="212">
        <v>17</v>
      </c>
      <c r="M68" s="213">
        <v>204.3</v>
      </c>
      <c r="N68" s="213">
        <v>0.11700000000000001</v>
      </c>
      <c r="O68" s="213">
        <v>8.5749999999999993</v>
      </c>
      <c r="P68" s="213">
        <v>871.82</v>
      </c>
      <c r="Q68" s="214">
        <v>208.23</v>
      </c>
      <c r="R68" s="213">
        <v>2793.37</v>
      </c>
      <c r="S68" s="215">
        <v>667.18</v>
      </c>
      <c r="T68" s="213">
        <v>1921.55</v>
      </c>
      <c r="U68" s="214">
        <v>458.95</v>
      </c>
      <c r="V68" s="213">
        <v>2.9036</v>
      </c>
      <c r="W68" s="213">
        <v>1.5999999999999999E-5</v>
      </c>
      <c r="AJ68">
        <v>231.96</v>
      </c>
      <c r="AK68">
        <v>1.7E-5</v>
      </c>
      <c r="AT68" s="310"/>
      <c r="AU68" s="311">
        <v>45.269238999999999</v>
      </c>
      <c r="AV68" s="311">
        <v>43.916212000000002</v>
      </c>
      <c r="AW68" s="311">
        <v>42.676169000000002</v>
      </c>
      <c r="AX68" s="311">
        <v>44.679861000000002</v>
      </c>
      <c r="AY68" s="311">
        <v>42.792923999999999</v>
      </c>
      <c r="AZ68" s="311">
        <v>40.826594999999998</v>
      </c>
      <c r="BA68" s="311">
        <v>38.767896</v>
      </c>
      <c r="BB68" s="311">
        <v>36.606172999999998</v>
      </c>
    </row>
    <row r="69" spans="12:54" ht="16.8" x14ac:dyDescent="0.3">
      <c r="L69" s="212">
        <v>18</v>
      </c>
      <c r="M69" s="213">
        <v>207.11</v>
      </c>
      <c r="N69" s="213">
        <v>0.11</v>
      </c>
      <c r="O69" s="213">
        <v>9.0649999999999995</v>
      </c>
      <c r="P69" s="213">
        <v>884.55</v>
      </c>
      <c r="Q69" s="214">
        <v>211.27</v>
      </c>
      <c r="R69" s="213">
        <v>2794.81</v>
      </c>
      <c r="S69" s="215">
        <v>667.53</v>
      </c>
      <c r="T69" s="213">
        <v>1910.27</v>
      </c>
      <c r="U69" s="214">
        <v>456.26</v>
      </c>
      <c r="V69" s="213">
        <v>2.9445000000000001</v>
      </c>
      <c r="W69" s="213">
        <v>1.5999999999999999E-5</v>
      </c>
      <c r="AJ69">
        <v>233.84</v>
      </c>
      <c r="AK69">
        <v>1.7E-5</v>
      </c>
      <c r="AT69" s="310"/>
      <c r="AU69" s="311">
        <v>46.719496999999997</v>
      </c>
      <c r="AV69" s="311">
        <v>45.217995999999999</v>
      </c>
      <c r="AW69" s="311">
        <v>43.794181000000002</v>
      </c>
      <c r="AX69" s="311">
        <v>42.515025000000001</v>
      </c>
      <c r="AY69" s="311">
        <v>41.345419999999997</v>
      </c>
      <c r="AZ69" s="311">
        <v>44.177221000000003</v>
      </c>
      <c r="BA69" s="311">
        <v>42.127488</v>
      </c>
      <c r="BB69" s="311">
        <v>39.862051999999998</v>
      </c>
    </row>
    <row r="70" spans="12:54" ht="16.8" x14ac:dyDescent="0.3">
      <c r="L70" s="212">
        <v>19</v>
      </c>
      <c r="M70" s="213">
        <v>209.79</v>
      </c>
      <c r="N70" s="213">
        <v>0.105</v>
      </c>
      <c r="O70" s="213">
        <v>9.5559999999999992</v>
      </c>
      <c r="P70" s="213">
        <v>896.78</v>
      </c>
      <c r="Q70" s="214">
        <v>214.19</v>
      </c>
      <c r="R70" s="213">
        <v>2796.09</v>
      </c>
      <c r="S70" s="215">
        <v>667.83</v>
      </c>
      <c r="T70" s="213">
        <v>1899.31</v>
      </c>
      <c r="U70" s="214">
        <v>453.64</v>
      </c>
      <c r="V70" s="213">
        <v>2.9849000000000001</v>
      </c>
      <c r="W70" s="213">
        <v>1.5999999999999999E-5</v>
      </c>
      <c r="AK70">
        <v>1.7E-5</v>
      </c>
      <c r="AT70" s="310"/>
      <c r="AU70" s="311">
        <v>48.419728999999997</v>
      </c>
      <c r="AV70" s="311">
        <v>46.493453000000002</v>
      </c>
      <c r="AW70" s="311">
        <v>44.718845999999999</v>
      </c>
      <c r="AX70" s="311">
        <v>43.173006000000001</v>
      </c>
      <c r="AY70" s="311">
        <v>41.797795999999998</v>
      </c>
      <c r="AZ70" s="311">
        <v>40.438592999999997</v>
      </c>
      <c r="BA70" s="311">
        <v>39.176647000000003</v>
      </c>
      <c r="BB70" s="311">
        <v>42.369073999999998</v>
      </c>
    </row>
    <row r="71" spans="12:54" ht="16.8" x14ac:dyDescent="0.3">
      <c r="L71" s="212">
        <v>20</v>
      </c>
      <c r="M71" s="213">
        <v>212.37</v>
      </c>
      <c r="N71" s="213">
        <v>0.1</v>
      </c>
      <c r="O71" s="213">
        <v>10.047000000000001</v>
      </c>
      <c r="P71" s="213">
        <v>908.56</v>
      </c>
      <c r="Q71" s="214">
        <v>217.01</v>
      </c>
      <c r="R71" s="213">
        <v>2797.21</v>
      </c>
      <c r="S71" s="215">
        <v>668.1</v>
      </c>
      <c r="T71" s="213">
        <v>1888.65</v>
      </c>
      <c r="U71" s="214">
        <v>451.1</v>
      </c>
      <c r="V71" s="213">
        <v>3.0247999999999999</v>
      </c>
      <c r="W71" s="213">
        <v>1.5999999999999999E-5</v>
      </c>
      <c r="AT71" s="310"/>
      <c r="AU71" s="311">
        <v>39.455784999999999</v>
      </c>
      <c r="AV71" s="311">
        <v>38.325203000000002</v>
      </c>
      <c r="AW71" s="311">
        <v>37.256692999999999</v>
      </c>
      <c r="AX71" s="311">
        <v>36.181596999999996</v>
      </c>
      <c r="AY71" s="311">
        <v>35.130951000000003</v>
      </c>
      <c r="AZ71" s="311">
        <v>34.087035</v>
      </c>
      <c r="BA71" s="311">
        <v>33.065468000000003</v>
      </c>
      <c r="BB71" s="311">
        <v>32.049377999999997</v>
      </c>
    </row>
    <row r="72" spans="12:54" ht="16.8" x14ac:dyDescent="0.3">
      <c r="L72" s="212">
        <v>21</v>
      </c>
      <c r="M72" s="213">
        <v>214.85</v>
      </c>
      <c r="N72" s="213">
        <v>9.5000000000000001E-2</v>
      </c>
      <c r="O72" s="213">
        <v>10.539</v>
      </c>
      <c r="P72" s="213">
        <v>919.93</v>
      </c>
      <c r="Q72" s="214">
        <v>219.72</v>
      </c>
      <c r="R72" s="213">
        <v>2798.18</v>
      </c>
      <c r="S72" s="215">
        <v>668.33</v>
      </c>
      <c r="T72" s="213">
        <v>1878.25</v>
      </c>
      <c r="U72" s="214">
        <v>448.61</v>
      </c>
      <c r="V72" s="213">
        <v>3.0642999999999998</v>
      </c>
      <c r="W72" s="213">
        <v>1.5999999999999999E-5</v>
      </c>
      <c r="AT72" s="310"/>
      <c r="AU72" s="311">
        <v>40.713794999999998</v>
      </c>
      <c r="AV72" s="311">
        <v>39.405158</v>
      </c>
      <c r="AW72" s="311">
        <v>38.092481999999997</v>
      </c>
      <c r="AX72" s="311">
        <v>36.846210999999997</v>
      </c>
      <c r="AY72" s="311">
        <v>35.651111999999998</v>
      </c>
      <c r="AZ72" s="311">
        <v>34.446565</v>
      </c>
      <c r="BA72" s="311">
        <v>33.324565999999997</v>
      </c>
      <c r="BB72" s="311">
        <v>32.110486000000002</v>
      </c>
    </row>
    <row r="73" spans="12:54" ht="16.8" x14ac:dyDescent="0.3">
      <c r="L73" s="212">
        <v>22</v>
      </c>
      <c r="M73" s="213">
        <v>217.24</v>
      </c>
      <c r="N73" s="213">
        <v>9.0999999999999998E-2</v>
      </c>
      <c r="O73" s="213">
        <v>11.032</v>
      </c>
      <c r="P73" s="213">
        <v>930.92</v>
      </c>
      <c r="Q73" s="214">
        <v>222.35</v>
      </c>
      <c r="R73" s="213">
        <v>2799.03</v>
      </c>
      <c r="S73" s="215">
        <v>668.54</v>
      </c>
      <c r="T73" s="213">
        <v>1868.11</v>
      </c>
      <c r="U73" s="214">
        <v>446.19</v>
      </c>
      <c r="V73" s="213">
        <v>3.1034000000000002</v>
      </c>
      <c r="W73" s="213">
        <v>1.5999999999999999E-5</v>
      </c>
      <c r="AT73" s="310"/>
      <c r="AU73" s="311">
        <v>42.657178999999999</v>
      </c>
      <c r="AV73" s="311">
        <v>41.033414</v>
      </c>
      <c r="AW73" s="311">
        <v>39.456270000000004</v>
      </c>
      <c r="AX73" s="311">
        <v>37.979362999999999</v>
      </c>
      <c r="AY73" s="311">
        <v>36.616776000000002</v>
      </c>
      <c r="AZ73" s="311">
        <v>35.242688000000001</v>
      </c>
      <c r="BA73" s="311">
        <v>33.820118999999998</v>
      </c>
      <c r="BB73" s="311">
        <v>32.391798000000001</v>
      </c>
    </row>
    <row r="74" spans="12:54" ht="16.8" x14ac:dyDescent="0.3">
      <c r="L74" s="212">
        <v>23</v>
      </c>
      <c r="M74" s="213">
        <v>219.55</v>
      </c>
      <c r="N74" s="213">
        <v>8.6999999999999994E-2</v>
      </c>
      <c r="O74" s="213">
        <v>11.525</v>
      </c>
      <c r="P74" s="213">
        <v>941.57</v>
      </c>
      <c r="Q74" s="214">
        <v>224.89</v>
      </c>
      <c r="R74" s="213">
        <v>2799.77</v>
      </c>
      <c r="S74" s="215">
        <v>668.71</v>
      </c>
      <c r="T74" s="213">
        <v>1858.2</v>
      </c>
      <c r="U74" s="214">
        <v>443.82</v>
      </c>
      <c r="V74" s="213">
        <v>3.1421000000000001</v>
      </c>
      <c r="W74" s="213">
        <v>1.5999999999999999E-5</v>
      </c>
      <c r="AT74" s="310"/>
      <c r="AU74" s="311">
        <v>37.398232999999998</v>
      </c>
      <c r="AV74" s="311">
        <v>35.968366000000003</v>
      </c>
      <c r="AW74" s="311">
        <v>34.630668</v>
      </c>
      <c r="AX74" s="311">
        <v>33.342883</v>
      </c>
      <c r="AY74" s="311">
        <v>32.124597000000001</v>
      </c>
      <c r="AZ74" s="311">
        <v>30.914442999999999</v>
      </c>
      <c r="BA74" s="311">
        <v>29.699778999999999</v>
      </c>
      <c r="BB74" s="311">
        <v>28.332308999999999</v>
      </c>
    </row>
    <row r="75" spans="12:54" ht="16.8" x14ac:dyDescent="0.3">
      <c r="L75" s="212">
        <v>24</v>
      </c>
      <c r="M75" s="213">
        <v>221.78</v>
      </c>
      <c r="N75" s="213">
        <v>8.3000000000000004E-2</v>
      </c>
      <c r="O75" s="213">
        <v>12.02</v>
      </c>
      <c r="P75" s="213">
        <v>951.9</v>
      </c>
      <c r="Q75" s="214">
        <v>227.36</v>
      </c>
      <c r="R75" s="213">
        <v>2800.39</v>
      </c>
      <c r="S75" s="215">
        <v>668.86</v>
      </c>
      <c r="T75" s="213">
        <v>1848.49</v>
      </c>
      <c r="U75" s="214">
        <v>441.5</v>
      </c>
      <c r="V75" s="213">
        <v>3.1804999999999999</v>
      </c>
      <c r="W75" s="213">
        <v>1.7E-5</v>
      </c>
      <c r="AT75" s="310"/>
      <c r="AU75" s="311">
        <v>34.807941999999997</v>
      </c>
      <c r="AV75" s="311">
        <v>33.635509999999996</v>
      </c>
      <c r="AW75" s="311">
        <v>32.556854999999999</v>
      </c>
      <c r="AX75" s="311">
        <v>31.526983999999999</v>
      </c>
      <c r="AY75" s="311">
        <v>30.489163999999999</v>
      </c>
      <c r="AZ75" s="311">
        <v>29.436477</v>
      </c>
      <c r="BA75" s="311">
        <v>28.347739000000001</v>
      </c>
      <c r="BB75" s="311">
        <v>27.207616999999999</v>
      </c>
    </row>
    <row r="76" spans="12:54" ht="16.8" x14ac:dyDescent="0.3">
      <c r="L76" s="212">
        <v>25</v>
      </c>
      <c r="M76" s="213">
        <v>223.94</v>
      </c>
      <c r="N76" s="213">
        <v>0.08</v>
      </c>
      <c r="O76" s="213">
        <v>12.515000000000001</v>
      </c>
      <c r="P76" s="213">
        <v>961.93</v>
      </c>
      <c r="Q76" s="214">
        <v>229.75</v>
      </c>
      <c r="R76" s="213">
        <v>2800.91</v>
      </c>
      <c r="S76" s="215">
        <v>668.99</v>
      </c>
      <c r="T76" s="213">
        <v>1838.98</v>
      </c>
      <c r="U76" s="214">
        <v>439.23</v>
      </c>
      <c r="V76" s="213">
        <v>3.2187000000000001</v>
      </c>
      <c r="W76" s="213">
        <v>1.7E-5</v>
      </c>
      <c r="AT76" s="310"/>
      <c r="AU76" s="311">
        <v>34.372391999999998</v>
      </c>
      <c r="AV76" s="311">
        <v>33.256869000000002</v>
      </c>
      <c r="AW76" s="311">
        <v>32.228299</v>
      </c>
      <c r="AX76" s="311">
        <v>31.237794000000001</v>
      </c>
      <c r="AY76" s="311">
        <v>30.232782</v>
      </c>
      <c r="AZ76" s="311">
        <v>29.215049</v>
      </c>
      <c r="BA76" s="311">
        <v>28.171405</v>
      </c>
      <c r="BB76" s="311">
        <v>27.083348999999998</v>
      </c>
    </row>
    <row r="77" spans="12:54" ht="16.8" x14ac:dyDescent="0.3">
      <c r="L77" s="212">
        <v>26</v>
      </c>
      <c r="M77" s="213">
        <v>226.03</v>
      </c>
      <c r="N77" s="213">
        <v>7.6999999999999999E-2</v>
      </c>
      <c r="O77" s="213">
        <v>13.012</v>
      </c>
      <c r="P77" s="213">
        <v>971.69</v>
      </c>
      <c r="Q77" s="214">
        <v>232.08</v>
      </c>
      <c r="R77" s="213">
        <v>2801.35</v>
      </c>
      <c r="S77" s="215">
        <v>669.09</v>
      </c>
      <c r="T77" s="213">
        <v>1829.66</v>
      </c>
      <c r="U77" s="214">
        <v>437.01</v>
      </c>
      <c r="V77" s="213">
        <v>3.2566999999999999</v>
      </c>
      <c r="W77" s="213">
        <v>1.7E-5</v>
      </c>
      <c r="AT77" s="310"/>
      <c r="AU77" s="311">
        <v>36.053189000000003</v>
      </c>
      <c r="AV77" s="311">
        <v>34.782649999999997</v>
      </c>
      <c r="AW77" s="311">
        <v>33.570056999999998</v>
      </c>
      <c r="AX77" s="311">
        <v>32.369078999999999</v>
      </c>
      <c r="AY77" s="311">
        <v>31.195758000000001</v>
      </c>
      <c r="AZ77" s="311">
        <v>30.004082</v>
      </c>
      <c r="BA77" s="311">
        <v>28.784887000000001</v>
      </c>
      <c r="BB77" s="311">
        <v>27.529050000000002</v>
      </c>
    </row>
    <row r="78" spans="12:54" ht="16.8" x14ac:dyDescent="0.3">
      <c r="L78" s="212">
        <v>27</v>
      </c>
      <c r="M78" s="213">
        <v>228.06</v>
      </c>
      <c r="N78" s="213">
        <v>7.3999999999999996E-2</v>
      </c>
      <c r="O78" s="213">
        <v>13.509</v>
      </c>
      <c r="P78" s="213">
        <v>981.19</v>
      </c>
      <c r="Q78" s="214">
        <v>234.35</v>
      </c>
      <c r="R78" s="213">
        <v>2801.69</v>
      </c>
      <c r="S78" s="215">
        <v>669.17</v>
      </c>
      <c r="T78" s="213">
        <v>1820.5</v>
      </c>
      <c r="U78" s="214">
        <v>434.82</v>
      </c>
      <c r="V78" s="213">
        <v>3.2944</v>
      </c>
      <c r="W78" s="213">
        <v>1.7E-5</v>
      </c>
      <c r="AT78" s="310"/>
      <c r="AU78" s="311">
        <v>48.242702000000001</v>
      </c>
      <c r="AV78" s="311">
        <v>46.392740000000003</v>
      </c>
      <c r="AW78" s="311">
        <v>44.566231999999999</v>
      </c>
      <c r="AX78" s="311">
        <v>42.751995000000001</v>
      </c>
      <c r="AY78" s="311">
        <v>40.904684000000003</v>
      </c>
      <c r="AZ78" s="311">
        <v>38.924356000000003</v>
      </c>
      <c r="BA78" s="311">
        <v>36.779964</v>
      </c>
      <c r="BB78" s="311">
        <v>34.414636999999999</v>
      </c>
    </row>
    <row r="79" spans="12:54" ht="16.8" x14ac:dyDescent="0.3">
      <c r="L79" s="212">
        <v>28</v>
      </c>
      <c r="M79" s="213">
        <v>230.04</v>
      </c>
      <c r="N79" s="213">
        <v>7.0999999999999994E-2</v>
      </c>
      <c r="O79" s="213">
        <v>14.007999999999999</v>
      </c>
      <c r="P79" s="213">
        <v>990.46</v>
      </c>
      <c r="Q79" s="214">
        <v>236.57</v>
      </c>
      <c r="R79" s="213">
        <v>2801.96</v>
      </c>
      <c r="S79" s="215">
        <v>669.24</v>
      </c>
      <c r="T79" s="213">
        <v>1811.5</v>
      </c>
      <c r="U79" s="214">
        <v>432.67</v>
      </c>
      <c r="V79" s="213">
        <v>3.3319999999999999</v>
      </c>
      <c r="W79" s="213">
        <v>1.7E-5</v>
      </c>
      <c r="AT79" s="310"/>
      <c r="AU79" s="311">
        <v>51.880546000000002</v>
      </c>
      <c r="AV79" s="311">
        <v>49.695864</v>
      </c>
      <c r="AW79" s="311">
        <v>47.592537999999998</v>
      </c>
      <c r="AX79" s="311">
        <v>45.565503999999997</v>
      </c>
      <c r="AY79" s="311">
        <v>43.551031000000002</v>
      </c>
      <c r="AZ79" s="311">
        <v>41.445233999999999</v>
      </c>
      <c r="BA79" s="311">
        <v>39.142876999999999</v>
      </c>
      <c r="BB79" s="311">
        <v>36.560960999999999</v>
      </c>
    </row>
    <row r="80" spans="12:54" ht="16.8" x14ac:dyDescent="0.3">
      <c r="L80" s="212">
        <v>29</v>
      </c>
      <c r="M80" s="213">
        <v>231.96</v>
      </c>
      <c r="N80" s="213">
        <v>6.9000000000000006E-2</v>
      </c>
      <c r="O80" s="213">
        <v>14.507999999999999</v>
      </c>
      <c r="P80" s="213">
        <v>999.5</v>
      </c>
      <c r="Q80" s="214">
        <v>238.73</v>
      </c>
      <c r="R80" s="213">
        <v>2802.15</v>
      </c>
      <c r="S80" s="215">
        <v>669.28</v>
      </c>
      <c r="T80" s="213">
        <v>1802.65</v>
      </c>
      <c r="U80" s="214">
        <v>430.56</v>
      </c>
      <c r="V80" s="213">
        <v>3.3694999999999999</v>
      </c>
      <c r="W80" s="213">
        <v>1.7E-5</v>
      </c>
      <c r="AT80" s="310"/>
      <c r="AU80" s="311">
        <v>57.174804999999999</v>
      </c>
      <c r="AV80" s="311">
        <v>54.795310999999998</v>
      </c>
      <c r="AW80" s="311">
        <v>52.436419999999998</v>
      </c>
      <c r="AX80" s="311">
        <v>50.232827</v>
      </c>
      <c r="AY80" s="311">
        <v>48.057125999999997</v>
      </c>
      <c r="AZ80" s="311">
        <v>45.683194999999998</v>
      </c>
      <c r="BA80" s="311">
        <v>43.164228000000001</v>
      </c>
      <c r="BB80" s="311">
        <v>40.439055000000003</v>
      </c>
    </row>
    <row r="81" spans="12:54" ht="16.8" x14ac:dyDescent="0.3">
      <c r="L81" s="212">
        <v>30</v>
      </c>
      <c r="M81" s="213">
        <v>233.84</v>
      </c>
      <c r="N81" s="213">
        <v>6.7000000000000004E-2</v>
      </c>
      <c r="O81" s="213">
        <v>15.009</v>
      </c>
      <c r="P81" s="213">
        <v>1008.33</v>
      </c>
      <c r="Q81" s="214">
        <v>240.84</v>
      </c>
      <c r="R81" s="213">
        <v>2802.27</v>
      </c>
      <c r="S81" s="215">
        <v>669.31</v>
      </c>
      <c r="T81" s="213">
        <v>1793.94</v>
      </c>
      <c r="U81" s="214">
        <v>428.48</v>
      </c>
      <c r="V81" s="213">
        <v>3.4068999999999998</v>
      </c>
      <c r="W81" s="213">
        <v>1.7E-5</v>
      </c>
      <c r="AT81" s="310"/>
      <c r="AU81" s="311">
        <v>46.114094999999999</v>
      </c>
      <c r="AV81" s="311">
        <v>44.668348000000002</v>
      </c>
      <c r="AW81" s="311">
        <v>43.208181000000003</v>
      </c>
      <c r="AX81" s="311">
        <v>41.735773000000002</v>
      </c>
      <c r="AY81" s="311">
        <v>40.207636000000001</v>
      </c>
      <c r="AZ81" s="311">
        <v>38.524937000000001</v>
      </c>
      <c r="BA81" s="311">
        <v>36.685768000000003</v>
      </c>
      <c r="BB81" s="311">
        <v>34.667983</v>
      </c>
    </row>
    <row r="82" spans="12:54" ht="16.8" x14ac:dyDescent="0.3">
      <c r="AT82" s="310"/>
      <c r="AU82" s="311">
        <v>50.471082000000003</v>
      </c>
      <c r="AV82" s="311">
        <v>48.969113</v>
      </c>
      <c r="AW82" s="311">
        <v>47.4146</v>
      </c>
      <c r="AX82" s="311">
        <v>45.841585000000002</v>
      </c>
      <c r="AY82" s="311">
        <v>44.190607</v>
      </c>
      <c r="AZ82" s="311">
        <v>42.337823</v>
      </c>
      <c r="BA82" s="311">
        <v>40.272920999999997</v>
      </c>
      <c r="BB82" s="311">
        <v>37.947203000000002</v>
      </c>
    </row>
    <row r="83" spans="12:54" ht="16.8" x14ac:dyDescent="0.3">
      <c r="AT83" s="310"/>
      <c r="AU83" s="311">
        <v>53.673966</v>
      </c>
      <c r="AV83" s="311">
        <v>54.046008</v>
      </c>
      <c r="AW83" s="311">
        <v>52.288398999999998</v>
      </c>
      <c r="AX83" s="311">
        <v>50.543444000000001</v>
      </c>
      <c r="AY83" s="311">
        <v>48.747292999999999</v>
      </c>
      <c r="AZ83" s="311">
        <v>46.704203999999997</v>
      </c>
      <c r="BA83" s="311">
        <v>44.381217999999997</v>
      </c>
      <c r="BB83" s="311">
        <v>41.698017</v>
      </c>
    </row>
    <row r="84" spans="12:54" ht="16.8" x14ac:dyDescent="0.3">
      <c r="AT84" s="310"/>
      <c r="AU84" s="311">
        <v>39.626961000000001</v>
      </c>
      <c r="AV84" s="311">
        <v>38.791946000000003</v>
      </c>
      <c r="AW84" s="311">
        <v>37.997328000000003</v>
      </c>
      <c r="AX84" s="311">
        <v>37.219785000000002</v>
      </c>
      <c r="AY84" s="311">
        <v>36.478926000000001</v>
      </c>
      <c r="AZ84" s="311">
        <v>39.112344999999998</v>
      </c>
      <c r="BA84" s="311">
        <v>37.858848999999999</v>
      </c>
      <c r="BB84" s="311">
        <v>36.484886000000003</v>
      </c>
    </row>
    <row r="85" spans="12:54" ht="16.8" x14ac:dyDescent="0.3">
      <c r="AT85" s="310"/>
      <c r="AU85" s="311">
        <v>42.709516999999998</v>
      </c>
      <c r="AV85" s="311">
        <v>41.623835</v>
      </c>
      <c r="AW85" s="311">
        <v>40.593902999999997</v>
      </c>
      <c r="AX85" s="311">
        <v>39.632769000000003</v>
      </c>
      <c r="AY85" s="311">
        <v>38.738996</v>
      </c>
      <c r="AZ85" s="311">
        <v>37.847462</v>
      </c>
      <c r="BA85" s="311">
        <v>36.988934</v>
      </c>
      <c r="BB85" s="311">
        <v>40.440747999999999</v>
      </c>
    </row>
    <row r="86" spans="12:54" ht="16.8" x14ac:dyDescent="0.3">
      <c r="AT86" s="310"/>
      <c r="AU86" s="311">
        <v>47.391505000000002</v>
      </c>
      <c r="AV86" s="311">
        <v>46.089128000000002</v>
      </c>
      <c r="AW86" s="311">
        <v>44.808084999999998</v>
      </c>
      <c r="AX86" s="311">
        <v>43.625875000000001</v>
      </c>
      <c r="AY86" s="311">
        <v>42.546692999999998</v>
      </c>
      <c r="AZ86" s="311">
        <v>41.467297000000002</v>
      </c>
      <c r="BA86" s="311">
        <v>40.478754000000002</v>
      </c>
      <c r="BB86" s="311">
        <v>39.606589</v>
      </c>
    </row>
    <row r="87" spans="12:54" ht="16.8" x14ac:dyDescent="0.3">
      <c r="AT87" s="310"/>
      <c r="AU87" s="311">
        <v>25.87115</v>
      </c>
      <c r="AV87" s="311">
        <v>24.770565000000001</v>
      </c>
      <c r="AW87" s="311">
        <v>23.716972999999999</v>
      </c>
      <c r="AX87" s="311">
        <v>22.726690999999999</v>
      </c>
      <c r="AY87" s="311">
        <v>21.774381000000002</v>
      </c>
      <c r="AZ87" s="311">
        <v>20.785011000000001</v>
      </c>
      <c r="BA87" s="311">
        <v>19.811446</v>
      </c>
      <c r="BB87" s="311">
        <v>18.820893999999999</v>
      </c>
    </row>
    <row r="88" spans="12:54" ht="16.8" x14ac:dyDescent="0.3">
      <c r="AT88" s="310"/>
      <c r="AU88" s="311">
        <v>28.469442000000001</v>
      </c>
      <c r="AV88" s="311">
        <v>27.162552000000002</v>
      </c>
      <c r="AW88" s="311">
        <v>25.885135999999999</v>
      </c>
      <c r="AX88" s="311">
        <v>24.695516999999999</v>
      </c>
      <c r="AY88" s="311">
        <v>23.554403000000001</v>
      </c>
      <c r="AZ88" s="311">
        <v>22.426898999999999</v>
      </c>
      <c r="BA88" s="311">
        <v>21.276420999999999</v>
      </c>
      <c r="BB88" s="311">
        <v>20.082408999999998</v>
      </c>
    </row>
    <row r="89" spans="12:54" ht="16.8" x14ac:dyDescent="0.3">
      <c r="AT89" s="310"/>
      <c r="AU89" s="311">
        <v>30.212617999999999</v>
      </c>
      <c r="AV89" s="311">
        <v>28.599415</v>
      </c>
      <c r="AW89" s="311">
        <v>27.125432</v>
      </c>
      <c r="AX89" s="311">
        <v>25.838238</v>
      </c>
      <c r="AY89" s="311">
        <v>24.569372000000001</v>
      </c>
      <c r="AZ89" s="311">
        <v>23.266062000000002</v>
      </c>
      <c r="BA89" s="311">
        <v>21.972726999999999</v>
      </c>
      <c r="BB89" s="311">
        <v>20.606977000000001</v>
      </c>
    </row>
    <row r="90" spans="12:54" ht="16.8" x14ac:dyDescent="0.3">
      <c r="AT90" s="310"/>
      <c r="AU90" s="311">
        <v>27.200202000000001</v>
      </c>
      <c r="AV90" s="311">
        <v>25.853287000000002</v>
      </c>
      <c r="AW90" s="311">
        <v>24.591881000000001</v>
      </c>
      <c r="AX90" s="311">
        <v>23.445036000000002</v>
      </c>
      <c r="AY90" s="311">
        <v>22.374412</v>
      </c>
      <c r="AZ90" s="311">
        <v>21.227074999999999</v>
      </c>
      <c r="BA90" s="311">
        <v>20.034602</v>
      </c>
      <c r="BB90" s="311">
        <v>18.770185000000001</v>
      </c>
    </row>
    <row r="91" spans="12:54" ht="16.8" x14ac:dyDescent="0.3">
      <c r="AT91" s="310"/>
      <c r="AU91" s="311">
        <v>23.156480999999999</v>
      </c>
      <c r="AV91" s="311">
        <v>22.244976000000001</v>
      </c>
      <c r="AW91" s="311">
        <v>21.356843999999999</v>
      </c>
      <c r="AX91" s="311">
        <v>20.477629</v>
      </c>
      <c r="AY91" s="311">
        <v>19.625579999999999</v>
      </c>
      <c r="AZ91" s="311">
        <v>18.768934999999999</v>
      </c>
      <c r="BA91" s="311">
        <v>17.887550999999998</v>
      </c>
      <c r="BB91" s="311">
        <v>16.976783999999999</v>
      </c>
    </row>
    <row r="92" spans="12:54" ht="16.8" x14ac:dyDescent="0.3">
      <c r="AT92" s="310"/>
      <c r="AU92" s="311">
        <v>24.946480999999999</v>
      </c>
      <c r="AV92" s="311">
        <v>23.906718999999999</v>
      </c>
      <c r="AW92" s="311">
        <v>22.862399</v>
      </c>
      <c r="AX92" s="311">
        <v>21.881287</v>
      </c>
      <c r="AY92" s="311">
        <v>20.938334000000001</v>
      </c>
      <c r="AZ92" s="311">
        <v>19.978648</v>
      </c>
      <c r="BA92" s="311">
        <v>19.004117000000001</v>
      </c>
      <c r="BB92" s="311">
        <v>17.920059999999999</v>
      </c>
    </row>
    <row r="93" spans="12:54" ht="16.8" x14ac:dyDescent="0.3">
      <c r="AT93" s="310"/>
      <c r="AU93" s="311">
        <v>32.198058000000003</v>
      </c>
      <c r="AV93" s="311">
        <v>34.060228000000002</v>
      </c>
      <c r="AW93" s="311">
        <v>32.591642999999998</v>
      </c>
      <c r="AX93" s="311">
        <v>31.153153</v>
      </c>
      <c r="AY93" s="311">
        <v>29.759421</v>
      </c>
      <c r="AZ93" s="311">
        <v>28.308347999999999</v>
      </c>
      <c r="BA93" s="311">
        <v>26.770931999999998</v>
      </c>
      <c r="BB93" s="311">
        <v>25.154699000000001</v>
      </c>
    </row>
    <row r="94" spans="12:54" ht="16.8" x14ac:dyDescent="0.3">
      <c r="AT94" s="310"/>
      <c r="AU94" s="311">
        <v>33.596232000000001</v>
      </c>
      <c r="AV94" s="311">
        <v>32.220784000000002</v>
      </c>
      <c r="AW94" s="311">
        <v>30.903084</v>
      </c>
      <c r="AX94" s="311">
        <v>29.684100999999998</v>
      </c>
      <c r="AY94" s="311">
        <v>31.852315999999998</v>
      </c>
      <c r="AZ94" s="311">
        <v>30.282442</v>
      </c>
      <c r="BA94" s="311">
        <v>28.607278999999998</v>
      </c>
      <c r="BB94" s="311">
        <v>26.806166000000001</v>
      </c>
    </row>
    <row r="95" spans="12:54" ht="16.8" x14ac:dyDescent="0.3">
      <c r="AT95" s="310"/>
      <c r="AU95" s="311">
        <v>19.615013000000001</v>
      </c>
      <c r="AV95" s="311">
        <v>18.919900999999999</v>
      </c>
      <c r="AW95" s="311">
        <v>18.277152000000001</v>
      </c>
      <c r="AX95" s="311">
        <v>17.670055999999999</v>
      </c>
      <c r="AY95" s="311">
        <v>17.089656000000002</v>
      </c>
      <c r="AZ95" s="311">
        <v>16.491890000000001</v>
      </c>
      <c r="BA95" s="311">
        <v>15.864317</v>
      </c>
      <c r="BB95" s="311">
        <v>15.194982</v>
      </c>
    </row>
    <row r="96" spans="12:54" ht="16.8" x14ac:dyDescent="0.3">
      <c r="AT96" s="310"/>
      <c r="AU96" s="311">
        <v>36.220272000000001</v>
      </c>
      <c r="AV96" s="311">
        <v>34.515509000000002</v>
      </c>
      <c r="AW96" s="311">
        <v>32.865684000000002</v>
      </c>
      <c r="AX96" s="311">
        <v>31.410895</v>
      </c>
      <c r="AY96" s="311">
        <v>30.077297000000002</v>
      </c>
      <c r="AZ96" s="311">
        <v>28.703143000000001</v>
      </c>
      <c r="BA96" s="311">
        <v>31.405175</v>
      </c>
      <c r="BB96" s="311">
        <v>29.357700999999999</v>
      </c>
    </row>
    <row r="97" spans="46:54" ht="16.8" x14ac:dyDescent="0.3">
      <c r="AT97" s="310"/>
      <c r="AU97" s="311">
        <v>32.383077999999998</v>
      </c>
      <c r="AV97" s="311">
        <v>30.861969999999999</v>
      </c>
      <c r="AW97" s="311">
        <v>29.391062999999999</v>
      </c>
      <c r="AX97" s="311">
        <v>27.991999</v>
      </c>
      <c r="AY97" s="311">
        <v>26.730184000000001</v>
      </c>
      <c r="AZ97" s="311">
        <v>25.452459999999999</v>
      </c>
      <c r="BA97" s="311">
        <v>24.149325000000001</v>
      </c>
      <c r="BB97" s="311">
        <v>22.805408</v>
      </c>
    </row>
    <row r="98" spans="46:54" ht="16.8" x14ac:dyDescent="0.3">
      <c r="AT98" s="310"/>
      <c r="AU98" s="311">
        <v>27.438673000000001</v>
      </c>
      <c r="AV98" s="311">
        <v>26.339093999999999</v>
      </c>
      <c r="AW98" s="311">
        <v>25.293105000000001</v>
      </c>
      <c r="AX98" s="311">
        <v>24.285015999999999</v>
      </c>
      <c r="AY98" s="311">
        <v>23.312747999999999</v>
      </c>
      <c r="AZ98" s="311">
        <v>22.331246</v>
      </c>
      <c r="BA98" s="311">
        <v>21.343616999999998</v>
      </c>
      <c r="BB98" s="311">
        <v>20.332136999999999</v>
      </c>
    </row>
    <row r="99" spans="46:54" ht="16.8" x14ac:dyDescent="0.3">
      <c r="AT99" s="310"/>
      <c r="AU99" s="311">
        <v>29.194458000000001</v>
      </c>
      <c r="AV99" s="311">
        <v>27.929576000000001</v>
      </c>
      <c r="AW99" s="311">
        <v>26.691012000000001</v>
      </c>
      <c r="AX99" s="311">
        <v>25.546568000000001</v>
      </c>
      <c r="AY99" s="311">
        <v>24.466671999999999</v>
      </c>
      <c r="AZ99" s="311">
        <v>23.381854000000001</v>
      </c>
      <c r="BA99" s="311">
        <v>22.318653000000001</v>
      </c>
      <c r="BB99" s="311">
        <v>21.162645000000001</v>
      </c>
    </row>
    <row r="100" spans="46:54" ht="16.8" x14ac:dyDescent="0.3">
      <c r="AT100" s="310"/>
      <c r="AU100" s="311">
        <v>22.939909</v>
      </c>
      <c r="AV100" s="311">
        <v>22.139337000000001</v>
      </c>
      <c r="AW100" s="311">
        <v>21.386171999999998</v>
      </c>
      <c r="AX100" s="311">
        <v>20.648758000000001</v>
      </c>
      <c r="AY100" s="311">
        <v>19.931034</v>
      </c>
      <c r="AZ100" s="311">
        <v>19.184100999999998</v>
      </c>
      <c r="BA100" s="311">
        <v>18.403507000000001</v>
      </c>
      <c r="BB100" s="311">
        <v>17.572979</v>
      </c>
    </row>
    <row r="101" spans="46:54" ht="16.8" x14ac:dyDescent="0.3">
      <c r="AT101" s="310"/>
      <c r="AU101" s="311">
        <v>24.766923999999999</v>
      </c>
      <c r="AV101" s="311">
        <v>23.799247999999999</v>
      </c>
      <c r="AW101" s="311">
        <v>22.874870999999999</v>
      </c>
      <c r="AX101" s="311">
        <v>21.994776999999999</v>
      </c>
      <c r="AY101" s="311">
        <v>21.151185000000002</v>
      </c>
      <c r="AZ101" s="311">
        <v>20.285867</v>
      </c>
      <c r="BA101" s="311">
        <v>19.377427999999998</v>
      </c>
      <c r="BB101" s="311">
        <v>18.398781</v>
      </c>
    </row>
    <row r="102" spans="46:54" ht="16.8" x14ac:dyDescent="0.3">
      <c r="AT102" s="310"/>
      <c r="AU102" s="311">
        <v>27.547933</v>
      </c>
      <c r="AV102" s="311">
        <v>26.415320000000001</v>
      </c>
      <c r="AW102" s="311">
        <v>25.324943999999999</v>
      </c>
      <c r="AX102" s="311">
        <v>24.2913</v>
      </c>
      <c r="AY102" s="311">
        <v>23.292403</v>
      </c>
      <c r="AZ102" s="311">
        <v>22.300407</v>
      </c>
      <c r="BA102" s="311">
        <v>21.272016000000001</v>
      </c>
      <c r="BB102" s="311">
        <v>20.110378000000001</v>
      </c>
    </row>
  </sheetData>
  <mergeCells count="17">
    <mergeCell ref="AB1:AD1"/>
    <mergeCell ref="D12:G12"/>
    <mergeCell ref="H12:I12"/>
    <mergeCell ref="V11:V12"/>
    <mergeCell ref="W11:W12"/>
    <mergeCell ref="C13:C14"/>
    <mergeCell ref="F13:F14"/>
    <mergeCell ref="G13:G14"/>
    <mergeCell ref="I13:I14"/>
    <mergeCell ref="T11:U12"/>
    <mergeCell ref="M11:M12"/>
    <mergeCell ref="N11:N12"/>
    <mergeCell ref="O11:O12"/>
    <mergeCell ref="P11:Q11"/>
    <mergeCell ref="P12:Q12"/>
    <mergeCell ref="R11:S11"/>
    <mergeCell ref="R12:S12"/>
  </mergeCells>
  <hyperlinks>
    <hyperlink ref="N10" r:id="rId1" xr:uid="{CBE66229-4414-476C-BF8C-E7647E81B2B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1:AB284"/>
  <sheetViews>
    <sheetView topLeftCell="A427" zoomScale="70" zoomScaleNormal="70" workbookViewId="0">
      <selection activeCell="AD18" sqref="AD18"/>
    </sheetView>
  </sheetViews>
  <sheetFormatPr defaultRowHeight="14.4" x14ac:dyDescent="0.3"/>
  <sheetData>
    <row r="1" spans="8:13" x14ac:dyDescent="0.3">
      <c r="H1" s="72" t="s">
        <v>137</v>
      </c>
      <c r="I1" s="33"/>
      <c r="J1" s="33"/>
      <c r="K1" s="33"/>
      <c r="L1" s="33"/>
      <c r="M1" s="33"/>
    </row>
    <row r="2" spans="8:13" x14ac:dyDescent="0.3">
      <c r="H2" s="72" t="s">
        <v>136</v>
      </c>
      <c r="I2" s="33"/>
      <c r="J2" s="33"/>
      <c r="K2" s="33"/>
    </row>
    <row r="64" spans="7:12" x14ac:dyDescent="0.3">
      <c r="G64" s="72" t="s">
        <v>139</v>
      </c>
      <c r="H64" s="33"/>
      <c r="I64" s="33"/>
      <c r="J64" s="33"/>
      <c r="K64" s="33"/>
      <c r="L64" s="33"/>
    </row>
    <row r="284" spans="1:28" x14ac:dyDescent="0.3">
      <c r="A284" s="33"/>
      <c r="B284" s="33"/>
      <c r="C284" s="33"/>
      <c r="D284" s="33"/>
      <c r="E284" s="33"/>
      <c r="F284" s="33"/>
      <c r="G284" s="33"/>
      <c r="H284" s="33"/>
      <c r="I284" s="33" t="s">
        <v>138</v>
      </c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 K. oro stendu</vt:lpstr>
      <vt:lpstr>Sheet3</vt:lpstr>
      <vt:lpstr>New</vt:lpstr>
      <vt:lpstr>Cooling water</vt:lpstr>
      <vt:lpstr>Interface temperature</vt:lpstr>
      <vt:lpstr>Trial and Error method</vt:lpstr>
      <vt:lpstr>Seni eksp.</vt:lpstr>
      <vt:lpstr>Nauji eks(2 ruozai)</vt:lpstr>
      <vt:lpstr>Nauji eks(2 ruozai-darbinis</vt:lpstr>
      <vt:lpstr>Sheet1</vt:lpstr>
      <vt:lpstr>Sheet2</vt:lpstr>
      <vt:lpstr>Seni eksp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Arūnas Sirvydas</dc:creator>
  <cp:lastModifiedBy>Mohab Maher</cp:lastModifiedBy>
  <dcterms:created xsi:type="dcterms:W3CDTF">2020-07-15T10:25:12Z</dcterms:created>
  <dcterms:modified xsi:type="dcterms:W3CDTF">2024-10-25T23:19:16Z</dcterms:modified>
</cp:coreProperties>
</file>